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tables/table2.xml" ContentType="application/vnd.openxmlformats-officedocument.spreadsheetml.table+xml"/>
  <Override PartName="/xl/drawings/drawing4.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5.xml" ContentType="application/vnd.openxmlformats-officedocument.drawing+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6.xml" ContentType="application/vnd.openxmlformats-officedocument.drawing+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comments2.xml" ContentType="application/vnd.openxmlformats-officedocument.spreadsheetml.comments+xml"/>
  <Override PartName="/xl/drawings/drawing7.xml" ContentType="application/vnd.openxmlformats-officedocument.drawing+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comments3.xml" ContentType="application/vnd.openxmlformats-officedocument.spreadsheetml.comments+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drawings/drawing8.xml" ContentType="application/vnd.openxmlformats-officedocument.drawing+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comments4.xml" ContentType="application/vnd.openxmlformats-officedocument.spreadsheetml.comments+xml"/>
  <Override PartName="/xl/drawings/drawing9.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drawings/drawing10.xml" ContentType="application/vnd.openxmlformats-officedocument.drawing+xml"/>
  <Override PartName="/xl/tables/table54.xml" ContentType="application/vnd.openxmlformats-officedocument.spreadsheetml.table+xml"/>
  <Override PartName="/xl/tables/table5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9"/>
  <workbookPr defaultThemeVersion="166925"/>
  <mc:AlternateContent xmlns:mc="http://schemas.openxmlformats.org/markup-compatibility/2006">
    <mc:Choice Requires="x15">
      <x15ac:absPath xmlns:x15ac="http://schemas.microsoft.com/office/spreadsheetml/2010/11/ac" url="C:\Users\jumaziga\Nextcloud\Klimaschutzmanagement\1. Klimaschutzkonzept\KliMax\"/>
    </mc:Choice>
  </mc:AlternateContent>
  <xr:revisionPtr revIDLastSave="0" documentId="13_ncr:1_{D09E8E2A-F2B9-460E-BD09-FC15742AE768}" xr6:coauthVersionLast="36" xr6:coauthVersionMax="47" xr10:uidLastSave="{00000000-0000-0000-0000-000000000000}"/>
  <bookViews>
    <workbookView xWindow="-110" yWindow="-110" windowWidth="19430" windowHeight="11030" tabRatio="948" xr2:uid="{50497CE0-B409-4E54-BA1E-C6BABD1E1B9E}"/>
  </bookViews>
  <sheets>
    <sheet name="Startseite" sheetId="1" r:id="rId1"/>
    <sheet name="Refsz-Verbräuche" sheetId="2" r:id="rId2"/>
    <sheet name="Klisz-Verbräuche" sheetId="5" r:id="rId3"/>
    <sheet name="Datengüte" sheetId="13" r:id="rId4"/>
    <sheet name="KliMax-Auswertung" sheetId="8" r:id="rId5"/>
    <sheet name="Refsz-Emissionen" sheetId="3" r:id="rId6"/>
    <sheet name="Klisz-Emissionen" sheetId="7" r:id="rId7"/>
    <sheet name="Umrechnen" sheetId="10" r:id="rId8"/>
    <sheet name="Strommix &amp; BHKW" sheetId="14" r:id="rId9"/>
    <sheet name="Verbundene Einheiten" sheetId="17" r:id="rId10"/>
    <sheet name="Emissionsfaktoren" sheetId="4" r:id="rId11"/>
  </sheets>
  <externalReferences>
    <externalReference r:id="rId12"/>
  </externalReferences>
  <definedNames>
    <definedName name="Energieträger">[1]Faktoren!$B$5:$B$14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763" i="7" l="1"/>
  <c r="G763" i="7"/>
  <c r="H763" i="7"/>
  <c r="I763" i="7"/>
  <c r="J763" i="7"/>
  <c r="K763" i="7"/>
  <c r="F784" i="7"/>
  <c r="G784" i="7"/>
  <c r="H784" i="7"/>
  <c r="I784" i="7"/>
  <c r="J784" i="7"/>
  <c r="K784" i="7"/>
  <c r="F805" i="7"/>
  <c r="G805" i="7"/>
  <c r="H805" i="7"/>
  <c r="I805" i="7"/>
  <c r="J805" i="7"/>
  <c r="K805" i="7"/>
  <c r="F826" i="7"/>
  <c r="G826" i="7"/>
  <c r="H826" i="7"/>
  <c r="I826" i="7"/>
  <c r="J826" i="7"/>
  <c r="K826" i="7"/>
  <c r="E826" i="7"/>
  <c r="E805" i="7"/>
  <c r="E784" i="7"/>
  <c r="E763" i="7"/>
  <c r="F437" i="3"/>
  <c r="G437" i="3"/>
  <c r="H437" i="3"/>
  <c r="I437" i="3"/>
  <c r="J437" i="3"/>
  <c r="K437" i="3"/>
  <c r="E437" i="3"/>
  <c r="E416" i="3"/>
  <c r="F416" i="3"/>
  <c r="G416" i="3"/>
  <c r="H416" i="3"/>
  <c r="I416" i="3"/>
  <c r="J416" i="3"/>
  <c r="K416" i="3"/>
  <c r="D20" i="8" l="1"/>
  <c r="J20" i="8"/>
  <c r="E20" i="8"/>
  <c r="F20" i="8"/>
  <c r="G20" i="8"/>
  <c r="H20" i="8"/>
  <c r="I20" i="8"/>
  <c r="H49" i="17" l="1"/>
  <c r="G49" i="17"/>
  <c r="H48" i="17"/>
  <c r="G48" i="17"/>
  <c r="H47" i="17"/>
  <c r="G47" i="17"/>
  <c r="H46" i="17"/>
  <c r="G46" i="17"/>
  <c r="H45" i="17"/>
  <c r="G45" i="17"/>
  <c r="H44" i="17"/>
  <c r="G44" i="17"/>
  <c r="G50" i="17" l="1"/>
  <c r="H50" i="17"/>
  <c r="C41" i="17" s="1"/>
  <c r="C42" i="17" s="1"/>
  <c r="C63" i="2"/>
  <c r="C64" i="2"/>
  <c r="C65" i="2"/>
  <c r="C66" i="2"/>
  <c r="C67" i="2"/>
  <c r="C68" i="2"/>
  <c r="C91" i="2"/>
  <c r="C92" i="2"/>
  <c r="C93" i="2"/>
  <c r="C94" i="2"/>
  <c r="C95" i="2"/>
  <c r="C96" i="2"/>
  <c r="C98" i="2"/>
  <c r="C99" i="2"/>
  <c r="C100" i="2"/>
  <c r="C101" i="2"/>
  <c r="C102" i="2"/>
  <c r="C103" i="2"/>
  <c r="C104" i="2"/>
  <c r="C105" i="2"/>
  <c r="C106" i="2"/>
  <c r="C107" i="2"/>
  <c r="C108" i="2"/>
  <c r="C109" i="2"/>
  <c r="C110" i="2"/>
  <c r="C111" i="2"/>
  <c r="C112" i="2"/>
  <c r="C113" i="2"/>
  <c r="C115" i="2"/>
  <c r="C116" i="2"/>
  <c r="C117" i="2"/>
  <c r="C119" i="2"/>
  <c r="C120" i="2"/>
  <c r="C121" i="2"/>
  <c r="C123" i="2"/>
  <c r="C124" i="2"/>
  <c r="C125" i="2"/>
  <c r="C126" i="2"/>
  <c r="C127" i="2"/>
  <c r="C128" i="2"/>
  <c r="C129" i="2"/>
  <c r="C130" i="2"/>
  <c r="C131" i="2"/>
  <c r="C132" i="2"/>
  <c r="C133" i="2"/>
  <c r="C134" i="2"/>
  <c r="C135" i="2"/>
  <c r="C136" i="2"/>
  <c r="C138" i="2"/>
  <c r="C139" i="2"/>
  <c r="C140" i="2"/>
  <c r="C142" i="2"/>
  <c r="C143" i="2"/>
  <c r="C144" i="2"/>
  <c r="X150" i="4" l="1"/>
  <c r="L90" i="2" l="1"/>
  <c r="M90" i="2" s="1"/>
  <c r="N90" i="2" s="1"/>
  <c r="O90" i="2" s="1"/>
  <c r="P90" i="2" s="1"/>
  <c r="Q90" i="2" s="1"/>
  <c r="R90" i="2" s="1"/>
  <c r="S90" i="2" s="1"/>
  <c r="T90" i="2" s="1"/>
  <c r="U90" i="2" s="1"/>
  <c r="V90" i="2" s="1"/>
  <c r="W90" i="2" s="1"/>
  <c r="X90" i="2" s="1"/>
  <c r="L93" i="2"/>
  <c r="M93" i="2" s="1"/>
  <c r="N93" i="2" s="1"/>
  <c r="O93" i="2" s="1"/>
  <c r="P93" i="2" s="1"/>
  <c r="Q93" i="2" s="1"/>
  <c r="R93" i="2" s="1"/>
  <c r="S93" i="2" s="1"/>
  <c r="T93" i="2" s="1"/>
  <c r="U93" i="2" s="1"/>
  <c r="V93" i="2" s="1"/>
  <c r="W93" i="2" s="1"/>
  <c r="X93" i="2" s="1"/>
  <c r="L94" i="2"/>
  <c r="M94" i="2" s="1"/>
  <c r="N94" i="2" s="1"/>
  <c r="O94" i="2" s="1"/>
  <c r="P94" i="2" s="1"/>
  <c r="Q94" i="2" s="1"/>
  <c r="R94" i="2" s="1"/>
  <c r="S94" i="2" s="1"/>
  <c r="T94" i="2" s="1"/>
  <c r="U94" i="2" s="1"/>
  <c r="V94" i="2" s="1"/>
  <c r="W94" i="2" s="1"/>
  <c r="X94" i="2" s="1"/>
  <c r="L95" i="2"/>
  <c r="M95" i="2" s="1"/>
  <c r="N95" i="2" s="1"/>
  <c r="O95" i="2" s="1"/>
  <c r="P95" i="2" s="1"/>
  <c r="Q95" i="2" s="1"/>
  <c r="R95" i="2" s="1"/>
  <c r="S95" i="2" s="1"/>
  <c r="T95" i="2" s="1"/>
  <c r="U95" i="2" s="1"/>
  <c r="V95" i="2" s="1"/>
  <c r="W95" i="2" s="1"/>
  <c r="X95" i="2" s="1"/>
  <c r="L96" i="2"/>
  <c r="M96" i="2" s="1"/>
  <c r="N96" i="2" s="1"/>
  <c r="O96" i="2" s="1"/>
  <c r="P96" i="2" s="1"/>
  <c r="Q96" i="2" s="1"/>
  <c r="R96" i="2" s="1"/>
  <c r="S96" i="2" s="1"/>
  <c r="T96" i="2" s="1"/>
  <c r="U96" i="2" s="1"/>
  <c r="V96" i="2" s="1"/>
  <c r="W96" i="2" s="1"/>
  <c r="X96" i="2" s="1"/>
  <c r="L97" i="2"/>
  <c r="M97" i="2" s="1"/>
  <c r="N97" i="2" s="1"/>
  <c r="O97" i="2" s="1"/>
  <c r="P97" i="2" s="1"/>
  <c r="Q97" i="2" s="1"/>
  <c r="R97" i="2" s="1"/>
  <c r="S97" i="2" s="1"/>
  <c r="T97" i="2" s="1"/>
  <c r="U97" i="2" s="1"/>
  <c r="V97" i="2" s="1"/>
  <c r="W97" i="2" s="1"/>
  <c r="X97" i="2" s="1"/>
  <c r="L98" i="2"/>
  <c r="M98" i="2" s="1"/>
  <c r="N98" i="2" s="1"/>
  <c r="O98" i="2" s="1"/>
  <c r="P98" i="2" s="1"/>
  <c r="Q98" i="2" s="1"/>
  <c r="R98" i="2" s="1"/>
  <c r="S98" i="2" s="1"/>
  <c r="T98" i="2" s="1"/>
  <c r="U98" i="2" s="1"/>
  <c r="V98" i="2" s="1"/>
  <c r="W98" i="2" s="1"/>
  <c r="X98" i="2" s="1"/>
  <c r="L99" i="2"/>
  <c r="M99" i="2" s="1"/>
  <c r="N99" i="2" s="1"/>
  <c r="O99" i="2" s="1"/>
  <c r="P99" i="2" s="1"/>
  <c r="Q99" i="2" s="1"/>
  <c r="R99" i="2" s="1"/>
  <c r="S99" i="2" s="1"/>
  <c r="T99" i="2" s="1"/>
  <c r="U99" i="2" s="1"/>
  <c r="V99" i="2" s="1"/>
  <c r="W99" i="2" s="1"/>
  <c r="X99" i="2" s="1"/>
  <c r="L100" i="2"/>
  <c r="M100" i="2" s="1"/>
  <c r="N100" i="2" s="1"/>
  <c r="O100" i="2" s="1"/>
  <c r="P100" i="2" s="1"/>
  <c r="Q100" i="2" s="1"/>
  <c r="R100" i="2" s="1"/>
  <c r="S100" i="2" s="1"/>
  <c r="T100" i="2" s="1"/>
  <c r="U100" i="2" s="1"/>
  <c r="V100" i="2" s="1"/>
  <c r="W100" i="2" s="1"/>
  <c r="X100" i="2" s="1"/>
  <c r="L101" i="2"/>
  <c r="M101" i="2" s="1"/>
  <c r="N101" i="2" s="1"/>
  <c r="O101" i="2" s="1"/>
  <c r="P101" i="2" s="1"/>
  <c r="Q101" i="2" s="1"/>
  <c r="R101" i="2" s="1"/>
  <c r="S101" i="2" s="1"/>
  <c r="T101" i="2" s="1"/>
  <c r="U101" i="2" s="1"/>
  <c r="V101" i="2" s="1"/>
  <c r="W101" i="2" s="1"/>
  <c r="X101" i="2" s="1"/>
  <c r="L102" i="2"/>
  <c r="M102" i="2" s="1"/>
  <c r="N102" i="2" s="1"/>
  <c r="O102" i="2" s="1"/>
  <c r="P102" i="2" s="1"/>
  <c r="Q102" i="2" s="1"/>
  <c r="R102" i="2" s="1"/>
  <c r="S102" i="2" s="1"/>
  <c r="T102" i="2" s="1"/>
  <c r="U102" i="2" s="1"/>
  <c r="V102" i="2" s="1"/>
  <c r="W102" i="2" s="1"/>
  <c r="X102" i="2" s="1"/>
  <c r="L103" i="2"/>
  <c r="M103" i="2" s="1"/>
  <c r="N103" i="2" s="1"/>
  <c r="O103" i="2" s="1"/>
  <c r="P103" i="2" s="1"/>
  <c r="Q103" i="2" s="1"/>
  <c r="R103" i="2" s="1"/>
  <c r="S103" i="2" s="1"/>
  <c r="T103" i="2" s="1"/>
  <c r="U103" i="2" s="1"/>
  <c r="V103" i="2" s="1"/>
  <c r="W103" i="2" s="1"/>
  <c r="X103" i="2" s="1"/>
  <c r="L108" i="2"/>
  <c r="M108" i="2" s="1"/>
  <c r="N108" i="2" s="1"/>
  <c r="O108" i="2" s="1"/>
  <c r="P108" i="2" s="1"/>
  <c r="Q108" i="2" s="1"/>
  <c r="R108" i="2" s="1"/>
  <c r="S108" i="2" s="1"/>
  <c r="T108" i="2" s="1"/>
  <c r="U108" i="2" s="1"/>
  <c r="V108" i="2" s="1"/>
  <c r="W108" i="2" s="1"/>
  <c r="X108" i="2" s="1"/>
  <c r="L109" i="2"/>
  <c r="M109" i="2" s="1"/>
  <c r="N109" i="2" s="1"/>
  <c r="O109" i="2" s="1"/>
  <c r="P109" i="2" s="1"/>
  <c r="Q109" i="2" s="1"/>
  <c r="R109" i="2" s="1"/>
  <c r="S109" i="2" s="1"/>
  <c r="T109" i="2" s="1"/>
  <c r="U109" i="2" s="1"/>
  <c r="V109" i="2" s="1"/>
  <c r="W109" i="2" s="1"/>
  <c r="X109" i="2" s="1"/>
  <c r="L110" i="2"/>
  <c r="M110" i="2" s="1"/>
  <c r="N110" i="2" s="1"/>
  <c r="O110" i="2" s="1"/>
  <c r="P110" i="2" s="1"/>
  <c r="Q110" i="2" s="1"/>
  <c r="R110" i="2" s="1"/>
  <c r="S110" i="2" s="1"/>
  <c r="T110" i="2" s="1"/>
  <c r="U110" i="2" s="1"/>
  <c r="V110" i="2" s="1"/>
  <c r="W110" i="2" s="1"/>
  <c r="X110" i="2" s="1"/>
  <c r="L111" i="2"/>
  <c r="M111" i="2" s="1"/>
  <c r="N111" i="2" s="1"/>
  <c r="O111" i="2" s="1"/>
  <c r="P111" i="2" s="1"/>
  <c r="Q111" i="2" s="1"/>
  <c r="R111" i="2" s="1"/>
  <c r="S111" i="2" s="1"/>
  <c r="T111" i="2" s="1"/>
  <c r="U111" i="2" s="1"/>
  <c r="V111" i="2" s="1"/>
  <c r="W111" i="2" s="1"/>
  <c r="X111" i="2" s="1"/>
  <c r="L112" i="2"/>
  <c r="M112" i="2" s="1"/>
  <c r="N112" i="2" s="1"/>
  <c r="O112" i="2" s="1"/>
  <c r="P112" i="2" s="1"/>
  <c r="Q112" i="2" s="1"/>
  <c r="R112" i="2" s="1"/>
  <c r="S112" i="2" s="1"/>
  <c r="T112" i="2" s="1"/>
  <c r="U112" i="2" s="1"/>
  <c r="V112" i="2" s="1"/>
  <c r="W112" i="2" s="1"/>
  <c r="X112" i="2" s="1"/>
  <c r="L113" i="2"/>
  <c r="M113" i="2" s="1"/>
  <c r="N113" i="2" s="1"/>
  <c r="O113" i="2" s="1"/>
  <c r="P113" i="2" s="1"/>
  <c r="Q113" i="2" s="1"/>
  <c r="R113" i="2" s="1"/>
  <c r="S113" i="2" s="1"/>
  <c r="T113" i="2" s="1"/>
  <c r="U113" i="2" s="1"/>
  <c r="V113" i="2" s="1"/>
  <c r="W113" i="2" s="1"/>
  <c r="X113" i="2" s="1"/>
  <c r="L114" i="2"/>
  <c r="M114" i="2" s="1"/>
  <c r="N114" i="2" s="1"/>
  <c r="O114" i="2" s="1"/>
  <c r="P114" i="2" s="1"/>
  <c r="Q114" i="2" s="1"/>
  <c r="R114" i="2" s="1"/>
  <c r="S114" i="2" s="1"/>
  <c r="T114" i="2" s="1"/>
  <c r="U114" i="2" s="1"/>
  <c r="V114" i="2" s="1"/>
  <c r="W114" i="2" s="1"/>
  <c r="X114" i="2" s="1"/>
  <c r="L115" i="2"/>
  <c r="M115" i="2" s="1"/>
  <c r="N115" i="2" s="1"/>
  <c r="O115" i="2" s="1"/>
  <c r="P115" i="2" s="1"/>
  <c r="Q115" i="2" s="1"/>
  <c r="R115" i="2" s="1"/>
  <c r="S115" i="2" s="1"/>
  <c r="T115" i="2" s="1"/>
  <c r="U115" i="2" s="1"/>
  <c r="V115" i="2" s="1"/>
  <c r="W115" i="2" s="1"/>
  <c r="X115" i="2" s="1"/>
  <c r="L116" i="2"/>
  <c r="M116" i="2" s="1"/>
  <c r="N116" i="2" s="1"/>
  <c r="O116" i="2" s="1"/>
  <c r="P116" i="2" s="1"/>
  <c r="Q116" i="2" s="1"/>
  <c r="R116" i="2" s="1"/>
  <c r="S116" i="2" s="1"/>
  <c r="T116" i="2" s="1"/>
  <c r="U116" i="2" s="1"/>
  <c r="V116" i="2" s="1"/>
  <c r="W116" i="2" s="1"/>
  <c r="X116" i="2" s="1"/>
  <c r="L117" i="2"/>
  <c r="M117" i="2" s="1"/>
  <c r="N117" i="2" s="1"/>
  <c r="O117" i="2" s="1"/>
  <c r="P117" i="2" s="1"/>
  <c r="Q117" i="2" s="1"/>
  <c r="R117" i="2" s="1"/>
  <c r="S117" i="2" s="1"/>
  <c r="T117" i="2" s="1"/>
  <c r="U117" i="2" s="1"/>
  <c r="V117" i="2" s="1"/>
  <c r="W117" i="2" s="1"/>
  <c r="X117" i="2" s="1"/>
  <c r="L118" i="2"/>
  <c r="M118" i="2" s="1"/>
  <c r="N118" i="2" s="1"/>
  <c r="O118" i="2" s="1"/>
  <c r="P118" i="2" s="1"/>
  <c r="Q118" i="2" s="1"/>
  <c r="R118" i="2" s="1"/>
  <c r="S118" i="2" s="1"/>
  <c r="T118" i="2" s="1"/>
  <c r="U118" i="2" s="1"/>
  <c r="V118" i="2" s="1"/>
  <c r="W118" i="2" s="1"/>
  <c r="X118" i="2" s="1"/>
  <c r="L119" i="2"/>
  <c r="M119" i="2" s="1"/>
  <c r="N119" i="2" s="1"/>
  <c r="O119" i="2" s="1"/>
  <c r="P119" i="2" s="1"/>
  <c r="Q119" i="2" s="1"/>
  <c r="R119" i="2" s="1"/>
  <c r="S119" i="2" s="1"/>
  <c r="T119" i="2" s="1"/>
  <c r="U119" i="2" s="1"/>
  <c r="V119" i="2" s="1"/>
  <c r="W119" i="2" s="1"/>
  <c r="X119" i="2" s="1"/>
  <c r="L120" i="2"/>
  <c r="M120" i="2" s="1"/>
  <c r="N120" i="2" s="1"/>
  <c r="O120" i="2" s="1"/>
  <c r="P120" i="2" s="1"/>
  <c r="Q120" i="2" s="1"/>
  <c r="R120" i="2" s="1"/>
  <c r="S120" i="2" s="1"/>
  <c r="T120" i="2" s="1"/>
  <c r="U120" i="2" s="1"/>
  <c r="V120" i="2" s="1"/>
  <c r="W120" i="2" s="1"/>
  <c r="X120" i="2" s="1"/>
  <c r="L121" i="2"/>
  <c r="M121" i="2" s="1"/>
  <c r="N121" i="2" s="1"/>
  <c r="O121" i="2" s="1"/>
  <c r="P121" i="2" s="1"/>
  <c r="Q121" i="2" s="1"/>
  <c r="R121" i="2" s="1"/>
  <c r="S121" i="2" s="1"/>
  <c r="T121" i="2" s="1"/>
  <c r="U121" i="2" s="1"/>
  <c r="V121" i="2" s="1"/>
  <c r="W121" i="2" s="1"/>
  <c r="X121" i="2" s="1"/>
  <c r="L122" i="2"/>
  <c r="M122" i="2" s="1"/>
  <c r="N122" i="2" s="1"/>
  <c r="O122" i="2" s="1"/>
  <c r="P122" i="2" s="1"/>
  <c r="Q122" i="2" s="1"/>
  <c r="R122" i="2" s="1"/>
  <c r="S122" i="2" s="1"/>
  <c r="T122" i="2" s="1"/>
  <c r="U122" i="2" s="1"/>
  <c r="V122" i="2" s="1"/>
  <c r="W122" i="2" s="1"/>
  <c r="X122" i="2" s="1"/>
  <c r="L123" i="2"/>
  <c r="M123" i="2" s="1"/>
  <c r="N123" i="2" s="1"/>
  <c r="O123" i="2" s="1"/>
  <c r="P123" i="2" s="1"/>
  <c r="Q123" i="2" s="1"/>
  <c r="R123" i="2" s="1"/>
  <c r="S123" i="2" s="1"/>
  <c r="T123" i="2" s="1"/>
  <c r="U123" i="2" s="1"/>
  <c r="V123" i="2" s="1"/>
  <c r="W123" i="2" s="1"/>
  <c r="X123" i="2" s="1"/>
  <c r="L124" i="2"/>
  <c r="M124" i="2" s="1"/>
  <c r="N124" i="2" s="1"/>
  <c r="O124" i="2" s="1"/>
  <c r="P124" i="2" s="1"/>
  <c r="Q124" i="2" s="1"/>
  <c r="R124" i="2" s="1"/>
  <c r="S124" i="2" s="1"/>
  <c r="T124" i="2" s="1"/>
  <c r="U124" i="2" s="1"/>
  <c r="V124" i="2" s="1"/>
  <c r="W124" i="2" s="1"/>
  <c r="X124" i="2" s="1"/>
  <c r="L125" i="2"/>
  <c r="M125" i="2" s="1"/>
  <c r="N125" i="2" s="1"/>
  <c r="O125" i="2" s="1"/>
  <c r="P125" i="2" s="1"/>
  <c r="Q125" i="2" s="1"/>
  <c r="R125" i="2" s="1"/>
  <c r="S125" i="2" s="1"/>
  <c r="T125" i="2" s="1"/>
  <c r="U125" i="2" s="1"/>
  <c r="V125" i="2" s="1"/>
  <c r="W125" i="2" s="1"/>
  <c r="X125" i="2" s="1"/>
  <c r="L126" i="2"/>
  <c r="M126" i="2" s="1"/>
  <c r="N126" i="2" s="1"/>
  <c r="O126" i="2" s="1"/>
  <c r="P126" i="2" s="1"/>
  <c r="Q126" i="2" s="1"/>
  <c r="R126" i="2" s="1"/>
  <c r="S126" i="2" s="1"/>
  <c r="T126" i="2" s="1"/>
  <c r="U126" i="2" s="1"/>
  <c r="V126" i="2" s="1"/>
  <c r="W126" i="2" s="1"/>
  <c r="X126" i="2" s="1"/>
  <c r="L129" i="2"/>
  <c r="M129" i="2" s="1"/>
  <c r="N129" i="2" s="1"/>
  <c r="O129" i="2" s="1"/>
  <c r="P129" i="2" s="1"/>
  <c r="Q129" i="2" s="1"/>
  <c r="R129" i="2" s="1"/>
  <c r="S129" i="2" s="1"/>
  <c r="T129" i="2" s="1"/>
  <c r="U129" i="2" s="1"/>
  <c r="V129" i="2" s="1"/>
  <c r="W129" i="2" s="1"/>
  <c r="X129" i="2" s="1"/>
  <c r="L130" i="2"/>
  <c r="M130" i="2" s="1"/>
  <c r="N130" i="2" s="1"/>
  <c r="O130" i="2" s="1"/>
  <c r="P130" i="2" s="1"/>
  <c r="Q130" i="2" s="1"/>
  <c r="R130" i="2" s="1"/>
  <c r="S130" i="2" s="1"/>
  <c r="T130" i="2" s="1"/>
  <c r="U130" i="2" s="1"/>
  <c r="V130" i="2" s="1"/>
  <c r="W130" i="2" s="1"/>
  <c r="X130" i="2" s="1"/>
  <c r="L131" i="2"/>
  <c r="M131" i="2" s="1"/>
  <c r="N131" i="2" s="1"/>
  <c r="O131" i="2" s="1"/>
  <c r="P131" i="2" s="1"/>
  <c r="Q131" i="2" s="1"/>
  <c r="R131" i="2" s="1"/>
  <c r="S131" i="2" s="1"/>
  <c r="T131" i="2" s="1"/>
  <c r="U131" i="2" s="1"/>
  <c r="V131" i="2" s="1"/>
  <c r="W131" i="2" s="1"/>
  <c r="X131" i="2" s="1"/>
  <c r="L132" i="2"/>
  <c r="M132" i="2" s="1"/>
  <c r="N132" i="2" s="1"/>
  <c r="O132" i="2" s="1"/>
  <c r="P132" i="2" s="1"/>
  <c r="Q132" i="2" s="1"/>
  <c r="R132" i="2" s="1"/>
  <c r="S132" i="2" s="1"/>
  <c r="T132" i="2" s="1"/>
  <c r="U132" i="2" s="1"/>
  <c r="V132" i="2" s="1"/>
  <c r="W132" i="2" s="1"/>
  <c r="X132" i="2" s="1"/>
  <c r="L133" i="2"/>
  <c r="M133" i="2" s="1"/>
  <c r="N133" i="2" s="1"/>
  <c r="O133" i="2" s="1"/>
  <c r="P133" i="2" s="1"/>
  <c r="Q133" i="2" s="1"/>
  <c r="R133" i="2" s="1"/>
  <c r="S133" i="2" s="1"/>
  <c r="T133" i="2" s="1"/>
  <c r="U133" i="2" s="1"/>
  <c r="V133" i="2" s="1"/>
  <c r="W133" i="2" s="1"/>
  <c r="X133" i="2" s="1"/>
  <c r="L134" i="2"/>
  <c r="M134" i="2" s="1"/>
  <c r="N134" i="2" s="1"/>
  <c r="O134" i="2" s="1"/>
  <c r="P134" i="2" s="1"/>
  <c r="Q134" i="2" s="1"/>
  <c r="R134" i="2" s="1"/>
  <c r="S134" i="2" s="1"/>
  <c r="T134" i="2" s="1"/>
  <c r="U134" i="2" s="1"/>
  <c r="V134" i="2" s="1"/>
  <c r="W134" i="2" s="1"/>
  <c r="X134" i="2" s="1"/>
  <c r="L135" i="2"/>
  <c r="M135" i="2" s="1"/>
  <c r="N135" i="2" s="1"/>
  <c r="O135" i="2" s="1"/>
  <c r="P135" i="2" s="1"/>
  <c r="Q135" i="2" s="1"/>
  <c r="R135" i="2" s="1"/>
  <c r="S135" i="2" s="1"/>
  <c r="T135" i="2" s="1"/>
  <c r="U135" i="2" s="1"/>
  <c r="V135" i="2" s="1"/>
  <c r="W135" i="2" s="1"/>
  <c r="X135" i="2" s="1"/>
  <c r="L136" i="2"/>
  <c r="M136" i="2" s="1"/>
  <c r="N136" i="2" s="1"/>
  <c r="O136" i="2" s="1"/>
  <c r="P136" i="2" s="1"/>
  <c r="Q136" i="2" s="1"/>
  <c r="R136" i="2" s="1"/>
  <c r="S136" i="2" s="1"/>
  <c r="T136" i="2" s="1"/>
  <c r="U136" i="2" s="1"/>
  <c r="V136" i="2" s="1"/>
  <c r="W136" i="2" s="1"/>
  <c r="X136" i="2" s="1"/>
  <c r="L137" i="2"/>
  <c r="M137" i="2" s="1"/>
  <c r="N137" i="2" s="1"/>
  <c r="O137" i="2" s="1"/>
  <c r="P137" i="2" s="1"/>
  <c r="Q137" i="2" s="1"/>
  <c r="R137" i="2" s="1"/>
  <c r="S137" i="2" s="1"/>
  <c r="T137" i="2" s="1"/>
  <c r="U137" i="2" s="1"/>
  <c r="V137" i="2" s="1"/>
  <c r="W137" i="2" s="1"/>
  <c r="X137" i="2" s="1"/>
  <c r="L138" i="2"/>
  <c r="M138" i="2" s="1"/>
  <c r="N138" i="2" s="1"/>
  <c r="O138" i="2" s="1"/>
  <c r="P138" i="2" s="1"/>
  <c r="Q138" i="2" s="1"/>
  <c r="R138" i="2" s="1"/>
  <c r="S138" i="2" s="1"/>
  <c r="T138" i="2" s="1"/>
  <c r="U138" i="2" s="1"/>
  <c r="V138" i="2" s="1"/>
  <c r="W138" i="2" s="1"/>
  <c r="X138" i="2" s="1"/>
  <c r="L139" i="2"/>
  <c r="M139" i="2" s="1"/>
  <c r="N139" i="2" s="1"/>
  <c r="O139" i="2" s="1"/>
  <c r="P139" i="2" s="1"/>
  <c r="Q139" i="2" s="1"/>
  <c r="R139" i="2" s="1"/>
  <c r="S139" i="2" s="1"/>
  <c r="T139" i="2" s="1"/>
  <c r="U139" i="2" s="1"/>
  <c r="V139" i="2" s="1"/>
  <c r="W139" i="2" s="1"/>
  <c r="X139" i="2" s="1"/>
  <c r="L140" i="2"/>
  <c r="M140" i="2" s="1"/>
  <c r="N140" i="2" s="1"/>
  <c r="O140" i="2" s="1"/>
  <c r="P140" i="2" s="1"/>
  <c r="Q140" i="2" s="1"/>
  <c r="R140" i="2" s="1"/>
  <c r="S140" i="2" s="1"/>
  <c r="T140" i="2" s="1"/>
  <c r="U140" i="2" s="1"/>
  <c r="V140" i="2" s="1"/>
  <c r="W140" i="2" s="1"/>
  <c r="X140" i="2" s="1"/>
  <c r="L141" i="2"/>
  <c r="M141" i="2" s="1"/>
  <c r="N141" i="2" s="1"/>
  <c r="O141" i="2" s="1"/>
  <c r="P141" i="2" s="1"/>
  <c r="Q141" i="2" s="1"/>
  <c r="R141" i="2" s="1"/>
  <c r="S141" i="2" s="1"/>
  <c r="T141" i="2" s="1"/>
  <c r="U141" i="2" s="1"/>
  <c r="V141" i="2" s="1"/>
  <c r="W141" i="2" s="1"/>
  <c r="X141" i="2" s="1"/>
  <c r="L142" i="2"/>
  <c r="M142" i="2" s="1"/>
  <c r="N142" i="2" s="1"/>
  <c r="O142" i="2" s="1"/>
  <c r="P142" i="2" s="1"/>
  <c r="Q142" i="2" s="1"/>
  <c r="R142" i="2" s="1"/>
  <c r="S142" i="2" s="1"/>
  <c r="T142" i="2" s="1"/>
  <c r="U142" i="2" s="1"/>
  <c r="V142" i="2" s="1"/>
  <c r="W142" i="2" s="1"/>
  <c r="X142" i="2" s="1"/>
  <c r="L143" i="2"/>
  <c r="M143" i="2" s="1"/>
  <c r="N143" i="2" s="1"/>
  <c r="O143" i="2" s="1"/>
  <c r="P143" i="2" s="1"/>
  <c r="Q143" i="2" s="1"/>
  <c r="R143" i="2" s="1"/>
  <c r="S143" i="2" s="1"/>
  <c r="T143" i="2" s="1"/>
  <c r="U143" i="2" s="1"/>
  <c r="V143" i="2" s="1"/>
  <c r="W143" i="2" s="1"/>
  <c r="X143" i="2" s="1"/>
  <c r="L144" i="2"/>
  <c r="M144" i="2" s="1"/>
  <c r="N144" i="2" s="1"/>
  <c r="O144" i="2" s="1"/>
  <c r="P144" i="2" s="1"/>
  <c r="Q144" i="2" s="1"/>
  <c r="R144" i="2" s="1"/>
  <c r="S144" i="2" s="1"/>
  <c r="T144" i="2" s="1"/>
  <c r="U144" i="2" s="1"/>
  <c r="V144" i="2" s="1"/>
  <c r="W144" i="2" s="1"/>
  <c r="X144" i="2" s="1"/>
  <c r="L145" i="2"/>
  <c r="M145" i="2" s="1"/>
  <c r="N145" i="2" s="1"/>
  <c r="O145" i="2" s="1"/>
  <c r="P145" i="2" s="1"/>
  <c r="Q145" i="2" s="1"/>
  <c r="R145" i="2" s="1"/>
  <c r="S145" i="2" s="1"/>
  <c r="T145" i="2" s="1"/>
  <c r="U145" i="2" s="1"/>
  <c r="V145" i="2" s="1"/>
  <c r="W145" i="2" s="1"/>
  <c r="X145" i="2" s="1"/>
  <c r="L146" i="2"/>
  <c r="M146" i="2" s="1"/>
  <c r="N146" i="2" s="1"/>
  <c r="O146" i="2" s="1"/>
  <c r="P146" i="2" s="1"/>
  <c r="Q146" i="2" s="1"/>
  <c r="R146" i="2" s="1"/>
  <c r="S146" i="2" s="1"/>
  <c r="T146" i="2" s="1"/>
  <c r="U146" i="2" s="1"/>
  <c r="V146" i="2" s="1"/>
  <c r="W146" i="2" s="1"/>
  <c r="X146" i="2" s="1"/>
  <c r="L147" i="2"/>
  <c r="M147" i="2" s="1"/>
  <c r="N147" i="2" s="1"/>
  <c r="O147" i="2" s="1"/>
  <c r="P147" i="2" s="1"/>
  <c r="Q147" i="2" s="1"/>
  <c r="R147" i="2" s="1"/>
  <c r="S147" i="2" s="1"/>
  <c r="T147" i="2" s="1"/>
  <c r="U147" i="2" s="1"/>
  <c r="V147" i="2" s="1"/>
  <c r="W147" i="2" s="1"/>
  <c r="X147" i="2" s="1"/>
  <c r="L148" i="2"/>
  <c r="M148" i="2" s="1"/>
  <c r="N148" i="2" s="1"/>
  <c r="O148" i="2" s="1"/>
  <c r="P148" i="2" s="1"/>
  <c r="Q148" i="2" s="1"/>
  <c r="R148" i="2" s="1"/>
  <c r="S148" i="2" s="1"/>
  <c r="T148" i="2" s="1"/>
  <c r="U148" i="2" s="1"/>
  <c r="V148" i="2" s="1"/>
  <c r="W148" i="2" s="1"/>
  <c r="X148" i="2" s="1"/>
  <c r="L151" i="2"/>
  <c r="M151" i="2" s="1"/>
  <c r="N151" i="2" s="1"/>
  <c r="O151" i="2" s="1"/>
  <c r="P151" i="2" s="1"/>
  <c r="Q151" i="2" s="1"/>
  <c r="R151" i="2" s="1"/>
  <c r="S151" i="2" s="1"/>
  <c r="T151" i="2" s="1"/>
  <c r="U151" i="2" s="1"/>
  <c r="V151" i="2" s="1"/>
  <c r="W151" i="2" s="1"/>
  <c r="X151" i="2" s="1"/>
  <c r="L152" i="2"/>
  <c r="M152" i="2" s="1"/>
  <c r="N152" i="2" s="1"/>
  <c r="O152" i="2" s="1"/>
  <c r="P152" i="2" s="1"/>
  <c r="Q152" i="2" s="1"/>
  <c r="R152" i="2" s="1"/>
  <c r="S152" i="2" s="1"/>
  <c r="T152" i="2" s="1"/>
  <c r="U152" i="2" s="1"/>
  <c r="V152" i="2" s="1"/>
  <c r="W152" i="2" s="1"/>
  <c r="X152" i="2" s="1"/>
  <c r="L153" i="2"/>
  <c r="M153" i="2" s="1"/>
  <c r="N153" i="2" s="1"/>
  <c r="O153" i="2" s="1"/>
  <c r="P153" i="2" s="1"/>
  <c r="Q153" i="2" s="1"/>
  <c r="R153" i="2" s="1"/>
  <c r="S153" i="2" s="1"/>
  <c r="T153" i="2" s="1"/>
  <c r="U153" i="2" s="1"/>
  <c r="V153" i="2" s="1"/>
  <c r="W153" i="2" s="1"/>
  <c r="X153" i="2" s="1"/>
  <c r="L154" i="2"/>
  <c r="M154" i="2" s="1"/>
  <c r="N154" i="2" s="1"/>
  <c r="O154" i="2" s="1"/>
  <c r="P154" i="2" s="1"/>
  <c r="Q154" i="2" s="1"/>
  <c r="R154" i="2" s="1"/>
  <c r="S154" i="2" s="1"/>
  <c r="T154" i="2" s="1"/>
  <c r="U154" i="2" s="1"/>
  <c r="V154" i="2" s="1"/>
  <c r="W154" i="2" s="1"/>
  <c r="X154" i="2" s="1"/>
  <c r="L155" i="2"/>
  <c r="M155" i="2" s="1"/>
  <c r="N155" i="2" s="1"/>
  <c r="O155" i="2" s="1"/>
  <c r="P155" i="2" s="1"/>
  <c r="Q155" i="2" s="1"/>
  <c r="R155" i="2" s="1"/>
  <c r="S155" i="2" s="1"/>
  <c r="T155" i="2" s="1"/>
  <c r="U155" i="2" s="1"/>
  <c r="V155" i="2" s="1"/>
  <c r="W155" i="2" s="1"/>
  <c r="X155" i="2" s="1"/>
  <c r="L156" i="2"/>
  <c r="M156" i="2" s="1"/>
  <c r="N156" i="2" s="1"/>
  <c r="O156" i="2" s="1"/>
  <c r="P156" i="2" s="1"/>
  <c r="Q156" i="2" s="1"/>
  <c r="R156" i="2" s="1"/>
  <c r="S156" i="2" s="1"/>
  <c r="T156" i="2" s="1"/>
  <c r="U156" i="2" s="1"/>
  <c r="V156" i="2" s="1"/>
  <c r="W156" i="2" s="1"/>
  <c r="X156" i="2" s="1"/>
  <c r="L157" i="2"/>
  <c r="M157" i="2" s="1"/>
  <c r="N157" i="2" s="1"/>
  <c r="O157" i="2" s="1"/>
  <c r="P157" i="2" s="1"/>
  <c r="Q157" i="2" s="1"/>
  <c r="R157" i="2" s="1"/>
  <c r="S157" i="2" s="1"/>
  <c r="T157" i="2" s="1"/>
  <c r="U157" i="2" s="1"/>
  <c r="V157" i="2" s="1"/>
  <c r="W157" i="2" s="1"/>
  <c r="X157" i="2" s="1"/>
  <c r="L158" i="2"/>
  <c r="M158" i="2" s="1"/>
  <c r="N158" i="2" s="1"/>
  <c r="O158" i="2" s="1"/>
  <c r="P158" i="2" s="1"/>
  <c r="Q158" i="2" s="1"/>
  <c r="R158" i="2" s="1"/>
  <c r="S158" i="2" s="1"/>
  <c r="T158" i="2" s="1"/>
  <c r="U158" i="2" s="1"/>
  <c r="V158" i="2" s="1"/>
  <c r="W158" i="2" s="1"/>
  <c r="X158" i="2" s="1"/>
  <c r="L159" i="2"/>
  <c r="M159" i="2" s="1"/>
  <c r="N159" i="2" s="1"/>
  <c r="O159" i="2" s="1"/>
  <c r="P159" i="2" s="1"/>
  <c r="Q159" i="2" s="1"/>
  <c r="R159" i="2" s="1"/>
  <c r="S159" i="2" s="1"/>
  <c r="T159" i="2" s="1"/>
  <c r="U159" i="2" s="1"/>
  <c r="V159" i="2" s="1"/>
  <c r="W159" i="2" s="1"/>
  <c r="X159" i="2" s="1"/>
  <c r="L160" i="2"/>
  <c r="M160" i="2" s="1"/>
  <c r="N160" i="2" s="1"/>
  <c r="O160" i="2" s="1"/>
  <c r="P160" i="2" s="1"/>
  <c r="Q160" i="2" s="1"/>
  <c r="R160" i="2" s="1"/>
  <c r="S160" i="2" s="1"/>
  <c r="T160" i="2" s="1"/>
  <c r="U160" i="2" s="1"/>
  <c r="V160" i="2" s="1"/>
  <c r="W160" i="2" s="1"/>
  <c r="X160" i="2" s="1"/>
  <c r="L161" i="2"/>
  <c r="M161" i="2" s="1"/>
  <c r="N161" i="2" s="1"/>
  <c r="O161" i="2" s="1"/>
  <c r="P161" i="2" s="1"/>
  <c r="Q161" i="2" s="1"/>
  <c r="R161" i="2" s="1"/>
  <c r="S161" i="2" s="1"/>
  <c r="T161" i="2" s="1"/>
  <c r="U161" i="2" s="1"/>
  <c r="V161" i="2" s="1"/>
  <c r="W161" i="2" s="1"/>
  <c r="X161" i="2" s="1"/>
  <c r="L162" i="2"/>
  <c r="M162" i="2" s="1"/>
  <c r="N162" i="2" s="1"/>
  <c r="O162" i="2" s="1"/>
  <c r="P162" i="2" s="1"/>
  <c r="Q162" i="2" s="1"/>
  <c r="R162" i="2" s="1"/>
  <c r="S162" i="2" s="1"/>
  <c r="T162" i="2" s="1"/>
  <c r="U162" i="2" s="1"/>
  <c r="V162" i="2" s="1"/>
  <c r="W162" i="2" s="1"/>
  <c r="X162" i="2" s="1"/>
  <c r="L163" i="2"/>
  <c r="M163" i="2" s="1"/>
  <c r="N163" i="2" s="1"/>
  <c r="O163" i="2" s="1"/>
  <c r="P163" i="2" s="1"/>
  <c r="Q163" i="2" s="1"/>
  <c r="R163" i="2" s="1"/>
  <c r="S163" i="2" s="1"/>
  <c r="T163" i="2" s="1"/>
  <c r="U163" i="2" s="1"/>
  <c r="V163" i="2" s="1"/>
  <c r="W163" i="2" s="1"/>
  <c r="X163" i="2" s="1"/>
  <c r="L164" i="2"/>
  <c r="M164" i="2" s="1"/>
  <c r="N164" i="2" s="1"/>
  <c r="O164" i="2" s="1"/>
  <c r="P164" i="2" s="1"/>
  <c r="Q164" i="2" s="1"/>
  <c r="R164" i="2" s="1"/>
  <c r="S164" i="2" s="1"/>
  <c r="T164" i="2" s="1"/>
  <c r="U164" i="2" s="1"/>
  <c r="V164" i="2" s="1"/>
  <c r="W164" i="2" s="1"/>
  <c r="X164" i="2" s="1"/>
  <c r="L165" i="2"/>
  <c r="M165" i="2" s="1"/>
  <c r="N165" i="2" s="1"/>
  <c r="O165" i="2" s="1"/>
  <c r="P165" i="2" s="1"/>
  <c r="Q165" i="2" s="1"/>
  <c r="R165" i="2" s="1"/>
  <c r="S165" i="2" s="1"/>
  <c r="T165" i="2" s="1"/>
  <c r="U165" i="2" s="1"/>
  <c r="V165" i="2" s="1"/>
  <c r="W165" i="2" s="1"/>
  <c r="X165" i="2" s="1"/>
  <c r="L166" i="2"/>
  <c r="M166" i="2" s="1"/>
  <c r="N166" i="2" s="1"/>
  <c r="O166" i="2" s="1"/>
  <c r="P166" i="2" s="1"/>
  <c r="Q166" i="2" s="1"/>
  <c r="R166" i="2" s="1"/>
  <c r="S166" i="2" s="1"/>
  <c r="T166" i="2" s="1"/>
  <c r="U166" i="2" s="1"/>
  <c r="V166" i="2" s="1"/>
  <c r="W166" i="2" s="1"/>
  <c r="X166" i="2" s="1"/>
  <c r="L167" i="2"/>
  <c r="M167" i="2" s="1"/>
  <c r="N167" i="2" s="1"/>
  <c r="O167" i="2" s="1"/>
  <c r="P167" i="2" s="1"/>
  <c r="Q167" i="2" s="1"/>
  <c r="R167" i="2" s="1"/>
  <c r="S167" i="2" s="1"/>
  <c r="T167" i="2" s="1"/>
  <c r="U167" i="2" s="1"/>
  <c r="V167" i="2" s="1"/>
  <c r="W167" i="2" s="1"/>
  <c r="X167" i="2" s="1"/>
  <c r="L168" i="2"/>
  <c r="M168" i="2" s="1"/>
  <c r="N168" i="2" s="1"/>
  <c r="O168" i="2" s="1"/>
  <c r="P168" i="2" s="1"/>
  <c r="Q168" i="2" s="1"/>
  <c r="R168" i="2" s="1"/>
  <c r="S168" i="2" s="1"/>
  <c r="T168" i="2" s="1"/>
  <c r="U168" i="2" s="1"/>
  <c r="V168" i="2" s="1"/>
  <c r="W168" i="2" s="1"/>
  <c r="X168" i="2" s="1"/>
  <c r="L169" i="2"/>
  <c r="M169" i="2" s="1"/>
  <c r="N169" i="2" s="1"/>
  <c r="O169" i="2" s="1"/>
  <c r="P169" i="2" s="1"/>
  <c r="Q169" i="2" s="1"/>
  <c r="R169" i="2" s="1"/>
  <c r="S169" i="2" s="1"/>
  <c r="T169" i="2" s="1"/>
  <c r="U169" i="2" s="1"/>
  <c r="V169" i="2" s="1"/>
  <c r="W169" i="2" s="1"/>
  <c r="X169" i="2" s="1"/>
  <c r="L170" i="2"/>
  <c r="M170" i="2" s="1"/>
  <c r="N170" i="2" s="1"/>
  <c r="O170" i="2" s="1"/>
  <c r="P170" i="2" s="1"/>
  <c r="Q170" i="2" s="1"/>
  <c r="R170" i="2" s="1"/>
  <c r="S170" i="2" s="1"/>
  <c r="T170" i="2" s="1"/>
  <c r="U170" i="2" s="1"/>
  <c r="V170" i="2" s="1"/>
  <c r="W170" i="2" s="1"/>
  <c r="X170" i="2" s="1"/>
  <c r="L171" i="2"/>
  <c r="M171" i="2" s="1"/>
  <c r="N171" i="2" s="1"/>
  <c r="O171" i="2" s="1"/>
  <c r="P171" i="2" s="1"/>
  <c r="Q171" i="2" s="1"/>
  <c r="R171" i="2" s="1"/>
  <c r="S171" i="2" s="1"/>
  <c r="T171" i="2" s="1"/>
  <c r="U171" i="2" s="1"/>
  <c r="V171" i="2" s="1"/>
  <c r="W171" i="2" s="1"/>
  <c r="X171" i="2" s="1"/>
  <c r="L172" i="2"/>
  <c r="M172" i="2" s="1"/>
  <c r="N172" i="2" s="1"/>
  <c r="O172" i="2" s="1"/>
  <c r="P172" i="2" s="1"/>
  <c r="Q172" i="2" s="1"/>
  <c r="R172" i="2" s="1"/>
  <c r="S172" i="2" s="1"/>
  <c r="T172" i="2" s="1"/>
  <c r="U172" i="2" s="1"/>
  <c r="V172" i="2" s="1"/>
  <c r="W172" i="2" s="1"/>
  <c r="X172" i="2" s="1"/>
  <c r="L173" i="2"/>
  <c r="M173" i="2" s="1"/>
  <c r="N173" i="2" s="1"/>
  <c r="O173" i="2" s="1"/>
  <c r="P173" i="2" s="1"/>
  <c r="Q173" i="2" s="1"/>
  <c r="R173" i="2" s="1"/>
  <c r="S173" i="2" s="1"/>
  <c r="T173" i="2" s="1"/>
  <c r="U173" i="2" s="1"/>
  <c r="V173" i="2" s="1"/>
  <c r="W173" i="2" s="1"/>
  <c r="X173" i="2" s="1"/>
  <c r="L174" i="2"/>
  <c r="M174" i="2" s="1"/>
  <c r="N174" i="2" s="1"/>
  <c r="O174" i="2" s="1"/>
  <c r="P174" i="2" s="1"/>
  <c r="Q174" i="2" s="1"/>
  <c r="R174" i="2" s="1"/>
  <c r="S174" i="2" s="1"/>
  <c r="T174" i="2" s="1"/>
  <c r="U174" i="2" s="1"/>
  <c r="V174" i="2" s="1"/>
  <c r="W174" i="2" s="1"/>
  <c r="X174" i="2" s="1"/>
  <c r="L175" i="2"/>
  <c r="M175" i="2" s="1"/>
  <c r="N175" i="2" s="1"/>
  <c r="O175" i="2" s="1"/>
  <c r="P175" i="2" s="1"/>
  <c r="Q175" i="2" s="1"/>
  <c r="R175" i="2" s="1"/>
  <c r="S175" i="2" s="1"/>
  <c r="T175" i="2" s="1"/>
  <c r="U175" i="2" s="1"/>
  <c r="V175" i="2" s="1"/>
  <c r="W175" i="2" s="1"/>
  <c r="X175" i="2" s="1"/>
  <c r="L176" i="2"/>
  <c r="M176" i="2" s="1"/>
  <c r="N176" i="2" s="1"/>
  <c r="O176" i="2" s="1"/>
  <c r="P176" i="2" s="1"/>
  <c r="Q176" i="2" s="1"/>
  <c r="R176" i="2" s="1"/>
  <c r="S176" i="2" s="1"/>
  <c r="T176" i="2" s="1"/>
  <c r="U176" i="2" s="1"/>
  <c r="V176" i="2" s="1"/>
  <c r="W176" i="2" s="1"/>
  <c r="X176" i="2" s="1"/>
  <c r="L177" i="2"/>
  <c r="M177" i="2" s="1"/>
  <c r="N177" i="2" s="1"/>
  <c r="O177" i="2" s="1"/>
  <c r="P177" i="2" s="1"/>
  <c r="Q177" i="2" s="1"/>
  <c r="R177" i="2" s="1"/>
  <c r="S177" i="2" s="1"/>
  <c r="T177" i="2" s="1"/>
  <c r="U177" i="2" s="1"/>
  <c r="V177" i="2" s="1"/>
  <c r="W177" i="2" s="1"/>
  <c r="X177" i="2" s="1"/>
  <c r="L178" i="2"/>
  <c r="M178" i="2" s="1"/>
  <c r="N178" i="2" s="1"/>
  <c r="O178" i="2" s="1"/>
  <c r="P178" i="2" s="1"/>
  <c r="Q178" i="2" s="1"/>
  <c r="R178" i="2" s="1"/>
  <c r="S178" i="2" s="1"/>
  <c r="T178" i="2" s="1"/>
  <c r="U178" i="2" s="1"/>
  <c r="V178" i="2" s="1"/>
  <c r="W178" i="2" s="1"/>
  <c r="X178" i="2" s="1"/>
  <c r="L179" i="2"/>
  <c r="M179" i="2" s="1"/>
  <c r="N179" i="2" s="1"/>
  <c r="O179" i="2" s="1"/>
  <c r="P179" i="2" s="1"/>
  <c r="Q179" i="2" s="1"/>
  <c r="R179" i="2" s="1"/>
  <c r="S179" i="2" s="1"/>
  <c r="T179" i="2" s="1"/>
  <c r="U179" i="2" s="1"/>
  <c r="V179" i="2" s="1"/>
  <c r="W179" i="2" s="1"/>
  <c r="X179" i="2" s="1"/>
  <c r="L180" i="2"/>
  <c r="M180" i="2" s="1"/>
  <c r="N180" i="2" s="1"/>
  <c r="O180" i="2" s="1"/>
  <c r="P180" i="2" s="1"/>
  <c r="Q180" i="2" s="1"/>
  <c r="R180" i="2" s="1"/>
  <c r="S180" i="2" s="1"/>
  <c r="T180" i="2" s="1"/>
  <c r="U180" i="2" s="1"/>
  <c r="V180" i="2" s="1"/>
  <c r="W180" i="2" s="1"/>
  <c r="X180" i="2" s="1"/>
  <c r="L181" i="2"/>
  <c r="M181" i="2" s="1"/>
  <c r="N181" i="2" s="1"/>
  <c r="O181" i="2" s="1"/>
  <c r="P181" i="2" s="1"/>
  <c r="Q181" i="2" s="1"/>
  <c r="R181" i="2" s="1"/>
  <c r="S181" i="2" s="1"/>
  <c r="T181" i="2" s="1"/>
  <c r="U181" i="2" s="1"/>
  <c r="V181" i="2" s="1"/>
  <c r="W181" i="2" s="1"/>
  <c r="X181" i="2" s="1"/>
  <c r="L182" i="2"/>
  <c r="M182" i="2" s="1"/>
  <c r="N182" i="2" s="1"/>
  <c r="O182" i="2" s="1"/>
  <c r="P182" i="2" s="1"/>
  <c r="Q182" i="2" s="1"/>
  <c r="R182" i="2" s="1"/>
  <c r="S182" i="2" s="1"/>
  <c r="T182" i="2" s="1"/>
  <c r="U182" i="2" s="1"/>
  <c r="V182" i="2" s="1"/>
  <c r="W182" i="2" s="1"/>
  <c r="X182" i="2" s="1"/>
  <c r="L183" i="2"/>
  <c r="M183" i="2" s="1"/>
  <c r="N183" i="2" s="1"/>
  <c r="O183" i="2" s="1"/>
  <c r="P183" i="2" s="1"/>
  <c r="Q183" i="2" s="1"/>
  <c r="R183" i="2" s="1"/>
  <c r="S183" i="2" s="1"/>
  <c r="T183" i="2" s="1"/>
  <c r="U183" i="2" s="1"/>
  <c r="V183" i="2" s="1"/>
  <c r="W183" i="2" s="1"/>
  <c r="X183" i="2" s="1"/>
  <c r="L184" i="2"/>
  <c r="M184" i="2" s="1"/>
  <c r="N184" i="2" s="1"/>
  <c r="O184" i="2" s="1"/>
  <c r="P184" i="2" s="1"/>
  <c r="Q184" i="2" s="1"/>
  <c r="R184" i="2" s="1"/>
  <c r="S184" i="2" s="1"/>
  <c r="T184" i="2" s="1"/>
  <c r="U184" i="2" s="1"/>
  <c r="V184" i="2" s="1"/>
  <c r="W184" i="2" s="1"/>
  <c r="X184" i="2" s="1"/>
  <c r="L185" i="2"/>
  <c r="M185" i="2" s="1"/>
  <c r="N185" i="2" s="1"/>
  <c r="O185" i="2" s="1"/>
  <c r="P185" i="2" s="1"/>
  <c r="Q185" i="2" s="1"/>
  <c r="R185" i="2" s="1"/>
  <c r="S185" i="2" s="1"/>
  <c r="T185" i="2" s="1"/>
  <c r="U185" i="2" s="1"/>
  <c r="V185" i="2" s="1"/>
  <c r="W185" i="2" s="1"/>
  <c r="X185" i="2" s="1"/>
  <c r="L186" i="2"/>
  <c r="M186" i="2" s="1"/>
  <c r="N186" i="2" s="1"/>
  <c r="O186" i="2" s="1"/>
  <c r="P186" i="2" s="1"/>
  <c r="Q186" i="2" s="1"/>
  <c r="R186" i="2" s="1"/>
  <c r="S186" i="2" s="1"/>
  <c r="T186" i="2" s="1"/>
  <c r="U186" i="2" s="1"/>
  <c r="V186" i="2" s="1"/>
  <c r="W186" i="2" s="1"/>
  <c r="X186" i="2" s="1"/>
  <c r="L187" i="2"/>
  <c r="M187" i="2" s="1"/>
  <c r="N187" i="2" s="1"/>
  <c r="O187" i="2" s="1"/>
  <c r="P187" i="2" s="1"/>
  <c r="Q187" i="2" s="1"/>
  <c r="R187" i="2" s="1"/>
  <c r="S187" i="2" s="1"/>
  <c r="T187" i="2" s="1"/>
  <c r="U187" i="2" s="1"/>
  <c r="V187" i="2" s="1"/>
  <c r="W187" i="2" s="1"/>
  <c r="X187" i="2" s="1"/>
  <c r="L188" i="2"/>
  <c r="M188" i="2" s="1"/>
  <c r="N188" i="2" s="1"/>
  <c r="O188" i="2" s="1"/>
  <c r="P188" i="2" s="1"/>
  <c r="Q188" i="2" s="1"/>
  <c r="R188" i="2" s="1"/>
  <c r="S188" i="2" s="1"/>
  <c r="T188" i="2" s="1"/>
  <c r="U188" i="2" s="1"/>
  <c r="V188" i="2" s="1"/>
  <c r="W188" i="2" s="1"/>
  <c r="X188" i="2" s="1"/>
  <c r="L189" i="2"/>
  <c r="M189" i="2" s="1"/>
  <c r="N189" i="2" s="1"/>
  <c r="O189" i="2" s="1"/>
  <c r="P189" i="2" s="1"/>
  <c r="Q189" i="2" s="1"/>
  <c r="R189" i="2" s="1"/>
  <c r="S189" i="2" s="1"/>
  <c r="T189" i="2" s="1"/>
  <c r="U189" i="2" s="1"/>
  <c r="V189" i="2" s="1"/>
  <c r="W189" i="2" s="1"/>
  <c r="X189" i="2" s="1"/>
  <c r="L190" i="2"/>
  <c r="M190" i="2" s="1"/>
  <c r="N190" i="2" s="1"/>
  <c r="O190" i="2" s="1"/>
  <c r="P190" i="2" s="1"/>
  <c r="Q190" i="2" s="1"/>
  <c r="R190" i="2" s="1"/>
  <c r="S190" i="2" s="1"/>
  <c r="T190" i="2" s="1"/>
  <c r="U190" i="2" s="1"/>
  <c r="V190" i="2" s="1"/>
  <c r="W190" i="2" s="1"/>
  <c r="X190" i="2" s="1"/>
  <c r="L191" i="2"/>
  <c r="M191" i="2" s="1"/>
  <c r="N191" i="2" s="1"/>
  <c r="O191" i="2" s="1"/>
  <c r="P191" i="2" s="1"/>
  <c r="Q191" i="2" s="1"/>
  <c r="R191" i="2" s="1"/>
  <c r="S191" i="2" s="1"/>
  <c r="T191" i="2" s="1"/>
  <c r="U191" i="2" s="1"/>
  <c r="V191" i="2" s="1"/>
  <c r="W191" i="2" s="1"/>
  <c r="X191" i="2" s="1"/>
  <c r="L192" i="2"/>
  <c r="M192" i="2" s="1"/>
  <c r="N192" i="2" s="1"/>
  <c r="O192" i="2" s="1"/>
  <c r="P192" i="2" s="1"/>
  <c r="Q192" i="2" s="1"/>
  <c r="R192" i="2" s="1"/>
  <c r="S192" i="2" s="1"/>
  <c r="T192" i="2" s="1"/>
  <c r="U192" i="2" s="1"/>
  <c r="V192" i="2" s="1"/>
  <c r="W192" i="2" s="1"/>
  <c r="X192" i="2" s="1"/>
  <c r="L193" i="2"/>
  <c r="M193" i="2" s="1"/>
  <c r="N193" i="2" s="1"/>
  <c r="O193" i="2" s="1"/>
  <c r="P193" i="2" s="1"/>
  <c r="Q193" i="2" s="1"/>
  <c r="R193" i="2" s="1"/>
  <c r="S193" i="2" s="1"/>
  <c r="T193" i="2" s="1"/>
  <c r="U193" i="2" s="1"/>
  <c r="V193" i="2" s="1"/>
  <c r="W193" i="2" s="1"/>
  <c r="X193" i="2" s="1"/>
  <c r="L194" i="2"/>
  <c r="M194" i="2" s="1"/>
  <c r="N194" i="2" s="1"/>
  <c r="O194" i="2" s="1"/>
  <c r="P194" i="2" s="1"/>
  <c r="Q194" i="2" s="1"/>
  <c r="R194" i="2" s="1"/>
  <c r="S194" i="2" s="1"/>
  <c r="T194" i="2" s="1"/>
  <c r="U194" i="2" s="1"/>
  <c r="V194" i="2" s="1"/>
  <c r="W194" i="2" s="1"/>
  <c r="X194" i="2" s="1"/>
  <c r="L195" i="2"/>
  <c r="M195" i="2" s="1"/>
  <c r="N195" i="2" s="1"/>
  <c r="O195" i="2" s="1"/>
  <c r="P195" i="2" s="1"/>
  <c r="Q195" i="2" s="1"/>
  <c r="R195" i="2" s="1"/>
  <c r="S195" i="2" s="1"/>
  <c r="T195" i="2" s="1"/>
  <c r="U195" i="2" s="1"/>
  <c r="V195" i="2" s="1"/>
  <c r="W195" i="2" s="1"/>
  <c r="X195" i="2" s="1"/>
  <c r="L196" i="2"/>
  <c r="M196" i="2" s="1"/>
  <c r="N196" i="2" s="1"/>
  <c r="O196" i="2" s="1"/>
  <c r="P196" i="2" s="1"/>
  <c r="Q196" i="2" s="1"/>
  <c r="R196" i="2" s="1"/>
  <c r="S196" i="2" s="1"/>
  <c r="T196" i="2" s="1"/>
  <c r="U196" i="2" s="1"/>
  <c r="V196" i="2" s="1"/>
  <c r="W196" i="2" s="1"/>
  <c r="X196" i="2" s="1"/>
  <c r="L197" i="2"/>
  <c r="M197" i="2" s="1"/>
  <c r="N197" i="2" s="1"/>
  <c r="O197" i="2" s="1"/>
  <c r="P197" i="2" s="1"/>
  <c r="Q197" i="2" s="1"/>
  <c r="R197" i="2" s="1"/>
  <c r="S197" i="2" s="1"/>
  <c r="T197" i="2" s="1"/>
  <c r="U197" i="2" s="1"/>
  <c r="V197" i="2" s="1"/>
  <c r="W197" i="2" s="1"/>
  <c r="X197" i="2" s="1"/>
  <c r="L198" i="2"/>
  <c r="M198" i="2" s="1"/>
  <c r="N198" i="2" s="1"/>
  <c r="O198" i="2" s="1"/>
  <c r="P198" i="2" s="1"/>
  <c r="Q198" i="2" s="1"/>
  <c r="R198" i="2" s="1"/>
  <c r="S198" i="2" s="1"/>
  <c r="T198" i="2" s="1"/>
  <c r="U198" i="2" s="1"/>
  <c r="V198" i="2" s="1"/>
  <c r="W198" i="2" s="1"/>
  <c r="X198" i="2" s="1"/>
  <c r="L199" i="2"/>
  <c r="M199" i="2" s="1"/>
  <c r="N199" i="2" s="1"/>
  <c r="O199" i="2" s="1"/>
  <c r="P199" i="2" s="1"/>
  <c r="Q199" i="2" s="1"/>
  <c r="R199" i="2" s="1"/>
  <c r="S199" i="2" s="1"/>
  <c r="T199" i="2" s="1"/>
  <c r="U199" i="2" s="1"/>
  <c r="V199" i="2" s="1"/>
  <c r="W199" i="2" s="1"/>
  <c r="X199" i="2" s="1"/>
  <c r="L200" i="2"/>
  <c r="M200" i="2" s="1"/>
  <c r="N200" i="2" s="1"/>
  <c r="O200" i="2" s="1"/>
  <c r="P200" i="2" s="1"/>
  <c r="Q200" i="2" s="1"/>
  <c r="R200" i="2" s="1"/>
  <c r="S200" i="2" s="1"/>
  <c r="T200" i="2" s="1"/>
  <c r="U200" i="2" s="1"/>
  <c r="V200" i="2" s="1"/>
  <c r="W200" i="2" s="1"/>
  <c r="X200" i="2" s="1"/>
  <c r="L201" i="2"/>
  <c r="M201" i="2" s="1"/>
  <c r="N201" i="2" s="1"/>
  <c r="O201" i="2" s="1"/>
  <c r="P201" i="2" s="1"/>
  <c r="Q201" i="2" s="1"/>
  <c r="R201" i="2" s="1"/>
  <c r="S201" i="2" s="1"/>
  <c r="T201" i="2" s="1"/>
  <c r="U201" i="2" s="1"/>
  <c r="V201" i="2" s="1"/>
  <c r="W201" i="2" s="1"/>
  <c r="X201" i="2" s="1"/>
  <c r="L202" i="2"/>
  <c r="M202" i="2" s="1"/>
  <c r="N202" i="2" s="1"/>
  <c r="O202" i="2" s="1"/>
  <c r="P202" i="2" s="1"/>
  <c r="Q202" i="2" s="1"/>
  <c r="R202" i="2" s="1"/>
  <c r="S202" i="2" s="1"/>
  <c r="T202" i="2" s="1"/>
  <c r="U202" i="2" s="1"/>
  <c r="V202" i="2" s="1"/>
  <c r="W202" i="2" s="1"/>
  <c r="X202" i="2" s="1"/>
  <c r="L203" i="2"/>
  <c r="M203" i="2" s="1"/>
  <c r="N203" i="2" s="1"/>
  <c r="O203" i="2" s="1"/>
  <c r="P203" i="2" s="1"/>
  <c r="Q203" i="2" s="1"/>
  <c r="R203" i="2" s="1"/>
  <c r="S203" i="2" s="1"/>
  <c r="T203" i="2" s="1"/>
  <c r="U203" i="2" s="1"/>
  <c r="V203" i="2" s="1"/>
  <c r="W203" i="2" s="1"/>
  <c r="X203" i="2" s="1"/>
  <c r="L204" i="2"/>
  <c r="M204" i="2" s="1"/>
  <c r="N204" i="2" s="1"/>
  <c r="O204" i="2" s="1"/>
  <c r="P204" i="2" s="1"/>
  <c r="Q204" i="2" s="1"/>
  <c r="R204" i="2" s="1"/>
  <c r="S204" i="2" s="1"/>
  <c r="T204" i="2" s="1"/>
  <c r="U204" i="2" s="1"/>
  <c r="V204" i="2" s="1"/>
  <c r="W204" i="2" s="1"/>
  <c r="X204" i="2" s="1"/>
  <c r="L205" i="2"/>
  <c r="M205" i="2" s="1"/>
  <c r="N205" i="2" s="1"/>
  <c r="O205" i="2" s="1"/>
  <c r="P205" i="2" s="1"/>
  <c r="Q205" i="2" s="1"/>
  <c r="R205" i="2" s="1"/>
  <c r="S205" i="2" s="1"/>
  <c r="T205" i="2" s="1"/>
  <c r="U205" i="2" s="1"/>
  <c r="V205" i="2" s="1"/>
  <c r="W205" i="2" s="1"/>
  <c r="X205" i="2" s="1"/>
  <c r="L206" i="2"/>
  <c r="M206" i="2" s="1"/>
  <c r="N206" i="2" s="1"/>
  <c r="O206" i="2" s="1"/>
  <c r="P206" i="2" s="1"/>
  <c r="Q206" i="2" s="1"/>
  <c r="R206" i="2" s="1"/>
  <c r="S206" i="2" s="1"/>
  <c r="T206" i="2" s="1"/>
  <c r="U206" i="2" s="1"/>
  <c r="V206" i="2" s="1"/>
  <c r="W206" i="2" s="1"/>
  <c r="X206" i="2" s="1"/>
  <c r="L207" i="2"/>
  <c r="M207" i="2" s="1"/>
  <c r="N207" i="2" s="1"/>
  <c r="O207" i="2" s="1"/>
  <c r="P207" i="2" s="1"/>
  <c r="Q207" i="2" s="1"/>
  <c r="R207" i="2" s="1"/>
  <c r="S207" i="2" s="1"/>
  <c r="T207" i="2" s="1"/>
  <c r="U207" i="2" s="1"/>
  <c r="V207" i="2" s="1"/>
  <c r="W207" i="2" s="1"/>
  <c r="X207" i="2" s="1"/>
  <c r="L208" i="2"/>
  <c r="M208" i="2" s="1"/>
  <c r="N208" i="2" s="1"/>
  <c r="O208" i="2" s="1"/>
  <c r="P208" i="2" s="1"/>
  <c r="Q208" i="2" s="1"/>
  <c r="R208" i="2" s="1"/>
  <c r="S208" i="2" s="1"/>
  <c r="T208" i="2" s="1"/>
  <c r="U208" i="2" s="1"/>
  <c r="V208" i="2" s="1"/>
  <c r="W208" i="2" s="1"/>
  <c r="X208" i="2" s="1"/>
  <c r="L209" i="2"/>
  <c r="M209" i="2" s="1"/>
  <c r="N209" i="2" s="1"/>
  <c r="O209" i="2" s="1"/>
  <c r="P209" i="2" s="1"/>
  <c r="Q209" i="2" s="1"/>
  <c r="R209" i="2" s="1"/>
  <c r="S209" i="2" s="1"/>
  <c r="T209" i="2" s="1"/>
  <c r="U209" i="2" s="1"/>
  <c r="V209" i="2" s="1"/>
  <c r="W209" i="2" s="1"/>
  <c r="X209" i="2" s="1"/>
  <c r="L210" i="2"/>
  <c r="M210" i="2" s="1"/>
  <c r="N210" i="2" s="1"/>
  <c r="O210" i="2" s="1"/>
  <c r="P210" i="2" s="1"/>
  <c r="Q210" i="2" s="1"/>
  <c r="R210" i="2" s="1"/>
  <c r="S210" i="2" s="1"/>
  <c r="T210" i="2" s="1"/>
  <c r="U210" i="2" s="1"/>
  <c r="V210" i="2" s="1"/>
  <c r="W210" i="2" s="1"/>
  <c r="X210" i="2" s="1"/>
  <c r="L211" i="2"/>
  <c r="M211" i="2" s="1"/>
  <c r="N211" i="2" s="1"/>
  <c r="O211" i="2" s="1"/>
  <c r="P211" i="2" s="1"/>
  <c r="Q211" i="2" s="1"/>
  <c r="R211" i="2" s="1"/>
  <c r="S211" i="2" s="1"/>
  <c r="T211" i="2" s="1"/>
  <c r="U211" i="2" s="1"/>
  <c r="V211" i="2" s="1"/>
  <c r="W211" i="2" s="1"/>
  <c r="X211" i="2" s="1"/>
  <c r="L212" i="2"/>
  <c r="M212" i="2" s="1"/>
  <c r="N212" i="2" s="1"/>
  <c r="O212" i="2" s="1"/>
  <c r="P212" i="2" s="1"/>
  <c r="Q212" i="2" s="1"/>
  <c r="R212" i="2" s="1"/>
  <c r="S212" i="2" s="1"/>
  <c r="T212" i="2" s="1"/>
  <c r="U212" i="2" s="1"/>
  <c r="V212" i="2" s="1"/>
  <c r="W212" i="2" s="1"/>
  <c r="X212" i="2" s="1"/>
  <c r="L213" i="2"/>
  <c r="M213" i="2" s="1"/>
  <c r="N213" i="2" s="1"/>
  <c r="O213" i="2" s="1"/>
  <c r="P213" i="2" s="1"/>
  <c r="Q213" i="2" s="1"/>
  <c r="R213" i="2" s="1"/>
  <c r="S213" i="2" s="1"/>
  <c r="T213" i="2" s="1"/>
  <c r="U213" i="2" s="1"/>
  <c r="V213" i="2" s="1"/>
  <c r="W213" i="2" s="1"/>
  <c r="X213" i="2" s="1"/>
  <c r="L214" i="2"/>
  <c r="M214" i="2" s="1"/>
  <c r="N214" i="2" s="1"/>
  <c r="O214" i="2" s="1"/>
  <c r="P214" i="2" s="1"/>
  <c r="Q214" i="2" s="1"/>
  <c r="R214" i="2" s="1"/>
  <c r="S214" i="2" s="1"/>
  <c r="T214" i="2" s="1"/>
  <c r="U214" i="2" s="1"/>
  <c r="V214" i="2" s="1"/>
  <c r="W214" i="2" s="1"/>
  <c r="X214" i="2" s="1"/>
  <c r="L215" i="2"/>
  <c r="M215" i="2" s="1"/>
  <c r="N215" i="2" s="1"/>
  <c r="O215" i="2" s="1"/>
  <c r="P215" i="2" s="1"/>
  <c r="Q215" i="2" s="1"/>
  <c r="R215" i="2" s="1"/>
  <c r="S215" i="2" s="1"/>
  <c r="T215" i="2" s="1"/>
  <c r="U215" i="2" s="1"/>
  <c r="V215" i="2" s="1"/>
  <c r="W215" i="2" s="1"/>
  <c r="X215" i="2" s="1"/>
  <c r="L216" i="2"/>
  <c r="M216" i="2" s="1"/>
  <c r="N216" i="2" s="1"/>
  <c r="O216" i="2" s="1"/>
  <c r="P216" i="2" s="1"/>
  <c r="Q216" i="2" s="1"/>
  <c r="R216" i="2" s="1"/>
  <c r="S216" i="2" s="1"/>
  <c r="T216" i="2" s="1"/>
  <c r="U216" i="2" s="1"/>
  <c r="V216" i="2" s="1"/>
  <c r="W216" i="2" s="1"/>
  <c r="X216" i="2" s="1"/>
  <c r="L217" i="2"/>
  <c r="M217" i="2" s="1"/>
  <c r="N217" i="2" s="1"/>
  <c r="O217" i="2" s="1"/>
  <c r="P217" i="2" s="1"/>
  <c r="Q217" i="2" s="1"/>
  <c r="R217" i="2" s="1"/>
  <c r="S217" i="2" s="1"/>
  <c r="T217" i="2" s="1"/>
  <c r="U217" i="2" s="1"/>
  <c r="V217" i="2" s="1"/>
  <c r="W217" i="2" s="1"/>
  <c r="X217" i="2" s="1"/>
  <c r="L218" i="2"/>
  <c r="M218" i="2" s="1"/>
  <c r="N218" i="2" s="1"/>
  <c r="O218" i="2" s="1"/>
  <c r="P218" i="2" s="1"/>
  <c r="Q218" i="2" s="1"/>
  <c r="R218" i="2" s="1"/>
  <c r="S218" i="2" s="1"/>
  <c r="T218" i="2" s="1"/>
  <c r="U218" i="2" s="1"/>
  <c r="V218" i="2" s="1"/>
  <c r="W218" i="2" s="1"/>
  <c r="X218" i="2" s="1"/>
  <c r="L219" i="2"/>
  <c r="M219" i="2" s="1"/>
  <c r="N219" i="2" s="1"/>
  <c r="O219" i="2" s="1"/>
  <c r="P219" i="2" s="1"/>
  <c r="Q219" i="2" s="1"/>
  <c r="R219" i="2" s="1"/>
  <c r="S219" i="2" s="1"/>
  <c r="T219" i="2" s="1"/>
  <c r="U219" i="2" s="1"/>
  <c r="V219" i="2" s="1"/>
  <c r="W219" i="2" s="1"/>
  <c r="X219" i="2" s="1"/>
  <c r="L220" i="2"/>
  <c r="M220" i="2" s="1"/>
  <c r="N220" i="2" s="1"/>
  <c r="O220" i="2" s="1"/>
  <c r="P220" i="2" s="1"/>
  <c r="Q220" i="2" s="1"/>
  <c r="R220" i="2" s="1"/>
  <c r="S220" i="2" s="1"/>
  <c r="T220" i="2" s="1"/>
  <c r="U220" i="2" s="1"/>
  <c r="V220" i="2" s="1"/>
  <c r="W220" i="2" s="1"/>
  <c r="X220" i="2" s="1"/>
  <c r="L221" i="2"/>
  <c r="M221" i="2" s="1"/>
  <c r="N221" i="2" s="1"/>
  <c r="O221" i="2" s="1"/>
  <c r="P221" i="2" s="1"/>
  <c r="Q221" i="2" s="1"/>
  <c r="R221" i="2" s="1"/>
  <c r="S221" i="2" s="1"/>
  <c r="T221" i="2" s="1"/>
  <c r="U221" i="2" s="1"/>
  <c r="V221" i="2" s="1"/>
  <c r="W221" i="2" s="1"/>
  <c r="X221" i="2" s="1"/>
  <c r="W150" i="4" l="1"/>
  <c r="V150" i="4"/>
  <c r="U150" i="4"/>
  <c r="T150" i="4"/>
  <c r="S150" i="4"/>
  <c r="R150" i="4"/>
  <c r="Q150" i="4"/>
  <c r="P150" i="4"/>
  <c r="O150" i="4"/>
  <c r="N150" i="4"/>
  <c r="M150" i="4"/>
  <c r="L150" i="4"/>
  <c r="K150" i="4"/>
  <c r="J150" i="4"/>
  <c r="I150" i="4"/>
  <c r="H150" i="4"/>
  <c r="G150" i="4"/>
  <c r="F150" i="4"/>
  <c r="E150" i="4"/>
  <c r="K27" i="10" l="1"/>
  <c r="L27" i="10"/>
  <c r="M27" i="10"/>
  <c r="N27" i="10"/>
  <c r="O27" i="10"/>
  <c r="P27" i="10"/>
  <c r="Q27" i="10"/>
  <c r="R27" i="10"/>
  <c r="S27" i="10"/>
  <c r="T27" i="10"/>
  <c r="U27" i="10"/>
  <c r="V27" i="10"/>
  <c r="W27" i="10"/>
  <c r="L54" i="10"/>
  <c r="M54" i="10"/>
  <c r="N54" i="10"/>
  <c r="O54" i="10"/>
  <c r="P54" i="10"/>
  <c r="Q54" i="10"/>
  <c r="R54" i="10"/>
  <c r="S54" i="10"/>
  <c r="T54" i="10"/>
  <c r="U54" i="10"/>
  <c r="V54" i="10"/>
  <c r="W54" i="10"/>
  <c r="L55" i="10"/>
  <c r="M55" i="10"/>
  <c r="N55" i="10"/>
  <c r="O55" i="10"/>
  <c r="P55" i="10"/>
  <c r="Q55" i="10"/>
  <c r="R55" i="10"/>
  <c r="S55" i="10"/>
  <c r="T55" i="10"/>
  <c r="U55" i="10"/>
  <c r="V55" i="10"/>
  <c r="W55" i="10"/>
  <c r="L33" i="10"/>
  <c r="M33" i="10"/>
  <c r="N33" i="10"/>
  <c r="O33" i="10"/>
  <c r="P33" i="10"/>
  <c r="Q33" i="10"/>
  <c r="R33" i="10"/>
  <c r="S33" i="10"/>
  <c r="T33" i="10"/>
  <c r="U33" i="10"/>
  <c r="V33" i="10"/>
  <c r="W33" i="10"/>
  <c r="L34" i="10"/>
  <c r="M34" i="10"/>
  <c r="N34" i="10"/>
  <c r="O34" i="10"/>
  <c r="P34" i="10"/>
  <c r="Q34" i="10"/>
  <c r="R34" i="10"/>
  <c r="S34" i="10"/>
  <c r="T34" i="10"/>
  <c r="U34" i="10"/>
  <c r="V34" i="10"/>
  <c r="W34" i="10"/>
  <c r="L35" i="10"/>
  <c r="M35" i="10"/>
  <c r="N35" i="10"/>
  <c r="O35" i="10"/>
  <c r="P35" i="10"/>
  <c r="Q35" i="10"/>
  <c r="R35" i="10"/>
  <c r="S35" i="10"/>
  <c r="T35" i="10"/>
  <c r="U35" i="10"/>
  <c r="V35" i="10"/>
  <c r="W35" i="10"/>
  <c r="L36" i="10"/>
  <c r="M36" i="10"/>
  <c r="N36" i="10"/>
  <c r="O36" i="10"/>
  <c r="P36" i="10"/>
  <c r="Q36" i="10"/>
  <c r="R36" i="10"/>
  <c r="S36" i="10"/>
  <c r="T36" i="10"/>
  <c r="U36" i="10"/>
  <c r="V36" i="10"/>
  <c r="W36" i="10"/>
  <c r="L28" i="10"/>
  <c r="M28" i="10"/>
  <c r="N28" i="10"/>
  <c r="O28" i="10"/>
  <c r="P28" i="10"/>
  <c r="Q28" i="10"/>
  <c r="R28" i="10"/>
  <c r="S28" i="10"/>
  <c r="T28" i="10"/>
  <c r="U28" i="10"/>
  <c r="V28" i="10"/>
  <c r="W28" i="10"/>
  <c r="L29" i="10"/>
  <c r="M29" i="10"/>
  <c r="N29" i="10"/>
  <c r="O29" i="10"/>
  <c r="P29" i="10"/>
  <c r="Q29" i="10"/>
  <c r="R29" i="10"/>
  <c r="S29" i="10"/>
  <c r="T29" i="10"/>
  <c r="U29" i="10"/>
  <c r="V29" i="10"/>
  <c r="W29" i="10"/>
  <c r="L30" i="10"/>
  <c r="M30" i="10"/>
  <c r="N30" i="10"/>
  <c r="O30" i="10"/>
  <c r="P30" i="10"/>
  <c r="Q30" i="10"/>
  <c r="R30" i="10"/>
  <c r="S30" i="10"/>
  <c r="T30" i="10"/>
  <c r="U30" i="10"/>
  <c r="V30" i="10"/>
  <c r="W30" i="10"/>
  <c r="D46" i="13" l="1"/>
  <c r="D47" i="13" s="1"/>
  <c r="E46" i="13"/>
  <c r="E47" i="13" s="1"/>
  <c r="F46" i="13"/>
  <c r="F47" i="13" s="1"/>
  <c r="G46" i="13"/>
  <c r="G47" i="13" s="1"/>
  <c r="H46" i="13"/>
  <c r="H47" i="13" s="1"/>
  <c r="I46" i="13"/>
  <c r="I47" i="13" s="1"/>
  <c r="C46" i="13"/>
  <c r="C47" i="13" s="1"/>
  <c r="X74" i="4"/>
  <c r="W74" i="4"/>
  <c r="V74" i="4"/>
  <c r="U74" i="4"/>
  <c r="T74" i="4"/>
  <c r="S74" i="4"/>
  <c r="R74" i="4"/>
  <c r="Q74" i="4"/>
  <c r="P74" i="4"/>
  <c r="O74" i="4"/>
  <c r="N74" i="4"/>
  <c r="M74" i="4"/>
  <c r="L74" i="4"/>
  <c r="K74" i="4"/>
  <c r="J74" i="4"/>
  <c r="I74" i="4"/>
  <c r="H74" i="4"/>
  <c r="G74" i="4"/>
  <c r="F74" i="4"/>
  <c r="E74" i="4"/>
  <c r="C182" i="8"/>
  <c r="C183" i="8"/>
  <c r="C181" i="8"/>
  <c r="C179" i="8"/>
  <c r="C180" i="8"/>
  <c r="C178" i="8"/>
  <c r="C168" i="8"/>
  <c r="C169" i="8"/>
  <c r="C170" i="8"/>
  <c r="C171" i="8"/>
  <c r="C172" i="8"/>
  <c r="C173" i="8"/>
  <c r="C174" i="8"/>
  <c r="C175" i="8"/>
  <c r="C176" i="8"/>
  <c r="C177" i="8"/>
  <c r="C167" i="8"/>
  <c r="C165" i="8"/>
  <c r="C166" i="8"/>
  <c r="C164" i="8"/>
  <c r="C162" i="8"/>
  <c r="C163" i="8"/>
  <c r="C161" i="8"/>
  <c r="C148" i="8"/>
  <c r="C149" i="8"/>
  <c r="C150" i="8"/>
  <c r="C151" i="8"/>
  <c r="C152" i="8"/>
  <c r="C153" i="8"/>
  <c r="C154" i="8"/>
  <c r="C155" i="8"/>
  <c r="C156" i="8"/>
  <c r="C157" i="8"/>
  <c r="C158" i="8"/>
  <c r="C159" i="8"/>
  <c r="C160" i="8"/>
  <c r="C147" i="8"/>
  <c r="C146" i="8"/>
  <c r="C145" i="8"/>
  <c r="C143" i="8"/>
  <c r="C144" i="8"/>
  <c r="C142" i="8"/>
  <c r="C15" i="8"/>
  <c r="C14" i="8"/>
  <c r="B57" i="5"/>
  <c r="K18" i="8" l="1"/>
  <c r="K19" i="8"/>
  <c r="K17" i="8"/>
  <c r="J23" i="17"/>
  <c r="I23" i="17"/>
  <c r="H23" i="17"/>
  <c r="G23" i="17"/>
  <c r="J22" i="17"/>
  <c r="I22" i="17"/>
  <c r="H22" i="17"/>
  <c r="G22" i="17"/>
  <c r="J21" i="17"/>
  <c r="I21" i="17"/>
  <c r="H21" i="17"/>
  <c r="G21" i="17"/>
  <c r="J20" i="17"/>
  <c r="I20" i="17"/>
  <c r="H20" i="17"/>
  <c r="G20" i="17"/>
  <c r="J19" i="17"/>
  <c r="I19" i="17"/>
  <c r="H19" i="17"/>
  <c r="G19" i="17"/>
  <c r="J18" i="17"/>
  <c r="I18" i="17"/>
  <c r="H18" i="17"/>
  <c r="G18" i="17"/>
  <c r="J17" i="17"/>
  <c r="L17" i="8" l="1"/>
  <c r="L19" i="8"/>
  <c r="L826" i="7"/>
  <c r="L805" i="7"/>
  <c r="L763" i="7"/>
  <c r="L784" i="7"/>
  <c r="L416" i="3"/>
  <c r="L437" i="3"/>
  <c r="L18" i="8"/>
  <c r="K20" i="8"/>
  <c r="I24" i="17"/>
  <c r="G24" i="17"/>
  <c r="H24" i="17"/>
  <c r="J24" i="17"/>
  <c r="M18" i="8" l="1"/>
  <c r="L20" i="8"/>
  <c r="M19" i="8"/>
  <c r="M826" i="7"/>
  <c r="M437" i="3"/>
  <c r="M805" i="7"/>
  <c r="M763" i="7"/>
  <c r="M784" i="7"/>
  <c r="M416" i="3"/>
  <c r="M17" i="8"/>
  <c r="C25" i="17"/>
  <c r="C26" i="17" s="1"/>
  <c r="F297" i="3"/>
  <c r="G297" i="3"/>
  <c r="H297" i="3"/>
  <c r="I297" i="3"/>
  <c r="J297" i="3"/>
  <c r="K297" i="3"/>
  <c r="E297" i="3"/>
  <c r="F276" i="3"/>
  <c r="G276" i="3"/>
  <c r="H276" i="3"/>
  <c r="I276" i="3"/>
  <c r="J276" i="3"/>
  <c r="K276" i="3"/>
  <c r="E276" i="3"/>
  <c r="F261" i="3"/>
  <c r="G261" i="3"/>
  <c r="H261" i="3"/>
  <c r="I261" i="3"/>
  <c r="J261" i="3"/>
  <c r="K261" i="3"/>
  <c r="E261" i="3"/>
  <c r="F132" i="3"/>
  <c r="G132" i="3"/>
  <c r="H132" i="3"/>
  <c r="I132" i="3"/>
  <c r="J132" i="3"/>
  <c r="K132" i="3"/>
  <c r="E132" i="3"/>
  <c r="F111" i="3"/>
  <c r="G111" i="3"/>
  <c r="H111" i="3"/>
  <c r="I111" i="3"/>
  <c r="J111" i="3"/>
  <c r="K111" i="3"/>
  <c r="E111" i="3"/>
  <c r="F96" i="3"/>
  <c r="G96" i="3"/>
  <c r="H96" i="3"/>
  <c r="I96" i="3"/>
  <c r="J96" i="3"/>
  <c r="K96" i="3"/>
  <c r="E96" i="3"/>
  <c r="D132" i="5"/>
  <c r="F132" i="5"/>
  <c r="G132" i="5"/>
  <c r="F642" i="7" s="1"/>
  <c r="H132" i="5"/>
  <c r="G642" i="7" s="1"/>
  <c r="I132" i="5"/>
  <c r="H642" i="7" s="1"/>
  <c r="J132" i="5"/>
  <c r="I642" i="7" s="1"/>
  <c r="K132" i="5"/>
  <c r="J642" i="7" s="1"/>
  <c r="L132" i="5"/>
  <c r="K642" i="7" s="1"/>
  <c r="D111" i="5"/>
  <c r="F111" i="5"/>
  <c r="G111" i="5"/>
  <c r="F621" i="7" s="1"/>
  <c r="H111" i="5"/>
  <c r="G621" i="7" s="1"/>
  <c r="I111" i="5"/>
  <c r="H621" i="7" s="1"/>
  <c r="J111" i="5"/>
  <c r="I621" i="7" s="1"/>
  <c r="K111" i="5"/>
  <c r="J621" i="7" s="1"/>
  <c r="L111" i="5"/>
  <c r="K621" i="7" s="1"/>
  <c r="D96" i="5"/>
  <c r="F96" i="5"/>
  <c r="G96" i="5"/>
  <c r="F606" i="7" s="1"/>
  <c r="H96" i="5"/>
  <c r="G606" i="7" s="1"/>
  <c r="I96" i="5"/>
  <c r="H261" i="7" s="1"/>
  <c r="J96" i="5"/>
  <c r="I606" i="7" s="1"/>
  <c r="K96" i="5"/>
  <c r="L96" i="5"/>
  <c r="X297" i="3"/>
  <c r="C108" i="4"/>
  <c r="C96" i="4"/>
  <c r="N19" i="8" l="1"/>
  <c r="N763" i="7"/>
  <c r="N437" i="3"/>
  <c r="N826" i="7"/>
  <c r="N416" i="3"/>
  <c r="N784" i="7"/>
  <c r="N805" i="7"/>
  <c r="N17" i="8"/>
  <c r="N18" i="8"/>
  <c r="M20" i="8"/>
  <c r="E606" i="7"/>
  <c r="M96" i="5"/>
  <c r="E621" i="7"/>
  <c r="M111" i="5"/>
  <c r="E642" i="7"/>
  <c r="M132" i="5"/>
  <c r="K606" i="7"/>
  <c r="J606" i="7"/>
  <c r="K261" i="7"/>
  <c r="J261" i="7"/>
  <c r="K426" i="7"/>
  <c r="J426" i="7"/>
  <c r="K441" i="7"/>
  <c r="C621" i="7"/>
  <c r="J441" i="7"/>
  <c r="K276" i="7"/>
  <c r="J276" i="7"/>
  <c r="C96" i="3"/>
  <c r="E297" i="7"/>
  <c r="E462" i="7"/>
  <c r="K297" i="7"/>
  <c r="K462" i="7"/>
  <c r="H297" i="7"/>
  <c r="H462" i="7"/>
  <c r="E276" i="7"/>
  <c r="E441" i="7"/>
  <c r="C96" i="5"/>
  <c r="U261" i="3"/>
  <c r="M261" i="3"/>
  <c r="R276" i="3"/>
  <c r="W297" i="3"/>
  <c r="O297" i="3"/>
  <c r="G261" i="7"/>
  <c r="G276" i="7"/>
  <c r="G297" i="7"/>
  <c r="G426" i="7"/>
  <c r="G441" i="7"/>
  <c r="G462" i="7"/>
  <c r="T261" i="3"/>
  <c r="L261" i="3"/>
  <c r="C276" i="3"/>
  <c r="Q276" i="3"/>
  <c r="V297" i="3"/>
  <c r="N297" i="3"/>
  <c r="F261" i="7"/>
  <c r="F276" i="7"/>
  <c r="F297" i="7"/>
  <c r="F426" i="7"/>
  <c r="F441" i="7"/>
  <c r="F462" i="7"/>
  <c r="V276" i="3"/>
  <c r="S297" i="3"/>
  <c r="V261" i="3"/>
  <c r="P297" i="3"/>
  <c r="H276" i="7"/>
  <c r="H426" i="7"/>
  <c r="H441" i="7"/>
  <c r="H606" i="7"/>
  <c r="S261" i="3"/>
  <c r="X276" i="3"/>
  <c r="P276" i="3"/>
  <c r="U297" i="3"/>
  <c r="M297" i="3"/>
  <c r="C96" i="7"/>
  <c r="C261" i="7"/>
  <c r="C276" i="7"/>
  <c r="C297" i="7"/>
  <c r="C426" i="7"/>
  <c r="C441" i="7"/>
  <c r="C462" i="7"/>
  <c r="C606" i="7"/>
  <c r="C642" i="7"/>
  <c r="Q261" i="3"/>
  <c r="N276" i="3"/>
  <c r="N261" i="3"/>
  <c r="S276" i="3"/>
  <c r="C261" i="3"/>
  <c r="R261" i="3"/>
  <c r="W276" i="3"/>
  <c r="O276" i="3"/>
  <c r="T297" i="3"/>
  <c r="L297" i="3"/>
  <c r="E261" i="7"/>
  <c r="E426" i="7"/>
  <c r="X261" i="3"/>
  <c r="P261" i="3"/>
  <c r="U276" i="3"/>
  <c r="M276" i="3"/>
  <c r="C297" i="3"/>
  <c r="R297" i="3"/>
  <c r="J297" i="7"/>
  <c r="J462" i="7"/>
  <c r="W261" i="3"/>
  <c r="O261" i="3"/>
  <c r="T276" i="3"/>
  <c r="L276" i="3"/>
  <c r="Q297" i="3"/>
  <c r="I261" i="7"/>
  <c r="I276" i="7"/>
  <c r="I297" i="7"/>
  <c r="I426" i="7"/>
  <c r="I441" i="7"/>
  <c r="I462" i="7"/>
  <c r="K237" i="14"/>
  <c r="L237" i="14" s="1"/>
  <c r="M237" i="14" s="1"/>
  <c r="N237" i="14" s="1"/>
  <c r="O237" i="14" s="1"/>
  <c r="P237" i="14" s="1"/>
  <c r="Q237" i="14" s="1"/>
  <c r="R237" i="14" s="1"/>
  <c r="S237" i="14" s="1"/>
  <c r="T237" i="14" s="1"/>
  <c r="U237" i="14" s="1"/>
  <c r="V237" i="14" s="1"/>
  <c r="W237" i="14" s="1"/>
  <c r="K231" i="14"/>
  <c r="L231" i="14" s="1"/>
  <c r="M231" i="14" s="1"/>
  <c r="N231" i="14" s="1"/>
  <c r="O231" i="14" s="1"/>
  <c r="P231" i="14" s="1"/>
  <c r="Q231" i="14" s="1"/>
  <c r="R231" i="14" s="1"/>
  <c r="S231" i="14" s="1"/>
  <c r="T231" i="14" s="1"/>
  <c r="U231" i="14" s="1"/>
  <c r="V231" i="14" s="1"/>
  <c r="W231" i="14" s="1"/>
  <c r="K174" i="14"/>
  <c r="L174" i="14" s="1"/>
  <c r="K170" i="14"/>
  <c r="L170" i="14" s="1"/>
  <c r="M170" i="14" s="1"/>
  <c r="N170" i="14" s="1"/>
  <c r="O170" i="14" s="1"/>
  <c r="P170" i="14" s="1"/>
  <c r="Q170" i="14" s="1"/>
  <c r="R170" i="14" s="1"/>
  <c r="S170" i="14" s="1"/>
  <c r="T170" i="14" s="1"/>
  <c r="U170" i="14" s="1"/>
  <c r="V170" i="14" s="1"/>
  <c r="W170" i="14" s="1"/>
  <c r="K171" i="14"/>
  <c r="L171" i="14" s="1"/>
  <c r="M171" i="14" s="1"/>
  <c r="N171" i="14" s="1"/>
  <c r="O171" i="14" s="1"/>
  <c r="P171" i="14" s="1"/>
  <c r="Q171" i="14" s="1"/>
  <c r="R171" i="14" s="1"/>
  <c r="S171" i="14" s="1"/>
  <c r="T171" i="14" s="1"/>
  <c r="U171" i="14" s="1"/>
  <c r="V171" i="14" s="1"/>
  <c r="W171" i="14" s="1"/>
  <c r="K225" i="14"/>
  <c r="L225" i="14" s="1"/>
  <c r="M225" i="14" s="1"/>
  <c r="N225" i="14" s="1"/>
  <c r="O225" i="14" s="1"/>
  <c r="P225" i="14" s="1"/>
  <c r="Q225" i="14" s="1"/>
  <c r="R225" i="14" s="1"/>
  <c r="S225" i="14" s="1"/>
  <c r="T225" i="14" s="1"/>
  <c r="U225" i="14" s="1"/>
  <c r="V225" i="14" s="1"/>
  <c r="W225" i="14" s="1"/>
  <c r="K167" i="14"/>
  <c r="L167" i="14" s="1"/>
  <c r="M167" i="14" s="1"/>
  <c r="N167" i="14" s="1"/>
  <c r="O167" i="14" s="1"/>
  <c r="P167" i="14" s="1"/>
  <c r="Q167" i="14" s="1"/>
  <c r="R167" i="14" s="1"/>
  <c r="S167" i="14" s="1"/>
  <c r="T167" i="14" s="1"/>
  <c r="U167" i="14" s="1"/>
  <c r="V167" i="14" s="1"/>
  <c r="W167" i="14" s="1"/>
  <c r="K168" i="14"/>
  <c r="L168" i="14" s="1"/>
  <c r="M168" i="14" s="1"/>
  <c r="N168" i="14" s="1"/>
  <c r="O168" i="14" s="1"/>
  <c r="P168" i="14" s="1"/>
  <c r="Q168" i="14" s="1"/>
  <c r="R168" i="14" s="1"/>
  <c r="S168" i="14" s="1"/>
  <c r="T168" i="14" s="1"/>
  <c r="U168" i="14" s="1"/>
  <c r="V168" i="14" s="1"/>
  <c r="W168" i="14" s="1"/>
  <c r="K166" i="14"/>
  <c r="L166" i="14" s="1"/>
  <c r="C391" i="7"/>
  <c r="L61" i="2"/>
  <c r="L64" i="2"/>
  <c r="M64" i="2" s="1"/>
  <c r="L62" i="2"/>
  <c r="M62" i="2" s="1"/>
  <c r="N62" i="2" s="1"/>
  <c r="O62" i="2" s="1"/>
  <c r="P62" i="2" s="1"/>
  <c r="Q62" i="2" s="1"/>
  <c r="R62" i="2" s="1"/>
  <c r="S62" i="2" s="1"/>
  <c r="T62" i="2" s="1"/>
  <c r="U62" i="2" s="1"/>
  <c r="V62" i="2" s="1"/>
  <c r="W62" i="2" s="1"/>
  <c r="X62" i="2" s="1"/>
  <c r="L63" i="2"/>
  <c r="M63" i="2" s="1"/>
  <c r="L65" i="2"/>
  <c r="M65" i="2" s="1"/>
  <c r="N65" i="2" s="1"/>
  <c r="O65" i="2" s="1"/>
  <c r="P65" i="2" s="1"/>
  <c r="Q65" i="2" s="1"/>
  <c r="R65" i="2" s="1"/>
  <c r="S65" i="2" s="1"/>
  <c r="T65" i="2" s="1"/>
  <c r="U65" i="2" s="1"/>
  <c r="V65" i="2" s="1"/>
  <c r="W65" i="2" s="1"/>
  <c r="X65" i="2" s="1"/>
  <c r="L66" i="2"/>
  <c r="M66" i="2" s="1"/>
  <c r="N66" i="2" s="1"/>
  <c r="O66" i="2" s="1"/>
  <c r="P66" i="2" s="1"/>
  <c r="Q66" i="2" s="1"/>
  <c r="R66" i="2" s="1"/>
  <c r="S66" i="2" s="1"/>
  <c r="T66" i="2" s="1"/>
  <c r="U66" i="2" s="1"/>
  <c r="V66" i="2" s="1"/>
  <c r="W66" i="2" s="1"/>
  <c r="X66" i="2" s="1"/>
  <c r="L67" i="2"/>
  <c r="M67" i="2" s="1"/>
  <c r="N67" i="2" s="1"/>
  <c r="O67" i="2" s="1"/>
  <c r="P67" i="2" s="1"/>
  <c r="Q67" i="2" s="1"/>
  <c r="R67" i="2" s="1"/>
  <c r="S67" i="2" s="1"/>
  <c r="T67" i="2" s="1"/>
  <c r="U67" i="2" s="1"/>
  <c r="V67" i="2" s="1"/>
  <c r="W67" i="2" s="1"/>
  <c r="X67" i="2" s="1"/>
  <c r="L68" i="2"/>
  <c r="M68" i="2" s="1"/>
  <c r="N68" i="2" s="1"/>
  <c r="O68" i="2" s="1"/>
  <c r="P68" i="2" s="1"/>
  <c r="Q68" i="2" s="1"/>
  <c r="R68" i="2" s="1"/>
  <c r="S68" i="2" s="1"/>
  <c r="T68" i="2" s="1"/>
  <c r="U68" i="2" s="1"/>
  <c r="V68" i="2" s="1"/>
  <c r="W68" i="2" s="1"/>
  <c r="X68" i="2" s="1"/>
  <c r="L69" i="2"/>
  <c r="M69" i="2" s="1"/>
  <c r="L70" i="2"/>
  <c r="M70" i="2" s="1"/>
  <c r="N70" i="2" s="1"/>
  <c r="O70" i="2" s="1"/>
  <c r="P70" i="2" s="1"/>
  <c r="Q70" i="2" s="1"/>
  <c r="R70" i="2" s="1"/>
  <c r="S70" i="2" s="1"/>
  <c r="T70" i="2" s="1"/>
  <c r="U70" i="2" s="1"/>
  <c r="V70" i="2" s="1"/>
  <c r="W70" i="2" s="1"/>
  <c r="X70" i="2" s="1"/>
  <c r="L71" i="2"/>
  <c r="M71" i="2" s="1"/>
  <c r="N71" i="2" s="1"/>
  <c r="O71" i="2" s="1"/>
  <c r="P71" i="2" s="1"/>
  <c r="Q71" i="2" s="1"/>
  <c r="R71" i="2" s="1"/>
  <c r="S71" i="2" s="1"/>
  <c r="T71" i="2" s="1"/>
  <c r="U71" i="2" s="1"/>
  <c r="V71" i="2" s="1"/>
  <c r="W71" i="2" s="1"/>
  <c r="X71" i="2" s="1"/>
  <c r="L72" i="2"/>
  <c r="M72" i="2" s="1"/>
  <c r="N72" i="2" s="1"/>
  <c r="O72" i="2" s="1"/>
  <c r="P72" i="2" s="1"/>
  <c r="Q72" i="2" s="1"/>
  <c r="R72" i="2" s="1"/>
  <c r="S72" i="2" s="1"/>
  <c r="T72" i="2" s="1"/>
  <c r="U72" i="2" s="1"/>
  <c r="V72" i="2" s="1"/>
  <c r="W72" i="2" s="1"/>
  <c r="X72" i="2" s="1"/>
  <c r="L73" i="2"/>
  <c r="M73" i="2" s="1"/>
  <c r="N73" i="2" s="1"/>
  <c r="O73" i="2" s="1"/>
  <c r="P73" i="2" s="1"/>
  <c r="Q73" i="2" s="1"/>
  <c r="R73" i="2" s="1"/>
  <c r="S73" i="2" s="1"/>
  <c r="T73" i="2" s="1"/>
  <c r="U73" i="2" s="1"/>
  <c r="V73" i="2" s="1"/>
  <c r="W73" i="2" s="1"/>
  <c r="X73" i="2" s="1"/>
  <c r="L74" i="2"/>
  <c r="M74" i="2" s="1"/>
  <c r="N74" i="2" s="1"/>
  <c r="O74" i="2" s="1"/>
  <c r="P74" i="2" s="1"/>
  <c r="Q74" i="2" s="1"/>
  <c r="R74" i="2" s="1"/>
  <c r="S74" i="2" s="1"/>
  <c r="T74" i="2" s="1"/>
  <c r="U74" i="2" s="1"/>
  <c r="V74" i="2" s="1"/>
  <c r="W74" i="2" s="1"/>
  <c r="X74" i="2" s="1"/>
  <c r="L75" i="2"/>
  <c r="M75" i="2" s="1"/>
  <c r="N75" i="2" s="1"/>
  <c r="O75" i="2" s="1"/>
  <c r="P75" i="2" s="1"/>
  <c r="Q75" i="2" s="1"/>
  <c r="R75" i="2" s="1"/>
  <c r="S75" i="2" s="1"/>
  <c r="T75" i="2" s="1"/>
  <c r="U75" i="2" s="1"/>
  <c r="V75" i="2" s="1"/>
  <c r="W75" i="2" s="1"/>
  <c r="X75" i="2" s="1"/>
  <c r="L76" i="2"/>
  <c r="M76" i="2" s="1"/>
  <c r="N76" i="2" s="1"/>
  <c r="O76" i="2" s="1"/>
  <c r="P76" i="2" s="1"/>
  <c r="Q76" i="2" s="1"/>
  <c r="R76" i="2" s="1"/>
  <c r="S76" i="2" s="1"/>
  <c r="T76" i="2" s="1"/>
  <c r="U76" i="2" s="1"/>
  <c r="V76" i="2" s="1"/>
  <c r="W76" i="2" s="1"/>
  <c r="X76" i="2" s="1"/>
  <c r="L77" i="2"/>
  <c r="M77" i="2" s="1"/>
  <c r="N77" i="2" s="1"/>
  <c r="O77" i="2" s="1"/>
  <c r="P77" i="2" s="1"/>
  <c r="Q77" i="2" s="1"/>
  <c r="R77" i="2" s="1"/>
  <c r="S77" i="2" s="1"/>
  <c r="T77" i="2" s="1"/>
  <c r="U77" i="2" s="1"/>
  <c r="V77" i="2" s="1"/>
  <c r="W77" i="2" s="1"/>
  <c r="X77" i="2" s="1"/>
  <c r="L78" i="2"/>
  <c r="M78" i="2" s="1"/>
  <c r="N78" i="2" s="1"/>
  <c r="O78" i="2" s="1"/>
  <c r="P78" i="2" s="1"/>
  <c r="Q78" i="2" s="1"/>
  <c r="R78" i="2" s="1"/>
  <c r="S78" i="2" s="1"/>
  <c r="T78" i="2" s="1"/>
  <c r="U78" i="2" s="1"/>
  <c r="V78" i="2" s="1"/>
  <c r="W78" i="2" s="1"/>
  <c r="X78" i="2" s="1"/>
  <c r="L79" i="2"/>
  <c r="M79" i="2" s="1"/>
  <c r="N79" i="2" s="1"/>
  <c r="O79" i="2" s="1"/>
  <c r="P79" i="2" s="1"/>
  <c r="Q79" i="2" s="1"/>
  <c r="R79" i="2" s="1"/>
  <c r="S79" i="2" s="1"/>
  <c r="T79" i="2" s="1"/>
  <c r="U79" i="2" s="1"/>
  <c r="V79" i="2" s="1"/>
  <c r="W79" i="2" s="1"/>
  <c r="X79" i="2" s="1"/>
  <c r="L80" i="2"/>
  <c r="M80" i="2" s="1"/>
  <c r="N80" i="2" s="1"/>
  <c r="O80" i="2" s="1"/>
  <c r="P80" i="2" s="1"/>
  <c r="Q80" i="2" s="1"/>
  <c r="R80" i="2" s="1"/>
  <c r="S80" i="2" s="1"/>
  <c r="T80" i="2" s="1"/>
  <c r="U80" i="2" s="1"/>
  <c r="V80" i="2" s="1"/>
  <c r="W80" i="2" s="1"/>
  <c r="X80" i="2" s="1"/>
  <c r="L81" i="2"/>
  <c r="M81" i="2" s="1"/>
  <c r="N81" i="2" s="1"/>
  <c r="O81" i="2" s="1"/>
  <c r="P81" i="2" s="1"/>
  <c r="Q81" i="2" s="1"/>
  <c r="R81" i="2" s="1"/>
  <c r="S81" i="2" s="1"/>
  <c r="T81" i="2" s="1"/>
  <c r="U81" i="2" s="1"/>
  <c r="V81" i="2" s="1"/>
  <c r="W81" i="2" s="1"/>
  <c r="X81" i="2" s="1"/>
  <c r="L82" i="2"/>
  <c r="M82" i="2" s="1"/>
  <c r="N82" i="2" s="1"/>
  <c r="O82" i="2" s="1"/>
  <c r="P82" i="2" s="1"/>
  <c r="Q82" i="2" s="1"/>
  <c r="R82" i="2" s="1"/>
  <c r="S82" i="2" s="1"/>
  <c r="T82" i="2" s="1"/>
  <c r="U82" i="2" s="1"/>
  <c r="V82" i="2" s="1"/>
  <c r="W82" i="2" s="1"/>
  <c r="X82" i="2" s="1"/>
  <c r="L83" i="2"/>
  <c r="M83" i="2" s="1"/>
  <c r="N83" i="2" s="1"/>
  <c r="O83" i="2" s="1"/>
  <c r="P83" i="2" s="1"/>
  <c r="Q83" i="2" s="1"/>
  <c r="R83" i="2" s="1"/>
  <c r="S83" i="2" s="1"/>
  <c r="T83" i="2" s="1"/>
  <c r="U83" i="2" s="1"/>
  <c r="V83" i="2" s="1"/>
  <c r="W83" i="2" s="1"/>
  <c r="X83" i="2" s="1"/>
  <c r="L84" i="2"/>
  <c r="M84" i="2" s="1"/>
  <c r="N84" i="2" s="1"/>
  <c r="O84" i="2" s="1"/>
  <c r="P84" i="2" s="1"/>
  <c r="Q84" i="2" s="1"/>
  <c r="R84" i="2" s="1"/>
  <c r="S84" i="2" s="1"/>
  <c r="T84" i="2" s="1"/>
  <c r="U84" i="2" s="1"/>
  <c r="V84" i="2" s="1"/>
  <c r="W84" i="2" s="1"/>
  <c r="X84" i="2" s="1"/>
  <c r="L85" i="2"/>
  <c r="M85" i="2" s="1"/>
  <c r="N85" i="2" s="1"/>
  <c r="O85" i="2" s="1"/>
  <c r="P85" i="2" s="1"/>
  <c r="Q85" i="2" s="1"/>
  <c r="R85" i="2" s="1"/>
  <c r="S85" i="2" s="1"/>
  <c r="T85" i="2" s="1"/>
  <c r="U85" i="2" s="1"/>
  <c r="V85" i="2" s="1"/>
  <c r="W85" i="2" s="1"/>
  <c r="X85" i="2" s="1"/>
  <c r="L86" i="2"/>
  <c r="M86" i="2" s="1"/>
  <c r="N86" i="2" s="1"/>
  <c r="O86" i="2" s="1"/>
  <c r="P86" i="2" s="1"/>
  <c r="Q86" i="2" s="1"/>
  <c r="R86" i="2" s="1"/>
  <c r="S86" i="2" s="1"/>
  <c r="T86" i="2" s="1"/>
  <c r="U86" i="2" s="1"/>
  <c r="V86" i="2" s="1"/>
  <c r="W86" i="2" s="1"/>
  <c r="X86" i="2" s="1"/>
  <c r="L87" i="2"/>
  <c r="M87" i="2" s="1"/>
  <c r="N87" i="2" s="1"/>
  <c r="O87" i="2" s="1"/>
  <c r="P87" i="2" s="1"/>
  <c r="Q87" i="2" s="1"/>
  <c r="R87" i="2" s="1"/>
  <c r="S87" i="2" s="1"/>
  <c r="T87" i="2" s="1"/>
  <c r="U87" i="2" s="1"/>
  <c r="V87" i="2" s="1"/>
  <c r="W87" i="2" s="1"/>
  <c r="X87" i="2" s="1"/>
  <c r="L88" i="2"/>
  <c r="M88" i="2" s="1"/>
  <c r="N88" i="2" s="1"/>
  <c r="O88" i="2" s="1"/>
  <c r="P88" i="2" s="1"/>
  <c r="Q88" i="2" s="1"/>
  <c r="R88" i="2" s="1"/>
  <c r="S88" i="2" s="1"/>
  <c r="T88" i="2" s="1"/>
  <c r="U88" i="2" s="1"/>
  <c r="V88" i="2" s="1"/>
  <c r="W88" i="2" s="1"/>
  <c r="X88" i="2" s="1"/>
  <c r="L89" i="2"/>
  <c r="M89" i="2" s="1"/>
  <c r="N89" i="2" s="1"/>
  <c r="O89" i="2" s="1"/>
  <c r="P89" i="2" s="1"/>
  <c r="Q89" i="2" s="1"/>
  <c r="R89" i="2" s="1"/>
  <c r="S89" i="2" s="1"/>
  <c r="T89" i="2" s="1"/>
  <c r="U89" i="2" s="1"/>
  <c r="V89" i="2" s="1"/>
  <c r="W89" i="2" s="1"/>
  <c r="X89" i="2" s="1"/>
  <c r="X96" i="3"/>
  <c r="X111" i="3"/>
  <c r="X132" i="3"/>
  <c r="O18" i="8" l="1"/>
  <c r="N20" i="8"/>
  <c r="O17" i="8"/>
  <c r="O19" i="8"/>
  <c r="O763" i="7"/>
  <c r="O437" i="3"/>
  <c r="O416" i="3"/>
  <c r="O826" i="7"/>
  <c r="O784" i="7"/>
  <c r="O805" i="7"/>
  <c r="N132" i="5"/>
  <c r="O132" i="5" s="1"/>
  <c r="N111" i="5"/>
  <c r="N96" i="5"/>
  <c r="J46" i="13"/>
  <c r="J47" i="13" s="1"/>
  <c r="M61" i="2"/>
  <c r="K46" i="13" s="1"/>
  <c r="K47" i="13" s="1"/>
  <c r="Q132" i="3"/>
  <c r="T132" i="3"/>
  <c r="N111" i="3"/>
  <c r="P111" i="3"/>
  <c r="V111" i="3"/>
  <c r="S96" i="3"/>
  <c r="W111" i="3"/>
  <c r="L111" i="3"/>
  <c r="M96" i="3"/>
  <c r="R132" i="3"/>
  <c r="Q96" i="3"/>
  <c r="N132" i="3"/>
  <c r="W96" i="3"/>
  <c r="U96" i="3"/>
  <c r="P132" i="3"/>
  <c r="M111" i="3"/>
  <c r="L132" i="3"/>
  <c r="V132" i="3"/>
  <c r="U111" i="3"/>
  <c r="O111" i="3"/>
  <c r="T111" i="3"/>
  <c r="Q111" i="3"/>
  <c r="S111" i="3"/>
  <c r="P96" i="3"/>
  <c r="O96" i="3"/>
  <c r="L96" i="3"/>
  <c r="R96" i="3"/>
  <c r="O132" i="3"/>
  <c r="N96" i="3"/>
  <c r="M132" i="3"/>
  <c r="T96" i="3"/>
  <c r="W132" i="3"/>
  <c r="V96" i="3"/>
  <c r="S132" i="3"/>
  <c r="U132" i="3"/>
  <c r="R111" i="3"/>
  <c r="M166" i="14"/>
  <c r="M172" i="14" s="1"/>
  <c r="L172" i="14"/>
  <c r="L226" i="3"/>
  <c r="K172" i="14"/>
  <c r="N64" i="2"/>
  <c r="N63" i="2"/>
  <c r="O63" i="2" s="1"/>
  <c r="P63" i="2" s="1"/>
  <c r="Q63" i="2" s="1"/>
  <c r="R63" i="2" s="1"/>
  <c r="S63" i="2" s="1"/>
  <c r="T63" i="2" s="1"/>
  <c r="U63" i="2" s="1"/>
  <c r="V63" i="2" s="1"/>
  <c r="W63" i="2" s="1"/>
  <c r="X63" i="2" s="1"/>
  <c r="N69" i="2"/>
  <c r="O69" i="2" s="1"/>
  <c r="P69" i="2" s="1"/>
  <c r="Q69" i="2" s="1"/>
  <c r="R69" i="2" s="1"/>
  <c r="S69" i="2" s="1"/>
  <c r="T69" i="2" s="1"/>
  <c r="U69" i="2" s="1"/>
  <c r="V69" i="2" s="1"/>
  <c r="W69" i="2" s="1"/>
  <c r="X69" i="2" s="1"/>
  <c r="G55" i="8"/>
  <c r="F126" i="8"/>
  <c r="F133" i="8"/>
  <c r="F131" i="8"/>
  <c r="F124" i="8"/>
  <c r="C129" i="8"/>
  <c r="C122" i="8"/>
  <c r="D34" i="8"/>
  <c r="C752" i="7"/>
  <c r="C753" i="7"/>
  <c r="C773" i="7"/>
  <c r="C774" i="7"/>
  <c r="C794" i="7"/>
  <c r="C795" i="7"/>
  <c r="D810" i="7"/>
  <c r="C815" i="7"/>
  <c r="C816" i="7"/>
  <c r="C405" i="3"/>
  <c r="C406" i="3"/>
  <c r="C426" i="3"/>
  <c r="C427" i="3"/>
  <c r="D38" i="8" l="1"/>
  <c r="D37" i="8"/>
  <c r="P17" i="8"/>
  <c r="P19" i="8"/>
  <c r="P784" i="7"/>
  <c r="P416" i="3"/>
  <c r="P763" i="7"/>
  <c r="P437" i="3"/>
  <c r="P805" i="7"/>
  <c r="P826" i="7"/>
  <c r="P18" i="8"/>
  <c r="O20" i="8"/>
  <c r="O111" i="5"/>
  <c r="P111" i="5" s="1"/>
  <c r="O96" i="5"/>
  <c r="P132" i="5"/>
  <c r="N61" i="2"/>
  <c r="L46" i="13" s="1"/>
  <c r="L47" i="13" s="1"/>
  <c r="M226" i="3"/>
  <c r="N166" i="14"/>
  <c r="O166" i="14" s="1"/>
  <c r="O64" i="2"/>
  <c r="G42" i="8"/>
  <c r="G41" i="8"/>
  <c r="G58" i="8"/>
  <c r="G57" i="8"/>
  <c r="G56" i="8"/>
  <c r="Q17" i="8" l="1"/>
  <c r="Q19" i="8"/>
  <c r="Q784" i="7"/>
  <c r="Q416" i="3"/>
  <c r="Q763" i="7"/>
  <c r="Q437" i="3"/>
  <c r="Q826" i="7"/>
  <c r="Q805" i="7"/>
  <c r="Q18" i="8"/>
  <c r="P20" i="8"/>
  <c r="Q111" i="5"/>
  <c r="R111" i="5" s="1"/>
  <c r="S111" i="5" s="1"/>
  <c r="P96" i="5"/>
  <c r="Q96" i="5" s="1"/>
  <c r="R96" i="5" s="1"/>
  <c r="Q132" i="5"/>
  <c r="R132" i="5" s="1"/>
  <c r="S132" i="5" s="1"/>
  <c r="O61" i="2"/>
  <c r="N226" i="3"/>
  <c r="N172" i="14"/>
  <c r="O172" i="14"/>
  <c r="P166" i="14"/>
  <c r="P64" i="2"/>
  <c r="F330" i="3"/>
  <c r="G330" i="3"/>
  <c r="H330" i="3"/>
  <c r="I330" i="3"/>
  <c r="J330" i="3"/>
  <c r="K330" i="3"/>
  <c r="F331" i="3"/>
  <c r="G331" i="3"/>
  <c r="H331" i="3"/>
  <c r="I331" i="3"/>
  <c r="J331" i="3"/>
  <c r="K331" i="3"/>
  <c r="F332" i="3"/>
  <c r="G332" i="3"/>
  <c r="H332" i="3"/>
  <c r="I332" i="3"/>
  <c r="J332" i="3"/>
  <c r="K332" i="3"/>
  <c r="F333" i="3"/>
  <c r="G333" i="3"/>
  <c r="H333" i="3"/>
  <c r="I333" i="3"/>
  <c r="J333" i="3"/>
  <c r="K333" i="3"/>
  <c r="F334" i="3"/>
  <c r="G334" i="3"/>
  <c r="H334" i="3"/>
  <c r="I334" i="3"/>
  <c r="J334" i="3"/>
  <c r="K334" i="3"/>
  <c r="F335" i="3"/>
  <c r="G335" i="3"/>
  <c r="H335" i="3"/>
  <c r="I335" i="3"/>
  <c r="J335" i="3"/>
  <c r="K335" i="3"/>
  <c r="F336" i="3"/>
  <c r="G336" i="3"/>
  <c r="H336" i="3"/>
  <c r="I336" i="3"/>
  <c r="J336" i="3"/>
  <c r="K336" i="3"/>
  <c r="F337" i="3"/>
  <c r="G337" i="3"/>
  <c r="H337" i="3"/>
  <c r="I337" i="3"/>
  <c r="J337" i="3"/>
  <c r="K337" i="3"/>
  <c r="F338" i="3"/>
  <c r="G338" i="3"/>
  <c r="H338" i="3"/>
  <c r="I338" i="3"/>
  <c r="J338" i="3"/>
  <c r="K338" i="3"/>
  <c r="F339" i="3"/>
  <c r="G339" i="3"/>
  <c r="H339" i="3"/>
  <c r="I339" i="3"/>
  <c r="J339" i="3"/>
  <c r="K339" i="3"/>
  <c r="F340" i="3"/>
  <c r="G340" i="3"/>
  <c r="H340" i="3"/>
  <c r="I340" i="3"/>
  <c r="J340" i="3"/>
  <c r="K340" i="3"/>
  <c r="R19" i="8" l="1"/>
  <c r="R805" i="7"/>
  <c r="R784" i="7"/>
  <c r="R416" i="3"/>
  <c r="R763" i="7"/>
  <c r="R437" i="3"/>
  <c r="R826" i="7"/>
  <c r="R18" i="8"/>
  <c r="Q20" i="8"/>
  <c r="R17" i="8"/>
  <c r="T132" i="5"/>
  <c r="U132" i="5" s="1"/>
  <c r="V132" i="5" s="1"/>
  <c r="W132" i="5" s="1"/>
  <c r="X132" i="5" s="1"/>
  <c r="Y132" i="5" s="1"/>
  <c r="T111" i="5"/>
  <c r="U111" i="5" s="1"/>
  <c r="V111" i="5" s="1"/>
  <c r="W111" i="5" s="1"/>
  <c r="S96" i="5"/>
  <c r="T96" i="5" s="1"/>
  <c r="U96" i="5" s="1"/>
  <c r="V96" i="5" s="1"/>
  <c r="P61" i="2"/>
  <c r="N46" i="13" s="1"/>
  <c r="N47" i="13" s="1"/>
  <c r="M46" i="13"/>
  <c r="M47" i="13" s="1"/>
  <c r="O226" i="3"/>
  <c r="P172" i="14"/>
  <c r="Q166" i="14"/>
  <c r="Q64" i="2"/>
  <c r="K429" i="3"/>
  <c r="J429" i="3"/>
  <c r="I429" i="3"/>
  <c r="H429" i="3"/>
  <c r="G429" i="3"/>
  <c r="F429" i="3"/>
  <c r="F129" i="3"/>
  <c r="G129" i="3"/>
  <c r="H129" i="3"/>
  <c r="I129" i="3"/>
  <c r="J129" i="3"/>
  <c r="K129" i="3"/>
  <c r="F130" i="3"/>
  <c r="G130" i="3"/>
  <c r="H130" i="3"/>
  <c r="I130" i="3"/>
  <c r="J130" i="3"/>
  <c r="K130" i="3"/>
  <c r="F131" i="3"/>
  <c r="G131" i="3"/>
  <c r="H131" i="3"/>
  <c r="I131" i="3"/>
  <c r="J131" i="3"/>
  <c r="K131" i="3"/>
  <c r="F133" i="3"/>
  <c r="G133" i="3"/>
  <c r="H133" i="3"/>
  <c r="I133" i="3"/>
  <c r="J133" i="3"/>
  <c r="K133" i="3"/>
  <c r="F134" i="3"/>
  <c r="G134" i="3"/>
  <c r="H134" i="3"/>
  <c r="I134" i="3"/>
  <c r="J134" i="3"/>
  <c r="K134" i="3"/>
  <c r="F135" i="3"/>
  <c r="G135" i="3"/>
  <c r="H135" i="3"/>
  <c r="I135" i="3"/>
  <c r="J135" i="3"/>
  <c r="K135" i="3"/>
  <c r="F136" i="3"/>
  <c r="G136" i="3"/>
  <c r="H136" i="3"/>
  <c r="I136" i="3"/>
  <c r="J136" i="3"/>
  <c r="K136" i="3"/>
  <c r="F137" i="3"/>
  <c r="G137" i="3"/>
  <c r="H137" i="3"/>
  <c r="I137" i="3"/>
  <c r="J137" i="3"/>
  <c r="K137" i="3"/>
  <c r="E130" i="3"/>
  <c r="E131" i="3"/>
  <c r="E133" i="3"/>
  <c r="E134" i="3"/>
  <c r="E135" i="3"/>
  <c r="E136" i="3"/>
  <c r="E137" i="3"/>
  <c r="F246" i="3"/>
  <c r="G246" i="3"/>
  <c r="H246" i="3"/>
  <c r="I246" i="3"/>
  <c r="J246" i="3"/>
  <c r="K246" i="3"/>
  <c r="F247" i="3"/>
  <c r="G247" i="3"/>
  <c r="H247" i="3"/>
  <c r="I247" i="3"/>
  <c r="J247" i="3"/>
  <c r="K247" i="3"/>
  <c r="F248" i="3"/>
  <c r="G248" i="3"/>
  <c r="H248" i="3"/>
  <c r="I248" i="3"/>
  <c r="J248" i="3"/>
  <c r="K248" i="3"/>
  <c r="F249" i="3"/>
  <c r="G249" i="3"/>
  <c r="H249" i="3"/>
  <c r="I249" i="3"/>
  <c r="J249" i="3"/>
  <c r="K249" i="3"/>
  <c r="F250" i="3"/>
  <c r="G250" i="3"/>
  <c r="H250" i="3"/>
  <c r="I250" i="3"/>
  <c r="J250" i="3"/>
  <c r="K250" i="3"/>
  <c r="E247" i="3"/>
  <c r="E248" i="3"/>
  <c r="E249" i="3"/>
  <c r="E250" i="3"/>
  <c r="F274" i="3"/>
  <c r="G274" i="3"/>
  <c r="H274" i="3"/>
  <c r="I274" i="3"/>
  <c r="J274" i="3"/>
  <c r="K274" i="3"/>
  <c r="F275" i="3"/>
  <c r="G275" i="3"/>
  <c r="H275" i="3"/>
  <c r="I275" i="3"/>
  <c r="J275" i="3"/>
  <c r="K275" i="3"/>
  <c r="F277" i="3"/>
  <c r="G277" i="3"/>
  <c r="H277" i="3"/>
  <c r="I277" i="3"/>
  <c r="J277" i="3"/>
  <c r="K277" i="3"/>
  <c r="F278" i="3"/>
  <c r="G278" i="3"/>
  <c r="H278" i="3"/>
  <c r="I278" i="3"/>
  <c r="J278" i="3"/>
  <c r="K278" i="3"/>
  <c r="F279" i="3"/>
  <c r="G279" i="3"/>
  <c r="H279" i="3"/>
  <c r="I279" i="3"/>
  <c r="J279" i="3"/>
  <c r="K279" i="3"/>
  <c r="E275" i="3"/>
  <c r="E277" i="3"/>
  <c r="E278" i="3"/>
  <c r="E279" i="3"/>
  <c r="F368" i="3"/>
  <c r="G368" i="3"/>
  <c r="H368" i="3"/>
  <c r="I368" i="3"/>
  <c r="J368" i="3"/>
  <c r="K368" i="3"/>
  <c r="F369" i="3"/>
  <c r="G369" i="3"/>
  <c r="H369" i="3"/>
  <c r="I369" i="3"/>
  <c r="J369" i="3"/>
  <c r="K369" i="3"/>
  <c r="F370" i="3"/>
  <c r="G370" i="3"/>
  <c r="H370" i="3"/>
  <c r="I370" i="3"/>
  <c r="J370" i="3"/>
  <c r="K370" i="3"/>
  <c r="F371" i="3"/>
  <c r="F432" i="3" s="1"/>
  <c r="G371" i="3"/>
  <c r="G432" i="3" s="1"/>
  <c r="H371" i="3"/>
  <c r="H432" i="3" s="1"/>
  <c r="I371" i="3"/>
  <c r="I432" i="3" s="1"/>
  <c r="J371" i="3"/>
  <c r="J432" i="3" s="1"/>
  <c r="K371" i="3"/>
  <c r="K432" i="3" s="1"/>
  <c r="F372" i="3"/>
  <c r="G372" i="3"/>
  <c r="H372" i="3"/>
  <c r="I372" i="3"/>
  <c r="J372" i="3"/>
  <c r="K372" i="3"/>
  <c r="F373" i="3"/>
  <c r="F433" i="3" s="1"/>
  <c r="G373" i="3"/>
  <c r="G433" i="3" s="1"/>
  <c r="H373" i="3"/>
  <c r="H433" i="3" s="1"/>
  <c r="I373" i="3"/>
  <c r="I433" i="3" s="1"/>
  <c r="J373" i="3"/>
  <c r="J433" i="3" s="1"/>
  <c r="K373" i="3"/>
  <c r="K433" i="3" s="1"/>
  <c r="F374" i="3"/>
  <c r="G374" i="3"/>
  <c r="H374" i="3"/>
  <c r="I374" i="3"/>
  <c r="J374" i="3"/>
  <c r="K374" i="3"/>
  <c r="F375" i="3"/>
  <c r="G375" i="3"/>
  <c r="H375" i="3"/>
  <c r="I375" i="3"/>
  <c r="J375" i="3"/>
  <c r="K375" i="3"/>
  <c r="E369" i="3"/>
  <c r="E370" i="3"/>
  <c r="E371" i="3"/>
  <c r="E432" i="3" s="1"/>
  <c r="E372" i="3"/>
  <c r="E373" i="3"/>
  <c r="E433" i="3" s="1"/>
  <c r="E374" i="3"/>
  <c r="E375" i="3"/>
  <c r="F296" i="3"/>
  <c r="G296" i="3"/>
  <c r="H296" i="3"/>
  <c r="I296" i="3"/>
  <c r="J296" i="3"/>
  <c r="K296" i="3"/>
  <c r="F298" i="3"/>
  <c r="G298" i="3"/>
  <c r="H298" i="3"/>
  <c r="I298" i="3"/>
  <c r="J298" i="3"/>
  <c r="K298" i="3"/>
  <c r="F299" i="3"/>
  <c r="G299" i="3"/>
  <c r="H299" i="3"/>
  <c r="I299" i="3"/>
  <c r="J299" i="3"/>
  <c r="K299" i="3"/>
  <c r="F300" i="3"/>
  <c r="G300" i="3"/>
  <c r="H300" i="3"/>
  <c r="I300" i="3"/>
  <c r="J300" i="3"/>
  <c r="K300" i="3"/>
  <c r="F301" i="3"/>
  <c r="G301" i="3"/>
  <c r="H301" i="3"/>
  <c r="I301" i="3"/>
  <c r="J301" i="3"/>
  <c r="K301" i="3"/>
  <c r="E298" i="3"/>
  <c r="E299" i="3"/>
  <c r="E300" i="3"/>
  <c r="E301" i="3"/>
  <c r="X135" i="4"/>
  <c r="W135" i="4"/>
  <c r="V135" i="4"/>
  <c r="U135" i="4"/>
  <c r="T135" i="4"/>
  <c r="S135" i="4"/>
  <c r="R135" i="4"/>
  <c r="Q135" i="4"/>
  <c r="P135" i="4"/>
  <c r="O135" i="4"/>
  <c r="N135" i="4"/>
  <c r="M135" i="4"/>
  <c r="L135" i="4"/>
  <c r="K135" i="4"/>
  <c r="J135" i="4"/>
  <c r="I135" i="4"/>
  <c r="H135" i="4"/>
  <c r="G135" i="4"/>
  <c r="F135" i="4"/>
  <c r="E135" i="4"/>
  <c r="D135" i="5"/>
  <c r="F135" i="5"/>
  <c r="G135" i="5"/>
  <c r="H135" i="5"/>
  <c r="G300" i="7" s="1"/>
  <c r="I135" i="5"/>
  <c r="H645" i="7" s="1"/>
  <c r="J135" i="5"/>
  <c r="I645" i="7" s="1"/>
  <c r="K135" i="5"/>
  <c r="J645" i="7" s="1"/>
  <c r="L135" i="5"/>
  <c r="K645" i="7" s="1"/>
  <c r="C645" i="7"/>
  <c r="K40" i="13"/>
  <c r="L40" i="13"/>
  <c r="M40" i="13"/>
  <c r="N40" i="13"/>
  <c r="O40" i="13"/>
  <c r="P40" i="13"/>
  <c r="Q40" i="13"/>
  <c r="R40" i="13"/>
  <c r="S40" i="13"/>
  <c r="T40" i="13"/>
  <c r="U40" i="13"/>
  <c r="V40" i="13"/>
  <c r="K41" i="13"/>
  <c r="L41" i="13"/>
  <c r="M41" i="13"/>
  <c r="N41" i="13"/>
  <c r="O41" i="13"/>
  <c r="P41" i="13"/>
  <c r="Q41" i="13"/>
  <c r="R41" i="13"/>
  <c r="S41" i="13"/>
  <c r="T41" i="13"/>
  <c r="U41" i="13"/>
  <c r="V41" i="13"/>
  <c r="K42" i="13"/>
  <c r="L42" i="13"/>
  <c r="M42" i="13"/>
  <c r="N42" i="13"/>
  <c r="O42" i="13"/>
  <c r="P42" i="13"/>
  <c r="Q42" i="13"/>
  <c r="R42" i="13"/>
  <c r="S42" i="13"/>
  <c r="T42" i="13"/>
  <c r="U42" i="13"/>
  <c r="V42" i="13"/>
  <c r="K43" i="13"/>
  <c r="L43" i="13"/>
  <c r="M43" i="13"/>
  <c r="N43" i="13"/>
  <c r="O43" i="13"/>
  <c r="P43" i="13"/>
  <c r="Q43" i="13"/>
  <c r="R43" i="13"/>
  <c r="S43" i="13"/>
  <c r="T43" i="13"/>
  <c r="U43" i="13"/>
  <c r="V43" i="13"/>
  <c r="K44" i="13"/>
  <c r="L44" i="13"/>
  <c r="M44" i="13"/>
  <c r="N44" i="13"/>
  <c r="O44" i="13"/>
  <c r="P44" i="13"/>
  <c r="Q44" i="13"/>
  <c r="R44" i="13"/>
  <c r="S44" i="13"/>
  <c r="T44" i="13"/>
  <c r="U44" i="13"/>
  <c r="V44" i="13"/>
  <c r="K45" i="13"/>
  <c r="L45" i="13"/>
  <c r="M45" i="13"/>
  <c r="N45" i="13"/>
  <c r="O45" i="13"/>
  <c r="P45" i="13"/>
  <c r="Q45" i="13"/>
  <c r="R45" i="13"/>
  <c r="S45" i="13"/>
  <c r="T45" i="13"/>
  <c r="U45" i="13"/>
  <c r="V45" i="13"/>
  <c r="J40" i="13"/>
  <c r="J41" i="13"/>
  <c r="J42" i="13"/>
  <c r="J43" i="13"/>
  <c r="J44" i="13"/>
  <c r="J45" i="13"/>
  <c r="B44" i="13"/>
  <c r="B42" i="13"/>
  <c r="B40" i="13"/>
  <c r="G61" i="5"/>
  <c r="H61" i="5"/>
  <c r="I61" i="5"/>
  <c r="J61" i="5"/>
  <c r="K61" i="5"/>
  <c r="L61" i="5"/>
  <c r="F61" i="5"/>
  <c r="F62" i="5"/>
  <c r="F112" i="3"/>
  <c r="G112" i="3"/>
  <c r="H112" i="3"/>
  <c r="I112" i="3"/>
  <c r="J112" i="3"/>
  <c r="K112" i="3"/>
  <c r="E112" i="3"/>
  <c r="F85" i="3"/>
  <c r="G85" i="3"/>
  <c r="H85" i="3"/>
  <c r="I85" i="3"/>
  <c r="J85" i="3"/>
  <c r="K85" i="3"/>
  <c r="E85" i="3"/>
  <c r="F82" i="3"/>
  <c r="G82" i="3"/>
  <c r="H82" i="3"/>
  <c r="I82" i="3"/>
  <c r="J82" i="3"/>
  <c r="K82" i="3"/>
  <c r="E82" i="3"/>
  <c r="E80" i="3"/>
  <c r="F80" i="3"/>
  <c r="G80" i="3"/>
  <c r="H80" i="3"/>
  <c r="I80" i="3"/>
  <c r="J80" i="3"/>
  <c r="K80" i="3"/>
  <c r="C410" i="7"/>
  <c r="C414" i="7"/>
  <c r="C412" i="7"/>
  <c r="C247" i="7"/>
  <c r="C249" i="7"/>
  <c r="C245" i="7"/>
  <c r="C84" i="7"/>
  <c r="C82" i="7"/>
  <c r="C80" i="7"/>
  <c r="C82" i="3"/>
  <c r="D133" i="5"/>
  <c r="F133" i="5"/>
  <c r="G133" i="5"/>
  <c r="F132" i="7" s="1"/>
  <c r="H133" i="5"/>
  <c r="G132" i="7" s="1"/>
  <c r="I133" i="5"/>
  <c r="H132" i="7" s="1"/>
  <c r="J133" i="5"/>
  <c r="K133" i="5"/>
  <c r="J132" i="7" s="1"/>
  <c r="L133" i="5"/>
  <c r="K132" i="7" s="1"/>
  <c r="D113" i="5"/>
  <c r="D112" i="5"/>
  <c r="F112" i="5"/>
  <c r="G112" i="5"/>
  <c r="H112" i="5"/>
  <c r="G111" i="7" s="1"/>
  <c r="I112" i="5"/>
  <c r="H111" i="7" s="1"/>
  <c r="J112" i="5"/>
  <c r="K112" i="5"/>
  <c r="J111" i="7" s="1"/>
  <c r="L112" i="5"/>
  <c r="K111" i="7" s="1"/>
  <c r="C590" i="7"/>
  <c r="C594" i="7"/>
  <c r="C245" i="3"/>
  <c r="E245" i="3"/>
  <c r="D82" i="5"/>
  <c r="C82" i="5"/>
  <c r="F82" i="5"/>
  <c r="G82" i="5"/>
  <c r="H82" i="5"/>
  <c r="I82" i="5"/>
  <c r="H247" i="7" s="1"/>
  <c r="J82" i="5"/>
  <c r="K82" i="5"/>
  <c r="L82" i="5"/>
  <c r="K592" i="7" s="1"/>
  <c r="C592" i="7"/>
  <c r="C249" i="3"/>
  <c r="C247" i="3"/>
  <c r="C250" i="3"/>
  <c r="C85" i="3"/>
  <c r="C80" i="3"/>
  <c r="D85" i="5"/>
  <c r="D84" i="5"/>
  <c r="C85" i="5"/>
  <c r="F85" i="5"/>
  <c r="G85" i="5"/>
  <c r="H85" i="5"/>
  <c r="G415" i="7" s="1"/>
  <c r="I85" i="5"/>
  <c r="H415" i="7" s="1"/>
  <c r="J85" i="5"/>
  <c r="I415" i="7" s="1"/>
  <c r="K85" i="5"/>
  <c r="J415" i="7" s="1"/>
  <c r="L85" i="5"/>
  <c r="K415" i="7" s="1"/>
  <c r="C84" i="5"/>
  <c r="F84" i="5"/>
  <c r="G84" i="5"/>
  <c r="H84" i="5"/>
  <c r="I84" i="5"/>
  <c r="J84" i="5"/>
  <c r="I84" i="7" s="1"/>
  <c r="K84" i="5"/>
  <c r="J249" i="7" s="1"/>
  <c r="L84" i="5"/>
  <c r="K249" i="7" s="1"/>
  <c r="X133" i="4"/>
  <c r="W133" i="4"/>
  <c r="V133" i="4"/>
  <c r="U133" i="4"/>
  <c r="T133" i="4"/>
  <c r="S133" i="4"/>
  <c r="R133" i="4"/>
  <c r="Q133" i="4"/>
  <c r="P133" i="4"/>
  <c r="O133" i="4"/>
  <c r="N133" i="4"/>
  <c r="M133" i="4"/>
  <c r="L133" i="4"/>
  <c r="K133" i="4"/>
  <c r="J133" i="4"/>
  <c r="I133" i="4"/>
  <c r="H133" i="4"/>
  <c r="G133" i="4"/>
  <c r="F133" i="4"/>
  <c r="E133" i="4"/>
  <c r="G112" i="4"/>
  <c r="H112" i="4"/>
  <c r="I112" i="4"/>
  <c r="J112" i="4"/>
  <c r="K112" i="4"/>
  <c r="L112" i="4"/>
  <c r="M112" i="4"/>
  <c r="N112" i="4"/>
  <c r="O112" i="4"/>
  <c r="P112" i="4"/>
  <c r="Q112" i="4"/>
  <c r="R112" i="4"/>
  <c r="S112" i="4"/>
  <c r="T112" i="4"/>
  <c r="U112" i="4"/>
  <c r="V112" i="4"/>
  <c r="W112" i="4"/>
  <c r="X112" i="4"/>
  <c r="F112" i="4"/>
  <c r="E112" i="4"/>
  <c r="F84" i="4"/>
  <c r="G84" i="4"/>
  <c r="H84" i="4"/>
  <c r="I84" i="4"/>
  <c r="J84" i="4"/>
  <c r="K84" i="4"/>
  <c r="L84" i="4"/>
  <c r="M84" i="4"/>
  <c r="N84" i="4"/>
  <c r="O84" i="4"/>
  <c r="P84" i="4"/>
  <c r="Q84" i="4"/>
  <c r="R84" i="4"/>
  <c r="S84" i="4"/>
  <c r="T84" i="4"/>
  <c r="U84" i="4"/>
  <c r="V84" i="4"/>
  <c r="W84" i="4"/>
  <c r="X84" i="4"/>
  <c r="E84" i="4"/>
  <c r="C84" i="4"/>
  <c r="C80" i="4"/>
  <c r="X80" i="3"/>
  <c r="X82" i="4"/>
  <c r="W82" i="4"/>
  <c r="V82" i="4"/>
  <c r="U82" i="4"/>
  <c r="T82" i="4"/>
  <c r="S82" i="4"/>
  <c r="R82" i="4"/>
  <c r="Q82" i="4"/>
  <c r="P82" i="4"/>
  <c r="O82" i="4"/>
  <c r="N82" i="4"/>
  <c r="M82" i="4"/>
  <c r="L82" i="4"/>
  <c r="K82" i="4"/>
  <c r="J82" i="4"/>
  <c r="I82" i="4"/>
  <c r="H82" i="4"/>
  <c r="G82" i="4"/>
  <c r="F82" i="4"/>
  <c r="E82" i="4"/>
  <c r="S18" i="8" l="1"/>
  <c r="R20" i="8"/>
  <c r="S17" i="8"/>
  <c r="S19" i="8"/>
  <c r="S805" i="7"/>
  <c r="S784" i="7"/>
  <c r="S416" i="3"/>
  <c r="S826" i="7"/>
  <c r="S763" i="7"/>
  <c r="S437" i="3"/>
  <c r="E132" i="7"/>
  <c r="M133" i="5"/>
  <c r="E111" i="7"/>
  <c r="M112" i="5"/>
  <c r="W96" i="5"/>
  <c r="X96" i="5" s="1"/>
  <c r="Y96" i="5" s="1"/>
  <c r="M61" i="5"/>
  <c r="E84" i="7"/>
  <c r="M84" i="5"/>
  <c r="N84" i="5" s="1"/>
  <c r="E415" i="7"/>
  <c r="M85" i="5"/>
  <c r="N85" i="5" s="1"/>
  <c r="O85" i="5" s="1"/>
  <c r="M82" i="5"/>
  <c r="N82" i="5" s="1"/>
  <c r="O82" i="5" s="1"/>
  <c r="X111" i="5"/>
  <c r="Y111" i="5" s="1"/>
  <c r="E645" i="7"/>
  <c r="M135" i="5"/>
  <c r="N135" i="5" s="1"/>
  <c r="P226" i="3"/>
  <c r="Q61" i="2"/>
  <c r="O46" i="13" s="1"/>
  <c r="O47" i="13" s="1"/>
  <c r="I643" i="7"/>
  <c r="I132" i="7"/>
  <c r="F442" i="7"/>
  <c r="F111" i="7"/>
  <c r="I442" i="7"/>
  <c r="I111" i="7"/>
  <c r="C132" i="5"/>
  <c r="C132" i="4"/>
  <c r="C132" i="3"/>
  <c r="C132" i="7"/>
  <c r="C111" i="3"/>
  <c r="C111" i="5"/>
  <c r="C111" i="7"/>
  <c r="C111" i="4"/>
  <c r="Q172" i="14"/>
  <c r="R166" i="14"/>
  <c r="R64" i="2"/>
  <c r="E465" i="7"/>
  <c r="K465" i="7"/>
  <c r="J465" i="7"/>
  <c r="C300" i="7"/>
  <c r="I465" i="7"/>
  <c r="L249" i="3"/>
  <c r="M112" i="3"/>
  <c r="L277" i="3"/>
  <c r="L135" i="3"/>
  <c r="F465" i="7"/>
  <c r="C300" i="3"/>
  <c r="C465" i="7"/>
  <c r="L300" i="3"/>
  <c r="C442" i="7"/>
  <c r="H465" i="7"/>
  <c r="G465" i="7"/>
  <c r="G645" i="7"/>
  <c r="F645" i="7"/>
  <c r="J463" i="7"/>
  <c r="F300" i="7"/>
  <c r="I463" i="7"/>
  <c r="H463" i="7"/>
  <c r="G463" i="7"/>
  <c r="K300" i="7"/>
  <c r="F463" i="7"/>
  <c r="J300" i="7"/>
  <c r="E300" i="7"/>
  <c r="I300" i="7"/>
  <c r="H300" i="7"/>
  <c r="K463" i="7"/>
  <c r="I277" i="7"/>
  <c r="C643" i="7"/>
  <c r="C463" i="7"/>
  <c r="C277" i="7"/>
  <c r="E298" i="7"/>
  <c r="C298" i="3"/>
  <c r="C298" i="7"/>
  <c r="I622" i="7"/>
  <c r="C622" i="7"/>
  <c r="C277" i="3"/>
  <c r="F622" i="7"/>
  <c r="E463" i="7"/>
  <c r="O80" i="3"/>
  <c r="L112" i="3"/>
  <c r="I298" i="7"/>
  <c r="E442" i="7"/>
  <c r="G594" i="7"/>
  <c r="G249" i="7"/>
  <c r="G414" i="7"/>
  <c r="I412" i="7"/>
  <c r="I592" i="7"/>
  <c r="H643" i="7"/>
  <c r="H298" i="7"/>
  <c r="V80" i="3"/>
  <c r="N80" i="3"/>
  <c r="F277" i="7"/>
  <c r="E622" i="7"/>
  <c r="E643" i="7"/>
  <c r="J247" i="7"/>
  <c r="J412" i="7"/>
  <c r="J592" i="7"/>
  <c r="W80" i="3"/>
  <c r="E277" i="7"/>
  <c r="E249" i="7"/>
  <c r="E594" i="7"/>
  <c r="G412" i="7"/>
  <c r="G592" i="7"/>
  <c r="G247" i="7"/>
  <c r="F643" i="7"/>
  <c r="F298" i="7"/>
  <c r="T80" i="3"/>
  <c r="K84" i="7"/>
  <c r="I247" i="7"/>
  <c r="E595" i="7"/>
  <c r="M80" i="3"/>
  <c r="F592" i="7"/>
  <c r="F247" i="7"/>
  <c r="K442" i="7"/>
  <c r="K622" i="7"/>
  <c r="K277" i="7"/>
  <c r="S80" i="3"/>
  <c r="J84" i="7"/>
  <c r="F415" i="7"/>
  <c r="F412" i="7"/>
  <c r="H594" i="7"/>
  <c r="H249" i="7"/>
  <c r="H84" i="7"/>
  <c r="G622" i="7"/>
  <c r="G277" i="7"/>
  <c r="G442" i="7"/>
  <c r="F594" i="7"/>
  <c r="F414" i="7"/>
  <c r="H412" i="7"/>
  <c r="H592" i="7"/>
  <c r="G643" i="7"/>
  <c r="G298" i="7"/>
  <c r="U80" i="3"/>
  <c r="K414" i="7"/>
  <c r="K594" i="7"/>
  <c r="E412" i="7"/>
  <c r="E592" i="7"/>
  <c r="J622" i="7"/>
  <c r="J277" i="7"/>
  <c r="R80" i="3"/>
  <c r="E247" i="7"/>
  <c r="J442" i="7"/>
  <c r="J414" i="7"/>
  <c r="J594" i="7"/>
  <c r="K643" i="7"/>
  <c r="K298" i="7"/>
  <c r="Q80" i="3"/>
  <c r="G84" i="7"/>
  <c r="F249" i="7"/>
  <c r="J643" i="7"/>
  <c r="I414" i="7"/>
  <c r="I594" i="7"/>
  <c r="I249" i="7"/>
  <c r="K247" i="7"/>
  <c r="K412" i="7"/>
  <c r="H622" i="7"/>
  <c r="H277" i="7"/>
  <c r="H442" i="7"/>
  <c r="L80" i="3"/>
  <c r="P80" i="3"/>
  <c r="F84" i="7"/>
  <c r="J298" i="7"/>
  <c r="E414" i="7"/>
  <c r="H414" i="7"/>
  <c r="T17" i="8" l="1"/>
  <c r="T19" i="8"/>
  <c r="T826" i="7"/>
  <c r="T437" i="3"/>
  <c r="T805" i="7"/>
  <c r="T763" i="7"/>
  <c r="T784" i="7"/>
  <c r="T416" i="3"/>
  <c r="T18" i="8"/>
  <c r="S20" i="8"/>
  <c r="N61" i="5"/>
  <c r="M391" i="7" s="1"/>
  <c r="L391" i="7"/>
  <c r="O84" i="5"/>
  <c r="P84" i="5" s="1"/>
  <c r="Q84" i="5" s="1"/>
  <c r="O135" i="5"/>
  <c r="P82" i="5"/>
  <c r="Q82" i="5" s="1"/>
  <c r="R82" i="5" s="1"/>
  <c r="P85" i="5"/>
  <c r="Q85" i="5" s="1"/>
  <c r="N112" i="5"/>
  <c r="O112" i="5" s="1"/>
  <c r="N133" i="5"/>
  <c r="O133" i="5" s="1"/>
  <c r="R61" i="2"/>
  <c r="P46" i="13" s="1"/>
  <c r="P47" i="13" s="1"/>
  <c r="Q226" i="3"/>
  <c r="R172" i="14"/>
  <c r="S166" i="14"/>
  <c r="S64" i="2"/>
  <c r="M249" i="3"/>
  <c r="M300" i="3"/>
  <c r="M135" i="3"/>
  <c r="M277" i="3"/>
  <c r="L247" i="3"/>
  <c r="C82" i="4"/>
  <c r="O61" i="5" l="1"/>
  <c r="N391" i="7" s="1"/>
  <c r="U18" i="8"/>
  <c r="T20" i="8"/>
  <c r="E38" i="8"/>
  <c r="E37" i="8"/>
  <c r="E54" i="8"/>
  <c r="E53" i="8"/>
  <c r="U19" i="8"/>
  <c r="U437" i="3"/>
  <c r="U826" i="7"/>
  <c r="U805" i="7"/>
  <c r="U784" i="7"/>
  <c r="U416" i="3"/>
  <c r="U763" i="7"/>
  <c r="U17" i="8"/>
  <c r="P112" i="5"/>
  <c r="Q112" i="5" s="1"/>
  <c r="R112" i="5" s="1"/>
  <c r="S112" i="5" s="1"/>
  <c r="T112" i="5" s="1"/>
  <c r="U112" i="5" s="1"/>
  <c r="V112" i="5" s="1"/>
  <c r="S82" i="5"/>
  <c r="T82" i="5" s="1"/>
  <c r="R84" i="5"/>
  <c r="S84" i="5" s="1"/>
  <c r="T84" i="5" s="1"/>
  <c r="U84" i="5" s="1"/>
  <c r="V84" i="5" s="1"/>
  <c r="W84" i="5" s="1"/>
  <c r="X84" i="5" s="1"/>
  <c r="P61" i="5"/>
  <c r="O391" i="7" s="1"/>
  <c r="P135" i="5"/>
  <c r="Q135" i="5" s="1"/>
  <c r="R135" i="5" s="1"/>
  <c r="P133" i="5"/>
  <c r="R85" i="5"/>
  <c r="S61" i="2"/>
  <c r="Q46" i="13" s="1"/>
  <c r="Q47" i="13" s="1"/>
  <c r="R226" i="3"/>
  <c r="T166" i="14"/>
  <c r="S172" i="14"/>
  <c r="T64" i="2"/>
  <c r="N277" i="3"/>
  <c r="N112" i="3"/>
  <c r="L298" i="3"/>
  <c r="L133" i="3"/>
  <c r="N300" i="3"/>
  <c r="N135" i="3"/>
  <c r="N249" i="3"/>
  <c r="M247" i="3"/>
  <c r="L82" i="3"/>
  <c r="E227" i="4"/>
  <c r="V19" i="8" l="1"/>
  <c r="V763" i="7"/>
  <c r="V437" i="3"/>
  <c r="V826" i="7"/>
  <c r="V784" i="7"/>
  <c r="V805" i="7"/>
  <c r="V416" i="3"/>
  <c r="V17" i="8"/>
  <c r="V18" i="8"/>
  <c r="U20" i="8"/>
  <c r="Q61" i="5"/>
  <c r="U82" i="5"/>
  <c r="V82" i="5" s="1"/>
  <c r="Q133" i="5"/>
  <c r="R133" i="5" s="1"/>
  <c r="S85" i="5"/>
  <c r="T85" i="5" s="1"/>
  <c r="U85" i="5" s="1"/>
  <c r="S135" i="5"/>
  <c r="T135" i="5" s="1"/>
  <c r="U135" i="5" s="1"/>
  <c r="W112" i="5"/>
  <c r="X112" i="5" s="1"/>
  <c r="Y112" i="5" s="1"/>
  <c r="Y84" i="5"/>
  <c r="T61" i="2"/>
  <c r="R46" i="13" s="1"/>
  <c r="R47" i="13" s="1"/>
  <c r="S226" i="3"/>
  <c r="U166" i="14"/>
  <c r="T172" i="14"/>
  <c r="U64" i="2"/>
  <c r="O300" i="3"/>
  <c r="O135" i="3"/>
  <c r="M133" i="3"/>
  <c r="M298" i="3"/>
  <c r="O249" i="3"/>
  <c r="O277" i="3"/>
  <c r="O112" i="3"/>
  <c r="N247" i="3"/>
  <c r="M82" i="3"/>
  <c r="W17" i="8" l="1"/>
  <c r="W18" i="8"/>
  <c r="V20" i="8"/>
  <c r="W19" i="8"/>
  <c r="W763" i="7"/>
  <c r="W437" i="3"/>
  <c r="W826" i="7"/>
  <c r="W416" i="3"/>
  <c r="W805" i="7"/>
  <c r="W784" i="7"/>
  <c r="R61" i="5"/>
  <c r="Q391" i="7" s="1"/>
  <c r="P391" i="7"/>
  <c r="W82" i="5"/>
  <c r="X82" i="5" s="1"/>
  <c r="Y82" i="5" s="1"/>
  <c r="V135" i="5"/>
  <c r="W135" i="5" s="1"/>
  <c r="S133" i="5"/>
  <c r="T133" i="5" s="1"/>
  <c r="U133" i="5" s="1"/>
  <c r="V133" i="5" s="1"/>
  <c r="W133" i="5" s="1"/>
  <c r="X133" i="5" s="1"/>
  <c r="Y133" i="5" s="1"/>
  <c r="V85" i="5"/>
  <c r="W85" i="5" s="1"/>
  <c r="X85" i="5" s="1"/>
  <c r="Y85" i="5" s="1"/>
  <c r="U61" i="2"/>
  <c r="S46" i="13" s="1"/>
  <c r="S47" i="13" s="1"/>
  <c r="T226" i="3"/>
  <c r="V166" i="14"/>
  <c r="U172" i="14"/>
  <c r="V64" i="2"/>
  <c r="P277" i="3"/>
  <c r="P112" i="3"/>
  <c r="P135" i="3"/>
  <c r="P300" i="3"/>
  <c r="P249" i="3"/>
  <c r="N133" i="3"/>
  <c r="N298" i="3"/>
  <c r="O247" i="3"/>
  <c r="N82" i="3"/>
  <c r="X110" i="14"/>
  <c r="W110" i="14"/>
  <c r="D110" i="14"/>
  <c r="E110" i="14"/>
  <c r="F110" i="14"/>
  <c r="G110" i="14"/>
  <c r="H110" i="14"/>
  <c r="I110" i="14"/>
  <c r="J110" i="14"/>
  <c r="K110" i="14"/>
  <c r="L110" i="14"/>
  <c r="M110" i="14"/>
  <c r="N110" i="14"/>
  <c r="O110" i="14"/>
  <c r="P110" i="14"/>
  <c r="Q110" i="14"/>
  <c r="R110" i="14"/>
  <c r="S110" i="14"/>
  <c r="T110" i="14"/>
  <c r="U110" i="14"/>
  <c r="V110" i="14"/>
  <c r="C110" i="14"/>
  <c r="H172" i="14"/>
  <c r="D178" i="14"/>
  <c r="E194" i="14"/>
  <c r="F194" i="14"/>
  <c r="G194" i="14"/>
  <c r="H194" i="14"/>
  <c r="I194" i="14"/>
  <c r="J194" i="14"/>
  <c r="L194" i="14"/>
  <c r="M194" i="14"/>
  <c r="N194" i="14"/>
  <c r="O194" i="14"/>
  <c r="P194" i="14"/>
  <c r="Q194" i="14"/>
  <c r="R194" i="14"/>
  <c r="S194" i="14"/>
  <c r="T194" i="14"/>
  <c r="U194" i="14"/>
  <c r="V194" i="14"/>
  <c r="W194" i="14"/>
  <c r="E195" i="14"/>
  <c r="F195" i="14"/>
  <c r="G195" i="14"/>
  <c r="H195" i="14"/>
  <c r="I195" i="14"/>
  <c r="J195" i="14"/>
  <c r="L195" i="14"/>
  <c r="M195" i="14"/>
  <c r="N195" i="14"/>
  <c r="O195" i="14"/>
  <c r="P195" i="14"/>
  <c r="Q195" i="14"/>
  <c r="R195" i="14"/>
  <c r="S195" i="14"/>
  <c r="T195" i="14"/>
  <c r="U195" i="14"/>
  <c r="V195" i="14"/>
  <c r="W195" i="14"/>
  <c r="W20" i="8" l="1"/>
  <c r="F38" i="8" s="1"/>
  <c r="S61" i="5"/>
  <c r="R391" i="7" s="1"/>
  <c r="X784" i="7"/>
  <c r="X416" i="3"/>
  <c r="X763" i="7"/>
  <c r="X437" i="3"/>
  <c r="X826" i="7"/>
  <c r="X805" i="7"/>
  <c r="X135" i="5"/>
  <c r="Y135" i="5" s="1"/>
  <c r="V61" i="2"/>
  <c r="T46" i="13" s="1"/>
  <c r="T47" i="13" s="1"/>
  <c r="U226" i="3"/>
  <c r="W166" i="14"/>
  <c r="W172" i="14" s="1"/>
  <c r="V172" i="14"/>
  <c r="W64" i="2"/>
  <c r="Q135" i="3"/>
  <c r="Q300" i="3"/>
  <c r="Q249" i="3"/>
  <c r="O133" i="3"/>
  <c r="O298" i="3"/>
  <c r="Q277" i="3"/>
  <c r="Q112" i="3"/>
  <c r="P247" i="3"/>
  <c r="O82" i="3"/>
  <c r="E190" i="14"/>
  <c r="F190" i="14"/>
  <c r="G190" i="14"/>
  <c r="H190" i="14"/>
  <c r="I190" i="14"/>
  <c r="J190" i="14"/>
  <c r="K190" i="14"/>
  <c r="L190" i="14"/>
  <c r="M190" i="14"/>
  <c r="N190" i="14"/>
  <c r="O190" i="14"/>
  <c r="P190" i="14"/>
  <c r="Q190" i="14"/>
  <c r="R190" i="14"/>
  <c r="S190" i="14"/>
  <c r="T190" i="14"/>
  <c r="U190" i="14"/>
  <c r="V190" i="14"/>
  <c r="W190" i="14"/>
  <c r="D190" i="14"/>
  <c r="F54" i="8" l="1"/>
  <c r="F53" i="8"/>
  <c r="F37" i="8"/>
  <c r="T61" i="5"/>
  <c r="U61" i="5" s="1"/>
  <c r="T391" i="7" s="1"/>
  <c r="W61" i="2"/>
  <c r="U46" i="13" s="1"/>
  <c r="U47" i="13" s="1"/>
  <c r="V226" i="3"/>
  <c r="X64" i="2"/>
  <c r="P298" i="3"/>
  <c r="P133" i="3"/>
  <c r="R277" i="3"/>
  <c r="R112" i="3"/>
  <c r="R249" i="3"/>
  <c r="R300" i="3"/>
  <c r="R135" i="3"/>
  <c r="Q247" i="3"/>
  <c r="P82" i="3"/>
  <c r="E179" i="14"/>
  <c r="F179" i="14"/>
  <c r="G179" i="14"/>
  <c r="H179" i="14"/>
  <c r="I179" i="14"/>
  <c r="J179" i="14"/>
  <c r="K179" i="14"/>
  <c r="L179" i="14"/>
  <c r="M179" i="14"/>
  <c r="N179" i="14"/>
  <c r="O179" i="14"/>
  <c r="P179" i="14"/>
  <c r="Q179" i="14"/>
  <c r="R179" i="14"/>
  <c r="S179" i="14"/>
  <c r="T179" i="14"/>
  <c r="U179" i="14"/>
  <c r="V179" i="14"/>
  <c r="W179" i="14"/>
  <c r="E180" i="14"/>
  <c r="F180" i="14"/>
  <c r="G180" i="14"/>
  <c r="H180" i="14"/>
  <c r="I180" i="14"/>
  <c r="J180" i="14"/>
  <c r="K180" i="14"/>
  <c r="L180" i="14"/>
  <c r="M180" i="14"/>
  <c r="N180" i="14"/>
  <c r="O180" i="14"/>
  <c r="P180" i="14"/>
  <c r="Q180" i="14"/>
  <c r="R180" i="14"/>
  <c r="S180" i="14"/>
  <c r="T180" i="14"/>
  <c r="U180" i="14"/>
  <c r="V180" i="14"/>
  <c r="W180" i="14"/>
  <c r="D180" i="14"/>
  <c r="D179" i="14"/>
  <c r="E178" i="14"/>
  <c r="F178" i="14"/>
  <c r="G178" i="14"/>
  <c r="H178" i="14"/>
  <c r="I178" i="14"/>
  <c r="J178" i="14"/>
  <c r="K178" i="14"/>
  <c r="L178" i="14"/>
  <c r="M178" i="14"/>
  <c r="N178" i="14"/>
  <c r="O178" i="14"/>
  <c r="P178" i="14"/>
  <c r="Q178" i="14"/>
  <c r="R178" i="14"/>
  <c r="S178" i="14"/>
  <c r="T178" i="14"/>
  <c r="U178" i="14"/>
  <c r="V178" i="14"/>
  <c r="W178" i="14"/>
  <c r="E238" i="14"/>
  <c r="E240" i="14" s="1"/>
  <c r="F238" i="14"/>
  <c r="F240" i="14" s="1"/>
  <c r="G238" i="14"/>
  <c r="G240" i="14" s="1"/>
  <c r="H238" i="14"/>
  <c r="H239" i="14" s="1"/>
  <c r="I238" i="14"/>
  <c r="I239" i="14" s="1"/>
  <c r="J238" i="14"/>
  <c r="J239" i="14" s="1"/>
  <c r="K238" i="14"/>
  <c r="K239" i="14" s="1"/>
  <c r="L238" i="14"/>
  <c r="L240" i="14" s="1"/>
  <c r="M238" i="14"/>
  <c r="M240" i="14" s="1"/>
  <c r="N238" i="14"/>
  <c r="N240" i="14" s="1"/>
  <c r="O238" i="14"/>
  <c r="O240" i="14" s="1"/>
  <c r="P238" i="14"/>
  <c r="P239" i="14" s="1"/>
  <c r="Q238" i="14"/>
  <c r="Q239" i="14" s="1"/>
  <c r="R238" i="14"/>
  <c r="R239" i="14" s="1"/>
  <c r="S238" i="14"/>
  <c r="S239" i="14" s="1"/>
  <c r="T238" i="14"/>
  <c r="T240" i="14" s="1"/>
  <c r="U238" i="14"/>
  <c r="U240" i="14" s="1"/>
  <c r="V238" i="14"/>
  <c r="V240" i="14" s="1"/>
  <c r="W238" i="14"/>
  <c r="W240" i="14" s="1"/>
  <c r="D238" i="14"/>
  <c r="D240" i="14" s="1"/>
  <c r="E232" i="14"/>
  <c r="E233" i="14" s="1"/>
  <c r="F232" i="14"/>
  <c r="F233" i="14" s="1"/>
  <c r="G232" i="14"/>
  <c r="G233" i="14" s="1"/>
  <c r="H232" i="14"/>
  <c r="H234" i="14" s="1"/>
  <c r="I232" i="14"/>
  <c r="I234" i="14" s="1"/>
  <c r="J232" i="14"/>
  <c r="J234" i="14" s="1"/>
  <c r="K232" i="14"/>
  <c r="K234" i="14" s="1"/>
  <c r="L232" i="14"/>
  <c r="L233" i="14" s="1"/>
  <c r="M232" i="14"/>
  <c r="M233" i="14" s="1"/>
  <c r="N232" i="14"/>
  <c r="N233" i="14" s="1"/>
  <c r="O232" i="14"/>
  <c r="O233" i="14" s="1"/>
  <c r="P232" i="14"/>
  <c r="P234" i="14" s="1"/>
  <c r="Q232" i="14"/>
  <c r="Q234" i="14" s="1"/>
  <c r="R232" i="14"/>
  <c r="R234" i="14" s="1"/>
  <c r="S232" i="14"/>
  <c r="S234" i="14" s="1"/>
  <c r="T232" i="14"/>
  <c r="T233" i="14" s="1"/>
  <c r="U232" i="14"/>
  <c r="U233" i="14" s="1"/>
  <c r="V232" i="14"/>
  <c r="V233" i="14" s="1"/>
  <c r="W232" i="14"/>
  <c r="W233" i="14" s="1"/>
  <c r="D232" i="14"/>
  <c r="D233" i="14" s="1"/>
  <c r="E226" i="14"/>
  <c r="E228" i="14" s="1"/>
  <c r="F226" i="14"/>
  <c r="F228" i="14" s="1"/>
  <c r="G226" i="14"/>
  <c r="G228" i="14" s="1"/>
  <c r="H226" i="14"/>
  <c r="H227" i="14" s="1"/>
  <c r="I226" i="14"/>
  <c r="I227" i="14" s="1"/>
  <c r="J226" i="14"/>
  <c r="J227" i="14" s="1"/>
  <c r="K226" i="14"/>
  <c r="K227" i="14" s="1"/>
  <c r="L226" i="14"/>
  <c r="L228" i="14" s="1"/>
  <c r="M226" i="14"/>
  <c r="M228" i="14" s="1"/>
  <c r="N226" i="14"/>
  <c r="N228" i="14" s="1"/>
  <c r="O226" i="14"/>
  <c r="O228" i="14" s="1"/>
  <c r="P226" i="14"/>
  <c r="P227" i="14" s="1"/>
  <c r="Q226" i="14"/>
  <c r="Q227" i="14" s="1"/>
  <c r="R226" i="14"/>
  <c r="R227" i="14" s="1"/>
  <c r="S226" i="14"/>
  <c r="S227" i="14" s="1"/>
  <c r="T226" i="14"/>
  <c r="T228" i="14" s="1"/>
  <c r="U226" i="14"/>
  <c r="U228" i="14" s="1"/>
  <c r="V226" i="14"/>
  <c r="V228" i="14" s="1"/>
  <c r="W226" i="14"/>
  <c r="W228" i="14" s="1"/>
  <c r="D226" i="14"/>
  <c r="D228" i="14" s="1"/>
  <c r="W193" i="14"/>
  <c r="V193" i="14"/>
  <c r="U193" i="14"/>
  <c r="T193" i="14"/>
  <c r="S193" i="14"/>
  <c r="R193" i="14"/>
  <c r="Q193" i="14"/>
  <c r="P193" i="14"/>
  <c r="O193" i="14"/>
  <c r="N193" i="14"/>
  <c r="M193" i="14"/>
  <c r="L193" i="14"/>
  <c r="K193" i="14"/>
  <c r="J193" i="14"/>
  <c r="I193" i="14"/>
  <c r="H193" i="14"/>
  <c r="G193" i="14"/>
  <c r="F193" i="14"/>
  <c r="E193" i="14"/>
  <c r="D193" i="14"/>
  <c r="J199" i="14"/>
  <c r="J207" i="14" s="1"/>
  <c r="I199" i="14"/>
  <c r="I207" i="14" s="1"/>
  <c r="F199" i="14"/>
  <c r="F207" i="14" s="1"/>
  <c r="E199" i="14"/>
  <c r="E207" i="14" s="1"/>
  <c r="I200" i="14"/>
  <c r="I204" i="14" s="1"/>
  <c r="I206" i="14" s="1"/>
  <c r="L176" i="14"/>
  <c r="K176" i="14"/>
  <c r="J176" i="14"/>
  <c r="I176" i="14"/>
  <c r="H176" i="14"/>
  <c r="G176" i="14"/>
  <c r="F176" i="14"/>
  <c r="E176" i="14"/>
  <c r="D176" i="14"/>
  <c r="J175" i="14"/>
  <c r="I175" i="14"/>
  <c r="H175" i="14"/>
  <c r="G175" i="14"/>
  <c r="F175" i="14"/>
  <c r="E175" i="14"/>
  <c r="D175" i="14"/>
  <c r="J172" i="14"/>
  <c r="I172" i="14"/>
  <c r="G172" i="14"/>
  <c r="F172" i="14"/>
  <c r="E172" i="14"/>
  <c r="D172" i="14"/>
  <c r="C170" i="14"/>
  <c r="C171" i="14" s="1"/>
  <c r="C172" i="14" s="1"/>
  <c r="C173" i="14" s="1"/>
  <c r="C174" i="14" s="1"/>
  <c r="C175" i="14" s="1"/>
  <c r="C176" i="14" s="1"/>
  <c r="S391" i="7" l="1"/>
  <c r="V61" i="5"/>
  <c r="X61" i="2"/>
  <c r="V46" i="13" s="1"/>
  <c r="V47" i="13" s="1"/>
  <c r="W226" i="3"/>
  <c r="K191" i="14"/>
  <c r="K173" i="14"/>
  <c r="K194" i="14"/>
  <c r="K199" i="14" s="1"/>
  <c r="K207" i="14" s="1"/>
  <c r="K195" i="14"/>
  <c r="S249" i="3"/>
  <c r="S277" i="3"/>
  <c r="S112" i="3"/>
  <c r="S300" i="3"/>
  <c r="S135" i="3"/>
  <c r="Q298" i="3"/>
  <c r="Q133" i="3"/>
  <c r="R247" i="3"/>
  <c r="Q82" i="3"/>
  <c r="D195" i="14"/>
  <c r="D194" i="14"/>
  <c r="J200" i="14"/>
  <c r="J204" i="14" s="1"/>
  <c r="J206" i="14" s="1"/>
  <c r="M191" i="14"/>
  <c r="M199" i="14" s="1"/>
  <c r="M207" i="14" s="1"/>
  <c r="V191" i="14"/>
  <c r="V199" i="14" s="1"/>
  <c r="V207" i="14" s="1"/>
  <c r="N191" i="14"/>
  <c r="N199" i="14" s="1"/>
  <c r="N207" i="14" s="1"/>
  <c r="F191" i="14"/>
  <c r="U191" i="14"/>
  <c r="U199" i="14" s="1"/>
  <c r="U207" i="14" s="1"/>
  <c r="E191" i="14"/>
  <c r="G191" i="14"/>
  <c r="G199" i="14" s="1"/>
  <c r="G207" i="14" s="1"/>
  <c r="O191" i="14"/>
  <c r="O199" i="14" s="1"/>
  <c r="O207" i="14" s="1"/>
  <c r="W191" i="14"/>
  <c r="W199" i="14" s="1"/>
  <c r="W207" i="14" s="1"/>
  <c r="T227" i="14"/>
  <c r="H191" i="14"/>
  <c r="H199" i="14" s="1"/>
  <c r="H207" i="14" s="1"/>
  <c r="P191" i="14"/>
  <c r="P199" i="14" s="1"/>
  <c r="P207" i="14" s="1"/>
  <c r="I191" i="14"/>
  <c r="Q191" i="14"/>
  <c r="E200" i="14"/>
  <c r="E204" i="14" s="1"/>
  <c r="E206" i="14" s="1"/>
  <c r="P233" i="14"/>
  <c r="J191" i="14"/>
  <c r="R191" i="14"/>
  <c r="R199" i="14" s="1"/>
  <c r="R207" i="14" s="1"/>
  <c r="F200" i="14"/>
  <c r="F204" i="14" s="1"/>
  <c r="F206" i="14" s="1"/>
  <c r="S191" i="14"/>
  <c r="W227" i="14"/>
  <c r="D191" i="14"/>
  <c r="L191" i="14"/>
  <c r="L199" i="14" s="1"/>
  <c r="L207" i="14" s="1"/>
  <c r="T191" i="14"/>
  <c r="T199" i="14" s="1"/>
  <c r="T207" i="14" s="1"/>
  <c r="H200" i="14"/>
  <c r="H204" i="14" s="1"/>
  <c r="H206" i="14" s="1"/>
  <c r="D227" i="14"/>
  <c r="G227" i="14"/>
  <c r="D239" i="14"/>
  <c r="L227" i="14"/>
  <c r="H233" i="14"/>
  <c r="L239" i="14"/>
  <c r="O227" i="14"/>
  <c r="K233" i="14"/>
  <c r="T239" i="14"/>
  <c r="H228" i="14"/>
  <c r="P228" i="14"/>
  <c r="D234" i="14"/>
  <c r="L234" i="14"/>
  <c r="T234" i="14"/>
  <c r="H240" i="14"/>
  <c r="P240" i="14"/>
  <c r="E227" i="14"/>
  <c r="M227" i="14"/>
  <c r="U227" i="14"/>
  <c r="I228" i="14"/>
  <c r="Q228" i="14"/>
  <c r="I233" i="14"/>
  <c r="J234" i="3" s="1"/>
  <c r="Q233" i="14"/>
  <c r="E234" i="14"/>
  <c r="M234" i="14"/>
  <c r="U234" i="14"/>
  <c r="E239" i="14"/>
  <c r="M239" i="14"/>
  <c r="U239" i="14"/>
  <c r="I240" i="14"/>
  <c r="Q240" i="14"/>
  <c r="F227" i="14"/>
  <c r="N227" i="14"/>
  <c r="V227" i="14"/>
  <c r="J228" i="14"/>
  <c r="R228" i="14"/>
  <c r="J233" i="14"/>
  <c r="R233" i="14"/>
  <c r="F234" i="14"/>
  <c r="N234" i="14"/>
  <c r="V234" i="14"/>
  <c r="F239" i="14"/>
  <c r="N239" i="14"/>
  <c r="V239" i="14"/>
  <c r="J240" i="14"/>
  <c r="R240" i="14"/>
  <c r="K228" i="14"/>
  <c r="S228" i="14"/>
  <c r="S233" i="14"/>
  <c r="G234" i="14"/>
  <c r="O234" i="14"/>
  <c r="W234" i="14"/>
  <c r="G239" i="14"/>
  <c r="O239" i="14"/>
  <c r="W239" i="14"/>
  <c r="K240" i="14"/>
  <c r="S240" i="14"/>
  <c r="D149" i="14"/>
  <c r="E149" i="14" s="1"/>
  <c r="F149" i="14" s="1"/>
  <c r="G149" i="14" s="1"/>
  <c r="H149" i="14" s="1"/>
  <c r="I149" i="14" s="1"/>
  <c r="J149" i="14" s="1"/>
  <c r="K149" i="14" s="1"/>
  <c r="L149" i="14" s="1"/>
  <c r="M149" i="14" s="1"/>
  <c r="D148" i="14"/>
  <c r="E148" i="14" s="1"/>
  <c r="F148" i="14" s="1"/>
  <c r="G148" i="14" s="1"/>
  <c r="H148" i="14" s="1"/>
  <c r="I148" i="14" s="1"/>
  <c r="J148" i="14" s="1"/>
  <c r="K148" i="14" s="1"/>
  <c r="L148" i="14" s="1"/>
  <c r="M148" i="14" s="1"/>
  <c r="D147" i="14"/>
  <c r="E147" i="14" s="1"/>
  <c r="F147" i="14" s="1"/>
  <c r="G147" i="14" s="1"/>
  <c r="H147" i="14" s="1"/>
  <c r="I147" i="14" s="1"/>
  <c r="J147" i="14" s="1"/>
  <c r="K147" i="14" s="1"/>
  <c r="L147" i="14" s="1"/>
  <c r="M147" i="14" s="1"/>
  <c r="D146" i="14"/>
  <c r="E146" i="14" s="1"/>
  <c r="F146" i="14" s="1"/>
  <c r="G146" i="14" s="1"/>
  <c r="H146" i="14" s="1"/>
  <c r="I146" i="14" s="1"/>
  <c r="J146" i="14" s="1"/>
  <c r="K146" i="14" s="1"/>
  <c r="L146" i="14" s="1"/>
  <c r="M146" i="14" s="1"/>
  <c r="D145" i="14"/>
  <c r="E145" i="14" s="1"/>
  <c r="D144" i="14"/>
  <c r="E144" i="14" s="1"/>
  <c r="F144" i="14" s="1"/>
  <c r="G144" i="14" s="1"/>
  <c r="H144" i="14" s="1"/>
  <c r="I144" i="14" s="1"/>
  <c r="J144" i="14" s="1"/>
  <c r="K144" i="14" s="1"/>
  <c r="L144" i="14" s="1"/>
  <c r="M144" i="14" s="1"/>
  <c r="D143" i="14"/>
  <c r="E143" i="14" s="1"/>
  <c r="F143" i="14" s="1"/>
  <c r="G143" i="14" s="1"/>
  <c r="H143" i="14" s="1"/>
  <c r="I143" i="14" s="1"/>
  <c r="J143" i="14" s="1"/>
  <c r="K143" i="14" s="1"/>
  <c r="L143" i="14" s="1"/>
  <c r="M143" i="14" s="1"/>
  <c r="D142" i="14"/>
  <c r="E142" i="14" s="1"/>
  <c r="D141" i="14"/>
  <c r="E141" i="14" s="1"/>
  <c r="F141" i="14" s="1"/>
  <c r="G141" i="14" s="1"/>
  <c r="H141" i="14" s="1"/>
  <c r="I141" i="14" s="1"/>
  <c r="J141" i="14" s="1"/>
  <c r="K141" i="14" s="1"/>
  <c r="L141" i="14" s="1"/>
  <c r="M141" i="14" s="1"/>
  <c r="D140" i="14"/>
  <c r="E140" i="14" s="1"/>
  <c r="F140" i="14" s="1"/>
  <c r="G140" i="14" s="1"/>
  <c r="H140" i="14" s="1"/>
  <c r="I140" i="14" s="1"/>
  <c r="J140" i="14" s="1"/>
  <c r="K140" i="14" s="1"/>
  <c r="L140" i="14" s="1"/>
  <c r="M140" i="14" s="1"/>
  <c r="D139" i="14"/>
  <c r="E139" i="14" s="1"/>
  <c r="F139" i="14" s="1"/>
  <c r="G139" i="14" s="1"/>
  <c r="H139" i="14" s="1"/>
  <c r="I139" i="14" s="1"/>
  <c r="J139" i="14" s="1"/>
  <c r="K139" i="14" s="1"/>
  <c r="L139" i="14" s="1"/>
  <c r="M139" i="14" s="1"/>
  <c r="D138" i="14"/>
  <c r="E138" i="14" s="1"/>
  <c r="F138" i="14" s="1"/>
  <c r="G138" i="14" s="1"/>
  <c r="H138" i="14" s="1"/>
  <c r="I138" i="14" s="1"/>
  <c r="J138" i="14" s="1"/>
  <c r="K138" i="14" s="1"/>
  <c r="L138" i="14" s="1"/>
  <c r="M138" i="14" s="1"/>
  <c r="D137" i="14"/>
  <c r="E137" i="14" s="1"/>
  <c r="F137" i="14" s="1"/>
  <c r="G137" i="14" s="1"/>
  <c r="H137" i="14" s="1"/>
  <c r="I137" i="14" s="1"/>
  <c r="J137" i="14" s="1"/>
  <c r="K137" i="14" s="1"/>
  <c r="L137" i="14" s="1"/>
  <c r="M137" i="14" s="1"/>
  <c r="D136" i="14"/>
  <c r="E136" i="14" s="1"/>
  <c r="F136" i="14" s="1"/>
  <c r="G136" i="14" s="1"/>
  <c r="H136" i="14" s="1"/>
  <c r="I136" i="14" s="1"/>
  <c r="J136" i="14" s="1"/>
  <c r="K136" i="14" s="1"/>
  <c r="L136" i="14" s="1"/>
  <c r="M136" i="14" s="1"/>
  <c r="D135" i="14"/>
  <c r="E135" i="14" s="1"/>
  <c r="F135" i="14" s="1"/>
  <c r="G135" i="14" s="1"/>
  <c r="H135" i="14" s="1"/>
  <c r="I135" i="14" s="1"/>
  <c r="J135" i="14" s="1"/>
  <c r="K135" i="14" s="1"/>
  <c r="L135" i="14" s="1"/>
  <c r="M135" i="14" s="1"/>
  <c r="D134" i="14"/>
  <c r="S129" i="14"/>
  <c r="T129" i="14" s="1"/>
  <c r="U129" i="14" s="1"/>
  <c r="V129" i="14" s="1"/>
  <c r="J129" i="14"/>
  <c r="K129" i="14" s="1"/>
  <c r="L129" i="14" s="1"/>
  <c r="M129" i="14" s="1"/>
  <c r="S128" i="14"/>
  <c r="T128" i="14" s="1"/>
  <c r="U128" i="14" s="1"/>
  <c r="V128" i="14" s="1"/>
  <c r="J128" i="14"/>
  <c r="K128" i="14" s="1"/>
  <c r="L128" i="14" s="1"/>
  <c r="M128" i="14" s="1"/>
  <c r="S126" i="14"/>
  <c r="T126" i="14" s="1"/>
  <c r="U126" i="14" s="1"/>
  <c r="V126" i="14" s="1"/>
  <c r="J126" i="14"/>
  <c r="K126" i="14" s="1"/>
  <c r="L126" i="14" s="1"/>
  <c r="M126" i="14" s="1"/>
  <c r="S125" i="14"/>
  <c r="J125" i="14"/>
  <c r="S124" i="14"/>
  <c r="T124" i="14" s="1"/>
  <c r="U124" i="14" s="1"/>
  <c r="V124" i="14" s="1"/>
  <c r="J124" i="14"/>
  <c r="K124" i="14" s="1"/>
  <c r="L124" i="14" s="1"/>
  <c r="M124" i="14" s="1"/>
  <c r="N124" i="14" s="1"/>
  <c r="S123" i="14"/>
  <c r="T123" i="14" s="1"/>
  <c r="U123" i="14" s="1"/>
  <c r="V123" i="14" s="1"/>
  <c r="J123" i="14"/>
  <c r="K123" i="14" s="1"/>
  <c r="L123" i="14" s="1"/>
  <c r="M123" i="14" s="1"/>
  <c r="J122" i="14"/>
  <c r="K122" i="14" s="1"/>
  <c r="S121" i="14"/>
  <c r="T121" i="14" s="1"/>
  <c r="U121" i="14" s="1"/>
  <c r="V121" i="14" s="1"/>
  <c r="J121" i="14"/>
  <c r="K121" i="14" s="1"/>
  <c r="L121" i="14" s="1"/>
  <c r="M121" i="14" s="1"/>
  <c r="J120" i="14"/>
  <c r="K120" i="14" s="1"/>
  <c r="L120" i="14" s="1"/>
  <c r="M120" i="14" s="1"/>
  <c r="P120" i="14" s="1"/>
  <c r="J119" i="14"/>
  <c r="K119" i="14" s="1"/>
  <c r="L119" i="14" s="1"/>
  <c r="M119" i="14" s="1"/>
  <c r="P119" i="14" s="1"/>
  <c r="J118" i="14"/>
  <c r="K118" i="14" s="1"/>
  <c r="L118" i="14" s="1"/>
  <c r="M118" i="14" s="1"/>
  <c r="J117" i="14"/>
  <c r="K117" i="14" s="1"/>
  <c r="L117" i="14" s="1"/>
  <c r="M117" i="14" s="1"/>
  <c r="J116" i="14"/>
  <c r="K116" i="14" s="1"/>
  <c r="L116" i="14" s="1"/>
  <c r="M116" i="14" s="1"/>
  <c r="J115" i="14"/>
  <c r="K115" i="14" s="1"/>
  <c r="L115" i="14" s="1"/>
  <c r="M115" i="14" s="1"/>
  <c r="O115" i="14" s="1"/>
  <c r="C109" i="14"/>
  <c r="C108" i="14"/>
  <c r="C107" i="14"/>
  <c r="V101" i="14"/>
  <c r="U101" i="14"/>
  <c r="T101" i="14"/>
  <c r="S101" i="14"/>
  <c r="R101" i="14"/>
  <c r="Q101" i="14"/>
  <c r="P101" i="14"/>
  <c r="O101" i="14"/>
  <c r="N101" i="14"/>
  <c r="M101" i="14"/>
  <c r="L101" i="14"/>
  <c r="K101" i="14"/>
  <c r="J101" i="14"/>
  <c r="I101" i="14"/>
  <c r="H101" i="14"/>
  <c r="G101" i="14"/>
  <c r="F101" i="14"/>
  <c r="E101" i="14"/>
  <c r="D101" i="14"/>
  <c r="C101" i="14"/>
  <c r="B93" i="14"/>
  <c r="V91" i="14"/>
  <c r="U91" i="14"/>
  <c r="T91" i="14"/>
  <c r="S91" i="14"/>
  <c r="R91" i="14"/>
  <c r="Q91" i="14"/>
  <c r="P91" i="14"/>
  <c r="O91" i="14"/>
  <c r="N91" i="14"/>
  <c r="M91" i="14"/>
  <c r="L91" i="14"/>
  <c r="K91" i="14"/>
  <c r="J91" i="14"/>
  <c r="I91" i="14"/>
  <c r="H91" i="14"/>
  <c r="G91" i="14"/>
  <c r="F91" i="14"/>
  <c r="E91" i="14"/>
  <c r="D91" i="14"/>
  <c r="C91" i="14"/>
  <c r="B83" i="14"/>
  <c r="V81" i="14"/>
  <c r="U81" i="14"/>
  <c r="T81" i="14"/>
  <c r="S81" i="14"/>
  <c r="R81" i="14"/>
  <c r="Q81" i="14"/>
  <c r="P81" i="14"/>
  <c r="O81" i="14"/>
  <c r="N81" i="14"/>
  <c r="M81" i="14"/>
  <c r="L81" i="14"/>
  <c r="K81" i="14"/>
  <c r="J81" i="14"/>
  <c r="I81" i="14"/>
  <c r="H81" i="14"/>
  <c r="G81" i="14"/>
  <c r="F81" i="14"/>
  <c r="E81" i="14"/>
  <c r="D81" i="14"/>
  <c r="C81" i="14"/>
  <c r="B73" i="14"/>
  <c r="V71" i="14"/>
  <c r="U71" i="14"/>
  <c r="T71" i="14"/>
  <c r="S71" i="14"/>
  <c r="R71" i="14"/>
  <c r="Q71" i="14"/>
  <c r="P71" i="14"/>
  <c r="O71" i="14"/>
  <c r="N71" i="14"/>
  <c r="M71" i="14"/>
  <c r="L71" i="14"/>
  <c r="K71" i="14"/>
  <c r="J71" i="14"/>
  <c r="I71" i="14"/>
  <c r="H71" i="14"/>
  <c r="G71" i="14"/>
  <c r="F71" i="14"/>
  <c r="E71" i="14"/>
  <c r="D71" i="14"/>
  <c r="C71" i="14"/>
  <c r="B63" i="14"/>
  <c r="V61" i="14"/>
  <c r="U61" i="14"/>
  <c r="T61" i="14"/>
  <c r="S61" i="14"/>
  <c r="R61" i="14"/>
  <c r="Q61" i="14"/>
  <c r="P61" i="14"/>
  <c r="O61" i="14"/>
  <c r="N61" i="14"/>
  <c r="M61" i="14"/>
  <c r="L61" i="14"/>
  <c r="K61" i="14"/>
  <c r="J61" i="14"/>
  <c r="I61" i="14"/>
  <c r="H61" i="14"/>
  <c r="G61" i="14"/>
  <c r="F61" i="14"/>
  <c r="E61" i="14"/>
  <c r="D61" i="14"/>
  <c r="C61" i="14"/>
  <c r="B53" i="14"/>
  <c r="V51" i="14"/>
  <c r="U51" i="14"/>
  <c r="T51" i="14"/>
  <c r="S51" i="14"/>
  <c r="R51" i="14"/>
  <c r="Q51" i="14"/>
  <c r="P51" i="14"/>
  <c r="O51" i="14"/>
  <c r="N51" i="14"/>
  <c r="M51" i="14"/>
  <c r="L51" i="14"/>
  <c r="K51" i="14"/>
  <c r="J51" i="14"/>
  <c r="I51" i="14"/>
  <c r="H51" i="14"/>
  <c r="G51" i="14"/>
  <c r="F51" i="14"/>
  <c r="E51" i="14"/>
  <c r="D51" i="14"/>
  <c r="C51" i="14"/>
  <c r="B43" i="14"/>
  <c r="W61" i="5" l="1"/>
  <c r="U391" i="7"/>
  <c r="X226" i="3"/>
  <c r="L173" i="14"/>
  <c r="M173" i="14" s="1"/>
  <c r="N173" i="14" s="1"/>
  <c r="O173" i="14" s="1"/>
  <c r="P173" i="14" s="1"/>
  <c r="Q173" i="14" s="1"/>
  <c r="R173" i="14" s="1"/>
  <c r="S173" i="14" s="1"/>
  <c r="T173" i="14" s="1"/>
  <c r="U173" i="14" s="1"/>
  <c r="V173" i="14" s="1"/>
  <c r="W173" i="14" s="1"/>
  <c r="W175" i="14" s="1"/>
  <c r="R200" i="14"/>
  <c r="R204" i="14" s="1"/>
  <c r="R206" i="14" s="1"/>
  <c r="S238" i="3" s="1"/>
  <c r="G200" i="14"/>
  <c r="G204" i="14" s="1"/>
  <c r="G206" i="14" s="1"/>
  <c r="H238" i="3" s="1"/>
  <c r="M200" i="14"/>
  <c r="M204" i="14" s="1"/>
  <c r="M206" i="14" s="1"/>
  <c r="N583" i="7" s="1"/>
  <c r="S579" i="7"/>
  <c r="K175" i="14"/>
  <c r="P200" i="14"/>
  <c r="P204" i="14" s="1"/>
  <c r="P206" i="14" s="1"/>
  <c r="Q583" i="7" s="1"/>
  <c r="Q234" i="3"/>
  <c r="W200" i="14"/>
  <c r="W204" i="14" s="1"/>
  <c r="W206" i="14" s="1"/>
  <c r="X403" i="7" s="1"/>
  <c r="O200" i="14"/>
  <c r="O204" i="14" s="1"/>
  <c r="O206" i="14" s="1"/>
  <c r="P73" i="3" s="1"/>
  <c r="U200" i="14"/>
  <c r="U204" i="14" s="1"/>
  <c r="U206" i="14" s="1"/>
  <c r="V238" i="3" s="1"/>
  <c r="N200" i="14"/>
  <c r="N204" i="14" s="1"/>
  <c r="N206" i="14" s="1"/>
  <c r="O238" i="3" s="1"/>
  <c r="L200" i="14"/>
  <c r="L204" i="14" s="1"/>
  <c r="L206" i="14" s="1"/>
  <c r="M238" i="7" s="1"/>
  <c r="S199" i="14"/>
  <c r="S207" i="14" s="1"/>
  <c r="T399" i="7" s="1"/>
  <c r="S200" i="14"/>
  <c r="S204" i="14" s="1"/>
  <c r="S206" i="14" s="1"/>
  <c r="T238" i="7" s="1"/>
  <c r="V200" i="14"/>
  <c r="V204" i="14" s="1"/>
  <c r="V206" i="14" s="1"/>
  <c r="W238" i="3" s="1"/>
  <c r="Q200" i="14"/>
  <c r="Q204" i="14" s="1"/>
  <c r="Q206" i="14" s="1"/>
  <c r="R403" i="7" s="1"/>
  <c r="Q199" i="14"/>
  <c r="Q207" i="14" s="1"/>
  <c r="R399" i="7" s="1"/>
  <c r="T200" i="14"/>
  <c r="T204" i="14" s="1"/>
  <c r="T206" i="14" s="1"/>
  <c r="U73" i="3" s="1"/>
  <c r="L234" i="3"/>
  <c r="K200" i="14"/>
  <c r="K204" i="14" s="1"/>
  <c r="K206" i="14" s="1"/>
  <c r="L403" i="7" s="1"/>
  <c r="T135" i="3"/>
  <c r="T300" i="3"/>
  <c r="T277" i="3"/>
  <c r="T112" i="3"/>
  <c r="R133" i="3"/>
  <c r="R298" i="3"/>
  <c r="T249" i="3"/>
  <c r="G61" i="3"/>
  <c r="G402" i="3" s="1"/>
  <c r="K61" i="3"/>
  <c r="K402" i="3" s="1"/>
  <c r="I61" i="3"/>
  <c r="I402" i="3" s="1"/>
  <c r="H61" i="3"/>
  <c r="H402" i="3" s="1"/>
  <c r="J61" i="3"/>
  <c r="J402" i="3" s="1"/>
  <c r="F61" i="3"/>
  <c r="F402" i="3" s="1"/>
  <c r="S247" i="3"/>
  <c r="R82" i="3"/>
  <c r="U234" i="3"/>
  <c r="I234" i="3"/>
  <c r="W399" i="7"/>
  <c r="N579" i="7"/>
  <c r="S234" i="3"/>
  <c r="H399" i="7"/>
  <c r="O579" i="7"/>
  <c r="F399" i="7"/>
  <c r="J399" i="7"/>
  <c r="G234" i="3"/>
  <c r="W579" i="7"/>
  <c r="P234" i="3"/>
  <c r="L579" i="7"/>
  <c r="G579" i="7"/>
  <c r="O399" i="7"/>
  <c r="G399" i="7"/>
  <c r="V399" i="7"/>
  <c r="K399" i="7"/>
  <c r="N399" i="7"/>
  <c r="J403" i="7"/>
  <c r="J583" i="7"/>
  <c r="I399" i="7"/>
  <c r="I579" i="7"/>
  <c r="L399" i="7"/>
  <c r="K579" i="7"/>
  <c r="F579" i="7"/>
  <c r="K234" i="3"/>
  <c r="F583" i="7"/>
  <c r="F403" i="7"/>
  <c r="F238" i="7"/>
  <c r="F73" i="7"/>
  <c r="F238" i="3"/>
  <c r="F73" i="3"/>
  <c r="M234" i="3"/>
  <c r="J73" i="3"/>
  <c r="J579" i="7"/>
  <c r="M399" i="7"/>
  <c r="V234" i="3"/>
  <c r="X234" i="3"/>
  <c r="G583" i="7"/>
  <c r="G403" i="7"/>
  <c r="G238" i="7"/>
  <c r="G73" i="7"/>
  <c r="G238" i="3"/>
  <c r="G73" i="3"/>
  <c r="K403" i="7"/>
  <c r="K238" i="7"/>
  <c r="K73" i="7"/>
  <c r="K238" i="3"/>
  <c r="K73" i="3"/>
  <c r="K583" i="7"/>
  <c r="J238" i="3"/>
  <c r="X579" i="7"/>
  <c r="M579" i="7"/>
  <c r="W234" i="3"/>
  <c r="N234" i="3"/>
  <c r="H234" i="3"/>
  <c r="S399" i="7"/>
  <c r="J73" i="7"/>
  <c r="U399" i="7"/>
  <c r="Q579" i="7"/>
  <c r="X399" i="7"/>
  <c r="I583" i="7"/>
  <c r="I403" i="7"/>
  <c r="I238" i="7"/>
  <c r="I73" i="7"/>
  <c r="I238" i="3"/>
  <c r="I73" i="3"/>
  <c r="O234" i="3"/>
  <c r="F234" i="3"/>
  <c r="J238" i="7"/>
  <c r="U579" i="7"/>
  <c r="Q399" i="7"/>
  <c r="P579" i="7"/>
  <c r="H579" i="7"/>
  <c r="P399" i="7"/>
  <c r="V579" i="7"/>
  <c r="D199" i="14"/>
  <c r="D207" i="14" s="1"/>
  <c r="D200" i="14"/>
  <c r="D204" i="14" s="1"/>
  <c r="D206" i="14" s="1"/>
  <c r="C90" i="14"/>
  <c r="E67" i="4" s="1"/>
  <c r="C80" i="14"/>
  <c r="E66" i="4" s="1"/>
  <c r="D108" i="14"/>
  <c r="C100" i="14"/>
  <c r="E68" i="4" s="1"/>
  <c r="C70" i="14"/>
  <c r="E65" i="4" s="1"/>
  <c r="C50" i="14"/>
  <c r="E63" i="4" s="1"/>
  <c r="E228" i="3" s="1"/>
  <c r="D109" i="14"/>
  <c r="C60" i="14"/>
  <c r="E64" i="4" s="1"/>
  <c r="D107" i="14"/>
  <c r="Q117" i="14"/>
  <c r="P117" i="14"/>
  <c r="O117" i="14"/>
  <c r="N117" i="14"/>
  <c r="Q118" i="14"/>
  <c r="P118" i="14"/>
  <c r="O118" i="14"/>
  <c r="N118" i="14"/>
  <c r="R118" i="14" s="1"/>
  <c r="S118" i="14" s="1"/>
  <c r="T118" i="14" s="1"/>
  <c r="U118" i="14" s="1"/>
  <c r="V118" i="14" s="1"/>
  <c r="P143" i="14"/>
  <c r="O143" i="14"/>
  <c r="N143" i="14"/>
  <c r="R143" i="14" s="1"/>
  <c r="S143" i="14" s="1"/>
  <c r="T143" i="14" s="1"/>
  <c r="U143" i="14" s="1"/>
  <c r="V143" i="14" s="1"/>
  <c r="Q143" i="14"/>
  <c r="O138" i="14"/>
  <c r="N138" i="14"/>
  <c r="R138" i="14" s="1"/>
  <c r="S138" i="14" s="1"/>
  <c r="T138" i="14" s="1"/>
  <c r="U138" i="14" s="1"/>
  <c r="V138" i="14" s="1"/>
  <c r="P138" i="14"/>
  <c r="Q138" i="14"/>
  <c r="N144" i="14"/>
  <c r="R144" i="14" s="1"/>
  <c r="S144" i="14" s="1"/>
  <c r="T144" i="14" s="1"/>
  <c r="U144" i="14" s="1"/>
  <c r="V144" i="14" s="1"/>
  <c r="Q144" i="14"/>
  <c r="P144" i="14"/>
  <c r="O144" i="14"/>
  <c r="Q121" i="14"/>
  <c r="P121" i="14"/>
  <c r="O121" i="14"/>
  <c r="N121" i="14"/>
  <c r="Q124" i="14"/>
  <c r="P124" i="14"/>
  <c r="O124" i="14"/>
  <c r="N115" i="14"/>
  <c r="R115" i="14" s="1"/>
  <c r="S115" i="14" s="1"/>
  <c r="T115" i="14" s="1"/>
  <c r="U115" i="14" s="1"/>
  <c r="V115" i="14" s="1"/>
  <c r="Q115" i="14"/>
  <c r="P115" i="14"/>
  <c r="N129" i="14"/>
  <c r="Q129" i="14"/>
  <c r="P129" i="14"/>
  <c r="O129" i="14"/>
  <c r="E109" i="14"/>
  <c r="F145" i="14"/>
  <c r="O119" i="14"/>
  <c r="N119" i="14"/>
  <c r="Q119" i="14"/>
  <c r="L122" i="14"/>
  <c r="K125" i="14"/>
  <c r="Q139" i="14"/>
  <c r="P139" i="14"/>
  <c r="O139" i="14"/>
  <c r="N139" i="14"/>
  <c r="R139" i="14" s="1"/>
  <c r="S139" i="14" s="1"/>
  <c r="T139" i="14" s="1"/>
  <c r="U139" i="14" s="1"/>
  <c r="V139" i="14" s="1"/>
  <c r="O146" i="14"/>
  <c r="N146" i="14"/>
  <c r="R146" i="14" s="1"/>
  <c r="S146" i="14" s="1"/>
  <c r="T146" i="14" s="1"/>
  <c r="U146" i="14" s="1"/>
  <c r="V146" i="14" s="1"/>
  <c r="P146" i="14"/>
  <c r="Q146" i="14"/>
  <c r="Q116" i="14"/>
  <c r="P116" i="14"/>
  <c r="O116" i="14"/>
  <c r="N116" i="14"/>
  <c r="R116" i="14" s="1"/>
  <c r="S116" i="14" s="1"/>
  <c r="T116" i="14" s="1"/>
  <c r="U116" i="14" s="1"/>
  <c r="V116" i="14" s="1"/>
  <c r="O120" i="14"/>
  <c r="N120" i="14"/>
  <c r="R120" i="14" s="1"/>
  <c r="S120" i="14" s="1"/>
  <c r="T120" i="14" s="1"/>
  <c r="U120" i="14" s="1"/>
  <c r="V120" i="14" s="1"/>
  <c r="Q120" i="14"/>
  <c r="Q123" i="14"/>
  <c r="P123" i="14"/>
  <c r="O123" i="14"/>
  <c r="N123" i="14"/>
  <c r="N126" i="14"/>
  <c r="Q126" i="14"/>
  <c r="P126" i="14"/>
  <c r="O126" i="14"/>
  <c r="P135" i="14"/>
  <c r="Q135" i="14"/>
  <c r="O135" i="14"/>
  <c r="N135" i="14"/>
  <c r="R135" i="14" s="1"/>
  <c r="S135" i="14" s="1"/>
  <c r="T135" i="14" s="1"/>
  <c r="U135" i="14" s="1"/>
  <c r="V135" i="14" s="1"/>
  <c r="Q140" i="14"/>
  <c r="P140" i="14"/>
  <c r="O140" i="14"/>
  <c r="N140" i="14"/>
  <c r="R140" i="14" s="1"/>
  <c r="S140" i="14" s="1"/>
  <c r="T140" i="14" s="1"/>
  <c r="U140" i="14" s="1"/>
  <c r="V140" i="14" s="1"/>
  <c r="Q147" i="14"/>
  <c r="P147" i="14"/>
  <c r="O147" i="14"/>
  <c r="N147" i="14"/>
  <c r="R147" i="14" s="1"/>
  <c r="S147" i="14" s="1"/>
  <c r="T147" i="14" s="1"/>
  <c r="U147" i="14" s="1"/>
  <c r="V147" i="14" s="1"/>
  <c r="N136" i="14"/>
  <c r="R136" i="14" s="1"/>
  <c r="S136" i="14" s="1"/>
  <c r="T136" i="14" s="1"/>
  <c r="U136" i="14" s="1"/>
  <c r="V136" i="14" s="1"/>
  <c r="Q136" i="14"/>
  <c r="P136" i="14"/>
  <c r="O136" i="14"/>
  <c r="N141" i="14"/>
  <c r="R141" i="14" s="1"/>
  <c r="S141" i="14" s="1"/>
  <c r="T141" i="14" s="1"/>
  <c r="U141" i="14" s="1"/>
  <c r="V141" i="14" s="1"/>
  <c r="O141" i="14"/>
  <c r="Q141" i="14"/>
  <c r="P141" i="14"/>
  <c r="Q148" i="14"/>
  <c r="P148" i="14"/>
  <c r="O148" i="14"/>
  <c r="N148" i="14"/>
  <c r="R148" i="14" s="1"/>
  <c r="S148" i="14" s="1"/>
  <c r="T148" i="14" s="1"/>
  <c r="U148" i="14" s="1"/>
  <c r="V148" i="14" s="1"/>
  <c r="Q128" i="14"/>
  <c r="P128" i="14"/>
  <c r="O128" i="14"/>
  <c r="N128" i="14"/>
  <c r="Q137" i="14"/>
  <c r="P137" i="14"/>
  <c r="O137" i="14"/>
  <c r="N137" i="14"/>
  <c r="R137" i="14" s="1"/>
  <c r="S137" i="14" s="1"/>
  <c r="T137" i="14" s="1"/>
  <c r="U137" i="14" s="1"/>
  <c r="V137" i="14" s="1"/>
  <c r="F142" i="14"/>
  <c r="E108" i="14"/>
  <c r="N149" i="14"/>
  <c r="R149" i="14" s="1"/>
  <c r="S149" i="14" s="1"/>
  <c r="T149" i="14" s="1"/>
  <c r="U149" i="14" s="1"/>
  <c r="V149" i="14" s="1"/>
  <c r="O149" i="14"/>
  <c r="Q149" i="14"/>
  <c r="P149" i="14"/>
  <c r="T125" i="14"/>
  <c r="E134" i="14"/>
  <c r="J22" i="13"/>
  <c r="J23" i="13"/>
  <c r="K22" i="13"/>
  <c r="L22" i="13"/>
  <c r="M22" i="13"/>
  <c r="N22" i="13"/>
  <c r="O22" i="13"/>
  <c r="P22" i="13"/>
  <c r="Q22" i="13"/>
  <c r="R22" i="13"/>
  <c r="S22" i="13"/>
  <c r="T22" i="13"/>
  <c r="U22" i="13"/>
  <c r="V22" i="13"/>
  <c r="K23" i="13"/>
  <c r="L23" i="13"/>
  <c r="M23" i="13"/>
  <c r="N23" i="13"/>
  <c r="O23" i="13"/>
  <c r="P23" i="13"/>
  <c r="Q23" i="13"/>
  <c r="R23" i="13"/>
  <c r="S23" i="13"/>
  <c r="T23" i="13"/>
  <c r="U23" i="13"/>
  <c r="V23" i="13"/>
  <c r="J24" i="13"/>
  <c r="K24" i="13"/>
  <c r="L24" i="13"/>
  <c r="M24" i="13"/>
  <c r="N24" i="13"/>
  <c r="O24" i="13"/>
  <c r="P24" i="13"/>
  <c r="Q24" i="13"/>
  <c r="R24" i="13"/>
  <c r="S24" i="13"/>
  <c r="T24" i="13"/>
  <c r="U24" i="13"/>
  <c r="V24" i="13"/>
  <c r="J25" i="13"/>
  <c r="K25" i="13"/>
  <c r="L25" i="13"/>
  <c r="M25" i="13"/>
  <c r="N25" i="13"/>
  <c r="O25" i="13"/>
  <c r="P25" i="13"/>
  <c r="Q25" i="13"/>
  <c r="R25" i="13"/>
  <c r="S25" i="13"/>
  <c r="T25" i="13"/>
  <c r="U25" i="13"/>
  <c r="V25" i="13"/>
  <c r="J26" i="13"/>
  <c r="K26" i="13"/>
  <c r="L26" i="13"/>
  <c r="M26" i="13"/>
  <c r="N26" i="13"/>
  <c r="O26" i="13"/>
  <c r="P26" i="13"/>
  <c r="Q26" i="13"/>
  <c r="R26" i="13"/>
  <c r="S26" i="13"/>
  <c r="T26" i="13"/>
  <c r="U26" i="13"/>
  <c r="V26" i="13"/>
  <c r="J27" i="13"/>
  <c r="K27" i="13"/>
  <c r="L27" i="13"/>
  <c r="M27" i="13"/>
  <c r="N27" i="13"/>
  <c r="O27" i="13"/>
  <c r="P27" i="13"/>
  <c r="Q27" i="13"/>
  <c r="R27" i="13"/>
  <c r="S27" i="13"/>
  <c r="T27" i="13"/>
  <c r="U27" i="13"/>
  <c r="V27" i="13"/>
  <c r="J28" i="13"/>
  <c r="K28" i="13"/>
  <c r="L28" i="13"/>
  <c r="M28" i="13"/>
  <c r="N28" i="13"/>
  <c r="O28" i="13"/>
  <c r="P28" i="13"/>
  <c r="Q28" i="13"/>
  <c r="R28" i="13"/>
  <c r="S28" i="13"/>
  <c r="T28" i="13"/>
  <c r="U28" i="13"/>
  <c r="V28" i="13"/>
  <c r="J29" i="13"/>
  <c r="K29" i="13"/>
  <c r="L29" i="13"/>
  <c r="M29" i="13"/>
  <c r="N29" i="13"/>
  <c r="O29" i="13"/>
  <c r="P29" i="13"/>
  <c r="Q29" i="13"/>
  <c r="R29" i="13"/>
  <c r="S29" i="13"/>
  <c r="T29" i="13"/>
  <c r="U29" i="13"/>
  <c r="V29" i="13"/>
  <c r="J30" i="13"/>
  <c r="K30" i="13"/>
  <c r="L30" i="13"/>
  <c r="M30" i="13"/>
  <c r="N30" i="13"/>
  <c r="O30" i="13"/>
  <c r="P30" i="13"/>
  <c r="Q30" i="13"/>
  <c r="R30" i="13"/>
  <c r="S30" i="13"/>
  <c r="T30" i="13"/>
  <c r="U30" i="13"/>
  <c r="V30" i="13"/>
  <c r="J31" i="13"/>
  <c r="K31" i="13"/>
  <c r="L31" i="13"/>
  <c r="M31" i="13"/>
  <c r="N31" i="13"/>
  <c r="O31" i="13"/>
  <c r="P31" i="13"/>
  <c r="Q31" i="13"/>
  <c r="R31" i="13"/>
  <c r="S31" i="13"/>
  <c r="T31" i="13"/>
  <c r="U31" i="13"/>
  <c r="V31" i="13"/>
  <c r="J32" i="13"/>
  <c r="K32" i="13"/>
  <c r="L32" i="13"/>
  <c r="M32" i="13"/>
  <c r="N32" i="13"/>
  <c r="O32" i="13"/>
  <c r="P32" i="13"/>
  <c r="Q32" i="13"/>
  <c r="R32" i="13"/>
  <c r="S32" i="13"/>
  <c r="T32" i="13"/>
  <c r="U32" i="13"/>
  <c r="V32" i="13"/>
  <c r="J33" i="13"/>
  <c r="K33" i="13"/>
  <c r="L33" i="13"/>
  <c r="M33" i="13"/>
  <c r="N33" i="13"/>
  <c r="O33" i="13"/>
  <c r="P33" i="13"/>
  <c r="Q33" i="13"/>
  <c r="R33" i="13"/>
  <c r="S33" i="13"/>
  <c r="T33" i="13"/>
  <c r="U33" i="13"/>
  <c r="V33" i="13"/>
  <c r="J34" i="13"/>
  <c r="K34" i="13"/>
  <c r="L34" i="13"/>
  <c r="M34" i="13"/>
  <c r="N34" i="13"/>
  <c r="O34" i="13"/>
  <c r="P34" i="13"/>
  <c r="Q34" i="13"/>
  <c r="R34" i="13"/>
  <c r="S34" i="13"/>
  <c r="T34" i="13"/>
  <c r="U34" i="13"/>
  <c r="V34" i="13"/>
  <c r="J35" i="13"/>
  <c r="K35" i="13"/>
  <c r="L35" i="13"/>
  <c r="M35" i="13"/>
  <c r="N35" i="13"/>
  <c r="O35" i="13"/>
  <c r="P35" i="13"/>
  <c r="Q35" i="13"/>
  <c r="R35" i="13"/>
  <c r="S35" i="13"/>
  <c r="T35" i="13"/>
  <c r="U35" i="13"/>
  <c r="V35" i="13"/>
  <c r="J36" i="13"/>
  <c r="K36" i="13"/>
  <c r="L36" i="13"/>
  <c r="M36" i="13"/>
  <c r="N36" i="13"/>
  <c r="O36" i="13"/>
  <c r="P36" i="13"/>
  <c r="Q36" i="13"/>
  <c r="R36" i="13"/>
  <c r="S36" i="13"/>
  <c r="T36" i="13"/>
  <c r="U36" i="13"/>
  <c r="V36" i="13"/>
  <c r="J37" i="13"/>
  <c r="K37" i="13"/>
  <c r="L37" i="13"/>
  <c r="M37" i="13"/>
  <c r="N37" i="13"/>
  <c r="O37" i="13"/>
  <c r="P37" i="13"/>
  <c r="Q37" i="13"/>
  <c r="R37" i="13"/>
  <c r="S37" i="13"/>
  <c r="T37" i="13"/>
  <c r="U37" i="13"/>
  <c r="V37" i="13"/>
  <c r="J38" i="13"/>
  <c r="K38" i="13"/>
  <c r="L38" i="13"/>
  <c r="M38" i="13"/>
  <c r="N38" i="13"/>
  <c r="O38" i="13"/>
  <c r="P38" i="13"/>
  <c r="Q38" i="13"/>
  <c r="R38" i="13"/>
  <c r="S38" i="13"/>
  <c r="T38" i="13"/>
  <c r="U38" i="13"/>
  <c r="V38" i="13"/>
  <c r="J39" i="13"/>
  <c r="K39" i="13"/>
  <c r="L39" i="13"/>
  <c r="M39" i="13"/>
  <c r="N39" i="13"/>
  <c r="O39" i="13"/>
  <c r="P39" i="13"/>
  <c r="Q39" i="13"/>
  <c r="R39" i="13"/>
  <c r="S39" i="13"/>
  <c r="T39" i="13"/>
  <c r="U39" i="13"/>
  <c r="V39" i="13"/>
  <c r="G62" i="5"/>
  <c r="H62" i="5"/>
  <c r="I62" i="5"/>
  <c r="J62" i="5"/>
  <c r="K62" i="5"/>
  <c r="L62" i="5"/>
  <c r="G63" i="5"/>
  <c r="H63" i="5"/>
  <c r="I63" i="5"/>
  <c r="J63" i="5"/>
  <c r="K63" i="5"/>
  <c r="L63" i="5"/>
  <c r="G64" i="5"/>
  <c r="H64" i="5"/>
  <c r="I64" i="5"/>
  <c r="J64" i="5"/>
  <c r="K64" i="5"/>
  <c r="L64" i="5"/>
  <c r="G65" i="5"/>
  <c r="H65" i="5"/>
  <c r="I65" i="5"/>
  <c r="J65" i="5"/>
  <c r="K65" i="5"/>
  <c r="L65" i="5"/>
  <c r="G66" i="5"/>
  <c r="H66" i="5"/>
  <c r="I66" i="5"/>
  <c r="J66" i="5"/>
  <c r="K66" i="5"/>
  <c r="L66" i="5"/>
  <c r="G67" i="5"/>
  <c r="H67" i="5"/>
  <c r="I67" i="5"/>
  <c r="J67" i="5"/>
  <c r="K67" i="5"/>
  <c r="L67" i="5"/>
  <c r="G68" i="5"/>
  <c r="H68" i="5"/>
  <c r="I68" i="5"/>
  <c r="J68" i="5"/>
  <c r="K68" i="5"/>
  <c r="L68" i="5"/>
  <c r="G69" i="5"/>
  <c r="H69" i="5"/>
  <c r="I69" i="5"/>
  <c r="J69" i="5"/>
  <c r="K69" i="5"/>
  <c r="L69" i="5"/>
  <c r="G70" i="5"/>
  <c r="H70" i="5"/>
  <c r="I70" i="5"/>
  <c r="J70" i="5"/>
  <c r="K70" i="5"/>
  <c r="L70" i="5"/>
  <c r="G71" i="5"/>
  <c r="H71" i="5"/>
  <c r="I71" i="5"/>
  <c r="J71" i="5"/>
  <c r="K71" i="5"/>
  <c r="L71" i="5"/>
  <c r="G72" i="5"/>
  <c r="H72" i="5"/>
  <c r="I72" i="5"/>
  <c r="J72" i="5"/>
  <c r="K72" i="5"/>
  <c r="L72" i="5"/>
  <c r="G73" i="5"/>
  <c r="H73" i="5"/>
  <c r="I73" i="5"/>
  <c r="J73" i="5"/>
  <c r="K73" i="5"/>
  <c r="L73" i="5"/>
  <c r="G74" i="5"/>
  <c r="H74" i="5"/>
  <c r="I74" i="5"/>
  <c r="J74" i="5"/>
  <c r="K74" i="5"/>
  <c r="L74" i="5"/>
  <c r="G75" i="5"/>
  <c r="H75" i="5"/>
  <c r="I75" i="5"/>
  <c r="J75" i="5"/>
  <c r="K75" i="5"/>
  <c r="L75" i="5"/>
  <c r="G76" i="5"/>
  <c r="H76" i="5"/>
  <c r="I76" i="5"/>
  <c r="J76" i="5"/>
  <c r="K76" i="5"/>
  <c r="L76" i="5"/>
  <c r="G77" i="5"/>
  <c r="H77" i="5"/>
  <c r="I77" i="5"/>
  <c r="J77" i="5"/>
  <c r="K77" i="5"/>
  <c r="L77" i="5"/>
  <c r="G78" i="5"/>
  <c r="H78" i="5"/>
  <c r="I78" i="5"/>
  <c r="J78" i="5"/>
  <c r="K78" i="5"/>
  <c r="L78" i="5"/>
  <c r="G79" i="5"/>
  <c r="H79" i="5"/>
  <c r="I79" i="5"/>
  <c r="J79" i="5"/>
  <c r="K79" i="5"/>
  <c r="L79" i="5"/>
  <c r="G80" i="5"/>
  <c r="H80" i="5"/>
  <c r="I80" i="5"/>
  <c r="J80" i="5"/>
  <c r="K80" i="5"/>
  <c r="L80" i="5"/>
  <c r="G81" i="5"/>
  <c r="H81" i="5"/>
  <c r="I81" i="5"/>
  <c r="J81" i="5"/>
  <c r="K81" i="5"/>
  <c r="L81" i="5"/>
  <c r="G83" i="5"/>
  <c r="F82" i="7" s="1"/>
  <c r="H83" i="5"/>
  <c r="G82" i="7" s="1"/>
  <c r="I83" i="5"/>
  <c r="H82" i="7" s="1"/>
  <c r="J83" i="5"/>
  <c r="I82" i="7" s="1"/>
  <c r="K83" i="5"/>
  <c r="J82" i="7" s="1"/>
  <c r="L83" i="5"/>
  <c r="K82" i="7" s="1"/>
  <c r="G86" i="5"/>
  <c r="H86" i="5"/>
  <c r="I86" i="5"/>
  <c r="J86" i="5"/>
  <c r="K86" i="5"/>
  <c r="L86" i="5"/>
  <c r="G87" i="5"/>
  <c r="H87" i="5"/>
  <c r="I87" i="5"/>
  <c r="J87" i="5"/>
  <c r="K87" i="5"/>
  <c r="L87" i="5"/>
  <c r="G88" i="5"/>
  <c r="H88" i="5"/>
  <c r="I88" i="5"/>
  <c r="J88" i="5"/>
  <c r="K88" i="5"/>
  <c r="L88" i="5"/>
  <c r="G89" i="5"/>
  <c r="H89" i="5"/>
  <c r="I89" i="5"/>
  <c r="J89" i="5"/>
  <c r="K89" i="5"/>
  <c r="L89" i="5"/>
  <c r="F63" i="5"/>
  <c r="F64" i="5"/>
  <c r="F65" i="5"/>
  <c r="F66" i="5"/>
  <c r="F67" i="5"/>
  <c r="F68" i="5"/>
  <c r="F69" i="5"/>
  <c r="F70" i="5"/>
  <c r="F71" i="5"/>
  <c r="F72" i="5"/>
  <c r="F73" i="5"/>
  <c r="F74" i="5"/>
  <c r="F75" i="5"/>
  <c r="F76" i="5"/>
  <c r="F77" i="5"/>
  <c r="F78" i="5"/>
  <c r="F79" i="5"/>
  <c r="F80" i="5"/>
  <c r="F81" i="5"/>
  <c r="F83" i="5"/>
  <c r="F86" i="5"/>
  <c r="F87" i="5"/>
  <c r="F88" i="5"/>
  <c r="F89" i="5"/>
  <c r="X61" i="5" l="1"/>
  <c r="V391" i="7"/>
  <c r="M75" i="5"/>
  <c r="M81" i="5"/>
  <c r="M73" i="5"/>
  <c r="N73" i="5" s="1"/>
  <c r="M65" i="5"/>
  <c r="N65" i="5" s="1"/>
  <c r="M62" i="5"/>
  <c r="M79" i="5"/>
  <c r="N79" i="5" s="1"/>
  <c r="O79" i="5" s="1"/>
  <c r="M86" i="5"/>
  <c r="N86" i="5" s="1"/>
  <c r="O86" i="5" s="1"/>
  <c r="M80" i="5"/>
  <c r="N80" i="5" s="1"/>
  <c r="O80" i="5" s="1"/>
  <c r="M72" i="5"/>
  <c r="M64" i="5"/>
  <c r="M89" i="5"/>
  <c r="N89" i="5" s="1"/>
  <c r="M78" i="5"/>
  <c r="M70" i="5"/>
  <c r="M88" i="5"/>
  <c r="M77" i="5"/>
  <c r="N77" i="5" s="1"/>
  <c r="O77" i="5" s="1"/>
  <c r="M69" i="5"/>
  <c r="N69" i="5" s="1"/>
  <c r="M63" i="5"/>
  <c r="M87" i="5"/>
  <c r="M76" i="5"/>
  <c r="M68" i="5"/>
  <c r="N68" i="5" s="1"/>
  <c r="O68" i="5" s="1"/>
  <c r="P68" i="5" s="1"/>
  <c r="M71" i="5"/>
  <c r="M67" i="5"/>
  <c r="E82" i="7"/>
  <c r="M83" i="5"/>
  <c r="M74" i="5"/>
  <c r="M66" i="5"/>
  <c r="N66" i="5" s="1"/>
  <c r="M175" i="14"/>
  <c r="L175" i="14"/>
  <c r="R175" i="14"/>
  <c r="V175" i="14"/>
  <c r="S175" i="14"/>
  <c r="O175" i="14"/>
  <c r="P175" i="14"/>
  <c r="U175" i="14"/>
  <c r="Q175" i="14"/>
  <c r="N175" i="14"/>
  <c r="T175" i="14"/>
  <c r="M174" i="14"/>
  <c r="S403" i="7"/>
  <c r="I416" i="7"/>
  <c r="I85" i="7"/>
  <c r="H416" i="7"/>
  <c r="H85" i="7"/>
  <c r="G416" i="7"/>
  <c r="G85" i="7"/>
  <c r="F416" i="7"/>
  <c r="F85" i="7"/>
  <c r="K416" i="7"/>
  <c r="K85" i="7"/>
  <c r="E596" i="7"/>
  <c r="E85" i="7"/>
  <c r="J416" i="7"/>
  <c r="J85" i="7"/>
  <c r="I61" i="7"/>
  <c r="I749" i="7" s="1"/>
  <c r="H61" i="7"/>
  <c r="H749" i="7" s="1"/>
  <c r="F571" i="7"/>
  <c r="F61" i="7"/>
  <c r="F749" i="7" s="1"/>
  <c r="G571" i="7"/>
  <c r="G61" i="7"/>
  <c r="G749" i="7" s="1"/>
  <c r="E61" i="7"/>
  <c r="E749" i="7" s="1"/>
  <c r="K571" i="7"/>
  <c r="K61" i="7"/>
  <c r="K749" i="7" s="1"/>
  <c r="J571" i="7"/>
  <c r="J61" i="7"/>
  <c r="J749" i="7" s="1"/>
  <c r="I571" i="7"/>
  <c r="E571" i="7"/>
  <c r="H571" i="7"/>
  <c r="S73" i="7"/>
  <c r="S583" i="7"/>
  <c r="S238" i="7"/>
  <c r="S73" i="3"/>
  <c r="H73" i="7"/>
  <c r="N73" i="3"/>
  <c r="N403" i="7"/>
  <c r="P238" i="7"/>
  <c r="N238" i="3"/>
  <c r="P583" i="7"/>
  <c r="N73" i="7"/>
  <c r="N238" i="7"/>
  <c r="H238" i="7"/>
  <c r="H403" i="7"/>
  <c r="H583" i="7"/>
  <c r="H73" i="3"/>
  <c r="W73" i="7"/>
  <c r="P403" i="7"/>
  <c r="R579" i="7"/>
  <c r="R238" i="3"/>
  <c r="X73" i="3"/>
  <c r="X238" i="3"/>
  <c r="R238" i="7"/>
  <c r="R73" i="7"/>
  <c r="X73" i="7"/>
  <c r="X238" i="7"/>
  <c r="R73" i="3"/>
  <c r="P238" i="3"/>
  <c r="X583" i="7"/>
  <c r="O73" i="3"/>
  <c r="Q403" i="7"/>
  <c r="P73" i="7"/>
  <c r="M73" i="3"/>
  <c r="O238" i="7"/>
  <c r="M403" i="7"/>
  <c r="O403" i="7"/>
  <c r="O73" i="7"/>
  <c r="R234" i="3"/>
  <c r="O583" i="7"/>
  <c r="T579" i="7"/>
  <c r="T234" i="3"/>
  <c r="T583" i="7"/>
  <c r="U238" i="3"/>
  <c r="Q73" i="3"/>
  <c r="T73" i="7"/>
  <c r="Q238" i="3"/>
  <c r="V73" i="3"/>
  <c r="Q73" i="7"/>
  <c r="V73" i="7"/>
  <c r="Q238" i="7"/>
  <c r="V583" i="7"/>
  <c r="R583" i="7"/>
  <c r="T403" i="7"/>
  <c r="T238" i="3"/>
  <c r="T73" i="3"/>
  <c r="W238" i="7"/>
  <c r="V238" i="7"/>
  <c r="W403" i="7"/>
  <c r="V403" i="7"/>
  <c r="W583" i="7"/>
  <c r="W73" i="3"/>
  <c r="U73" i="7"/>
  <c r="U238" i="7"/>
  <c r="M583" i="7"/>
  <c r="U403" i="7"/>
  <c r="M238" i="3"/>
  <c r="M73" i="7"/>
  <c r="U583" i="7"/>
  <c r="L73" i="7"/>
  <c r="L238" i="3"/>
  <c r="L73" i="3"/>
  <c r="L238" i="7"/>
  <c r="L583" i="7"/>
  <c r="E227" i="7"/>
  <c r="E770" i="7" s="1"/>
  <c r="S298" i="3"/>
  <c r="S133" i="3"/>
  <c r="U277" i="3"/>
  <c r="U112" i="3"/>
  <c r="U249" i="3"/>
  <c r="U300" i="3"/>
  <c r="U135" i="3"/>
  <c r="G227" i="7"/>
  <c r="G770" i="7" s="1"/>
  <c r="K227" i="7"/>
  <c r="K770" i="7" s="1"/>
  <c r="I227" i="7"/>
  <c r="I770" i="7" s="1"/>
  <c r="H227" i="7"/>
  <c r="H770" i="7" s="1"/>
  <c r="F227" i="7"/>
  <c r="F770" i="7" s="1"/>
  <c r="J227" i="7"/>
  <c r="J770" i="7" s="1"/>
  <c r="E61" i="3"/>
  <c r="E402" i="3" s="1"/>
  <c r="K244" i="7"/>
  <c r="K589" i="7"/>
  <c r="F410" i="7"/>
  <c r="F590" i="7"/>
  <c r="F80" i="7"/>
  <c r="F245" i="7"/>
  <c r="G591" i="7"/>
  <c r="G411" i="7"/>
  <c r="G246" i="7"/>
  <c r="G81" i="7"/>
  <c r="H248" i="7"/>
  <c r="H413" i="7"/>
  <c r="H593" i="7"/>
  <c r="H83" i="7"/>
  <c r="F246" i="7"/>
  <c r="F411" i="7"/>
  <c r="F591" i="7"/>
  <c r="F81" i="7"/>
  <c r="J589" i="7"/>
  <c r="J244" i="7"/>
  <c r="H591" i="7"/>
  <c r="H246" i="7"/>
  <c r="H81" i="7"/>
  <c r="H411" i="7"/>
  <c r="I593" i="7"/>
  <c r="I413" i="7"/>
  <c r="I83" i="7"/>
  <c r="I248" i="7"/>
  <c r="E248" i="7"/>
  <c r="E413" i="7"/>
  <c r="E593" i="7"/>
  <c r="E83" i="7"/>
  <c r="G248" i="7"/>
  <c r="G83" i="7"/>
  <c r="G413" i="7"/>
  <c r="G593" i="7"/>
  <c r="K590" i="7"/>
  <c r="K245" i="7"/>
  <c r="K410" i="7"/>
  <c r="K80" i="7"/>
  <c r="I589" i="7"/>
  <c r="I244" i="7"/>
  <c r="E591" i="7"/>
  <c r="E246" i="7"/>
  <c r="E411" i="7"/>
  <c r="F83" i="7"/>
  <c r="F413" i="7"/>
  <c r="F593" i="7"/>
  <c r="F248" i="7"/>
  <c r="J590" i="7"/>
  <c r="J410" i="7"/>
  <c r="J80" i="7"/>
  <c r="J245" i="7"/>
  <c r="H589" i="7"/>
  <c r="H244" i="7"/>
  <c r="E590" i="7"/>
  <c r="E245" i="7"/>
  <c r="E80" i="7"/>
  <c r="E410" i="7"/>
  <c r="K411" i="7"/>
  <c r="K591" i="7"/>
  <c r="K246" i="7"/>
  <c r="K81" i="7"/>
  <c r="I245" i="7"/>
  <c r="I410" i="7"/>
  <c r="I590" i="7"/>
  <c r="I80" i="7"/>
  <c r="G589" i="7"/>
  <c r="G244" i="7"/>
  <c r="J593" i="7"/>
  <c r="J248" i="7"/>
  <c r="J83" i="7"/>
  <c r="J413" i="7"/>
  <c r="J411" i="7"/>
  <c r="J591" i="7"/>
  <c r="J246" i="7"/>
  <c r="J81" i="7"/>
  <c r="H245" i="7"/>
  <c r="H410" i="7"/>
  <c r="H590" i="7"/>
  <c r="H80" i="7"/>
  <c r="F589" i="7"/>
  <c r="F244" i="7"/>
  <c r="K593" i="7"/>
  <c r="K248" i="7"/>
  <c r="K83" i="7"/>
  <c r="K413" i="7"/>
  <c r="I591" i="7"/>
  <c r="I246" i="7"/>
  <c r="I81" i="7"/>
  <c r="I411" i="7"/>
  <c r="G410" i="7"/>
  <c r="G590" i="7"/>
  <c r="G80" i="7"/>
  <c r="G245" i="7"/>
  <c r="T247" i="3"/>
  <c r="S82" i="3"/>
  <c r="E399" i="7"/>
  <c r="E579" i="7"/>
  <c r="E234" i="3"/>
  <c r="E583" i="7"/>
  <c r="E403" i="7"/>
  <c r="E238" i="7"/>
  <c r="E73" i="7"/>
  <c r="E238" i="3"/>
  <c r="E73" i="3"/>
  <c r="D50" i="14"/>
  <c r="F63" i="4" s="1"/>
  <c r="D80" i="14"/>
  <c r="F66" i="4" s="1"/>
  <c r="D60" i="14"/>
  <c r="F64" i="4" s="1"/>
  <c r="D100" i="14"/>
  <c r="F68" i="4" s="1"/>
  <c r="D90" i="14"/>
  <c r="F67" i="4" s="1"/>
  <c r="D70" i="14"/>
  <c r="F65" i="4" s="1"/>
  <c r="U125" i="14"/>
  <c r="E107" i="14"/>
  <c r="F134" i="14"/>
  <c r="F109" i="14"/>
  <c r="G145" i="14"/>
  <c r="L125" i="14"/>
  <c r="G142" i="14"/>
  <c r="F108" i="14"/>
  <c r="M122" i="14"/>
  <c r="L227" i="3"/>
  <c r="L250" i="3"/>
  <c r="Y61" i="5" l="1"/>
  <c r="X391" i="7" s="1"/>
  <c r="W391" i="7"/>
  <c r="O65" i="5"/>
  <c r="P65" i="5" s="1"/>
  <c r="P86" i="5"/>
  <c r="Q86" i="5" s="1"/>
  <c r="R86" i="5" s="1"/>
  <c r="O73" i="5"/>
  <c r="P73" i="5" s="1"/>
  <c r="O89" i="5"/>
  <c r="P89" i="5" s="1"/>
  <c r="N74" i="5"/>
  <c r="N64" i="5"/>
  <c r="O64" i="5" s="1"/>
  <c r="P64" i="5" s="1"/>
  <c r="N81" i="5"/>
  <c r="O81" i="5" s="1"/>
  <c r="N83" i="5"/>
  <c r="N70" i="5"/>
  <c r="O70" i="5" s="1"/>
  <c r="P70" i="5" s="1"/>
  <c r="N76" i="5"/>
  <c r="N87" i="5"/>
  <c r="O87" i="5" s="1"/>
  <c r="P80" i="5"/>
  <c r="Q80" i="5" s="1"/>
  <c r="P79" i="5"/>
  <c r="N75" i="5"/>
  <c r="O75" i="5" s="1"/>
  <c r="P75" i="5" s="1"/>
  <c r="Q75" i="5" s="1"/>
  <c r="O66" i="5"/>
  <c r="P66" i="5" s="1"/>
  <c r="N67" i="5"/>
  <c r="N63" i="5"/>
  <c r="N88" i="5"/>
  <c r="N78" i="5"/>
  <c r="O78" i="5" s="1"/>
  <c r="N62" i="5"/>
  <c r="Q68" i="5"/>
  <c r="N71" i="5"/>
  <c r="O69" i="5"/>
  <c r="P77" i="5"/>
  <c r="Q77" i="5" s="1"/>
  <c r="N72" i="5"/>
  <c r="N174" i="14"/>
  <c r="M176" i="14"/>
  <c r="L339" i="3"/>
  <c r="L335" i="3"/>
  <c r="L331" i="3"/>
  <c r="L334" i="3"/>
  <c r="L333" i="3"/>
  <c r="L340" i="3"/>
  <c r="L332" i="3"/>
  <c r="L338" i="3"/>
  <c r="L337" i="3"/>
  <c r="L336" i="3"/>
  <c r="L373" i="3"/>
  <c r="L433" i="3" s="1"/>
  <c r="L248" i="3"/>
  <c r="L372" i="3"/>
  <c r="L130" i="3"/>
  <c r="L279" i="3"/>
  <c r="L246" i="3"/>
  <c r="V249" i="3"/>
  <c r="L275" i="3"/>
  <c r="L369" i="3"/>
  <c r="L274" i="3"/>
  <c r="V277" i="3"/>
  <c r="V112" i="3"/>
  <c r="L296" i="3"/>
  <c r="L131" i="3"/>
  <c r="L371" i="3"/>
  <c r="L432" i="3" s="1"/>
  <c r="L278" i="3"/>
  <c r="L129" i="3"/>
  <c r="L370" i="3"/>
  <c r="L368" i="3"/>
  <c r="L137" i="3"/>
  <c r="L375" i="3"/>
  <c r="L136" i="3"/>
  <c r="L301" i="3"/>
  <c r="L374" i="3"/>
  <c r="L134" i="3"/>
  <c r="L299" i="3"/>
  <c r="V300" i="3"/>
  <c r="V135" i="3"/>
  <c r="T298" i="3"/>
  <c r="T133" i="3"/>
  <c r="L465" i="7"/>
  <c r="L61" i="3"/>
  <c r="L402" i="3" s="1"/>
  <c r="M250" i="3"/>
  <c r="L85" i="3"/>
  <c r="U247" i="3"/>
  <c r="T82" i="3"/>
  <c r="M125" i="14"/>
  <c r="G109" i="14"/>
  <c r="H145" i="14"/>
  <c r="H142" i="14"/>
  <c r="G108" i="14"/>
  <c r="F107" i="14"/>
  <c r="G134" i="14"/>
  <c r="N122" i="14"/>
  <c r="Q122" i="14"/>
  <c r="P122" i="14"/>
  <c r="O122" i="14"/>
  <c r="E100" i="14"/>
  <c r="G68" i="4" s="1"/>
  <c r="E90" i="14"/>
  <c r="G67" i="4" s="1"/>
  <c r="E70" i="14"/>
  <c r="G65" i="4" s="1"/>
  <c r="E80" i="14"/>
  <c r="G66" i="4" s="1"/>
  <c r="E60" i="14"/>
  <c r="G64" i="4" s="1"/>
  <c r="E50" i="14"/>
  <c r="G63" i="4" s="1"/>
  <c r="V125" i="14"/>
  <c r="L416" i="7"/>
  <c r="F83" i="4"/>
  <c r="G83" i="4"/>
  <c r="H83" i="4"/>
  <c r="I83" i="4"/>
  <c r="J83" i="4"/>
  <c r="K83" i="4"/>
  <c r="L83" i="4"/>
  <c r="M83" i="4"/>
  <c r="N83" i="4"/>
  <c r="O83" i="4"/>
  <c r="P83" i="4"/>
  <c r="Q83" i="4"/>
  <c r="R83" i="4"/>
  <c r="S83" i="4"/>
  <c r="T83" i="4"/>
  <c r="U83" i="4"/>
  <c r="V83" i="4"/>
  <c r="W83" i="4"/>
  <c r="X83" i="4"/>
  <c r="E83" i="4"/>
  <c r="D69" i="5"/>
  <c r="C72" i="4"/>
  <c r="C73" i="4"/>
  <c r="Q65" i="5" l="1"/>
  <c r="R65" i="5" s="1"/>
  <c r="S65" i="5" s="1"/>
  <c r="T65" i="5" s="1"/>
  <c r="U65" i="5" s="1"/>
  <c r="V65" i="5" s="1"/>
  <c r="W65" i="5" s="1"/>
  <c r="X65" i="5" s="1"/>
  <c r="Y65" i="5" s="1"/>
  <c r="R80" i="5"/>
  <c r="S80" i="5" s="1"/>
  <c r="T80" i="5" s="1"/>
  <c r="U80" i="5" s="1"/>
  <c r="V80" i="5" s="1"/>
  <c r="W80" i="5" s="1"/>
  <c r="X80" i="5" s="1"/>
  <c r="Y80" i="5" s="1"/>
  <c r="Q73" i="5"/>
  <c r="Q89" i="5"/>
  <c r="R89" i="5" s="1"/>
  <c r="S89" i="5" s="1"/>
  <c r="T89" i="5" s="1"/>
  <c r="Q70" i="5"/>
  <c r="R70" i="5" s="1"/>
  <c r="P81" i="5"/>
  <c r="Q81" i="5" s="1"/>
  <c r="O71" i="5"/>
  <c r="P71" i="5" s="1"/>
  <c r="O76" i="5"/>
  <c r="Q66" i="5"/>
  <c r="P87" i="5"/>
  <c r="S86" i="5"/>
  <c r="R68" i="5"/>
  <c r="Q64" i="5"/>
  <c r="R64" i="5" s="1"/>
  <c r="O72" i="5"/>
  <c r="P69" i="5"/>
  <c r="Q69" i="5" s="1"/>
  <c r="R69" i="5" s="1"/>
  <c r="O88" i="5"/>
  <c r="P88" i="5" s="1"/>
  <c r="O62" i="5"/>
  <c r="O83" i="5"/>
  <c r="P78" i="5"/>
  <c r="Q78" i="5" s="1"/>
  <c r="Q79" i="5"/>
  <c r="O63" i="5"/>
  <c r="R75" i="5"/>
  <c r="O67" i="5"/>
  <c r="O74" i="5"/>
  <c r="R77" i="5"/>
  <c r="O174" i="14"/>
  <c r="N176" i="14"/>
  <c r="L261" i="7"/>
  <c r="L426" i="7"/>
  <c r="L606" i="7"/>
  <c r="L441" i="7"/>
  <c r="L621" i="7"/>
  <c r="L111" i="7"/>
  <c r="L276" i="7"/>
  <c r="L132" i="7"/>
  <c r="L297" i="7"/>
  <c r="L462" i="7"/>
  <c r="L642" i="7"/>
  <c r="L571" i="7"/>
  <c r="L61" i="7"/>
  <c r="L749" i="7" s="1"/>
  <c r="M338" i="3"/>
  <c r="M334" i="3"/>
  <c r="M336" i="3"/>
  <c r="M332" i="3"/>
  <c r="M331" i="3"/>
  <c r="M337" i="3"/>
  <c r="M340" i="3"/>
  <c r="M335" i="3"/>
  <c r="M333" i="3"/>
  <c r="M339" i="3"/>
  <c r="M370" i="3"/>
  <c r="W277" i="3"/>
  <c r="W112" i="3"/>
  <c r="M372" i="3"/>
  <c r="M137" i="3"/>
  <c r="M278" i="3"/>
  <c r="M136" i="3"/>
  <c r="M301" i="3"/>
  <c r="M299" i="3"/>
  <c r="M134" i="3"/>
  <c r="X249" i="3"/>
  <c r="W249" i="3"/>
  <c r="U133" i="3"/>
  <c r="U298" i="3"/>
  <c r="M374" i="3"/>
  <c r="M274" i="3"/>
  <c r="M246" i="3"/>
  <c r="M248" i="3"/>
  <c r="W135" i="3"/>
  <c r="W300" i="3"/>
  <c r="M275" i="3"/>
  <c r="M129" i="3"/>
  <c r="M368" i="3"/>
  <c r="M371" i="3"/>
  <c r="M432" i="3" s="1"/>
  <c r="M130" i="3"/>
  <c r="M131" i="3"/>
  <c r="M296" i="3"/>
  <c r="M375" i="3"/>
  <c r="M369" i="3"/>
  <c r="M279" i="3"/>
  <c r="M373" i="3"/>
  <c r="M433" i="3" s="1"/>
  <c r="L463" i="7"/>
  <c r="L645" i="7"/>
  <c r="L300" i="7"/>
  <c r="M465" i="7"/>
  <c r="L227" i="7"/>
  <c r="L770" i="7" s="1"/>
  <c r="M61" i="3"/>
  <c r="M402" i="3" s="1"/>
  <c r="L442" i="7"/>
  <c r="L622" i="7"/>
  <c r="L277" i="7"/>
  <c r="L81" i="7"/>
  <c r="L411" i="7"/>
  <c r="L591" i="7"/>
  <c r="L246" i="7"/>
  <c r="L643" i="7"/>
  <c r="L298" i="7"/>
  <c r="L413" i="7"/>
  <c r="L593" i="7"/>
  <c r="L248" i="7"/>
  <c r="L83" i="7"/>
  <c r="L249" i="7"/>
  <c r="L414" i="7"/>
  <c r="L594" i="7"/>
  <c r="L84" i="7"/>
  <c r="V247" i="3"/>
  <c r="U82" i="3"/>
  <c r="L590" i="7"/>
  <c r="L245" i="7"/>
  <c r="L80" i="7"/>
  <c r="L410" i="7"/>
  <c r="L244" i="7"/>
  <c r="L589" i="7"/>
  <c r="L415" i="7"/>
  <c r="L85" i="7"/>
  <c r="L592" i="7"/>
  <c r="L412" i="7"/>
  <c r="L82" i="7"/>
  <c r="L247" i="7"/>
  <c r="N250" i="3"/>
  <c r="M85" i="3"/>
  <c r="F100" i="14"/>
  <c r="H68" i="4" s="1"/>
  <c r="F90" i="14"/>
  <c r="H67" i="4" s="1"/>
  <c r="F60" i="14"/>
  <c r="H64" i="4" s="1"/>
  <c r="F80" i="14"/>
  <c r="H66" i="4" s="1"/>
  <c r="F70" i="14"/>
  <c r="H65" i="4" s="1"/>
  <c r="F50" i="14"/>
  <c r="H63" i="4" s="1"/>
  <c r="I142" i="14"/>
  <c r="H108" i="14"/>
  <c r="G107" i="14"/>
  <c r="H134" i="14"/>
  <c r="I145" i="14"/>
  <c r="H109" i="14"/>
  <c r="R122" i="14"/>
  <c r="Q125" i="14"/>
  <c r="P125" i="14"/>
  <c r="O125" i="14"/>
  <c r="N125" i="14"/>
  <c r="X232" i="4"/>
  <c r="W232" i="4"/>
  <c r="V232" i="4"/>
  <c r="U232" i="4"/>
  <c r="T232" i="4"/>
  <c r="S232" i="4"/>
  <c r="R232" i="4"/>
  <c r="Q232" i="4"/>
  <c r="P232" i="4"/>
  <c r="O232" i="4"/>
  <c r="N232" i="4"/>
  <c r="M232" i="4"/>
  <c r="L232" i="4"/>
  <c r="K232" i="4"/>
  <c r="J232" i="4"/>
  <c r="I232" i="4"/>
  <c r="H232" i="4"/>
  <c r="G232" i="4"/>
  <c r="F232" i="4"/>
  <c r="E232" i="4"/>
  <c r="X231" i="4"/>
  <c r="W231" i="4"/>
  <c r="V231" i="4"/>
  <c r="U231" i="4"/>
  <c r="T231" i="4"/>
  <c r="S231" i="4"/>
  <c r="R231" i="4"/>
  <c r="Q231" i="4"/>
  <c r="P231" i="4"/>
  <c r="O231" i="4"/>
  <c r="N231" i="4"/>
  <c r="M231" i="4"/>
  <c r="L231" i="4"/>
  <c r="K231" i="4"/>
  <c r="J231" i="4"/>
  <c r="I231" i="4"/>
  <c r="H231" i="4"/>
  <c r="G231" i="4"/>
  <c r="F231" i="4"/>
  <c r="E231" i="4"/>
  <c r="X230" i="4"/>
  <c r="W230" i="4"/>
  <c r="V230" i="4"/>
  <c r="U230" i="4"/>
  <c r="T230" i="4"/>
  <c r="S230" i="4"/>
  <c r="R230" i="4"/>
  <c r="Q230" i="4"/>
  <c r="P230" i="4"/>
  <c r="O230" i="4"/>
  <c r="N230" i="4"/>
  <c r="M230" i="4"/>
  <c r="L230" i="4"/>
  <c r="K230" i="4"/>
  <c r="J230" i="4"/>
  <c r="I230" i="4"/>
  <c r="H230" i="4"/>
  <c r="G230" i="4"/>
  <c r="F230" i="4"/>
  <c r="E230" i="4"/>
  <c r="X229" i="4"/>
  <c r="W229" i="4"/>
  <c r="V229" i="4"/>
  <c r="U229" i="4"/>
  <c r="T229" i="4"/>
  <c r="S229" i="4"/>
  <c r="R229" i="4"/>
  <c r="Q229" i="4"/>
  <c r="P229" i="4"/>
  <c r="O229" i="4"/>
  <c r="N229" i="4"/>
  <c r="M229" i="4"/>
  <c r="L229" i="4"/>
  <c r="K229" i="4"/>
  <c r="J229" i="4"/>
  <c r="I229" i="4"/>
  <c r="H229" i="4"/>
  <c r="G229" i="4"/>
  <c r="F229" i="4"/>
  <c r="E229" i="4"/>
  <c r="X228" i="4"/>
  <c r="W228" i="4"/>
  <c r="V228" i="4"/>
  <c r="U228" i="4"/>
  <c r="T228" i="4"/>
  <c r="S228" i="4"/>
  <c r="R228" i="4"/>
  <c r="Q228" i="4"/>
  <c r="P228" i="4"/>
  <c r="O228" i="4"/>
  <c r="N228" i="4"/>
  <c r="M228" i="4"/>
  <c r="L228" i="4"/>
  <c r="K228" i="4"/>
  <c r="J228" i="4"/>
  <c r="I228" i="4"/>
  <c r="H228" i="4"/>
  <c r="G228" i="4"/>
  <c r="F228" i="4"/>
  <c r="E228" i="4"/>
  <c r="X227" i="4"/>
  <c r="W227" i="4"/>
  <c r="V227" i="4"/>
  <c r="U227" i="4"/>
  <c r="T227" i="4"/>
  <c r="S227" i="4"/>
  <c r="R227" i="4"/>
  <c r="Q227" i="4"/>
  <c r="P227" i="4"/>
  <c r="O227" i="4"/>
  <c r="N227" i="4"/>
  <c r="M227" i="4"/>
  <c r="L227" i="4"/>
  <c r="K227" i="4"/>
  <c r="J227" i="4"/>
  <c r="I227" i="4"/>
  <c r="H227" i="4"/>
  <c r="G227" i="4"/>
  <c r="F227" i="4"/>
  <c r="X226" i="4"/>
  <c r="W226" i="4"/>
  <c r="V226" i="4"/>
  <c r="U226" i="4"/>
  <c r="T226" i="4"/>
  <c r="S226" i="4"/>
  <c r="R226" i="4"/>
  <c r="Q226" i="4"/>
  <c r="P226" i="4"/>
  <c r="O226" i="4"/>
  <c r="N226" i="4"/>
  <c r="M226" i="4"/>
  <c r="L226" i="4"/>
  <c r="K226" i="4"/>
  <c r="J226" i="4"/>
  <c r="I226" i="4"/>
  <c r="H226" i="4"/>
  <c r="G226" i="4"/>
  <c r="F226" i="4"/>
  <c r="E226" i="4"/>
  <c r="R81" i="5" l="1"/>
  <c r="S81" i="5" s="1"/>
  <c r="R73" i="5"/>
  <c r="S73" i="5" s="1"/>
  <c r="T73" i="5" s="1"/>
  <c r="S70" i="5"/>
  <c r="T70" i="5" s="1"/>
  <c r="U70" i="5" s="1"/>
  <c r="S64" i="5"/>
  <c r="T64" i="5" s="1"/>
  <c r="U64" i="5" s="1"/>
  <c r="V64" i="5" s="1"/>
  <c r="W64" i="5" s="1"/>
  <c r="X64" i="5" s="1"/>
  <c r="S69" i="5"/>
  <c r="T69" i="5" s="1"/>
  <c r="U69" i="5" s="1"/>
  <c r="P63" i="5"/>
  <c r="Q63" i="5" s="1"/>
  <c r="P83" i="5"/>
  <c r="Q83" i="5" s="1"/>
  <c r="R83" i="5" s="1"/>
  <c r="P67" i="5"/>
  <c r="Q67" i="5" s="1"/>
  <c r="R67" i="5" s="1"/>
  <c r="S67" i="5" s="1"/>
  <c r="T67" i="5" s="1"/>
  <c r="P76" i="5"/>
  <c r="Q76" i="5" s="1"/>
  <c r="R76" i="5" s="1"/>
  <c r="S76" i="5" s="1"/>
  <c r="P74" i="5"/>
  <c r="S68" i="5"/>
  <c r="P62" i="5"/>
  <c r="Q62" i="5" s="1"/>
  <c r="T86" i="5"/>
  <c r="R79" i="5"/>
  <c r="S79" i="5" s="1"/>
  <c r="S75" i="5"/>
  <c r="T75" i="5" s="1"/>
  <c r="U75" i="5" s="1"/>
  <c r="V75" i="5" s="1"/>
  <c r="Q88" i="5"/>
  <c r="R88" i="5" s="1"/>
  <c r="S88" i="5" s="1"/>
  <c r="T88" i="5" s="1"/>
  <c r="P72" i="5"/>
  <c r="Q72" i="5" s="1"/>
  <c r="R72" i="5" s="1"/>
  <c r="Q87" i="5"/>
  <c r="S77" i="5"/>
  <c r="Q71" i="5"/>
  <c r="U89" i="5"/>
  <c r="V89" i="5" s="1"/>
  <c r="W89" i="5" s="1"/>
  <c r="R66" i="5"/>
  <c r="S66" i="5" s="1"/>
  <c r="T66" i="5" s="1"/>
  <c r="U66" i="5" s="1"/>
  <c r="V66" i="5" s="1"/>
  <c r="R78" i="5"/>
  <c r="S78" i="5" s="1"/>
  <c r="P174" i="14"/>
  <c r="O176" i="14"/>
  <c r="N297" i="7"/>
  <c r="N462" i="7"/>
  <c r="N642" i="7"/>
  <c r="M276" i="7"/>
  <c r="M441" i="7"/>
  <c r="M621" i="7"/>
  <c r="M111" i="7"/>
  <c r="M132" i="7"/>
  <c r="M297" i="7"/>
  <c r="M462" i="7"/>
  <c r="M642" i="7"/>
  <c r="N606" i="7"/>
  <c r="N261" i="7"/>
  <c r="N426" i="7"/>
  <c r="M261" i="7"/>
  <c r="M426" i="7"/>
  <c r="M606" i="7"/>
  <c r="M571" i="7"/>
  <c r="M61" i="7"/>
  <c r="M749" i="7" s="1"/>
  <c r="N335" i="3"/>
  <c r="N332" i="3"/>
  <c r="N339" i="3"/>
  <c r="N340" i="3"/>
  <c r="N336" i="3"/>
  <c r="N333" i="3"/>
  <c r="N337" i="3"/>
  <c r="N334" i="3"/>
  <c r="N331" i="3"/>
  <c r="N338" i="3"/>
  <c r="N374" i="3"/>
  <c r="N375" i="3"/>
  <c r="V133" i="3"/>
  <c r="V298" i="3"/>
  <c r="N246" i="3"/>
  <c r="X112" i="3"/>
  <c r="X277" i="3"/>
  <c r="N279" i="3"/>
  <c r="N130" i="3"/>
  <c r="N275" i="3"/>
  <c r="N278" i="3"/>
  <c r="N299" i="3"/>
  <c r="N134" i="3"/>
  <c r="N372" i="3"/>
  <c r="N373" i="3"/>
  <c r="N433" i="3" s="1"/>
  <c r="N136" i="3"/>
  <c r="N301" i="3"/>
  <c r="N274" i="3"/>
  <c r="X135" i="3"/>
  <c r="X300" i="3"/>
  <c r="N368" i="3"/>
  <c r="N248" i="3"/>
  <c r="N296" i="3"/>
  <c r="N131" i="3"/>
  <c r="N129" i="3"/>
  <c r="N369" i="3"/>
  <c r="N371" i="3"/>
  <c r="N432" i="3" s="1"/>
  <c r="N137" i="3"/>
  <c r="N370" i="3"/>
  <c r="M300" i="7"/>
  <c r="M645" i="7"/>
  <c r="M463" i="7"/>
  <c r="M227" i="7"/>
  <c r="M770" i="7" s="1"/>
  <c r="N61" i="3"/>
  <c r="N402" i="3" s="1"/>
  <c r="M410" i="7"/>
  <c r="M590" i="7"/>
  <c r="M245" i="7"/>
  <c r="M80" i="7"/>
  <c r="O250" i="3"/>
  <c r="N85" i="3"/>
  <c r="W247" i="3"/>
  <c r="V82" i="3"/>
  <c r="M249" i="7"/>
  <c r="M414" i="7"/>
  <c r="M594" i="7"/>
  <c r="M84" i="7"/>
  <c r="M589" i="7"/>
  <c r="M244" i="7"/>
  <c r="M416" i="7"/>
  <c r="M85" i="7"/>
  <c r="M415" i="7"/>
  <c r="M246" i="7"/>
  <c r="M81" i="7"/>
  <c r="M411" i="7"/>
  <c r="M591" i="7"/>
  <c r="N592" i="7"/>
  <c r="N247" i="7"/>
  <c r="N412" i="7"/>
  <c r="M413" i="7"/>
  <c r="M593" i="7"/>
  <c r="M83" i="7"/>
  <c r="M248" i="7"/>
  <c r="M277" i="7"/>
  <c r="M622" i="7"/>
  <c r="M442" i="7"/>
  <c r="M592" i="7"/>
  <c r="M247" i="7"/>
  <c r="M82" i="7"/>
  <c r="M412" i="7"/>
  <c r="N132" i="7"/>
  <c r="M298" i="7"/>
  <c r="M643" i="7"/>
  <c r="N82" i="7"/>
  <c r="S122" i="14"/>
  <c r="J145" i="14"/>
  <c r="I109" i="14"/>
  <c r="I134" i="14"/>
  <c r="H107" i="14"/>
  <c r="J142" i="14"/>
  <c r="I108" i="14"/>
  <c r="G100" i="14"/>
  <c r="I68" i="4" s="1"/>
  <c r="G90" i="14"/>
  <c r="I67" i="4" s="1"/>
  <c r="G80" i="14"/>
  <c r="I66" i="4" s="1"/>
  <c r="G70" i="14"/>
  <c r="I65" i="4" s="1"/>
  <c r="G60" i="14"/>
  <c r="I64" i="4" s="1"/>
  <c r="G50" i="14"/>
  <c r="I63" i="4" s="1"/>
  <c r="T81" i="5" l="1"/>
  <c r="U81" i="5" s="1"/>
  <c r="V81" i="5" s="1"/>
  <c r="W81" i="5" s="1"/>
  <c r="R63" i="5"/>
  <c r="S63" i="5" s="1"/>
  <c r="T63" i="5" s="1"/>
  <c r="T79" i="5"/>
  <c r="U79" i="5" s="1"/>
  <c r="V79" i="5" s="1"/>
  <c r="W79" i="5" s="1"/>
  <c r="T76" i="5"/>
  <c r="U76" i="5" s="1"/>
  <c r="V76" i="5" s="1"/>
  <c r="W76" i="5" s="1"/>
  <c r="X76" i="5" s="1"/>
  <c r="Y76" i="5" s="1"/>
  <c r="U73" i="5"/>
  <c r="V73" i="5" s="1"/>
  <c r="W73" i="5" s="1"/>
  <c r="R62" i="5"/>
  <c r="S62" i="5" s="1"/>
  <c r="T62" i="5" s="1"/>
  <c r="U62" i="5" s="1"/>
  <c r="V62" i="5" s="1"/>
  <c r="W62" i="5" s="1"/>
  <c r="X62" i="5" s="1"/>
  <c r="Y62" i="5" s="1"/>
  <c r="V70" i="5"/>
  <c r="W70" i="5" s="1"/>
  <c r="X70" i="5" s="1"/>
  <c r="Y70" i="5" s="1"/>
  <c r="W75" i="5"/>
  <c r="X75" i="5" s="1"/>
  <c r="Y75" i="5" s="1"/>
  <c r="U67" i="5"/>
  <c r="V67" i="5" s="1"/>
  <c r="W67" i="5" s="1"/>
  <c r="X67" i="5" s="1"/>
  <c r="Y67" i="5" s="1"/>
  <c r="V69" i="5"/>
  <c r="W69" i="5" s="1"/>
  <c r="X69" i="5" s="1"/>
  <c r="Y69" i="5" s="1"/>
  <c r="W66" i="5"/>
  <c r="X66" i="5" s="1"/>
  <c r="T77" i="5"/>
  <c r="U77" i="5" s="1"/>
  <c r="V77" i="5" s="1"/>
  <c r="W77" i="5" s="1"/>
  <c r="X77" i="5" s="1"/>
  <c r="Y77" i="5" s="1"/>
  <c r="Y64" i="5"/>
  <c r="S72" i="5"/>
  <c r="T72" i="5" s="1"/>
  <c r="U72" i="5" s="1"/>
  <c r="V72" i="5" s="1"/>
  <c r="W72" i="5" s="1"/>
  <c r="X72" i="5" s="1"/>
  <c r="Y72" i="5" s="1"/>
  <c r="T68" i="5"/>
  <c r="U68" i="5" s="1"/>
  <c r="V68" i="5" s="1"/>
  <c r="W68" i="5" s="1"/>
  <c r="X68" i="5" s="1"/>
  <c r="Y68" i="5" s="1"/>
  <c r="Q74" i="5"/>
  <c r="R71" i="5"/>
  <c r="S71" i="5" s="1"/>
  <c r="U88" i="5"/>
  <c r="V88" i="5" s="1"/>
  <c r="W88" i="5" s="1"/>
  <c r="X88" i="5" s="1"/>
  <c r="Y88" i="5" s="1"/>
  <c r="R87" i="5"/>
  <c r="S87" i="5" s="1"/>
  <c r="T87" i="5" s="1"/>
  <c r="U87" i="5" s="1"/>
  <c r="V87" i="5" s="1"/>
  <c r="W87" i="5" s="1"/>
  <c r="X87" i="5" s="1"/>
  <c r="Y87" i="5" s="1"/>
  <c r="S83" i="5"/>
  <c r="T83" i="5" s="1"/>
  <c r="U83" i="5" s="1"/>
  <c r="T78" i="5"/>
  <c r="U78" i="5" s="1"/>
  <c r="V78" i="5" s="1"/>
  <c r="W78" i="5" s="1"/>
  <c r="X78" i="5" s="1"/>
  <c r="Y78" i="5" s="1"/>
  <c r="Y66" i="5"/>
  <c r="X89" i="5"/>
  <c r="Y89" i="5" s="1"/>
  <c r="U63" i="5"/>
  <c r="V63" i="5" s="1"/>
  <c r="W63" i="5" s="1"/>
  <c r="X63" i="5" s="1"/>
  <c r="Y63" i="5" s="1"/>
  <c r="U86" i="5"/>
  <c r="V86" i="5" s="1"/>
  <c r="W86" i="5" s="1"/>
  <c r="X86" i="5" s="1"/>
  <c r="Y86" i="5" s="1"/>
  <c r="Q174" i="14"/>
  <c r="P176" i="14"/>
  <c r="O426" i="7"/>
  <c r="O606" i="7"/>
  <c r="O261" i="7"/>
  <c r="N111" i="7"/>
  <c r="N276" i="7"/>
  <c r="N441" i="7"/>
  <c r="N621" i="7"/>
  <c r="O297" i="7"/>
  <c r="O642" i="7"/>
  <c r="O462" i="7"/>
  <c r="N571" i="7"/>
  <c r="N61" i="7"/>
  <c r="N749" i="7" s="1"/>
  <c r="O334" i="3"/>
  <c r="O340" i="3"/>
  <c r="O338" i="3"/>
  <c r="O337" i="3"/>
  <c r="O339" i="3"/>
  <c r="O331" i="3"/>
  <c r="O333" i="3"/>
  <c r="O332" i="3"/>
  <c r="O336" i="3"/>
  <c r="O335" i="3"/>
  <c r="O371" i="3"/>
  <c r="O432" i="3" s="1"/>
  <c r="O248" i="3"/>
  <c r="O134" i="3"/>
  <c r="O299" i="3"/>
  <c r="O279" i="3"/>
  <c r="O275" i="3"/>
  <c r="O137" i="3"/>
  <c r="W133" i="3"/>
  <c r="W298" i="3"/>
  <c r="O301" i="3"/>
  <c r="O136" i="3"/>
  <c r="O375" i="3"/>
  <c r="O370" i="3"/>
  <c r="O465" i="7"/>
  <c r="N465" i="7"/>
  <c r="O296" i="3"/>
  <c r="O131" i="3"/>
  <c r="O369" i="3"/>
  <c r="O368" i="3"/>
  <c r="O278" i="3"/>
  <c r="O129" i="3"/>
  <c r="O246" i="3"/>
  <c r="O372" i="3"/>
  <c r="O274" i="3"/>
  <c r="O130" i="3"/>
  <c r="O373" i="3"/>
  <c r="O433" i="3" s="1"/>
  <c r="O374" i="3"/>
  <c r="N300" i="7"/>
  <c r="N645" i="7"/>
  <c r="O643" i="7"/>
  <c r="N463" i="7"/>
  <c r="O61" i="3"/>
  <c r="O402" i="3" s="1"/>
  <c r="N227" i="7"/>
  <c r="N770" i="7" s="1"/>
  <c r="O622" i="7"/>
  <c r="O277" i="7"/>
  <c r="O442" i="7"/>
  <c r="N246" i="7"/>
  <c r="N411" i="7"/>
  <c r="N591" i="7"/>
  <c r="N81" i="7"/>
  <c r="W82" i="3"/>
  <c r="N643" i="7"/>
  <c r="N298" i="7"/>
  <c r="N442" i="7"/>
  <c r="N277" i="7"/>
  <c r="N622" i="7"/>
  <c r="N589" i="7"/>
  <c r="N244" i="7"/>
  <c r="P250" i="3"/>
  <c r="O85" i="3"/>
  <c r="N410" i="7"/>
  <c r="N590" i="7"/>
  <c r="N80" i="7"/>
  <c r="N245" i="7"/>
  <c r="N594" i="7"/>
  <c r="N414" i="7"/>
  <c r="N84" i="7"/>
  <c r="N249" i="7"/>
  <c r="O412" i="7"/>
  <c r="O592" i="7"/>
  <c r="O247" i="7"/>
  <c r="N85" i="7"/>
  <c r="N415" i="7"/>
  <c r="N416" i="7"/>
  <c r="N83" i="7"/>
  <c r="N413" i="7"/>
  <c r="N593" i="7"/>
  <c r="N248" i="7"/>
  <c r="O82" i="7"/>
  <c r="J134" i="14"/>
  <c r="I107" i="14"/>
  <c r="K145" i="14"/>
  <c r="J109" i="14"/>
  <c r="K142" i="14"/>
  <c r="J108" i="14"/>
  <c r="H90" i="14"/>
  <c r="J67" i="4" s="1"/>
  <c r="H80" i="14"/>
  <c r="J66" i="4" s="1"/>
  <c r="H70" i="14"/>
  <c r="J65" i="4" s="1"/>
  <c r="H60" i="14"/>
  <c r="J64" i="4" s="1"/>
  <c r="H50" i="14"/>
  <c r="J63" i="4" s="1"/>
  <c r="H100" i="14"/>
  <c r="J68" i="4" s="1"/>
  <c r="T122" i="14"/>
  <c r="X81" i="5" l="1"/>
  <c r="Y81" i="5" s="1"/>
  <c r="X79" i="5"/>
  <c r="Y79" i="5" s="1"/>
  <c r="X73" i="5"/>
  <c r="Y73" i="5" s="1"/>
  <c r="T71" i="5"/>
  <c r="U71" i="5" s="1"/>
  <c r="V71" i="5" s="1"/>
  <c r="W71" i="5" s="1"/>
  <c r="X71" i="5" s="1"/>
  <c r="Y71" i="5" s="1"/>
  <c r="R74" i="5"/>
  <c r="V83" i="5"/>
  <c r="W83" i="5" s="1"/>
  <c r="X83" i="5" s="1"/>
  <c r="Y83" i="5" s="1"/>
  <c r="R174" i="14"/>
  <c r="Q176" i="14"/>
  <c r="O132" i="7"/>
  <c r="Q462" i="7"/>
  <c r="Q642" i="7"/>
  <c r="Q297" i="7"/>
  <c r="O111" i="7"/>
  <c r="O276" i="7"/>
  <c r="O441" i="7"/>
  <c r="O621" i="7"/>
  <c r="P642" i="7"/>
  <c r="P297" i="7"/>
  <c r="P462" i="7"/>
  <c r="Q261" i="7"/>
  <c r="Q426" i="7"/>
  <c r="Q606" i="7"/>
  <c r="R426" i="7"/>
  <c r="R261" i="7"/>
  <c r="R606" i="7"/>
  <c r="P261" i="7"/>
  <c r="P426" i="7"/>
  <c r="P606" i="7"/>
  <c r="O571" i="7"/>
  <c r="O61" i="7"/>
  <c r="O749" i="7" s="1"/>
  <c r="P332" i="3"/>
  <c r="P337" i="3"/>
  <c r="P335" i="3"/>
  <c r="P333" i="3"/>
  <c r="P338" i="3"/>
  <c r="P336" i="3"/>
  <c r="P331" i="3"/>
  <c r="P340" i="3"/>
  <c r="P339" i="3"/>
  <c r="P334" i="3"/>
  <c r="O298" i="7"/>
  <c r="P278" i="3"/>
  <c r="P299" i="3"/>
  <c r="P134" i="3"/>
  <c r="P279" i="3"/>
  <c r="P373" i="3"/>
  <c r="P433" i="3" s="1"/>
  <c r="P246" i="3"/>
  <c r="P369" i="3"/>
  <c r="P375" i="3"/>
  <c r="P137" i="3"/>
  <c r="O300" i="7"/>
  <c r="P374" i="3"/>
  <c r="P370" i="3"/>
  <c r="P131" i="3"/>
  <c r="P296" i="3"/>
  <c r="P248" i="3"/>
  <c r="P465" i="7"/>
  <c r="P372" i="3"/>
  <c r="X298" i="3"/>
  <c r="X133" i="3"/>
  <c r="P129" i="3"/>
  <c r="P274" i="3"/>
  <c r="P368" i="3"/>
  <c r="X82" i="3"/>
  <c r="X247" i="3"/>
  <c r="P130" i="3"/>
  <c r="P275" i="3"/>
  <c r="O645" i="7"/>
  <c r="P301" i="3"/>
  <c r="P136" i="3"/>
  <c r="P371" i="3"/>
  <c r="P432" i="3" s="1"/>
  <c r="O463" i="7"/>
  <c r="P643" i="7"/>
  <c r="O227" i="7"/>
  <c r="O770" i="7" s="1"/>
  <c r="P61" i="3"/>
  <c r="P402" i="3" s="1"/>
  <c r="O415" i="7"/>
  <c r="O85" i="7"/>
  <c r="P84" i="7"/>
  <c r="O591" i="7"/>
  <c r="O411" i="7"/>
  <c r="O81" i="7"/>
  <c r="O246" i="7"/>
  <c r="P80" i="7"/>
  <c r="P594" i="7"/>
  <c r="P249" i="7"/>
  <c r="P414" i="7"/>
  <c r="Q412" i="7"/>
  <c r="Q592" i="7"/>
  <c r="Q247" i="7"/>
  <c r="O589" i="7"/>
  <c r="O244" i="7"/>
  <c r="O248" i="7"/>
  <c r="O83" i="7"/>
  <c r="O413" i="7"/>
  <c r="O593" i="7"/>
  <c r="O416" i="7"/>
  <c r="P412" i="7"/>
  <c r="P592" i="7"/>
  <c r="P247" i="7"/>
  <c r="P245" i="7"/>
  <c r="P410" i="7"/>
  <c r="P590" i="7"/>
  <c r="O410" i="7"/>
  <c r="O590" i="7"/>
  <c r="O245" i="7"/>
  <c r="O80" i="7"/>
  <c r="O594" i="7"/>
  <c r="O249" i="7"/>
  <c r="O414" i="7"/>
  <c r="O84" i="7"/>
  <c r="Q250" i="3"/>
  <c r="P85" i="3"/>
  <c r="P622" i="7"/>
  <c r="P277" i="7"/>
  <c r="P442" i="7"/>
  <c r="P82" i="7"/>
  <c r="U122" i="14"/>
  <c r="L142" i="14"/>
  <c r="K108" i="14"/>
  <c r="L145" i="14"/>
  <c r="K109" i="14"/>
  <c r="K134" i="14"/>
  <c r="J107" i="14"/>
  <c r="I80" i="14"/>
  <c r="K66" i="4" s="1"/>
  <c r="I70" i="14"/>
  <c r="K65" i="4" s="1"/>
  <c r="I60" i="14"/>
  <c r="K64" i="4" s="1"/>
  <c r="I50" i="14"/>
  <c r="K63" i="4" s="1"/>
  <c r="I100" i="14"/>
  <c r="K68" i="4" s="1"/>
  <c r="I90" i="14"/>
  <c r="K67" i="4" s="1"/>
  <c r="F197" i="4"/>
  <c r="G197" i="4"/>
  <c r="H197" i="4"/>
  <c r="I197" i="4"/>
  <c r="J197" i="4"/>
  <c r="K197" i="4"/>
  <c r="L197" i="4"/>
  <c r="M197" i="4"/>
  <c r="N197" i="4"/>
  <c r="O197" i="4"/>
  <c r="P197" i="4"/>
  <c r="Q197" i="4"/>
  <c r="R197" i="4"/>
  <c r="S197" i="4"/>
  <c r="T197" i="4"/>
  <c r="U197" i="4"/>
  <c r="V197" i="4"/>
  <c r="W197" i="4"/>
  <c r="X197" i="4"/>
  <c r="E197" i="4"/>
  <c r="C207" i="4"/>
  <c r="F206" i="4"/>
  <c r="G206" i="4"/>
  <c r="H206" i="4"/>
  <c r="I206" i="4"/>
  <c r="J206" i="4"/>
  <c r="K206" i="4"/>
  <c r="L206" i="4"/>
  <c r="M206" i="4"/>
  <c r="N206" i="4"/>
  <c r="O206" i="4"/>
  <c r="P206" i="4"/>
  <c r="Q206" i="4"/>
  <c r="R206" i="4"/>
  <c r="S206" i="4"/>
  <c r="T206" i="4"/>
  <c r="U206" i="4"/>
  <c r="V206" i="4"/>
  <c r="W206" i="4"/>
  <c r="X206" i="4"/>
  <c r="E206" i="4"/>
  <c r="C206" i="4"/>
  <c r="C717" i="7"/>
  <c r="C718" i="7"/>
  <c r="C719" i="7"/>
  <c r="C720" i="7"/>
  <c r="C721" i="7"/>
  <c r="C722" i="7"/>
  <c r="C723" i="7"/>
  <c r="C724" i="7"/>
  <c r="C725" i="7"/>
  <c r="C726" i="7"/>
  <c r="C727" i="7"/>
  <c r="C728" i="7"/>
  <c r="C729" i="7"/>
  <c r="C730" i="7"/>
  <c r="C731" i="7"/>
  <c r="C537" i="7"/>
  <c r="C538" i="7"/>
  <c r="C539" i="7"/>
  <c r="C540" i="7"/>
  <c r="C541" i="7"/>
  <c r="C542" i="7"/>
  <c r="C543" i="7"/>
  <c r="C544" i="7"/>
  <c r="C545" i="7"/>
  <c r="C546" i="7"/>
  <c r="C547" i="7"/>
  <c r="C548" i="7"/>
  <c r="C549" i="7"/>
  <c r="C550" i="7"/>
  <c r="C551" i="7"/>
  <c r="C372" i="7"/>
  <c r="C373" i="7"/>
  <c r="C374" i="7"/>
  <c r="C375" i="7"/>
  <c r="C376" i="7"/>
  <c r="C377" i="7"/>
  <c r="C378" i="7"/>
  <c r="C379" i="7"/>
  <c r="C380" i="7"/>
  <c r="C381" i="7"/>
  <c r="C382" i="7"/>
  <c r="C383" i="7"/>
  <c r="C384" i="7"/>
  <c r="C385" i="7"/>
  <c r="C386" i="7"/>
  <c r="C372" i="3"/>
  <c r="C373" i="3"/>
  <c r="C374" i="3"/>
  <c r="C375" i="3"/>
  <c r="C376" i="3"/>
  <c r="C377" i="3"/>
  <c r="C378" i="3"/>
  <c r="C379" i="3"/>
  <c r="C380" i="3"/>
  <c r="C381" i="3"/>
  <c r="C382" i="3"/>
  <c r="C383" i="3"/>
  <c r="C384" i="3"/>
  <c r="C385" i="3"/>
  <c r="C386" i="3"/>
  <c r="F207" i="5"/>
  <c r="F208" i="5"/>
  <c r="F209" i="5"/>
  <c r="F210" i="5"/>
  <c r="F211" i="5"/>
  <c r="F212" i="5"/>
  <c r="F213" i="5"/>
  <c r="F214" i="5"/>
  <c r="F215" i="5"/>
  <c r="F216" i="5"/>
  <c r="F217" i="5"/>
  <c r="F218" i="5"/>
  <c r="F219" i="5"/>
  <c r="F220" i="5"/>
  <c r="F221" i="5"/>
  <c r="C207" i="5"/>
  <c r="C208" i="5"/>
  <c r="C209" i="5"/>
  <c r="C210" i="5"/>
  <c r="C211" i="5"/>
  <c r="C212" i="5"/>
  <c r="C213" i="5"/>
  <c r="C214" i="5"/>
  <c r="C215" i="5"/>
  <c r="C216" i="5"/>
  <c r="C217" i="5"/>
  <c r="C218" i="5"/>
  <c r="C219" i="5"/>
  <c r="C220" i="5"/>
  <c r="C221" i="5"/>
  <c r="C206" i="5"/>
  <c r="S74" i="5" l="1"/>
  <c r="T74" i="5" s="1"/>
  <c r="U74" i="5" s="1"/>
  <c r="V74" i="5" s="1"/>
  <c r="W74" i="5" s="1"/>
  <c r="X74" i="5" s="1"/>
  <c r="E538" i="7"/>
  <c r="E801" i="7" s="1"/>
  <c r="E537" i="7"/>
  <c r="S174" i="14"/>
  <c r="R176" i="14"/>
  <c r="P132" i="7"/>
  <c r="T261" i="7"/>
  <c r="T426" i="7"/>
  <c r="T606" i="7"/>
  <c r="P111" i="7"/>
  <c r="P276" i="7"/>
  <c r="P441" i="7"/>
  <c r="P621" i="7"/>
  <c r="S261" i="7"/>
  <c r="S426" i="7"/>
  <c r="S606" i="7"/>
  <c r="S297" i="7"/>
  <c r="S462" i="7"/>
  <c r="S642" i="7"/>
  <c r="R297" i="7"/>
  <c r="R462" i="7"/>
  <c r="R642" i="7"/>
  <c r="P571" i="7"/>
  <c r="P61" i="7"/>
  <c r="P749" i="7" s="1"/>
  <c r="Q340" i="3"/>
  <c r="Q333" i="3"/>
  <c r="Q334" i="3"/>
  <c r="Q331" i="3"/>
  <c r="Q335" i="3"/>
  <c r="Q339" i="3"/>
  <c r="Q336" i="3"/>
  <c r="Q337" i="3"/>
  <c r="P300" i="7"/>
  <c r="Q338" i="3"/>
  <c r="Q332" i="3"/>
  <c r="Q136" i="3"/>
  <c r="Q301" i="3"/>
  <c r="Q368" i="3"/>
  <c r="Q370" i="3"/>
  <c r="Q131" i="3"/>
  <c r="Q296" i="3"/>
  <c r="P645" i="7"/>
  <c r="Q275" i="3"/>
  <c r="Q274" i="3"/>
  <c r="Q369" i="3"/>
  <c r="Q373" i="3"/>
  <c r="Q433" i="3" s="1"/>
  <c r="Q375" i="3"/>
  <c r="Q374" i="3"/>
  <c r="Q299" i="3"/>
  <c r="Q134" i="3"/>
  <c r="Q279" i="3"/>
  <c r="Q371" i="3"/>
  <c r="Q432" i="3" s="1"/>
  <c r="Q130" i="3"/>
  <c r="Q129" i="3"/>
  <c r="Q248" i="3"/>
  <c r="Q246" i="3"/>
  <c r="Q137" i="3"/>
  <c r="Q372" i="3"/>
  <c r="Q465" i="7"/>
  <c r="Q278" i="3"/>
  <c r="P298" i="7"/>
  <c r="P463" i="7"/>
  <c r="P227" i="7"/>
  <c r="P770" i="7" s="1"/>
  <c r="Q61" i="3"/>
  <c r="Q402" i="3" s="1"/>
  <c r="R247" i="7"/>
  <c r="R412" i="7"/>
  <c r="R592" i="7"/>
  <c r="P248" i="7"/>
  <c r="P413" i="7"/>
  <c r="P593" i="7"/>
  <c r="P83" i="7"/>
  <c r="Q277" i="7"/>
  <c r="Q622" i="7"/>
  <c r="Q442" i="7"/>
  <c r="Q245" i="7"/>
  <c r="Q410" i="7"/>
  <c r="Q590" i="7"/>
  <c r="P589" i="7"/>
  <c r="P244" i="7"/>
  <c r="P416" i="7"/>
  <c r="P415" i="7"/>
  <c r="P85" i="7"/>
  <c r="Q84" i="7"/>
  <c r="R250" i="3"/>
  <c r="Q85" i="3"/>
  <c r="Q414" i="7"/>
  <c r="Q594" i="7"/>
  <c r="Q249" i="7"/>
  <c r="R414" i="7"/>
  <c r="R594" i="7"/>
  <c r="R249" i="7"/>
  <c r="Q80" i="7"/>
  <c r="P591" i="7"/>
  <c r="P246" i="7"/>
  <c r="P81" i="7"/>
  <c r="P411" i="7"/>
  <c r="Q82" i="7"/>
  <c r="J70" i="14"/>
  <c r="L65" i="4" s="1"/>
  <c r="J60" i="14"/>
  <c r="L64" i="4" s="1"/>
  <c r="J50" i="14"/>
  <c r="L63" i="4" s="1"/>
  <c r="J100" i="14"/>
  <c r="L68" i="4" s="1"/>
  <c r="J90" i="14"/>
  <c r="L67" i="4" s="1"/>
  <c r="J80" i="14"/>
  <c r="L66" i="4" s="1"/>
  <c r="L134" i="14"/>
  <c r="K107" i="14"/>
  <c r="M145" i="14"/>
  <c r="L109" i="14"/>
  <c r="M142" i="14"/>
  <c r="L108" i="14"/>
  <c r="V122" i="14"/>
  <c r="D205" i="5"/>
  <c r="D206" i="5"/>
  <c r="D207" i="5"/>
  <c r="D208" i="5"/>
  <c r="D209" i="5"/>
  <c r="D210" i="5"/>
  <c r="D211" i="5"/>
  <c r="D212" i="5"/>
  <c r="D213" i="5"/>
  <c r="D214" i="5"/>
  <c r="D215" i="5"/>
  <c r="D216" i="5"/>
  <c r="D217" i="5"/>
  <c r="D218" i="5"/>
  <c r="D219" i="5"/>
  <c r="D220" i="5"/>
  <c r="D221" i="5"/>
  <c r="D177" i="5"/>
  <c r="D178" i="5"/>
  <c r="D179" i="5"/>
  <c r="D180" i="5"/>
  <c r="D181" i="5"/>
  <c r="D182" i="5"/>
  <c r="D183" i="5"/>
  <c r="D184" i="5"/>
  <c r="D185" i="5"/>
  <c r="D186" i="5"/>
  <c r="D187" i="5"/>
  <c r="D188" i="5"/>
  <c r="D189" i="5"/>
  <c r="D190" i="5"/>
  <c r="D191" i="5"/>
  <c r="D192" i="5"/>
  <c r="D193" i="5"/>
  <c r="D194" i="5"/>
  <c r="D195" i="5"/>
  <c r="D196" i="5"/>
  <c r="D197" i="5"/>
  <c r="D198" i="5"/>
  <c r="D199" i="5"/>
  <c r="D200" i="5"/>
  <c r="D201" i="5"/>
  <c r="D202" i="5"/>
  <c r="D203" i="5"/>
  <c r="D204" i="5"/>
  <c r="D176" i="5"/>
  <c r="D165" i="5"/>
  <c r="D166" i="5"/>
  <c r="D167" i="5"/>
  <c r="D168" i="5"/>
  <c r="D169" i="5"/>
  <c r="D170" i="5"/>
  <c r="D171" i="5"/>
  <c r="D172" i="5"/>
  <c r="D173" i="5"/>
  <c r="D174" i="5"/>
  <c r="D175" i="5"/>
  <c r="D164" i="5"/>
  <c r="D154" i="5"/>
  <c r="D155" i="5"/>
  <c r="D156" i="5"/>
  <c r="D157" i="5"/>
  <c r="D158" i="5"/>
  <c r="D159" i="5"/>
  <c r="D160" i="5"/>
  <c r="D161" i="5"/>
  <c r="D162" i="5"/>
  <c r="D163" i="5"/>
  <c r="D153" i="5"/>
  <c r="D149" i="5"/>
  <c r="D150" i="5"/>
  <c r="D151" i="5"/>
  <c r="D152" i="5"/>
  <c r="D148" i="5"/>
  <c r="D146" i="5"/>
  <c r="D147" i="5"/>
  <c r="D145" i="5"/>
  <c r="D142" i="5"/>
  <c r="D143" i="5"/>
  <c r="D144" i="5"/>
  <c r="D141" i="5"/>
  <c r="D138" i="5"/>
  <c r="D139" i="5"/>
  <c r="D140" i="5"/>
  <c r="D137" i="5"/>
  <c r="D123" i="5"/>
  <c r="D124" i="5"/>
  <c r="D125" i="5"/>
  <c r="D126" i="5"/>
  <c r="D127" i="5"/>
  <c r="D128" i="5"/>
  <c r="D129" i="5"/>
  <c r="D130" i="5"/>
  <c r="D131" i="5"/>
  <c r="D134" i="5"/>
  <c r="D136" i="5"/>
  <c r="D122" i="5"/>
  <c r="D119" i="5"/>
  <c r="D120" i="5"/>
  <c r="D121" i="5"/>
  <c r="D118" i="5"/>
  <c r="D115" i="5"/>
  <c r="D116" i="5"/>
  <c r="D117" i="5"/>
  <c r="D114" i="5"/>
  <c r="D98" i="5"/>
  <c r="D99" i="5"/>
  <c r="D100" i="5"/>
  <c r="D101" i="5"/>
  <c r="D102" i="5"/>
  <c r="D103" i="5"/>
  <c r="D104" i="5"/>
  <c r="D105" i="5"/>
  <c r="D106" i="5"/>
  <c r="D107" i="5"/>
  <c r="D108" i="5"/>
  <c r="D109" i="5"/>
  <c r="D110" i="5"/>
  <c r="D97" i="5"/>
  <c r="D91" i="5"/>
  <c r="D92" i="5"/>
  <c r="D93" i="5"/>
  <c r="D94" i="5"/>
  <c r="D95" i="5"/>
  <c r="D90" i="5"/>
  <c r="D63" i="5"/>
  <c r="D64" i="5"/>
  <c r="D65" i="5"/>
  <c r="D66" i="5"/>
  <c r="D67" i="5"/>
  <c r="D68" i="5"/>
  <c r="D70" i="5"/>
  <c r="D71" i="5"/>
  <c r="D72" i="5"/>
  <c r="D73" i="5"/>
  <c r="D74" i="5"/>
  <c r="D75" i="5"/>
  <c r="D76" i="5"/>
  <c r="D77" i="5"/>
  <c r="D78" i="5"/>
  <c r="D79" i="5"/>
  <c r="D80" i="5"/>
  <c r="D81" i="5"/>
  <c r="D83" i="5"/>
  <c r="D86" i="5"/>
  <c r="D87" i="5"/>
  <c r="D88" i="5"/>
  <c r="D89" i="5"/>
  <c r="D62" i="5"/>
  <c r="D61" i="5"/>
  <c r="C205"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176" i="5"/>
  <c r="C158" i="5"/>
  <c r="C159" i="5"/>
  <c r="C160" i="5"/>
  <c r="C161" i="5"/>
  <c r="C162" i="5"/>
  <c r="C163" i="5"/>
  <c r="C164" i="5"/>
  <c r="C165" i="5"/>
  <c r="C166" i="5"/>
  <c r="C167" i="5"/>
  <c r="C168" i="5"/>
  <c r="C169" i="5"/>
  <c r="C170" i="5"/>
  <c r="C171" i="5"/>
  <c r="C172" i="5"/>
  <c r="C173" i="5"/>
  <c r="C174" i="5"/>
  <c r="C175" i="5"/>
  <c r="C154" i="5"/>
  <c r="C155" i="5"/>
  <c r="C156" i="5"/>
  <c r="C157" i="5"/>
  <c r="C153" i="5"/>
  <c r="C151" i="5"/>
  <c r="C152" i="5"/>
  <c r="C83" i="5"/>
  <c r="C86" i="5"/>
  <c r="C87" i="5"/>
  <c r="C88" i="5"/>
  <c r="Y74" i="5" l="1"/>
  <c r="T174" i="14"/>
  <c r="S176" i="14"/>
  <c r="Q463" i="7"/>
  <c r="Q132" i="7"/>
  <c r="R111" i="7"/>
  <c r="R276" i="7"/>
  <c r="R621" i="7"/>
  <c r="R441" i="7"/>
  <c r="T297" i="7"/>
  <c r="T462" i="7"/>
  <c r="T642" i="7"/>
  <c r="Q111" i="7"/>
  <c r="Q276" i="7"/>
  <c r="Q441" i="7"/>
  <c r="Q621" i="7"/>
  <c r="U261" i="7"/>
  <c r="U606" i="7"/>
  <c r="U426" i="7"/>
  <c r="Q571" i="7"/>
  <c r="Q61" i="7"/>
  <c r="Q749" i="7" s="1"/>
  <c r="R132" i="7"/>
  <c r="Q298" i="7"/>
  <c r="Q300" i="7"/>
  <c r="R337" i="3"/>
  <c r="R331" i="3"/>
  <c r="R332" i="3"/>
  <c r="R336" i="3"/>
  <c r="R334" i="3"/>
  <c r="R338" i="3"/>
  <c r="R339" i="3"/>
  <c r="R333" i="3"/>
  <c r="R335" i="3"/>
  <c r="R340" i="3"/>
  <c r="Q645" i="7"/>
  <c r="R465" i="7"/>
  <c r="R246" i="3"/>
  <c r="R371" i="3"/>
  <c r="R432" i="3" s="1"/>
  <c r="R368" i="3"/>
  <c r="R372" i="3"/>
  <c r="R369" i="3"/>
  <c r="R137" i="3"/>
  <c r="R130" i="3"/>
  <c r="R370" i="3"/>
  <c r="R374" i="3"/>
  <c r="R274" i="3"/>
  <c r="R131" i="3"/>
  <c r="R296" i="3"/>
  <c r="R278" i="3"/>
  <c r="R375" i="3"/>
  <c r="R275" i="3"/>
  <c r="R129" i="3"/>
  <c r="R134" i="3"/>
  <c r="R299" i="3"/>
  <c r="Q643" i="7"/>
  <c r="R248" i="3"/>
  <c r="R279" i="3"/>
  <c r="R373" i="3"/>
  <c r="R433" i="3" s="1"/>
  <c r="R301" i="3"/>
  <c r="R136" i="3"/>
  <c r="R61" i="3"/>
  <c r="R402" i="3" s="1"/>
  <c r="Q227" i="7"/>
  <c r="Q770" i="7" s="1"/>
  <c r="Q591" i="7"/>
  <c r="Q246" i="7"/>
  <c r="Q81" i="7"/>
  <c r="Q411" i="7"/>
  <c r="Q589" i="7"/>
  <c r="Q244" i="7"/>
  <c r="Q416" i="7"/>
  <c r="R622" i="7"/>
  <c r="R277" i="7"/>
  <c r="R442" i="7"/>
  <c r="S250" i="3"/>
  <c r="R85" i="3"/>
  <c r="Q593" i="7"/>
  <c r="Q413" i="7"/>
  <c r="Q83" i="7"/>
  <c r="Q248" i="7"/>
  <c r="R80" i="7"/>
  <c r="S442" i="7"/>
  <c r="S622" i="7"/>
  <c r="S277" i="7"/>
  <c r="S414" i="7"/>
  <c r="S594" i="7"/>
  <c r="S249" i="7"/>
  <c r="Q415" i="7"/>
  <c r="Q85" i="7"/>
  <c r="R590" i="7"/>
  <c r="R410" i="7"/>
  <c r="R245" i="7"/>
  <c r="S247" i="7"/>
  <c r="S412" i="7"/>
  <c r="S592" i="7"/>
  <c r="R82" i="7"/>
  <c r="K60" i="14"/>
  <c r="M64" i="4" s="1"/>
  <c r="K50" i="14"/>
  <c r="M63" i="4" s="1"/>
  <c r="K100" i="14"/>
  <c r="M68" i="4" s="1"/>
  <c r="K90" i="14"/>
  <c r="M67" i="4" s="1"/>
  <c r="K80" i="14"/>
  <c r="M66" i="4" s="1"/>
  <c r="K70" i="14"/>
  <c r="M65" i="4" s="1"/>
  <c r="L107" i="14"/>
  <c r="M134" i="14"/>
  <c r="Q142" i="14"/>
  <c r="Q108" i="14" s="1"/>
  <c r="P142" i="14"/>
  <c r="P108" i="14" s="1"/>
  <c r="O142" i="14"/>
  <c r="O108" i="14" s="1"/>
  <c r="N142" i="14"/>
  <c r="M108" i="14"/>
  <c r="Q145" i="14"/>
  <c r="Q109" i="14" s="1"/>
  <c r="P145" i="14"/>
  <c r="P109" i="14" s="1"/>
  <c r="O145" i="14"/>
  <c r="O109" i="14" s="1"/>
  <c r="N145" i="14"/>
  <c r="M109" i="14"/>
  <c r="U174" i="14" l="1"/>
  <c r="T176" i="14"/>
  <c r="S84" i="7"/>
  <c r="R84" i="7"/>
  <c r="V606" i="7"/>
  <c r="V426" i="7"/>
  <c r="V261" i="7"/>
  <c r="U297" i="7"/>
  <c r="U462" i="7"/>
  <c r="U642" i="7"/>
  <c r="S621" i="7"/>
  <c r="S111" i="7"/>
  <c r="S276" i="7"/>
  <c r="S441" i="7"/>
  <c r="R571" i="7"/>
  <c r="R61" i="7"/>
  <c r="R749" i="7" s="1"/>
  <c r="R643" i="7"/>
  <c r="R298" i="7"/>
  <c r="R463" i="7"/>
  <c r="S333" i="3"/>
  <c r="S336" i="3"/>
  <c r="S340" i="3"/>
  <c r="S339" i="3"/>
  <c r="S332" i="3"/>
  <c r="S335" i="3"/>
  <c r="S338" i="3"/>
  <c r="S331" i="3"/>
  <c r="S334" i="3"/>
  <c r="S337" i="3"/>
  <c r="R300" i="7"/>
  <c r="R645" i="7"/>
  <c r="S372" i="3"/>
  <c r="S248" i="3"/>
  <c r="S275" i="3"/>
  <c r="S279" i="3"/>
  <c r="S129" i="3"/>
  <c r="S130" i="3"/>
  <c r="S368" i="3"/>
  <c r="S301" i="3"/>
  <c r="S136" i="3"/>
  <c r="S274" i="3"/>
  <c r="S137" i="3"/>
  <c r="S371" i="3"/>
  <c r="S432" i="3" s="1"/>
  <c r="S375" i="3"/>
  <c r="S370" i="3"/>
  <c r="S296" i="3"/>
  <c r="S131" i="3"/>
  <c r="S369" i="3"/>
  <c r="S246" i="3"/>
  <c r="S373" i="3"/>
  <c r="S433" i="3" s="1"/>
  <c r="S374" i="3"/>
  <c r="S134" i="3"/>
  <c r="S299" i="3"/>
  <c r="S278" i="3"/>
  <c r="R227" i="7"/>
  <c r="R770" i="7" s="1"/>
  <c r="S61" i="3"/>
  <c r="S402" i="3" s="1"/>
  <c r="S590" i="7"/>
  <c r="S245" i="7"/>
  <c r="S410" i="7"/>
  <c r="T442" i="7"/>
  <c r="T622" i="7"/>
  <c r="T277" i="7"/>
  <c r="T249" i="7"/>
  <c r="T414" i="7"/>
  <c r="T594" i="7"/>
  <c r="R589" i="7"/>
  <c r="R244" i="7"/>
  <c r="T250" i="3"/>
  <c r="S85" i="3"/>
  <c r="R416" i="7"/>
  <c r="T592" i="7"/>
  <c r="T412" i="7"/>
  <c r="T247" i="7"/>
  <c r="R411" i="7"/>
  <c r="R591" i="7"/>
  <c r="R246" i="7"/>
  <c r="R81" i="7"/>
  <c r="R593" i="7"/>
  <c r="R248" i="7"/>
  <c r="R83" i="7"/>
  <c r="R413" i="7"/>
  <c r="R415" i="7"/>
  <c r="R85" i="7"/>
  <c r="S82" i="7"/>
  <c r="L50" i="14"/>
  <c r="N63" i="4" s="1"/>
  <c r="L100" i="14"/>
  <c r="N68" i="4" s="1"/>
  <c r="L90" i="14"/>
  <c r="N67" i="4" s="1"/>
  <c r="L80" i="14"/>
  <c r="N66" i="4" s="1"/>
  <c r="L70" i="14"/>
  <c r="N65" i="4" s="1"/>
  <c r="L60" i="14"/>
  <c r="N64" i="4" s="1"/>
  <c r="Q134" i="14"/>
  <c r="Q107" i="14" s="1"/>
  <c r="M107" i="14"/>
  <c r="P134" i="14"/>
  <c r="P107" i="14" s="1"/>
  <c r="O134" i="14"/>
  <c r="O107" i="14" s="1"/>
  <c r="N134" i="14"/>
  <c r="R142" i="14"/>
  <c r="N108" i="14"/>
  <c r="R145" i="14"/>
  <c r="N109" i="14"/>
  <c r="J162" i="5"/>
  <c r="J163" i="5"/>
  <c r="J164" i="5"/>
  <c r="J165" i="5"/>
  <c r="J166" i="5"/>
  <c r="J167" i="5"/>
  <c r="J168" i="5"/>
  <c r="J169" i="5"/>
  <c r="J170" i="5"/>
  <c r="J171" i="5"/>
  <c r="J172" i="5"/>
  <c r="J173" i="5"/>
  <c r="J174" i="5"/>
  <c r="J175" i="5"/>
  <c r="J176" i="5"/>
  <c r="V174" i="14" l="1"/>
  <c r="U176" i="14"/>
  <c r="S85" i="7"/>
  <c r="S415" i="7"/>
  <c r="T84" i="7"/>
  <c r="S80" i="7"/>
  <c r="T643" i="7"/>
  <c r="S132" i="7"/>
  <c r="V297" i="7"/>
  <c r="V462" i="7"/>
  <c r="V642" i="7"/>
  <c r="T441" i="7"/>
  <c r="T621" i="7"/>
  <c r="T276" i="7"/>
  <c r="T111" i="7"/>
  <c r="W426" i="7"/>
  <c r="W606" i="7"/>
  <c r="W261" i="7"/>
  <c r="S643" i="7"/>
  <c r="S571" i="7"/>
  <c r="S61" i="7"/>
  <c r="S749" i="7" s="1"/>
  <c r="S298" i="7"/>
  <c r="S463" i="7"/>
  <c r="S645" i="7"/>
  <c r="T465" i="7"/>
  <c r="U465" i="7"/>
  <c r="S300" i="7"/>
  <c r="S465" i="7"/>
  <c r="I683" i="7"/>
  <c r="I503" i="7"/>
  <c r="I675" i="7"/>
  <c r="I495" i="7"/>
  <c r="T331" i="3"/>
  <c r="T339" i="3"/>
  <c r="I684" i="7"/>
  <c r="I504" i="7"/>
  <c r="I676" i="7"/>
  <c r="I496" i="7"/>
  <c r="T337" i="3"/>
  <c r="T338" i="3"/>
  <c r="T340" i="3"/>
  <c r="I679" i="7"/>
  <c r="I499" i="7"/>
  <c r="I502" i="7"/>
  <c r="I682" i="7"/>
  <c r="I681" i="7"/>
  <c r="I501" i="7"/>
  <c r="I680" i="7"/>
  <c r="I500" i="7"/>
  <c r="T645" i="7"/>
  <c r="T334" i="3"/>
  <c r="T335" i="3"/>
  <c r="T336" i="3"/>
  <c r="I498" i="7"/>
  <c r="I678" i="7"/>
  <c r="I685" i="7"/>
  <c r="I505" i="7"/>
  <c r="I677" i="7"/>
  <c r="I497" i="7"/>
  <c r="T332" i="3"/>
  <c r="T333" i="3"/>
  <c r="T300" i="7"/>
  <c r="T368" i="3"/>
  <c r="T275" i="3"/>
  <c r="T374" i="3"/>
  <c r="T369" i="3"/>
  <c r="T371" i="3"/>
  <c r="T432" i="3" s="1"/>
  <c r="T373" i="3"/>
  <c r="T433" i="3" s="1"/>
  <c r="T137" i="3"/>
  <c r="T301" i="3"/>
  <c r="T136" i="3"/>
  <c r="T370" i="3"/>
  <c r="T274" i="3"/>
  <c r="T279" i="3"/>
  <c r="T278" i="3"/>
  <c r="T130" i="3"/>
  <c r="T248" i="3"/>
  <c r="T296" i="3"/>
  <c r="T131" i="3"/>
  <c r="T129" i="3"/>
  <c r="T134" i="3"/>
  <c r="T299" i="3"/>
  <c r="T246" i="3"/>
  <c r="T375" i="3"/>
  <c r="T372" i="3"/>
  <c r="T61" i="3"/>
  <c r="T402" i="3" s="1"/>
  <c r="S227" i="7"/>
  <c r="S770" i="7" s="1"/>
  <c r="S591" i="7"/>
  <c r="S411" i="7"/>
  <c r="T81" i="7"/>
  <c r="T411" i="7"/>
  <c r="T591" i="7"/>
  <c r="T246" i="7"/>
  <c r="S81" i="7"/>
  <c r="U591" i="7"/>
  <c r="S246" i="7"/>
  <c r="S416" i="7"/>
  <c r="T590" i="7"/>
  <c r="T245" i="7"/>
  <c r="T410" i="7"/>
  <c r="T80" i="7"/>
  <c r="S593" i="7"/>
  <c r="S248" i="7"/>
  <c r="S83" i="7"/>
  <c r="S413" i="7"/>
  <c r="U277" i="7"/>
  <c r="U622" i="7"/>
  <c r="U442" i="7"/>
  <c r="V442" i="7"/>
  <c r="V277" i="7"/>
  <c r="V622" i="7"/>
  <c r="V592" i="7"/>
  <c r="V247" i="7"/>
  <c r="V412" i="7"/>
  <c r="U592" i="7"/>
  <c r="U247" i="7"/>
  <c r="U412" i="7"/>
  <c r="U250" i="3"/>
  <c r="T85" i="3"/>
  <c r="U249" i="7"/>
  <c r="U414" i="7"/>
  <c r="U594" i="7"/>
  <c r="S244" i="7"/>
  <c r="S589" i="7"/>
  <c r="T82" i="7"/>
  <c r="Q60" i="14"/>
  <c r="S64" i="4" s="1"/>
  <c r="Q50" i="14"/>
  <c r="S63" i="4" s="1"/>
  <c r="S142" i="14"/>
  <c r="R108" i="14"/>
  <c r="M100" i="14"/>
  <c r="O68" i="4" s="1"/>
  <c r="M90" i="14"/>
  <c r="O67" i="4" s="1"/>
  <c r="M80" i="14"/>
  <c r="O66" i="4" s="1"/>
  <c r="M70" i="14"/>
  <c r="O65" i="4" s="1"/>
  <c r="M60" i="14"/>
  <c r="O64" i="4" s="1"/>
  <c r="M50" i="14"/>
  <c r="O63" i="4" s="1"/>
  <c r="R109" i="14"/>
  <c r="S145" i="14"/>
  <c r="R134" i="14"/>
  <c r="N107" i="14"/>
  <c r="O50" i="14"/>
  <c r="Q63" i="4" s="1"/>
  <c r="O60" i="14"/>
  <c r="Q64" i="4" s="1"/>
  <c r="P60" i="14"/>
  <c r="R64" i="4" s="1"/>
  <c r="P50" i="14"/>
  <c r="R63" i="4" s="1"/>
  <c r="E29" i="10"/>
  <c r="F29" i="10"/>
  <c r="G29" i="10"/>
  <c r="H29" i="10"/>
  <c r="I29" i="10"/>
  <c r="E30" i="10"/>
  <c r="F127" i="2" s="1"/>
  <c r="F30" i="10"/>
  <c r="G127" i="2" s="1"/>
  <c r="G30" i="10"/>
  <c r="H127" i="2" s="1"/>
  <c r="H30" i="10"/>
  <c r="I127" i="2" s="1"/>
  <c r="I30" i="10"/>
  <c r="J127" i="2" s="1"/>
  <c r="E28" i="10"/>
  <c r="F28" i="10"/>
  <c r="G28" i="10"/>
  <c r="H28" i="10"/>
  <c r="I28" i="10"/>
  <c r="W174" i="14" l="1"/>
  <c r="W176" i="14" s="1"/>
  <c r="V176" i="14"/>
  <c r="T298" i="7"/>
  <c r="T85" i="7"/>
  <c r="T463" i="7"/>
  <c r="T415" i="7"/>
  <c r="U84" i="7"/>
  <c r="T132" i="7"/>
  <c r="U276" i="7"/>
  <c r="U441" i="7"/>
  <c r="U621" i="7"/>
  <c r="U111" i="7"/>
  <c r="X261" i="7"/>
  <c r="X426" i="7"/>
  <c r="X606" i="7"/>
  <c r="W297" i="7"/>
  <c r="W462" i="7"/>
  <c r="W642" i="7"/>
  <c r="T571" i="7"/>
  <c r="T61" i="7"/>
  <c r="T749" i="7" s="1"/>
  <c r="T227" i="7"/>
  <c r="T770" i="7" s="1"/>
  <c r="V465" i="7"/>
  <c r="U645" i="7"/>
  <c r="U300" i="7"/>
  <c r="I797" i="7"/>
  <c r="I818" i="7"/>
  <c r="U335" i="3"/>
  <c r="U339" i="3"/>
  <c r="U337" i="3"/>
  <c r="U333" i="3"/>
  <c r="U334" i="3"/>
  <c r="U331" i="3"/>
  <c r="U332" i="3"/>
  <c r="U338" i="3"/>
  <c r="U340" i="3"/>
  <c r="U336" i="3"/>
  <c r="U369" i="3"/>
  <c r="U248" i="3"/>
  <c r="U274" i="3"/>
  <c r="U375" i="3"/>
  <c r="U136" i="3"/>
  <c r="U301" i="3"/>
  <c r="U246" i="3"/>
  <c r="U279" i="3"/>
  <c r="U131" i="3"/>
  <c r="U296" i="3"/>
  <c r="U137" i="3"/>
  <c r="U374" i="3"/>
  <c r="U299" i="3"/>
  <c r="U134" i="3"/>
  <c r="U373" i="3"/>
  <c r="U433" i="3" s="1"/>
  <c r="U275" i="3"/>
  <c r="U278" i="3"/>
  <c r="U372" i="3"/>
  <c r="U130" i="3"/>
  <c r="U370" i="3"/>
  <c r="U129" i="3"/>
  <c r="U371" i="3"/>
  <c r="U432" i="3" s="1"/>
  <c r="U368" i="3"/>
  <c r="U61" i="3"/>
  <c r="U402" i="3" s="1"/>
  <c r="U411" i="7"/>
  <c r="U81" i="7"/>
  <c r="U246" i="7"/>
  <c r="V81" i="7"/>
  <c r="V594" i="7"/>
  <c r="V414" i="7"/>
  <c r="V249" i="7"/>
  <c r="W622" i="7"/>
  <c r="W277" i="7"/>
  <c r="W442" i="7"/>
  <c r="V250" i="3"/>
  <c r="U85" i="3"/>
  <c r="W412" i="7"/>
  <c r="W592" i="7"/>
  <c r="W247" i="7"/>
  <c r="U410" i="7"/>
  <c r="U590" i="7"/>
  <c r="U245" i="7"/>
  <c r="U80" i="7"/>
  <c r="T244" i="7"/>
  <c r="T589" i="7"/>
  <c r="T416" i="7"/>
  <c r="T413" i="7"/>
  <c r="T593" i="7"/>
  <c r="T248" i="7"/>
  <c r="T83" i="7"/>
  <c r="U82" i="7"/>
  <c r="N100" i="14"/>
  <c r="P68" i="4" s="1"/>
  <c r="N90" i="14"/>
  <c r="P67" i="4" s="1"/>
  <c r="N80" i="14"/>
  <c r="P66" i="4" s="1"/>
  <c r="N60" i="14"/>
  <c r="P64" i="4" s="1"/>
  <c r="N70" i="14"/>
  <c r="P65" i="4" s="1"/>
  <c r="N50" i="14"/>
  <c r="P63" i="4" s="1"/>
  <c r="S134" i="14"/>
  <c r="R107" i="14"/>
  <c r="T145" i="14"/>
  <c r="S109" i="14"/>
  <c r="T142" i="14"/>
  <c r="S108" i="14"/>
  <c r="B29" i="13"/>
  <c r="B30" i="13"/>
  <c r="B31" i="13"/>
  <c r="B32" i="13"/>
  <c r="B33" i="13"/>
  <c r="B34" i="13"/>
  <c r="B35" i="13"/>
  <c r="B36" i="13"/>
  <c r="B37" i="13"/>
  <c r="B38" i="13"/>
  <c r="B39" i="13"/>
  <c r="B41" i="13"/>
  <c r="B43" i="13"/>
  <c r="B45" i="13"/>
  <c r="B22" i="13"/>
  <c r="E144" i="8"/>
  <c r="F144" i="8"/>
  <c r="G144" i="8"/>
  <c r="H144" i="8"/>
  <c r="I144" i="8"/>
  <c r="J144" i="8"/>
  <c r="E145" i="8"/>
  <c r="F145" i="8"/>
  <c r="G145" i="8"/>
  <c r="H145" i="8"/>
  <c r="I145" i="8"/>
  <c r="J145" i="8"/>
  <c r="E146" i="8"/>
  <c r="F146" i="8"/>
  <c r="G146" i="8"/>
  <c r="H146" i="8"/>
  <c r="I146" i="8"/>
  <c r="J146" i="8"/>
  <c r="E147" i="8"/>
  <c r="F147" i="8"/>
  <c r="G147" i="8"/>
  <c r="H147" i="8"/>
  <c r="I147" i="8"/>
  <c r="J147" i="8"/>
  <c r="E148" i="8"/>
  <c r="F148" i="8"/>
  <c r="G148" i="8"/>
  <c r="H148" i="8"/>
  <c r="I148" i="8"/>
  <c r="J148" i="8"/>
  <c r="E149" i="8"/>
  <c r="F149" i="8"/>
  <c r="G149" i="8"/>
  <c r="H149" i="8"/>
  <c r="I149" i="8"/>
  <c r="J149" i="8"/>
  <c r="E150" i="8"/>
  <c r="F150" i="8"/>
  <c r="G150" i="8"/>
  <c r="H150" i="8"/>
  <c r="I150" i="8"/>
  <c r="J150" i="8"/>
  <c r="E151" i="8"/>
  <c r="F151" i="8"/>
  <c r="G151" i="8"/>
  <c r="H151" i="8"/>
  <c r="I151" i="8"/>
  <c r="J151" i="8"/>
  <c r="E152" i="8"/>
  <c r="F152" i="8"/>
  <c r="G152" i="8"/>
  <c r="H152" i="8"/>
  <c r="I152" i="8"/>
  <c r="J152" i="8"/>
  <c r="E157" i="8"/>
  <c r="F157" i="8"/>
  <c r="G157" i="8"/>
  <c r="H157" i="8"/>
  <c r="I157" i="8"/>
  <c r="J157" i="8"/>
  <c r="E158" i="8"/>
  <c r="F158" i="8"/>
  <c r="G158" i="8"/>
  <c r="H158" i="8"/>
  <c r="I158" i="8"/>
  <c r="J158" i="8"/>
  <c r="E159" i="8"/>
  <c r="F159" i="8"/>
  <c r="G159" i="8"/>
  <c r="H159" i="8"/>
  <c r="I159" i="8"/>
  <c r="J159" i="8"/>
  <c r="E160" i="8"/>
  <c r="F160" i="8"/>
  <c r="G160" i="8"/>
  <c r="H160" i="8"/>
  <c r="I160" i="8"/>
  <c r="J160" i="8"/>
  <c r="E161" i="8"/>
  <c r="F161" i="8"/>
  <c r="G161" i="8"/>
  <c r="H161" i="8"/>
  <c r="I161" i="8"/>
  <c r="J161" i="8"/>
  <c r="E162" i="8"/>
  <c r="F162" i="8"/>
  <c r="G162" i="8"/>
  <c r="H162" i="8"/>
  <c r="I162" i="8"/>
  <c r="J162" i="8"/>
  <c r="E163" i="8"/>
  <c r="F163" i="8"/>
  <c r="G163" i="8"/>
  <c r="H163" i="8"/>
  <c r="I163" i="8"/>
  <c r="J163" i="8"/>
  <c r="E164" i="8"/>
  <c r="F164" i="8"/>
  <c r="G164" i="8"/>
  <c r="H164" i="8"/>
  <c r="I164" i="8"/>
  <c r="J164" i="8"/>
  <c r="E165" i="8"/>
  <c r="F165" i="8"/>
  <c r="G165" i="8"/>
  <c r="H165" i="8"/>
  <c r="I165" i="8"/>
  <c r="J165" i="8"/>
  <c r="E166" i="8"/>
  <c r="F166" i="8"/>
  <c r="G166" i="8"/>
  <c r="H166" i="8"/>
  <c r="I166" i="8"/>
  <c r="J166" i="8"/>
  <c r="E167" i="8"/>
  <c r="F167" i="8"/>
  <c r="G167" i="8"/>
  <c r="H167" i="8"/>
  <c r="I167" i="8"/>
  <c r="J167" i="8"/>
  <c r="E168" i="8"/>
  <c r="F168" i="8"/>
  <c r="G168" i="8"/>
  <c r="H168" i="8"/>
  <c r="I168" i="8"/>
  <c r="J168" i="8"/>
  <c r="E169" i="8"/>
  <c r="F169" i="8"/>
  <c r="G169" i="8"/>
  <c r="H169" i="8"/>
  <c r="I169" i="8"/>
  <c r="J169" i="8"/>
  <c r="E170" i="8"/>
  <c r="F170" i="8"/>
  <c r="G170" i="8"/>
  <c r="H170" i="8"/>
  <c r="I170" i="8"/>
  <c r="J170" i="8"/>
  <c r="E173" i="8"/>
  <c r="F173" i="8"/>
  <c r="G173" i="8"/>
  <c r="H173" i="8"/>
  <c r="I173" i="8"/>
  <c r="J173" i="8"/>
  <c r="E174" i="8"/>
  <c r="F174" i="8"/>
  <c r="G174" i="8"/>
  <c r="H174" i="8"/>
  <c r="I174" i="8"/>
  <c r="J174" i="8"/>
  <c r="E175" i="8"/>
  <c r="F175" i="8"/>
  <c r="G175" i="8"/>
  <c r="H175" i="8"/>
  <c r="I175" i="8"/>
  <c r="J175" i="8"/>
  <c r="E176" i="8"/>
  <c r="F176" i="8"/>
  <c r="G176" i="8"/>
  <c r="H176" i="8"/>
  <c r="I176" i="8"/>
  <c r="J176" i="8"/>
  <c r="E177" i="8"/>
  <c r="F177" i="8"/>
  <c r="G177" i="8"/>
  <c r="H177" i="8"/>
  <c r="I177" i="8"/>
  <c r="J177" i="8"/>
  <c r="E178" i="8"/>
  <c r="F178" i="8"/>
  <c r="G178" i="8"/>
  <c r="H178" i="8"/>
  <c r="I178" i="8"/>
  <c r="J178" i="8"/>
  <c r="E179" i="8"/>
  <c r="F179" i="8"/>
  <c r="G179" i="8"/>
  <c r="H179" i="8"/>
  <c r="I179" i="8"/>
  <c r="J179" i="8"/>
  <c r="E180" i="8"/>
  <c r="F180" i="8"/>
  <c r="G180" i="8"/>
  <c r="H180" i="8"/>
  <c r="I180" i="8"/>
  <c r="J180" i="8"/>
  <c r="E181" i="8"/>
  <c r="F181" i="8"/>
  <c r="G181" i="8"/>
  <c r="H181" i="8"/>
  <c r="I181" i="8"/>
  <c r="J181" i="8"/>
  <c r="E182" i="8"/>
  <c r="F182" i="8"/>
  <c r="G182" i="8"/>
  <c r="H182" i="8"/>
  <c r="I182" i="8"/>
  <c r="J182" i="8"/>
  <c r="E183" i="8"/>
  <c r="F183" i="8"/>
  <c r="G183" i="8"/>
  <c r="H183" i="8"/>
  <c r="I183" i="8"/>
  <c r="J183" i="8"/>
  <c r="D182" i="8"/>
  <c r="D183" i="8"/>
  <c r="D181" i="8"/>
  <c r="D179" i="8"/>
  <c r="D180" i="8"/>
  <c r="D178" i="8"/>
  <c r="D168" i="8"/>
  <c r="D169" i="8"/>
  <c r="D170" i="8"/>
  <c r="D173" i="8"/>
  <c r="D174" i="8"/>
  <c r="D175" i="8"/>
  <c r="D176" i="8"/>
  <c r="D177" i="8"/>
  <c r="D167" i="8"/>
  <c r="D165" i="8"/>
  <c r="D166" i="8"/>
  <c r="D164" i="8"/>
  <c r="D162" i="8"/>
  <c r="D163" i="8"/>
  <c r="D161" i="8"/>
  <c r="D148" i="8"/>
  <c r="D149" i="8"/>
  <c r="D150" i="8"/>
  <c r="D151" i="8"/>
  <c r="D152" i="8"/>
  <c r="D157" i="8"/>
  <c r="D158" i="8"/>
  <c r="D159" i="8"/>
  <c r="D160" i="8"/>
  <c r="D147" i="8"/>
  <c r="D144" i="8"/>
  <c r="D145" i="8"/>
  <c r="D146" i="8"/>
  <c r="K386" i="3"/>
  <c r="J386" i="3"/>
  <c r="I386" i="3"/>
  <c r="H386" i="3"/>
  <c r="G386" i="3"/>
  <c r="F386" i="3"/>
  <c r="K385" i="3"/>
  <c r="J385" i="3"/>
  <c r="I385" i="3"/>
  <c r="H385" i="3"/>
  <c r="G385" i="3"/>
  <c r="F385" i="3"/>
  <c r="K384" i="3"/>
  <c r="J384" i="3"/>
  <c r="I384" i="3"/>
  <c r="H384" i="3"/>
  <c r="G384" i="3"/>
  <c r="F384" i="3"/>
  <c r="K383" i="3"/>
  <c r="J383" i="3"/>
  <c r="I383" i="3"/>
  <c r="H383" i="3"/>
  <c r="G383" i="3"/>
  <c r="F383" i="3"/>
  <c r="K382" i="3"/>
  <c r="J382" i="3"/>
  <c r="I382" i="3"/>
  <c r="H382" i="3"/>
  <c r="G382" i="3"/>
  <c r="F382" i="3"/>
  <c r="K381" i="3"/>
  <c r="J381" i="3"/>
  <c r="I381" i="3"/>
  <c r="H381" i="3"/>
  <c r="G381" i="3"/>
  <c r="F381" i="3"/>
  <c r="K380" i="3"/>
  <c r="J380" i="3"/>
  <c r="I380" i="3"/>
  <c r="H380" i="3"/>
  <c r="G380" i="3"/>
  <c r="F380" i="3"/>
  <c r="K379" i="3"/>
  <c r="J379" i="3"/>
  <c r="I379" i="3"/>
  <c r="H379" i="3"/>
  <c r="G379" i="3"/>
  <c r="F379" i="3"/>
  <c r="K378" i="3"/>
  <c r="J378" i="3"/>
  <c r="I378" i="3"/>
  <c r="H378" i="3"/>
  <c r="G378" i="3"/>
  <c r="F378" i="3"/>
  <c r="K377" i="3"/>
  <c r="J377" i="3"/>
  <c r="I377" i="3"/>
  <c r="H377" i="3"/>
  <c r="G377" i="3"/>
  <c r="F377" i="3"/>
  <c r="K376" i="3"/>
  <c r="J376" i="3"/>
  <c r="I376" i="3"/>
  <c r="H376" i="3"/>
  <c r="G376" i="3"/>
  <c r="F376" i="3"/>
  <c r="K367" i="3"/>
  <c r="J367" i="3"/>
  <c r="I367" i="3"/>
  <c r="H367" i="3"/>
  <c r="G367" i="3"/>
  <c r="F367" i="3"/>
  <c r="K366" i="3"/>
  <c r="J366" i="3"/>
  <c r="I366" i="3"/>
  <c r="H366" i="3"/>
  <c r="G366" i="3"/>
  <c r="F366" i="3"/>
  <c r="K365" i="3"/>
  <c r="J365" i="3"/>
  <c r="I365" i="3"/>
  <c r="H365" i="3"/>
  <c r="G365" i="3"/>
  <c r="F365" i="3"/>
  <c r="K364" i="3"/>
  <c r="J364" i="3"/>
  <c r="I364" i="3"/>
  <c r="H364" i="3"/>
  <c r="G364" i="3"/>
  <c r="F364" i="3"/>
  <c r="K363" i="3"/>
  <c r="J363" i="3"/>
  <c r="I363" i="3"/>
  <c r="H363" i="3"/>
  <c r="G363" i="3"/>
  <c r="F363" i="3"/>
  <c r="K362" i="3"/>
  <c r="J362" i="3"/>
  <c r="I362" i="3"/>
  <c r="H362" i="3"/>
  <c r="G362" i="3"/>
  <c r="F362" i="3"/>
  <c r="K361" i="3"/>
  <c r="J361" i="3"/>
  <c r="I361" i="3"/>
  <c r="H361" i="3"/>
  <c r="G361" i="3"/>
  <c r="F361" i="3"/>
  <c r="K360" i="3"/>
  <c r="J360" i="3"/>
  <c r="I360" i="3"/>
  <c r="H360" i="3"/>
  <c r="G360" i="3"/>
  <c r="F360" i="3"/>
  <c r="K359" i="3"/>
  <c r="J359" i="3"/>
  <c r="I359" i="3"/>
  <c r="H359" i="3"/>
  <c r="G359" i="3"/>
  <c r="F359" i="3"/>
  <c r="K358" i="3"/>
  <c r="J358" i="3"/>
  <c r="I358" i="3"/>
  <c r="H358" i="3"/>
  <c r="G358" i="3"/>
  <c r="F358" i="3"/>
  <c r="K357" i="3"/>
  <c r="J357" i="3"/>
  <c r="I357" i="3"/>
  <c r="H357" i="3"/>
  <c r="G357" i="3"/>
  <c r="F357" i="3"/>
  <c r="K356" i="3"/>
  <c r="J356" i="3"/>
  <c r="I356" i="3"/>
  <c r="H356" i="3"/>
  <c r="G356" i="3"/>
  <c r="F356" i="3"/>
  <c r="K355" i="3"/>
  <c r="J355" i="3"/>
  <c r="I355" i="3"/>
  <c r="H355" i="3"/>
  <c r="G355" i="3"/>
  <c r="F355" i="3"/>
  <c r="K354" i="3"/>
  <c r="J354" i="3"/>
  <c r="I354" i="3"/>
  <c r="H354" i="3"/>
  <c r="G354" i="3"/>
  <c r="F354" i="3"/>
  <c r="K353" i="3"/>
  <c r="J353" i="3"/>
  <c r="I353" i="3"/>
  <c r="H353" i="3"/>
  <c r="G353" i="3"/>
  <c r="F353" i="3"/>
  <c r="K352" i="3"/>
  <c r="J352" i="3"/>
  <c r="I352" i="3"/>
  <c r="H352" i="3"/>
  <c r="G352" i="3"/>
  <c r="F352" i="3"/>
  <c r="K351" i="3"/>
  <c r="J351" i="3"/>
  <c r="I351" i="3"/>
  <c r="H351" i="3"/>
  <c r="G351" i="3"/>
  <c r="F351" i="3"/>
  <c r="K350" i="3"/>
  <c r="J350" i="3"/>
  <c r="I350" i="3"/>
  <c r="H350" i="3"/>
  <c r="G350" i="3"/>
  <c r="F350" i="3"/>
  <c r="K349" i="3"/>
  <c r="J349" i="3"/>
  <c r="I349" i="3"/>
  <c r="H349" i="3"/>
  <c r="G349" i="3"/>
  <c r="F349" i="3"/>
  <c r="K348" i="3"/>
  <c r="J348" i="3"/>
  <c r="I348" i="3"/>
  <c r="H348" i="3"/>
  <c r="G348" i="3"/>
  <c r="F348" i="3"/>
  <c r="K347" i="3"/>
  <c r="J347" i="3"/>
  <c r="I347" i="3"/>
  <c r="H347" i="3"/>
  <c r="G347" i="3"/>
  <c r="F347" i="3"/>
  <c r="K346" i="3"/>
  <c r="J346" i="3"/>
  <c r="I346" i="3"/>
  <c r="H346" i="3"/>
  <c r="G346" i="3"/>
  <c r="F346" i="3"/>
  <c r="K345" i="3"/>
  <c r="J345" i="3"/>
  <c r="I345" i="3"/>
  <c r="H345" i="3"/>
  <c r="G345" i="3"/>
  <c r="F345" i="3"/>
  <c r="K344" i="3"/>
  <c r="J344" i="3"/>
  <c r="I344" i="3"/>
  <c r="H344" i="3"/>
  <c r="G344" i="3"/>
  <c r="F344" i="3"/>
  <c r="K343" i="3"/>
  <c r="J343" i="3"/>
  <c r="I343" i="3"/>
  <c r="H343" i="3"/>
  <c r="G343" i="3"/>
  <c r="F343" i="3"/>
  <c r="K342" i="3"/>
  <c r="J342" i="3"/>
  <c r="I342" i="3"/>
  <c r="H342" i="3"/>
  <c r="G342" i="3"/>
  <c r="F342" i="3"/>
  <c r="K341" i="3"/>
  <c r="J341" i="3"/>
  <c r="I341" i="3"/>
  <c r="H341" i="3"/>
  <c r="G341" i="3"/>
  <c r="F341" i="3"/>
  <c r="K329" i="3"/>
  <c r="J329" i="3"/>
  <c r="I329" i="3"/>
  <c r="H329" i="3"/>
  <c r="G329" i="3"/>
  <c r="F329" i="3"/>
  <c r="K328" i="3"/>
  <c r="J328" i="3"/>
  <c r="I328" i="3"/>
  <c r="H328" i="3"/>
  <c r="G328" i="3"/>
  <c r="F328" i="3"/>
  <c r="K327" i="3"/>
  <c r="J327" i="3"/>
  <c r="I327" i="3"/>
  <c r="H327" i="3"/>
  <c r="G327" i="3"/>
  <c r="F327" i="3"/>
  <c r="K326" i="3"/>
  <c r="J326" i="3"/>
  <c r="I326" i="3"/>
  <c r="H326" i="3"/>
  <c r="G326" i="3"/>
  <c r="F326" i="3"/>
  <c r="K325" i="3"/>
  <c r="J325" i="3"/>
  <c r="I325" i="3"/>
  <c r="H325" i="3"/>
  <c r="G325" i="3"/>
  <c r="F325" i="3"/>
  <c r="K324" i="3"/>
  <c r="J324" i="3"/>
  <c r="I324" i="3"/>
  <c r="H324" i="3"/>
  <c r="G324" i="3"/>
  <c r="F324" i="3"/>
  <c r="K323" i="3"/>
  <c r="J323" i="3"/>
  <c r="I323" i="3"/>
  <c r="H323" i="3"/>
  <c r="G323" i="3"/>
  <c r="F323" i="3"/>
  <c r="K322" i="3"/>
  <c r="J322" i="3"/>
  <c r="I322" i="3"/>
  <c r="H322" i="3"/>
  <c r="G322" i="3"/>
  <c r="F322" i="3"/>
  <c r="K321" i="3"/>
  <c r="J321" i="3"/>
  <c r="I321" i="3"/>
  <c r="H321" i="3"/>
  <c r="G321" i="3"/>
  <c r="F321" i="3"/>
  <c r="K320" i="3"/>
  <c r="J320" i="3"/>
  <c r="I320" i="3"/>
  <c r="H320" i="3"/>
  <c r="G320" i="3"/>
  <c r="F320" i="3"/>
  <c r="K319" i="3"/>
  <c r="J319" i="3"/>
  <c r="I319" i="3"/>
  <c r="H319" i="3"/>
  <c r="G319" i="3"/>
  <c r="F319" i="3"/>
  <c r="K318" i="3"/>
  <c r="J318" i="3"/>
  <c r="I318" i="3"/>
  <c r="H318" i="3"/>
  <c r="G318" i="3"/>
  <c r="F318" i="3"/>
  <c r="K317" i="3"/>
  <c r="J317" i="3"/>
  <c r="I317" i="3"/>
  <c r="H317" i="3"/>
  <c r="G317" i="3"/>
  <c r="F317" i="3"/>
  <c r="K316" i="3"/>
  <c r="J316" i="3"/>
  <c r="I316" i="3"/>
  <c r="H316" i="3"/>
  <c r="G316" i="3"/>
  <c r="F316" i="3"/>
  <c r="K313" i="3"/>
  <c r="J313" i="3"/>
  <c r="I313" i="3"/>
  <c r="H313" i="3"/>
  <c r="G313" i="3"/>
  <c r="F313" i="3"/>
  <c r="K312" i="3"/>
  <c r="J312" i="3"/>
  <c r="I312" i="3"/>
  <c r="H312" i="3"/>
  <c r="G312" i="3"/>
  <c r="F312" i="3"/>
  <c r="K311" i="3"/>
  <c r="J311" i="3"/>
  <c r="I311" i="3"/>
  <c r="H311" i="3"/>
  <c r="G311" i="3"/>
  <c r="F311" i="3"/>
  <c r="K310" i="3"/>
  <c r="J310" i="3"/>
  <c r="I310" i="3"/>
  <c r="H310" i="3"/>
  <c r="G310" i="3"/>
  <c r="F310" i="3"/>
  <c r="K309" i="3"/>
  <c r="J309" i="3"/>
  <c r="I309" i="3"/>
  <c r="H309" i="3"/>
  <c r="G309" i="3"/>
  <c r="F309" i="3"/>
  <c r="K308" i="3"/>
  <c r="J308" i="3"/>
  <c r="I308" i="3"/>
  <c r="H308" i="3"/>
  <c r="G308" i="3"/>
  <c r="F308" i="3"/>
  <c r="K307" i="3"/>
  <c r="J307" i="3"/>
  <c r="I307" i="3"/>
  <c r="H307" i="3"/>
  <c r="G307" i="3"/>
  <c r="F307" i="3"/>
  <c r="K306" i="3"/>
  <c r="J306" i="3"/>
  <c r="I306" i="3"/>
  <c r="H306" i="3"/>
  <c r="G306" i="3"/>
  <c r="F306" i="3"/>
  <c r="K305" i="3"/>
  <c r="J305" i="3"/>
  <c r="I305" i="3"/>
  <c r="H305" i="3"/>
  <c r="G305" i="3"/>
  <c r="F305" i="3"/>
  <c r="K304" i="3"/>
  <c r="J304" i="3"/>
  <c r="I304" i="3"/>
  <c r="H304" i="3"/>
  <c r="G304" i="3"/>
  <c r="F304" i="3"/>
  <c r="K303" i="3"/>
  <c r="J303" i="3"/>
  <c r="I303" i="3"/>
  <c r="H303" i="3"/>
  <c r="G303" i="3"/>
  <c r="F303" i="3"/>
  <c r="K302" i="3"/>
  <c r="J302" i="3"/>
  <c r="I302" i="3"/>
  <c r="H302" i="3"/>
  <c r="G302" i="3"/>
  <c r="F302" i="3"/>
  <c r="K295" i="3"/>
  <c r="J295" i="3"/>
  <c r="I295" i="3"/>
  <c r="H295" i="3"/>
  <c r="G295" i="3"/>
  <c r="F295" i="3"/>
  <c r="K294" i="3"/>
  <c r="J294" i="3"/>
  <c r="I294" i="3"/>
  <c r="H294" i="3"/>
  <c r="G294" i="3"/>
  <c r="F294" i="3"/>
  <c r="K291" i="3"/>
  <c r="J291" i="3"/>
  <c r="I291" i="3"/>
  <c r="H291" i="3"/>
  <c r="G291" i="3"/>
  <c r="F291" i="3"/>
  <c r="K290" i="3"/>
  <c r="J290" i="3"/>
  <c r="I290" i="3"/>
  <c r="H290" i="3"/>
  <c r="G290" i="3"/>
  <c r="F290" i="3"/>
  <c r="K289" i="3"/>
  <c r="J289" i="3"/>
  <c r="I289" i="3"/>
  <c r="H289" i="3"/>
  <c r="G289" i="3"/>
  <c r="F289" i="3"/>
  <c r="K288" i="3"/>
  <c r="J288" i="3"/>
  <c r="I288" i="3"/>
  <c r="H288" i="3"/>
  <c r="G288" i="3"/>
  <c r="F288" i="3"/>
  <c r="K287" i="3"/>
  <c r="J287" i="3"/>
  <c r="I287" i="3"/>
  <c r="H287" i="3"/>
  <c r="G287" i="3"/>
  <c r="F287" i="3"/>
  <c r="K286" i="3"/>
  <c r="J286" i="3"/>
  <c r="I286" i="3"/>
  <c r="H286" i="3"/>
  <c r="G286" i="3"/>
  <c r="F286" i="3"/>
  <c r="K285" i="3"/>
  <c r="J285" i="3"/>
  <c r="I285" i="3"/>
  <c r="H285" i="3"/>
  <c r="G285" i="3"/>
  <c r="F285" i="3"/>
  <c r="K284" i="3"/>
  <c r="J284" i="3"/>
  <c r="I284" i="3"/>
  <c r="H284" i="3"/>
  <c r="G284" i="3"/>
  <c r="F284" i="3"/>
  <c r="K283" i="3"/>
  <c r="J283" i="3"/>
  <c r="I283" i="3"/>
  <c r="H283" i="3"/>
  <c r="G283" i="3"/>
  <c r="F283" i="3"/>
  <c r="K282" i="3"/>
  <c r="J282" i="3"/>
  <c r="I282" i="3"/>
  <c r="H282" i="3"/>
  <c r="G282" i="3"/>
  <c r="F282" i="3"/>
  <c r="K281" i="3"/>
  <c r="J281" i="3"/>
  <c r="I281" i="3"/>
  <c r="H281" i="3"/>
  <c r="G281" i="3"/>
  <c r="F281" i="3"/>
  <c r="K280" i="3"/>
  <c r="J280" i="3"/>
  <c r="I280" i="3"/>
  <c r="H280" i="3"/>
  <c r="G280" i="3"/>
  <c r="F280" i="3"/>
  <c r="K273" i="3"/>
  <c r="J273" i="3"/>
  <c r="I273" i="3"/>
  <c r="H273" i="3"/>
  <c r="G273" i="3"/>
  <c r="F273" i="3"/>
  <c r="K268" i="3"/>
  <c r="J268" i="3"/>
  <c r="I268" i="3"/>
  <c r="H268" i="3"/>
  <c r="G268" i="3"/>
  <c r="F268" i="3"/>
  <c r="K267" i="3"/>
  <c r="J267" i="3"/>
  <c r="I267" i="3"/>
  <c r="H267" i="3"/>
  <c r="G267" i="3"/>
  <c r="F267" i="3"/>
  <c r="K266" i="3"/>
  <c r="J266" i="3"/>
  <c r="I266" i="3"/>
  <c r="H266" i="3"/>
  <c r="G266" i="3"/>
  <c r="F266" i="3"/>
  <c r="K265" i="3"/>
  <c r="J265" i="3"/>
  <c r="I265" i="3"/>
  <c r="H265" i="3"/>
  <c r="G265" i="3"/>
  <c r="F265" i="3"/>
  <c r="K264" i="3"/>
  <c r="J264" i="3"/>
  <c r="I264" i="3"/>
  <c r="H264" i="3"/>
  <c r="G264" i="3"/>
  <c r="F264" i="3"/>
  <c r="K263" i="3"/>
  <c r="J263" i="3"/>
  <c r="I263" i="3"/>
  <c r="H263" i="3"/>
  <c r="G263" i="3"/>
  <c r="F263" i="3"/>
  <c r="K262" i="3"/>
  <c r="J262" i="3"/>
  <c r="I262" i="3"/>
  <c r="H262" i="3"/>
  <c r="G262" i="3"/>
  <c r="F262" i="3"/>
  <c r="K260" i="3"/>
  <c r="J260" i="3"/>
  <c r="I260" i="3"/>
  <c r="H260" i="3"/>
  <c r="G260" i="3"/>
  <c r="F260" i="3"/>
  <c r="K259" i="3"/>
  <c r="J259" i="3"/>
  <c r="I259" i="3"/>
  <c r="H259" i="3"/>
  <c r="G259" i="3"/>
  <c r="F259" i="3"/>
  <c r="K258" i="3"/>
  <c r="J258" i="3"/>
  <c r="I258" i="3"/>
  <c r="H258" i="3"/>
  <c r="G258" i="3"/>
  <c r="F258" i="3"/>
  <c r="K255" i="3"/>
  <c r="J255" i="3"/>
  <c r="I255" i="3"/>
  <c r="H255" i="3"/>
  <c r="G255" i="3"/>
  <c r="F255" i="3"/>
  <c r="K254" i="3"/>
  <c r="J254" i="3"/>
  <c r="I254" i="3"/>
  <c r="H254" i="3"/>
  <c r="G254" i="3"/>
  <c r="F254" i="3"/>
  <c r="K253" i="3"/>
  <c r="J253" i="3"/>
  <c r="I253" i="3"/>
  <c r="H253" i="3"/>
  <c r="G253" i="3"/>
  <c r="F253" i="3"/>
  <c r="K252" i="3"/>
  <c r="J252" i="3"/>
  <c r="I252" i="3"/>
  <c r="H252" i="3"/>
  <c r="G252" i="3"/>
  <c r="F252" i="3"/>
  <c r="K251" i="3"/>
  <c r="J251" i="3"/>
  <c r="I251" i="3"/>
  <c r="H251" i="3"/>
  <c r="G251" i="3"/>
  <c r="F251" i="3"/>
  <c r="K244" i="3"/>
  <c r="J244" i="3"/>
  <c r="I244" i="3"/>
  <c r="H244" i="3"/>
  <c r="G244" i="3"/>
  <c r="F244" i="3"/>
  <c r="K243" i="3"/>
  <c r="J243" i="3"/>
  <c r="I243" i="3"/>
  <c r="H243" i="3"/>
  <c r="G243" i="3"/>
  <c r="F243" i="3"/>
  <c r="K242" i="3"/>
  <c r="J242" i="3"/>
  <c r="I242" i="3"/>
  <c r="H242" i="3"/>
  <c r="G242" i="3"/>
  <c r="F242" i="3"/>
  <c r="K241" i="3"/>
  <c r="J241" i="3"/>
  <c r="I241" i="3"/>
  <c r="H241" i="3"/>
  <c r="G241" i="3"/>
  <c r="F241" i="3"/>
  <c r="K240" i="3"/>
  <c r="J240" i="3"/>
  <c r="I240" i="3"/>
  <c r="H240" i="3"/>
  <c r="G240" i="3"/>
  <c r="F240" i="3"/>
  <c r="K239" i="3"/>
  <c r="J239" i="3"/>
  <c r="I239" i="3"/>
  <c r="H239" i="3"/>
  <c r="G239" i="3"/>
  <c r="F239" i="3"/>
  <c r="K237" i="3"/>
  <c r="J237" i="3"/>
  <c r="I237" i="3"/>
  <c r="H237" i="3"/>
  <c r="G237" i="3"/>
  <c r="F237" i="3"/>
  <c r="K236" i="3"/>
  <c r="J236" i="3"/>
  <c r="I236" i="3"/>
  <c r="H236" i="3"/>
  <c r="G236" i="3"/>
  <c r="F236" i="3"/>
  <c r="K235" i="3"/>
  <c r="J235" i="3"/>
  <c r="I235" i="3"/>
  <c r="H235" i="3"/>
  <c r="G235" i="3"/>
  <c r="F235" i="3"/>
  <c r="K233" i="3"/>
  <c r="J233" i="3"/>
  <c r="I233" i="3"/>
  <c r="H233" i="3"/>
  <c r="G233" i="3"/>
  <c r="F233" i="3"/>
  <c r="K232" i="3"/>
  <c r="J232" i="3"/>
  <c r="I232" i="3"/>
  <c r="H232" i="3"/>
  <c r="G232" i="3"/>
  <c r="F232" i="3"/>
  <c r="K231" i="3"/>
  <c r="J231" i="3"/>
  <c r="I231" i="3"/>
  <c r="H231" i="3"/>
  <c r="G231" i="3"/>
  <c r="F231" i="3"/>
  <c r="K230" i="3"/>
  <c r="J230" i="3"/>
  <c r="I230" i="3"/>
  <c r="H230" i="3"/>
  <c r="G230" i="3"/>
  <c r="F230" i="3"/>
  <c r="K229" i="3"/>
  <c r="J229" i="3"/>
  <c r="I229" i="3"/>
  <c r="H229" i="3"/>
  <c r="G229" i="3"/>
  <c r="F229" i="3"/>
  <c r="K227" i="3"/>
  <c r="J227" i="3"/>
  <c r="I227" i="3"/>
  <c r="H227" i="3"/>
  <c r="G227" i="3"/>
  <c r="F227" i="3"/>
  <c r="K226" i="3"/>
  <c r="J226" i="3"/>
  <c r="I226" i="3"/>
  <c r="H226" i="3"/>
  <c r="G226" i="3"/>
  <c r="F226" i="3"/>
  <c r="E227" i="3"/>
  <c r="E229" i="3"/>
  <c r="E230" i="3"/>
  <c r="E231" i="3"/>
  <c r="E232" i="3"/>
  <c r="E233" i="3"/>
  <c r="E235" i="3"/>
  <c r="E236" i="3"/>
  <c r="E237" i="3"/>
  <c r="E239" i="3"/>
  <c r="E240" i="3"/>
  <c r="E241" i="3"/>
  <c r="E242" i="3"/>
  <c r="E243" i="3"/>
  <c r="E244" i="3"/>
  <c r="E246" i="3"/>
  <c r="E251" i="3"/>
  <c r="E252" i="3"/>
  <c r="E253" i="3"/>
  <c r="E254" i="3"/>
  <c r="E255" i="3"/>
  <c r="E258" i="3"/>
  <c r="E259" i="3"/>
  <c r="E260" i="3"/>
  <c r="E262" i="3"/>
  <c r="E263" i="3"/>
  <c r="E264" i="3"/>
  <c r="E265" i="3"/>
  <c r="E266" i="3"/>
  <c r="E267" i="3"/>
  <c r="E268" i="3"/>
  <c r="E273" i="3"/>
  <c r="E274" i="3"/>
  <c r="E280" i="3"/>
  <c r="E281" i="3"/>
  <c r="E282" i="3"/>
  <c r="E283" i="3"/>
  <c r="E284" i="3"/>
  <c r="E285" i="3"/>
  <c r="E286" i="3"/>
  <c r="E287" i="3"/>
  <c r="E288" i="3"/>
  <c r="E289" i="3"/>
  <c r="E290" i="3"/>
  <c r="E291" i="3"/>
  <c r="E294" i="3"/>
  <c r="E295" i="3"/>
  <c r="E296" i="3"/>
  <c r="E302" i="3"/>
  <c r="E303" i="3"/>
  <c r="E304" i="3"/>
  <c r="E305" i="3"/>
  <c r="E306" i="3"/>
  <c r="E307" i="3"/>
  <c r="E308" i="3"/>
  <c r="E309" i="3"/>
  <c r="E310" i="3"/>
  <c r="E311" i="3"/>
  <c r="E312" i="3"/>
  <c r="E313"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76" i="3"/>
  <c r="E377" i="3"/>
  <c r="E378" i="3"/>
  <c r="E379" i="3"/>
  <c r="E380" i="3"/>
  <c r="E381" i="3"/>
  <c r="E382" i="3"/>
  <c r="E383" i="3"/>
  <c r="E384" i="3"/>
  <c r="E385" i="3"/>
  <c r="E386" i="3"/>
  <c r="E226" i="3"/>
  <c r="F74" i="3"/>
  <c r="G74" i="3"/>
  <c r="H74" i="3"/>
  <c r="I74" i="3"/>
  <c r="J74" i="3"/>
  <c r="K74" i="3"/>
  <c r="F75" i="3"/>
  <c r="G75" i="3"/>
  <c r="H75" i="3"/>
  <c r="I75" i="3"/>
  <c r="J75" i="3"/>
  <c r="K75" i="3"/>
  <c r="F76" i="3"/>
  <c r="G76" i="3"/>
  <c r="H76" i="3"/>
  <c r="I76" i="3"/>
  <c r="J76" i="3"/>
  <c r="K76" i="3"/>
  <c r="F77" i="3"/>
  <c r="G77" i="3"/>
  <c r="H77" i="3"/>
  <c r="I77" i="3"/>
  <c r="J77" i="3"/>
  <c r="K77" i="3"/>
  <c r="F78" i="3"/>
  <c r="G78" i="3"/>
  <c r="H78" i="3"/>
  <c r="I78" i="3"/>
  <c r="J78" i="3"/>
  <c r="K78" i="3"/>
  <c r="F81" i="3"/>
  <c r="G81" i="3"/>
  <c r="H81" i="3"/>
  <c r="I81" i="3"/>
  <c r="J81" i="3"/>
  <c r="K81" i="3"/>
  <c r="F83" i="3"/>
  <c r="G83" i="3"/>
  <c r="H83" i="3"/>
  <c r="I83" i="3"/>
  <c r="J83" i="3"/>
  <c r="K83" i="3"/>
  <c r="F86" i="3"/>
  <c r="G86" i="3"/>
  <c r="H86" i="3"/>
  <c r="I86" i="3"/>
  <c r="J86" i="3"/>
  <c r="K86" i="3"/>
  <c r="F87" i="3"/>
  <c r="G87" i="3"/>
  <c r="H87" i="3"/>
  <c r="I87" i="3"/>
  <c r="J87" i="3"/>
  <c r="K87" i="3"/>
  <c r="F88" i="3"/>
  <c r="G88" i="3"/>
  <c r="H88" i="3"/>
  <c r="I88" i="3"/>
  <c r="J88" i="3"/>
  <c r="K88" i="3"/>
  <c r="F97" i="3"/>
  <c r="G97" i="3"/>
  <c r="H97" i="3"/>
  <c r="I97" i="3"/>
  <c r="J97" i="3"/>
  <c r="K97" i="3"/>
  <c r="F98" i="3"/>
  <c r="E207" i="8" s="1"/>
  <c r="G98" i="3"/>
  <c r="F207" i="8" s="1"/>
  <c r="H98" i="3"/>
  <c r="G207" i="8" s="1"/>
  <c r="I98" i="3"/>
  <c r="H207" i="8" s="1"/>
  <c r="J98" i="3"/>
  <c r="I207" i="8" s="1"/>
  <c r="K98" i="3"/>
  <c r="J207" i="8" s="1"/>
  <c r="F99" i="3"/>
  <c r="E208" i="8" s="1"/>
  <c r="G99" i="3"/>
  <c r="F208" i="8" s="1"/>
  <c r="H99" i="3"/>
  <c r="G208" i="8" s="1"/>
  <c r="I99" i="3"/>
  <c r="H208" i="8" s="1"/>
  <c r="J99" i="3"/>
  <c r="I208" i="8" s="1"/>
  <c r="K99" i="3"/>
  <c r="J208" i="8" s="1"/>
  <c r="F100" i="3"/>
  <c r="E209" i="8" s="1"/>
  <c r="G100" i="3"/>
  <c r="F209" i="8" s="1"/>
  <c r="H100" i="3"/>
  <c r="G209" i="8" s="1"/>
  <c r="I100" i="3"/>
  <c r="H209" i="8" s="1"/>
  <c r="J100" i="3"/>
  <c r="I209" i="8" s="1"/>
  <c r="K100" i="3"/>
  <c r="J209" i="8" s="1"/>
  <c r="F101" i="3"/>
  <c r="E210" i="8" s="1"/>
  <c r="G101" i="3"/>
  <c r="F210" i="8" s="1"/>
  <c r="H101" i="3"/>
  <c r="G210" i="8" s="1"/>
  <c r="I101" i="3"/>
  <c r="H210" i="8" s="1"/>
  <c r="J101" i="3"/>
  <c r="I210" i="8" s="1"/>
  <c r="K101" i="3"/>
  <c r="J210" i="8" s="1"/>
  <c r="F109" i="3"/>
  <c r="E218" i="8" s="1"/>
  <c r="G109" i="3"/>
  <c r="F218" i="8" s="1"/>
  <c r="H109" i="3"/>
  <c r="G218" i="8" s="1"/>
  <c r="I109" i="3"/>
  <c r="H218" i="8" s="1"/>
  <c r="J109" i="3"/>
  <c r="I218" i="8" s="1"/>
  <c r="K109" i="3"/>
  <c r="J218" i="8" s="1"/>
  <c r="F110" i="3"/>
  <c r="E219" i="8" s="1"/>
  <c r="G110" i="3"/>
  <c r="F219" i="8" s="1"/>
  <c r="H110" i="3"/>
  <c r="G219" i="8" s="1"/>
  <c r="I110" i="3"/>
  <c r="H219" i="8" s="1"/>
  <c r="J110" i="3"/>
  <c r="I219" i="8" s="1"/>
  <c r="K110" i="3"/>
  <c r="J219" i="8" s="1"/>
  <c r="F113" i="3"/>
  <c r="E220" i="8" s="1"/>
  <c r="G113" i="3"/>
  <c r="F220" i="8" s="1"/>
  <c r="H113" i="3"/>
  <c r="G220" i="8" s="1"/>
  <c r="I113" i="3"/>
  <c r="H220" i="8" s="1"/>
  <c r="J113" i="3"/>
  <c r="I220" i="8" s="1"/>
  <c r="K113" i="3"/>
  <c r="J220" i="8" s="1"/>
  <c r="F114" i="3"/>
  <c r="G114" i="3"/>
  <c r="H114" i="3"/>
  <c r="I114" i="3"/>
  <c r="J114" i="3"/>
  <c r="K114" i="3"/>
  <c r="F115" i="3"/>
  <c r="E221" i="8" s="1"/>
  <c r="G115" i="3"/>
  <c r="F221" i="8" s="1"/>
  <c r="H115" i="3"/>
  <c r="G221" i="8" s="1"/>
  <c r="I115" i="3"/>
  <c r="H221" i="8" s="1"/>
  <c r="J115" i="3"/>
  <c r="I221" i="8" s="1"/>
  <c r="K115" i="3"/>
  <c r="J221" i="8" s="1"/>
  <c r="F116" i="3"/>
  <c r="E222" i="8" s="1"/>
  <c r="G116" i="3"/>
  <c r="F222" i="8" s="1"/>
  <c r="H116" i="3"/>
  <c r="G222" i="8" s="1"/>
  <c r="I116" i="3"/>
  <c r="H222" i="8" s="1"/>
  <c r="J116" i="3"/>
  <c r="I222" i="8" s="1"/>
  <c r="K116" i="3"/>
  <c r="J222" i="8" s="1"/>
  <c r="F117" i="3"/>
  <c r="E223" i="8" s="1"/>
  <c r="G117" i="3"/>
  <c r="F223" i="8" s="1"/>
  <c r="H117" i="3"/>
  <c r="G223" i="8" s="1"/>
  <c r="I117" i="3"/>
  <c r="H223" i="8" s="1"/>
  <c r="J117" i="3"/>
  <c r="I223" i="8" s="1"/>
  <c r="K117" i="3"/>
  <c r="J223" i="8" s="1"/>
  <c r="F118" i="3"/>
  <c r="G118" i="3"/>
  <c r="H118" i="3"/>
  <c r="I118" i="3"/>
  <c r="J118" i="3"/>
  <c r="K118" i="3"/>
  <c r="F119" i="3"/>
  <c r="E224" i="8" s="1"/>
  <c r="G119" i="3"/>
  <c r="F224" i="8" s="1"/>
  <c r="H119" i="3"/>
  <c r="G224" i="8" s="1"/>
  <c r="I119" i="3"/>
  <c r="H224" i="8" s="1"/>
  <c r="J119" i="3"/>
  <c r="I224" i="8" s="1"/>
  <c r="K119" i="3"/>
  <c r="J224" i="8" s="1"/>
  <c r="F120" i="3"/>
  <c r="E225" i="8" s="1"/>
  <c r="G120" i="3"/>
  <c r="F225" i="8" s="1"/>
  <c r="H120" i="3"/>
  <c r="G225" i="8" s="1"/>
  <c r="I120" i="3"/>
  <c r="H225" i="8" s="1"/>
  <c r="J120" i="3"/>
  <c r="I225" i="8" s="1"/>
  <c r="K120" i="3"/>
  <c r="J225" i="8" s="1"/>
  <c r="F121" i="3"/>
  <c r="E226" i="8" s="1"/>
  <c r="G121" i="3"/>
  <c r="F226" i="8" s="1"/>
  <c r="H121" i="3"/>
  <c r="G226" i="8" s="1"/>
  <c r="I121" i="3"/>
  <c r="H226" i="8" s="1"/>
  <c r="J121" i="3"/>
  <c r="I226" i="8" s="1"/>
  <c r="K121" i="3"/>
  <c r="J226" i="8" s="1"/>
  <c r="F122" i="3"/>
  <c r="G122" i="3"/>
  <c r="H122" i="3"/>
  <c r="I122" i="3"/>
  <c r="J122" i="3"/>
  <c r="K122" i="3"/>
  <c r="F123" i="3"/>
  <c r="G123" i="3"/>
  <c r="H123" i="3"/>
  <c r="I123" i="3"/>
  <c r="J123" i="3"/>
  <c r="K123" i="3"/>
  <c r="F126" i="3"/>
  <c r="E230" i="8" s="1"/>
  <c r="G126" i="3"/>
  <c r="F230" i="8" s="1"/>
  <c r="H126" i="3"/>
  <c r="G230" i="8" s="1"/>
  <c r="I126" i="3"/>
  <c r="H230" i="8" s="1"/>
  <c r="J126" i="3"/>
  <c r="I230" i="8" s="1"/>
  <c r="K126" i="3"/>
  <c r="J230" i="8" s="1"/>
  <c r="E233" i="8"/>
  <c r="F233" i="8"/>
  <c r="G233" i="8"/>
  <c r="H233" i="8"/>
  <c r="I233" i="8"/>
  <c r="J233" i="8"/>
  <c r="E234" i="8"/>
  <c r="F234" i="8"/>
  <c r="G234" i="8"/>
  <c r="H234" i="8"/>
  <c r="I234" i="8"/>
  <c r="J234" i="8"/>
  <c r="E235" i="8"/>
  <c r="F235" i="8"/>
  <c r="G235" i="8"/>
  <c r="H235" i="8"/>
  <c r="I235" i="8"/>
  <c r="J235" i="8"/>
  <c r="E237" i="8"/>
  <c r="F237" i="8"/>
  <c r="G237" i="8"/>
  <c r="H237" i="8"/>
  <c r="I237" i="8"/>
  <c r="J237" i="8"/>
  <c r="F138" i="3"/>
  <c r="E238" i="8" s="1"/>
  <c r="G138" i="3"/>
  <c r="F238" i="8" s="1"/>
  <c r="H138" i="3"/>
  <c r="G238" i="8" s="1"/>
  <c r="I138" i="3"/>
  <c r="H238" i="8" s="1"/>
  <c r="J138" i="3"/>
  <c r="I238" i="8" s="1"/>
  <c r="K138" i="3"/>
  <c r="J238" i="8" s="1"/>
  <c r="F141" i="3"/>
  <c r="G141" i="3"/>
  <c r="H141" i="3"/>
  <c r="I141" i="3"/>
  <c r="J141" i="3"/>
  <c r="F142" i="3"/>
  <c r="E241" i="8" s="1"/>
  <c r="G142" i="3"/>
  <c r="F241" i="8" s="1"/>
  <c r="H142" i="3"/>
  <c r="G241" i="8" s="1"/>
  <c r="I142" i="3"/>
  <c r="H241" i="8" s="1"/>
  <c r="J142" i="3"/>
  <c r="I241" i="8" s="1"/>
  <c r="F143" i="3"/>
  <c r="E242" i="8" s="1"/>
  <c r="G143" i="3"/>
  <c r="F242" i="8" s="1"/>
  <c r="H143" i="3"/>
  <c r="G242" i="8" s="1"/>
  <c r="I143" i="3"/>
  <c r="H242" i="8" s="1"/>
  <c r="J143" i="3"/>
  <c r="I242" i="8" s="1"/>
  <c r="K143" i="3"/>
  <c r="J242" i="8" s="1"/>
  <c r="F144" i="3"/>
  <c r="E243" i="8" s="1"/>
  <c r="G144" i="3"/>
  <c r="F243" i="8" s="1"/>
  <c r="H144" i="3"/>
  <c r="G243" i="8" s="1"/>
  <c r="I144" i="3"/>
  <c r="H243" i="8" s="1"/>
  <c r="J144" i="3"/>
  <c r="I243" i="8" s="1"/>
  <c r="K144" i="3"/>
  <c r="J243" i="8" s="1"/>
  <c r="F145" i="3"/>
  <c r="G145" i="3"/>
  <c r="H145" i="3"/>
  <c r="I145" i="3"/>
  <c r="J145" i="3"/>
  <c r="K145" i="3"/>
  <c r="F146" i="3"/>
  <c r="G146" i="3"/>
  <c r="H146" i="3"/>
  <c r="I146" i="3"/>
  <c r="J146" i="3"/>
  <c r="K146" i="3"/>
  <c r="F157" i="3"/>
  <c r="G157" i="3"/>
  <c r="H157" i="3"/>
  <c r="I157" i="3"/>
  <c r="J157" i="3"/>
  <c r="K157" i="3"/>
  <c r="F158" i="3"/>
  <c r="G158" i="3"/>
  <c r="H158" i="3"/>
  <c r="I158" i="3"/>
  <c r="J158" i="3"/>
  <c r="K158" i="3"/>
  <c r="F159" i="3"/>
  <c r="G159" i="3"/>
  <c r="H159" i="3"/>
  <c r="I159" i="3"/>
  <c r="J159" i="3"/>
  <c r="K159" i="3"/>
  <c r="F162" i="3"/>
  <c r="G162" i="3"/>
  <c r="H162" i="3"/>
  <c r="I162" i="3"/>
  <c r="J162" i="3"/>
  <c r="K162" i="3"/>
  <c r="F163" i="3"/>
  <c r="G163" i="3"/>
  <c r="H163" i="3"/>
  <c r="I163" i="3"/>
  <c r="J163" i="3"/>
  <c r="K163" i="3"/>
  <c r="F166" i="3"/>
  <c r="G166" i="3"/>
  <c r="H166" i="3"/>
  <c r="I166" i="3"/>
  <c r="J166" i="3"/>
  <c r="K166" i="3"/>
  <c r="F167" i="3"/>
  <c r="G167" i="3"/>
  <c r="H167" i="3"/>
  <c r="I167" i="3"/>
  <c r="J167" i="3"/>
  <c r="K167" i="3"/>
  <c r="F169" i="3"/>
  <c r="G169" i="3"/>
  <c r="H169" i="3"/>
  <c r="I169" i="3"/>
  <c r="J169" i="3"/>
  <c r="K169" i="3"/>
  <c r="F170" i="3"/>
  <c r="G170" i="3"/>
  <c r="H170" i="3"/>
  <c r="I170" i="3"/>
  <c r="J170" i="3"/>
  <c r="K170" i="3"/>
  <c r="F171" i="3"/>
  <c r="G171" i="3"/>
  <c r="H171" i="3"/>
  <c r="I171" i="3"/>
  <c r="J171" i="3"/>
  <c r="K171" i="3"/>
  <c r="F172" i="3"/>
  <c r="G172" i="3"/>
  <c r="H172" i="3"/>
  <c r="I172" i="3"/>
  <c r="J172" i="3"/>
  <c r="K172" i="3"/>
  <c r="F173" i="3"/>
  <c r="G173" i="3"/>
  <c r="H173" i="3"/>
  <c r="I173" i="3"/>
  <c r="J173" i="3"/>
  <c r="K173" i="3"/>
  <c r="F174" i="3"/>
  <c r="G174" i="3"/>
  <c r="H174" i="3"/>
  <c r="I174" i="3"/>
  <c r="J174" i="3"/>
  <c r="K174" i="3"/>
  <c r="F175" i="3"/>
  <c r="G175" i="3"/>
  <c r="H175" i="3"/>
  <c r="I175" i="3"/>
  <c r="J175" i="3"/>
  <c r="K175" i="3"/>
  <c r="F176" i="3"/>
  <c r="G176" i="3"/>
  <c r="H176" i="3"/>
  <c r="I176" i="3"/>
  <c r="J176" i="3"/>
  <c r="K176" i="3"/>
  <c r="F179" i="3"/>
  <c r="G179" i="3"/>
  <c r="H179" i="3"/>
  <c r="I179" i="3"/>
  <c r="J179" i="3"/>
  <c r="K179" i="3"/>
  <c r="F180" i="3"/>
  <c r="G180" i="3"/>
  <c r="H180" i="3"/>
  <c r="I180" i="3"/>
  <c r="J180" i="3"/>
  <c r="K180" i="3"/>
  <c r="F181" i="3"/>
  <c r="G181" i="3"/>
  <c r="H181" i="3"/>
  <c r="I181" i="3"/>
  <c r="J181" i="3"/>
  <c r="K181" i="3"/>
  <c r="F182" i="3"/>
  <c r="G182" i="3"/>
  <c r="H182" i="3"/>
  <c r="I182" i="3"/>
  <c r="J182" i="3"/>
  <c r="K182" i="3"/>
  <c r="F183" i="3"/>
  <c r="G183" i="3"/>
  <c r="H183" i="3"/>
  <c r="I183" i="3"/>
  <c r="J183" i="3"/>
  <c r="K183" i="3"/>
  <c r="F184" i="3"/>
  <c r="G184" i="3"/>
  <c r="H184" i="3"/>
  <c r="I184" i="3"/>
  <c r="J184" i="3"/>
  <c r="K184" i="3"/>
  <c r="F185" i="3"/>
  <c r="G185" i="3"/>
  <c r="H185" i="3"/>
  <c r="I185" i="3"/>
  <c r="J185" i="3"/>
  <c r="K185" i="3"/>
  <c r="F186" i="3"/>
  <c r="G186" i="3"/>
  <c r="H186" i="3"/>
  <c r="I186" i="3"/>
  <c r="J186" i="3"/>
  <c r="K186" i="3"/>
  <c r="F187" i="3"/>
  <c r="G187" i="3"/>
  <c r="H187" i="3"/>
  <c r="I187" i="3"/>
  <c r="J187" i="3"/>
  <c r="K187" i="3"/>
  <c r="F188" i="3"/>
  <c r="G188" i="3"/>
  <c r="H188" i="3"/>
  <c r="I188" i="3"/>
  <c r="J188" i="3"/>
  <c r="K188" i="3"/>
  <c r="F189" i="3"/>
  <c r="G189" i="3"/>
  <c r="H189" i="3"/>
  <c r="I189" i="3"/>
  <c r="J189" i="3"/>
  <c r="K189" i="3"/>
  <c r="F190" i="3"/>
  <c r="G190" i="3"/>
  <c r="H190" i="3"/>
  <c r="I190" i="3"/>
  <c r="J190" i="3"/>
  <c r="K190" i="3"/>
  <c r="F191" i="3"/>
  <c r="G191" i="3"/>
  <c r="H191" i="3"/>
  <c r="I191" i="3"/>
  <c r="J191" i="3"/>
  <c r="K191" i="3"/>
  <c r="F192" i="3"/>
  <c r="G192" i="3"/>
  <c r="H192" i="3"/>
  <c r="I192" i="3"/>
  <c r="J192" i="3"/>
  <c r="K192" i="3"/>
  <c r="F193" i="3"/>
  <c r="G193" i="3"/>
  <c r="H193" i="3"/>
  <c r="I193" i="3"/>
  <c r="J193" i="3"/>
  <c r="K193" i="3"/>
  <c r="F194" i="3"/>
  <c r="G194" i="3"/>
  <c r="H194" i="3"/>
  <c r="I194" i="3"/>
  <c r="J194" i="3"/>
  <c r="K194" i="3"/>
  <c r="F195" i="3"/>
  <c r="G195" i="3"/>
  <c r="H195" i="3"/>
  <c r="I195" i="3"/>
  <c r="J195" i="3"/>
  <c r="K195" i="3"/>
  <c r="F196" i="3"/>
  <c r="G196" i="3"/>
  <c r="H196" i="3"/>
  <c r="I196" i="3"/>
  <c r="J196" i="3"/>
  <c r="K196" i="3"/>
  <c r="F197" i="3"/>
  <c r="G197" i="3"/>
  <c r="H197" i="3"/>
  <c r="I197" i="3"/>
  <c r="J197" i="3"/>
  <c r="K197" i="3"/>
  <c r="F198" i="3"/>
  <c r="G198" i="3"/>
  <c r="H198" i="3"/>
  <c r="I198" i="3"/>
  <c r="J198" i="3"/>
  <c r="K198" i="3"/>
  <c r="F199" i="3"/>
  <c r="G199" i="3"/>
  <c r="H199" i="3"/>
  <c r="I199" i="3"/>
  <c r="J199" i="3"/>
  <c r="K199" i="3"/>
  <c r="F200" i="3"/>
  <c r="G200" i="3"/>
  <c r="H200" i="3"/>
  <c r="I200" i="3"/>
  <c r="J200" i="3"/>
  <c r="K200" i="3"/>
  <c r="F201" i="3"/>
  <c r="G201" i="3"/>
  <c r="H201" i="3"/>
  <c r="I201" i="3"/>
  <c r="J201" i="3"/>
  <c r="K201" i="3"/>
  <c r="F202" i="3"/>
  <c r="G202" i="3"/>
  <c r="H202" i="3"/>
  <c r="I202" i="3"/>
  <c r="J202" i="3"/>
  <c r="K202" i="3"/>
  <c r="F203" i="3"/>
  <c r="G203" i="3"/>
  <c r="H203" i="3"/>
  <c r="I203" i="3"/>
  <c r="J203" i="3"/>
  <c r="K203" i="3"/>
  <c r="F204" i="3"/>
  <c r="G204" i="3"/>
  <c r="H204" i="3"/>
  <c r="I204" i="3"/>
  <c r="J204" i="3"/>
  <c r="K204" i="3"/>
  <c r="F205" i="3"/>
  <c r="G205" i="3"/>
  <c r="H205" i="3"/>
  <c r="I205" i="3"/>
  <c r="J205" i="3"/>
  <c r="K205" i="3"/>
  <c r="F206" i="3"/>
  <c r="F411" i="3" s="1"/>
  <c r="G206" i="3"/>
  <c r="G411" i="3" s="1"/>
  <c r="H206" i="3"/>
  <c r="H411" i="3" s="1"/>
  <c r="I206" i="3"/>
  <c r="I411" i="3" s="1"/>
  <c r="J206" i="3"/>
  <c r="J411" i="3" s="1"/>
  <c r="K206" i="3"/>
  <c r="K411" i="3" s="1"/>
  <c r="F207" i="3"/>
  <c r="G207" i="3"/>
  <c r="H207" i="3"/>
  <c r="I207" i="3"/>
  <c r="J207" i="3"/>
  <c r="K207" i="3"/>
  <c r="F208" i="3"/>
  <c r="F412" i="3" s="1"/>
  <c r="G208" i="3"/>
  <c r="G412" i="3" s="1"/>
  <c r="H208" i="3"/>
  <c r="H412" i="3" s="1"/>
  <c r="I208" i="3"/>
  <c r="I412" i="3" s="1"/>
  <c r="J208" i="3"/>
  <c r="J412" i="3" s="1"/>
  <c r="K208" i="3"/>
  <c r="K412" i="3" s="1"/>
  <c r="F209" i="3"/>
  <c r="G209" i="3"/>
  <c r="H209" i="3"/>
  <c r="I209" i="3"/>
  <c r="J209" i="3"/>
  <c r="K209" i="3"/>
  <c r="F210" i="3"/>
  <c r="G210" i="3"/>
  <c r="H210" i="3"/>
  <c r="I210" i="3"/>
  <c r="J210" i="3"/>
  <c r="K210" i="3"/>
  <c r="F211" i="3"/>
  <c r="G211" i="3"/>
  <c r="H211" i="3"/>
  <c r="I211" i="3"/>
  <c r="J211" i="3"/>
  <c r="K211" i="3"/>
  <c r="F212" i="3"/>
  <c r="G212" i="3"/>
  <c r="H212" i="3"/>
  <c r="I212" i="3"/>
  <c r="J212" i="3"/>
  <c r="K212" i="3"/>
  <c r="F213" i="3"/>
  <c r="G213" i="3"/>
  <c r="H213" i="3"/>
  <c r="I213" i="3"/>
  <c r="J213" i="3"/>
  <c r="K213" i="3"/>
  <c r="F214" i="3"/>
  <c r="G214" i="3"/>
  <c r="H214" i="3"/>
  <c r="I214" i="3"/>
  <c r="J214" i="3"/>
  <c r="K214" i="3"/>
  <c r="F215" i="3"/>
  <c r="G215" i="3"/>
  <c r="H215" i="3"/>
  <c r="I215" i="3"/>
  <c r="J215" i="3"/>
  <c r="K215" i="3"/>
  <c r="F216" i="3"/>
  <c r="G216" i="3"/>
  <c r="H216" i="3"/>
  <c r="I216" i="3"/>
  <c r="J216" i="3"/>
  <c r="K216" i="3"/>
  <c r="F217" i="3"/>
  <c r="G217" i="3"/>
  <c r="H217" i="3"/>
  <c r="I217" i="3"/>
  <c r="J217" i="3"/>
  <c r="K217" i="3"/>
  <c r="F218" i="3"/>
  <c r="G218" i="3"/>
  <c r="H218" i="3"/>
  <c r="I218" i="3"/>
  <c r="J218" i="3"/>
  <c r="K218" i="3"/>
  <c r="F219" i="3"/>
  <c r="G219" i="3"/>
  <c r="H219" i="3"/>
  <c r="I219" i="3"/>
  <c r="J219" i="3"/>
  <c r="K219" i="3"/>
  <c r="F220" i="3"/>
  <c r="G220" i="3"/>
  <c r="H220" i="3"/>
  <c r="I220" i="3"/>
  <c r="J220" i="3"/>
  <c r="K220" i="3"/>
  <c r="F221" i="3"/>
  <c r="G221" i="3"/>
  <c r="H221" i="3"/>
  <c r="I221" i="3"/>
  <c r="J221" i="3"/>
  <c r="K221" i="3"/>
  <c r="E87" i="3"/>
  <c r="E88" i="3"/>
  <c r="E97" i="3"/>
  <c r="E98" i="3"/>
  <c r="D207" i="8" s="1"/>
  <c r="E99" i="3"/>
  <c r="D208" i="8" s="1"/>
  <c r="E100" i="3"/>
  <c r="D209" i="8" s="1"/>
  <c r="E101" i="3"/>
  <c r="D210" i="8" s="1"/>
  <c r="E109" i="3"/>
  <c r="D218" i="8" s="1"/>
  <c r="E110" i="3"/>
  <c r="D219" i="8" s="1"/>
  <c r="E113" i="3"/>
  <c r="D220" i="8" s="1"/>
  <c r="E114" i="3"/>
  <c r="E115" i="3"/>
  <c r="D221" i="8" s="1"/>
  <c r="E116" i="3"/>
  <c r="D222" i="8" s="1"/>
  <c r="E117" i="3"/>
  <c r="D223" i="8" s="1"/>
  <c r="E118" i="3"/>
  <c r="E119" i="3"/>
  <c r="D224" i="8" s="1"/>
  <c r="E120" i="3"/>
  <c r="D225" i="8" s="1"/>
  <c r="E121" i="3"/>
  <c r="D226" i="8" s="1"/>
  <c r="E122" i="3"/>
  <c r="E123" i="3"/>
  <c r="E126" i="3"/>
  <c r="D230" i="8" s="1"/>
  <c r="E129" i="3"/>
  <c r="D233" i="8" s="1"/>
  <c r="D234" i="8"/>
  <c r="D235" i="8"/>
  <c r="D237" i="8"/>
  <c r="E138" i="3"/>
  <c r="D238" i="8" s="1"/>
  <c r="E143" i="3"/>
  <c r="D242" i="8" s="1"/>
  <c r="E144" i="3"/>
  <c r="D243" i="8" s="1"/>
  <c r="E145" i="3"/>
  <c r="E146" i="3"/>
  <c r="E157" i="3"/>
  <c r="E158" i="3"/>
  <c r="E159" i="3"/>
  <c r="E162" i="3"/>
  <c r="E163" i="3"/>
  <c r="E164" i="3"/>
  <c r="E165" i="3"/>
  <c r="E166" i="3"/>
  <c r="E167" i="3"/>
  <c r="E168" i="3"/>
  <c r="E169" i="3"/>
  <c r="E170" i="3"/>
  <c r="E171" i="3"/>
  <c r="E172" i="3"/>
  <c r="E173" i="3"/>
  <c r="E174" i="3"/>
  <c r="E175" i="3"/>
  <c r="E176"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411" i="3" s="1"/>
  <c r="E207" i="3"/>
  <c r="E208" i="3"/>
  <c r="E412" i="3" s="1"/>
  <c r="E209" i="3"/>
  <c r="E210" i="3"/>
  <c r="E211" i="3"/>
  <c r="E212" i="3"/>
  <c r="E213" i="3"/>
  <c r="E214" i="3"/>
  <c r="E215" i="3"/>
  <c r="E216" i="3"/>
  <c r="E217" i="3"/>
  <c r="E218" i="3"/>
  <c r="E219" i="3"/>
  <c r="E220" i="3"/>
  <c r="E221" i="3"/>
  <c r="E86" i="3"/>
  <c r="E75" i="3"/>
  <c r="E76" i="3"/>
  <c r="E77" i="3"/>
  <c r="E78" i="3"/>
  <c r="E81" i="3"/>
  <c r="E83" i="3"/>
  <c r="E74" i="3"/>
  <c r="F72" i="3"/>
  <c r="G72" i="3"/>
  <c r="H72" i="3"/>
  <c r="I72" i="3"/>
  <c r="J72" i="3"/>
  <c r="K72" i="3"/>
  <c r="E72" i="3"/>
  <c r="L386" i="3"/>
  <c r="L385" i="3"/>
  <c r="L384" i="3"/>
  <c r="L383" i="3"/>
  <c r="L382" i="3"/>
  <c r="L380" i="3"/>
  <c r="L379" i="3"/>
  <c r="L378" i="3"/>
  <c r="L377" i="3"/>
  <c r="L376" i="3"/>
  <c r="L367" i="3"/>
  <c r="L366" i="3"/>
  <c r="L365" i="3"/>
  <c r="L364" i="3"/>
  <c r="L363" i="3"/>
  <c r="L362" i="3"/>
  <c r="L361" i="3"/>
  <c r="L360" i="3"/>
  <c r="L356" i="3"/>
  <c r="L355" i="3"/>
  <c r="L354" i="3"/>
  <c r="L353" i="3"/>
  <c r="L352" i="3"/>
  <c r="L345" i="3"/>
  <c r="L237" i="3"/>
  <c r="L236" i="3"/>
  <c r="L235" i="3"/>
  <c r="L232" i="3"/>
  <c r="L231" i="3"/>
  <c r="L230" i="3"/>
  <c r="L229" i="3"/>
  <c r="F394" i="7"/>
  <c r="G394" i="7"/>
  <c r="H394" i="7"/>
  <c r="I394" i="7"/>
  <c r="J394" i="7"/>
  <c r="K394" i="7"/>
  <c r="F395" i="7"/>
  <c r="G395" i="7"/>
  <c r="H395" i="7"/>
  <c r="I395" i="7"/>
  <c r="J395" i="7"/>
  <c r="K395" i="7"/>
  <c r="F396" i="7"/>
  <c r="G396" i="7"/>
  <c r="H396" i="7"/>
  <c r="I396" i="7"/>
  <c r="J396" i="7"/>
  <c r="K396" i="7"/>
  <c r="F397" i="7"/>
  <c r="G397" i="7"/>
  <c r="H397" i="7"/>
  <c r="I397" i="7"/>
  <c r="J397" i="7"/>
  <c r="K397" i="7"/>
  <c r="F398" i="7"/>
  <c r="G398" i="7"/>
  <c r="H398" i="7"/>
  <c r="I398" i="7"/>
  <c r="J398" i="7"/>
  <c r="K398" i="7"/>
  <c r="G97" i="5"/>
  <c r="F96" i="7" s="1"/>
  <c r="H97" i="5"/>
  <c r="G96" i="7" s="1"/>
  <c r="I97" i="5"/>
  <c r="H96" i="7" s="1"/>
  <c r="J97" i="5"/>
  <c r="I96" i="7" s="1"/>
  <c r="K97" i="5"/>
  <c r="J96" i="7" s="1"/>
  <c r="L97" i="5"/>
  <c r="K96" i="7" s="1"/>
  <c r="G98" i="5"/>
  <c r="H98" i="5"/>
  <c r="I98" i="5"/>
  <c r="J98" i="5"/>
  <c r="K98" i="5"/>
  <c r="L98" i="5"/>
  <c r="G99" i="5"/>
  <c r="H99" i="5"/>
  <c r="I99" i="5"/>
  <c r="J99" i="5"/>
  <c r="K99" i="5"/>
  <c r="L99" i="5"/>
  <c r="G100" i="5"/>
  <c r="H100" i="5"/>
  <c r="I100" i="5"/>
  <c r="J100" i="5"/>
  <c r="K100" i="5"/>
  <c r="L100" i="5"/>
  <c r="G101" i="5"/>
  <c r="H101" i="5"/>
  <c r="I101" i="5"/>
  <c r="J101" i="5"/>
  <c r="K101" i="5"/>
  <c r="L101" i="5"/>
  <c r="G109" i="5"/>
  <c r="H109" i="5"/>
  <c r="I109" i="5"/>
  <c r="J109" i="5"/>
  <c r="K109" i="5"/>
  <c r="L109" i="5"/>
  <c r="G110" i="5"/>
  <c r="H110" i="5"/>
  <c r="I110" i="5"/>
  <c r="J110" i="5"/>
  <c r="K110" i="5"/>
  <c r="L110" i="5"/>
  <c r="G113" i="5"/>
  <c r="H113" i="5"/>
  <c r="I113" i="5"/>
  <c r="J113" i="5"/>
  <c r="K113" i="5"/>
  <c r="L113" i="5"/>
  <c r="G114" i="5"/>
  <c r="H114" i="5"/>
  <c r="I114" i="5"/>
  <c r="J114" i="5"/>
  <c r="K114" i="5"/>
  <c r="L114" i="5"/>
  <c r="G115" i="5"/>
  <c r="H115" i="5"/>
  <c r="I115" i="5"/>
  <c r="J115" i="5"/>
  <c r="K115" i="5"/>
  <c r="L115" i="5"/>
  <c r="G116" i="5"/>
  <c r="H116" i="5"/>
  <c r="I116" i="5"/>
  <c r="J116" i="5"/>
  <c r="K116" i="5"/>
  <c r="L116" i="5"/>
  <c r="G117" i="5"/>
  <c r="H117" i="5"/>
  <c r="I117" i="5"/>
  <c r="J117" i="5"/>
  <c r="K117" i="5"/>
  <c r="L117" i="5"/>
  <c r="G118" i="5"/>
  <c r="H118" i="5"/>
  <c r="I118" i="5"/>
  <c r="J118" i="5"/>
  <c r="K118" i="5"/>
  <c r="L118" i="5"/>
  <c r="G119" i="5"/>
  <c r="H119" i="5"/>
  <c r="I119" i="5"/>
  <c r="J119" i="5"/>
  <c r="K119" i="5"/>
  <c r="L119" i="5"/>
  <c r="G120" i="5"/>
  <c r="H120" i="5"/>
  <c r="I120" i="5"/>
  <c r="J120" i="5"/>
  <c r="K120" i="5"/>
  <c r="L120" i="5"/>
  <c r="G121" i="5"/>
  <c r="H121" i="5"/>
  <c r="I121" i="5"/>
  <c r="J121" i="5"/>
  <c r="K121" i="5"/>
  <c r="L121" i="5"/>
  <c r="G122" i="5"/>
  <c r="H122" i="5"/>
  <c r="I122" i="5"/>
  <c r="J122" i="5"/>
  <c r="K122" i="5"/>
  <c r="L122" i="5"/>
  <c r="G123" i="5"/>
  <c r="H123" i="5"/>
  <c r="I123" i="5"/>
  <c r="J123" i="5"/>
  <c r="K123" i="5"/>
  <c r="L123" i="5"/>
  <c r="G126" i="5"/>
  <c r="H126" i="5"/>
  <c r="I126" i="5"/>
  <c r="J126" i="5"/>
  <c r="K126" i="5"/>
  <c r="L126" i="5"/>
  <c r="G129" i="5"/>
  <c r="H129" i="5"/>
  <c r="I129" i="5"/>
  <c r="J129" i="5"/>
  <c r="K129" i="5"/>
  <c r="L129" i="5"/>
  <c r="G130" i="5"/>
  <c r="H130" i="5"/>
  <c r="I130" i="5"/>
  <c r="J130" i="5"/>
  <c r="K130" i="5"/>
  <c r="L130" i="5"/>
  <c r="G131" i="5"/>
  <c r="H131" i="5"/>
  <c r="I131" i="5"/>
  <c r="J131" i="5"/>
  <c r="K131" i="5"/>
  <c r="L131" i="5"/>
  <c r="G134" i="5"/>
  <c r="H134" i="5"/>
  <c r="I134" i="5"/>
  <c r="J134" i="5"/>
  <c r="K134" i="5"/>
  <c r="L134" i="5"/>
  <c r="G136" i="5"/>
  <c r="H136" i="5"/>
  <c r="I136" i="5"/>
  <c r="J136" i="5"/>
  <c r="K136" i="5"/>
  <c r="L136" i="5"/>
  <c r="G137" i="5"/>
  <c r="H137" i="5"/>
  <c r="I137" i="5"/>
  <c r="J137" i="5"/>
  <c r="K137" i="5"/>
  <c r="L137" i="5"/>
  <c r="G138" i="5"/>
  <c r="H138" i="5"/>
  <c r="I138" i="5"/>
  <c r="J138" i="5"/>
  <c r="K138" i="5"/>
  <c r="L138" i="5"/>
  <c r="G141" i="5"/>
  <c r="H141" i="5"/>
  <c r="I141" i="5"/>
  <c r="J141" i="5"/>
  <c r="K141" i="5"/>
  <c r="G142" i="5"/>
  <c r="H142" i="5"/>
  <c r="I142" i="5"/>
  <c r="J142" i="5"/>
  <c r="K142" i="5"/>
  <c r="G143" i="5"/>
  <c r="H143" i="5"/>
  <c r="I143" i="5"/>
  <c r="J143" i="5"/>
  <c r="K143" i="5"/>
  <c r="L143" i="5"/>
  <c r="G144" i="5"/>
  <c r="H144" i="5"/>
  <c r="I144" i="5"/>
  <c r="J144" i="5"/>
  <c r="K144" i="5"/>
  <c r="L144" i="5"/>
  <c r="G145" i="5"/>
  <c r="H145" i="5"/>
  <c r="I145" i="5"/>
  <c r="J145" i="5"/>
  <c r="K145" i="5"/>
  <c r="L145" i="5"/>
  <c r="G146" i="5"/>
  <c r="H146" i="5"/>
  <c r="I146" i="5"/>
  <c r="J146" i="5"/>
  <c r="K146" i="5"/>
  <c r="L146" i="5"/>
  <c r="G157" i="5"/>
  <c r="H157" i="5"/>
  <c r="I157" i="5"/>
  <c r="J157" i="5"/>
  <c r="K157" i="5"/>
  <c r="L157" i="5"/>
  <c r="G158" i="5"/>
  <c r="H158" i="5"/>
  <c r="I158" i="5"/>
  <c r="J158" i="5"/>
  <c r="K158" i="5"/>
  <c r="L158" i="5"/>
  <c r="G159" i="5"/>
  <c r="H159" i="5"/>
  <c r="I159" i="5"/>
  <c r="J159" i="5"/>
  <c r="K159" i="5"/>
  <c r="L159" i="5"/>
  <c r="G162" i="5"/>
  <c r="H162" i="5"/>
  <c r="I162" i="5"/>
  <c r="K162" i="5"/>
  <c r="L162" i="5"/>
  <c r="G163" i="5"/>
  <c r="H163" i="5"/>
  <c r="I163" i="5"/>
  <c r="K163" i="5"/>
  <c r="L163" i="5"/>
  <c r="G164" i="5"/>
  <c r="H164" i="5"/>
  <c r="I164" i="5"/>
  <c r="K164" i="5"/>
  <c r="L164" i="5"/>
  <c r="G165" i="5"/>
  <c r="H165" i="5"/>
  <c r="I165" i="5"/>
  <c r="K165" i="5"/>
  <c r="L165" i="5"/>
  <c r="G166" i="5"/>
  <c r="H166" i="5"/>
  <c r="I166" i="5"/>
  <c r="K166" i="5"/>
  <c r="L166" i="5"/>
  <c r="G167" i="5"/>
  <c r="H167" i="5"/>
  <c r="I167" i="5"/>
  <c r="K167" i="5"/>
  <c r="L167" i="5"/>
  <c r="G168" i="5"/>
  <c r="H168" i="5"/>
  <c r="I168" i="5"/>
  <c r="K168" i="5"/>
  <c r="L168" i="5"/>
  <c r="G169" i="5"/>
  <c r="H169" i="5"/>
  <c r="I169" i="5"/>
  <c r="K169" i="5"/>
  <c r="L169" i="5"/>
  <c r="G170" i="5"/>
  <c r="H170" i="5"/>
  <c r="I170" i="5"/>
  <c r="K170" i="5"/>
  <c r="L170" i="5"/>
  <c r="G171" i="5"/>
  <c r="H171" i="5"/>
  <c r="I171" i="5"/>
  <c r="K171" i="5"/>
  <c r="L171" i="5"/>
  <c r="G172" i="5"/>
  <c r="H172" i="5"/>
  <c r="I172" i="5"/>
  <c r="K172" i="5"/>
  <c r="L172" i="5"/>
  <c r="G173" i="5"/>
  <c r="H173" i="5"/>
  <c r="I173" i="5"/>
  <c r="K173" i="5"/>
  <c r="L173" i="5"/>
  <c r="G174" i="5"/>
  <c r="H174" i="5"/>
  <c r="I174" i="5"/>
  <c r="K174" i="5"/>
  <c r="L174" i="5"/>
  <c r="G175" i="5"/>
  <c r="H175" i="5"/>
  <c r="I175" i="5"/>
  <c r="K175" i="5"/>
  <c r="L175" i="5"/>
  <c r="G176" i="5"/>
  <c r="H176" i="5"/>
  <c r="I176" i="5"/>
  <c r="K176" i="5"/>
  <c r="L176" i="5"/>
  <c r="G179" i="5"/>
  <c r="H179" i="5"/>
  <c r="I179" i="5"/>
  <c r="J179" i="5"/>
  <c r="K179" i="5"/>
  <c r="L179" i="5"/>
  <c r="G180" i="5"/>
  <c r="H180" i="5"/>
  <c r="I180" i="5"/>
  <c r="J180" i="5"/>
  <c r="K180" i="5"/>
  <c r="L180" i="5"/>
  <c r="G181" i="5"/>
  <c r="H181" i="5"/>
  <c r="I181" i="5"/>
  <c r="J181" i="5"/>
  <c r="K181" i="5"/>
  <c r="L181" i="5"/>
  <c r="G182" i="5"/>
  <c r="H182" i="5"/>
  <c r="I182" i="5"/>
  <c r="J182" i="5"/>
  <c r="K182" i="5"/>
  <c r="L182" i="5"/>
  <c r="G183" i="5"/>
  <c r="H183" i="5"/>
  <c r="I183" i="5"/>
  <c r="J183" i="5"/>
  <c r="K183" i="5"/>
  <c r="L183" i="5"/>
  <c r="G184" i="5"/>
  <c r="H184" i="5"/>
  <c r="I184" i="5"/>
  <c r="J184" i="5"/>
  <c r="K184" i="5"/>
  <c r="L184" i="5"/>
  <c r="G185" i="5"/>
  <c r="H185" i="5"/>
  <c r="I185" i="5"/>
  <c r="J185" i="5"/>
  <c r="K185" i="5"/>
  <c r="L185" i="5"/>
  <c r="G186" i="5"/>
  <c r="H186" i="5"/>
  <c r="I186" i="5"/>
  <c r="J186" i="5"/>
  <c r="K186" i="5"/>
  <c r="L186" i="5"/>
  <c r="G187" i="5"/>
  <c r="H187" i="5"/>
  <c r="I187" i="5"/>
  <c r="J187" i="5"/>
  <c r="K187" i="5"/>
  <c r="L187" i="5"/>
  <c r="G188" i="5"/>
  <c r="H188" i="5"/>
  <c r="I188" i="5"/>
  <c r="J188" i="5"/>
  <c r="K188" i="5"/>
  <c r="L188" i="5"/>
  <c r="G189" i="5"/>
  <c r="H189" i="5"/>
  <c r="I189" i="5"/>
  <c r="J189" i="5"/>
  <c r="K189" i="5"/>
  <c r="L189" i="5"/>
  <c r="G190" i="5"/>
  <c r="H190" i="5"/>
  <c r="I190" i="5"/>
  <c r="J190" i="5"/>
  <c r="K190" i="5"/>
  <c r="L190" i="5"/>
  <c r="G191" i="5"/>
  <c r="H191" i="5"/>
  <c r="I191" i="5"/>
  <c r="J191" i="5"/>
  <c r="K191" i="5"/>
  <c r="L191" i="5"/>
  <c r="G192" i="5"/>
  <c r="H192" i="5"/>
  <c r="I192" i="5"/>
  <c r="J192" i="5"/>
  <c r="K192" i="5"/>
  <c r="L192" i="5"/>
  <c r="G193" i="5"/>
  <c r="H193" i="5"/>
  <c r="I193" i="5"/>
  <c r="J193" i="5"/>
  <c r="K193" i="5"/>
  <c r="L193" i="5"/>
  <c r="G194" i="5"/>
  <c r="H194" i="5"/>
  <c r="I194" i="5"/>
  <c r="J194" i="5"/>
  <c r="K194" i="5"/>
  <c r="L194" i="5"/>
  <c r="G195" i="5"/>
  <c r="H195" i="5"/>
  <c r="I195" i="5"/>
  <c r="J195" i="5"/>
  <c r="K195" i="5"/>
  <c r="L195" i="5"/>
  <c r="G196" i="5"/>
  <c r="H196" i="5"/>
  <c r="I196" i="5"/>
  <c r="J196" i="5"/>
  <c r="K196" i="5"/>
  <c r="L196" i="5"/>
  <c r="G197" i="5"/>
  <c r="H197" i="5"/>
  <c r="I197" i="5"/>
  <c r="J197" i="5"/>
  <c r="K197" i="5"/>
  <c r="L197" i="5"/>
  <c r="G198" i="5"/>
  <c r="H198" i="5"/>
  <c r="I198" i="5"/>
  <c r="J198" i="5"/>
  <c r="K198" i="5"/>
  <c r="L198" i="5"/>
  <c r="G199" i="5"/>
  <c r="H199" i="5"/>
  <c r="I199" i="5"/>
  <c r="J199" i="5"/>
  <c r="K199" i="5"/>
  <c r="L199" i="5"/>
  <c r="G200" i="5"/>
  <c r="H200" i="5"/>
  <c r="I200" i="5"/>
  <c r="J200" i="5"/>
  <c r="K200" i="5"/>
  <c r="L200" i="5"/>
  <c r="G201" i="5"/>
  <c r="H201" i="5"/>
  <c r="I201" i="5"/>
  <c r="J201" i="5"/>
  <c r="K201" i="5"/>
  <c r="L201" i="5"/>
  <c r="G202" i="5"/>
  <c r="H202" i="5"/>
  <c r="I202" i="5"/>
  <c r="J202" i="5"/>
  <c r="K202" i="5"/>
  <c r="L202" i="5"/>
  <c r="G203" i="5"/>
  <c r="H203" i="5"/>
  <c r="I203" i="5"/>
  <c r="J203" i="5"/>
  <c r="K203" i="5"/>
  <c r="L203" i="5"/>
  <c r="G204" i="5"/>
  <c r="H204" i="5"/>
  <c r="I204" i="5"/>
  <c r="J204" i="5"/>
  <c r="K204" i="5"/>
  <c r="L204" i="5"/>
  <c r="G205" i="5"/>
  <c r="F535" i="7" s="1"/>
  <c r="H205" i="5"/>
  <c r="G535" i="7" s="1"/>
  <c r="I205" i="5"/>
  <c r="H535" i="7" s="1"/>
  <c r="J205" i="5"/>
  <c r="I535" i="7" s="1"/>
  <c r="K205" i="5"/>
  <c r="J535" i="7" s="1"/>
  <c r="L205" i="5"/>
  <c r="K535" i="7" s="1"/>
  <c r="G206" i="5"/>
  <c r="F536" i="7" s="1"/>
  <c r="F800" i="7" s="1"/>
  <c r="H206" i="5"/>
  <c r="G536" i="7" s="1"/>
  <c r="G800" i="7" s="1"/>
  <c r="I206" i="5"/>
  <c r="H536" i="7" s="1"/>
  <c r="H800" i="7" s="1"/>
  <c r="J206" i="5"/>
  <c r="I536" i="7" s="1"/>
  <c r="I800" i="7" s="1"/>
  <c r="K206" i="5"/>
  <c r="J536" i="7" s="1"/>
  <c r="J800" i="7" s="1"/>
  <c r="L206" i="5"/>
  <c r="K536" i="7" s="1"/>
  <c r="K800" i="7" s="1"/>
  <c r="G207" i="5"/>
  <c r="H207" i="5"/>
  <c r="G537" i="7" s="1"/>
  <c r="I207" i="5"/>
  <c r="H537" i="7" s="1"/>
  <c r="J207" i="5"/>
  <c r="I537" i="7" s="1"/>
  <c r="K207" i="5"/>
  <c r="J537" i="7" s="1"/>
  <c r="L207" i="5"/>
  <c r="K537" i="7" s="1"/>
  <c r="G208" i="5"/>
  <c r="H208" i="5"/>
  <c r="G538" i="7" s="1"/>
  <c r="G801" i="7" s="1"/>
  <c r="I208" i="5"/>
  <c r="H538" i="7" s="1"/>
  <c r="H801" i="7" s="1"/>
  <c r="J208" i="5"/>
  <c r="I538" i="7" s="1"/>
  <c r="I801" i="7" s="1"/>
  <c r="K208" i="5"/>
  <c r="J538" i="7" s="1"/>
  <c r="J801" i="7" s="1"/>
  <c r="L208" i="5"/>
  <c r="K538" i="7" s="1"/>
  <c r="K801" i="7" s="1"/>
  <c r="G209" i="5"/>
  <c r="H209" i="5"/>
  <c r="I209" i="5"/>
  <c r="J209" i="5"/>
  <c r="K209" i="5"/>
  <c r="L209" i="5"/>
  <c r="G210" i="5"/>
  <c r="H210" i="5"/>
  <c r="I210" i="5"/>
  <c r="J210" i="5"/>
  <c r="K210" i="5"/>
  <c r="L210" i="5"/>
  <c r="G211" i="5"/>
  <c r="H211" i="5"/>
  <c r="I211" i="5"/>
  <c r="J211" i="5"/>
  <c r="K211" i="5"/>
  <c r="L211" i="5"/>
  <c r="G212" i="5"/>
  <c r="H212" i="5"/>
  <c r="I212" i="5"/>
  <c r="J212" i="5"/>
  <c r="K212" i="5"/>
  <c r="L212" i="5"/>
  <c r="G213" i="5"/>
  <c r="H213" i="5"/>
  <c r="I213" i="5"/>
  <c r="J213" i="5"/>
  <c r="K213" i="5"/>
  <c r="L213" i="5"/>
  <c r="G214" i="5"/>
  <c r="H214" i="5"/>
  <c r="I214" i="5"/>
  <c r="J214" i="5"/>
  <c r="K214" i="5"/>
  <c r="L214" i="5"/>
  <c r="G215" i="5"/>
  <c r="H215" i="5"/>
  <c r="I215" i="5"/>
  <c r="J215" i="5"/>
  <c r="K215" i="5"/>
  <c r="L215" i="5"/>
  <c r="G216" i="5"/>
  <c r="H216" i="5"/>
  <c r="I216" i="5"/>
  <c r="J216" i="5"/>
  <c r="K216" i="5"/>
  <c r="L216" i="5"/>
  <c r="G217" i="5"/>
  <c r="H217" i="5"/>
  <c r="I217" i="5"/>
  <c r="J217" i="5"/>
  <c r="K217" i="5"/>
  <c r="L217" i="5"/>
  <c r="G218" i="5"/>
  <c r="H218" i="5"/>
  <c r="I218" i="5"/>
  <c r="J218" i="5"/>
  <c r="K218" i="5"/>
  <c r="L218" i="5"/>
  <c r="G219" i="5"/>
  <c r="H219" i="5"/>
  <c r="I219" i="5"/>
  <c r="J219" i="5"/>
  <c r="K219" i="5"/>
  <c r="L219" i="5"/>
  <c r="G220" i="5"/>
  <c r="H220" i="5"/>
  <c r="I220" i="5"/>
  <c r="J220" i="5"/>
  <c r="K220" i="5"/>
  <c r="L220" i="5"/>
  <c r="G221" i="5"/>
  <c r="H221" i="5"/>
  <c r="I221" i="5"/>
  <c r="J221" i="5"/>
  <c r="K221" i="5"/>
  <c r="L221" i="5"/>
  <c r="F97" i="5"/>
  <c r="F98" i="5"/>
  <c r="F99" i="5"/>
  <c r="F100" i="5"/>
  <c r="F101" i="5"/>
  <c r="F109" i="5"/>
  <c r="F110" i="5"/>
  <c r="F113" i="5"/>
  <c r="F114" i="5"/>
  <c r="F115" i="5"/>
  <c r="F116" i="5"/>
  <c r="F117" i="5"/>
  <c r="F118" i="5"/>
  <c r="F119" i="5"/>
  <c r="F120" i="5"/>
  <c r="F121" i="5"/>
  <c r="F122" i="5"/>
  <c r="F123" i="5"/>
  <c r="F126" i="5"/>
  <c r="F129" i="5"/>
  <c r="F130" i="5"/>
  <c r="F131" i="5"/>
  <c r="F134" i="5"/>
  <c r="F136" i="5"/>
  <c r="F137" i="5"/>
  <c r="F138" i="5"/>
  <c r="F143" i="5"/>
  <c r="F144" i="5"/>
  <c r="F145" i="5"/>
  <c r="F146" i="5"/>
  <c r="F157" i="5"/>
  <c r="F158" i="5"/>
  <c r="F159" i="5"/>
  <c r="F162" i="5"/>
  <c r="F163" i="5"/>
  <c r="F164" i="5"/>
  <c r="F165" i="5"/>
  <c r="F166" i="5"/>
  <c r="F167" i="5"/>
  <c r="F168" i="5"/>
  <c r="F169" i="5"/>
  <c r="F170" i="5"/>
  <c r="F171" i="5"/>
  <c r="F172" i="5"/>
  <c r="F173" i="5"/>
  <c r="F174" i="5"/>
  <c r="F175" i="5"/>
  <c r="F176" i="5"/>
  <c r="F179" i="5"/>
  <c r="F180" i="5"/>
  <c r="F181" i="5"/>
  <c r="F182" i="5"/>
  <c r="F183" i="5"/>
  <c r="F184" i="5"/>
  <c r="F185" i="5"/>
  <c r="F186" i="5"/>
  <c r="F187" i="5"/>
  <c r="F188" i="5"/>
  <c r="F189" i="5"/>
  <c r="F190" i="5"/>
  <c r="F191" i="5"/>
  <c r="F192" i="5"/>
  <c r="F193" i="5"/>
  <c r="F194" i="5"/>
  <c r="F195" i="5"/>
  <c r="F196" i="5"/>
  <c r="F197" i="5"/>
  <c r="F198" i="5"/>
  <c r="F199" i="5"/>
  <c r="F200" i="5"/>
  <c r="F201" i="5"/>
  <c r="F202" i="5"/>
  <c r="F203" i="5"/>
  <c r="F204" i="5"/>
  <c r="F205" i="5"/>
  <c r="F206" i="5"/>
  <c r="D55" i="10"/>
  <c r="E55" i="10"/>
  <c r="F55" i="10"/>
  <c r="G55" i="10"/>
  <c r="K55" i="10"/>
  <c r="K54" i="10"/>
  <c r="K51" i="10"/>
  <c r="D35" i="10"/>
  <c r="E106" i="2" s="1"/>
  <c r="B193" i="8"/>
  <c r="B253" i="8" s="1"/>
  <c r="B194" i="8"/>
  <c r="B254" i="8" s="1"/>
  <c r="B189" i="8"/>
  <c r="B249" i="8" s="1"/>
  <c r="B190" i="8"/>
  <c r="B250" i="8" s="1"/>
  <c r="B191" i="8"/>
  <c r="B251" i="8" s="1"/>
  <c r="B192" i="8"/>
  <c r="B252" i="8" s="1"/>
  <c r="B188" i="8"/>
  <c r="B248" i="8" s="1"/>
  <c r="M109" i="5" l="1"/>
  <c r="N109" i="5" s="1"/>
  <c r="O109" i="5" s="1"/>
  <c r="M202" i="5"/>
  <c r="N202" i="5" s="1"/>
  <c r="M186" i="5"/>
  <c r="M168" i="5"/>
  <c r="M136" i="5"/>
  <c r="M121" i="5"/>
  <c r="N121" i="5" s="1"/>
  <c r="M113" i="5"/>
  <c r="N113" i="5" s="1"/>
  <c r="O113" i="5" s="1"/>
  <c r="M146" i="5"/>
  <c r="M194" i="5"/>
  <c r="M176" i="5"/>
  <c r="N176" i="5" s="1"/>
  <c r="M158" i="5"/>
  <c r="N158" i="5" s="1"/>
  <c r="M201" i="5"/>
  <c r="L711" i="7" s="1"/>
  <c r="M193" i="5"/>
  <c r="N193" i="5" s="1"/>
  <c r="M185" i="5"/>
  <c r="N185" i="5" s="1"/>
  <c r="M175" i="5"/>
  <c r="N175" i="5" s="1"/>
  <c r="M167" i="5"/>
  <c r="N167" i="5" s="1"/>
  <c r="O167" i="5" s="1"/>
  <c r="M157" i="5"/>
  <c r="M134" i="5"/>
  <c r="N134" i="5" s="1"/>
  <c r="M120" i="5"/>
  <c r="M110" i="5"/>
  <c r="M219" i="5"/>
  <c r="N219" i="5" s="1"/>
  <c r="M215" i="5"/>
  <c r="M211" i="5"/>
  <c r="F537" i="7"/>
  <c r="M207" i="5"/>
  <c r="N207" i="5" s="1"/>
  <c r="M192" i="5"/>
  <c r="M200" i="5"/>
  <c r="M199" i="5"/>
  <c r="N199" i="5" s="1"/>
  <c r="M191" i="5"/>
  <c r="M183" i="5"/>
  <c r="N183" i="5" s="1"/>
  <c r="M173" i="5"/>
  <c r="M165" i="5"/>
  <c r="N165" i="5" s="1"/>
  <c r="M145" i="5"/>
  <c r="L655" i="7" s="1"/>
  <c r="M130" i="5"/>
  <c r="N130" i="5" s="1"/>
  <c r="O130" i="5" s="1"/>
  <c r="M118" i="5"/>
  <c r="N118" i="5" s="1"/>
  <c r="M101" i="5"/>
  <c r="M220" i="5"/>
  <c r="N220" i="5" s="1"/>
  <c r="O220" i="5" s="1"/>
  <c r="M216" i="5"/>
  <c r="L726" i="7" s="1"/>
  <c r="M212" i="5"/>
  <c r="N212" i="5" s="1"/>
  <c r="F538" i="7"/>
  <c r="F801" i="7" s="1"/>
  <c r="M208" i="5"/>
  <c r="M184" i="5"/>
  <c r="N184" i="5" s="1"/>
  <c r="M119" i="5"/>
  <c r="N119" i="5" s="1"/>
  <c r="O119" i="5" s="1"/>
  <c r="E536" i="7"/>
  <c r="E800" i="7" s="1"/>
  <c r="M206" i="5"/>
  <c r="M198" i="5"/>
  <c r="M190" i="5"/>
  <c r="N190" i="5" s="1"/>
  <c r="M182" i="5"/>
  <c r="M172" i="5"/>
  <c r="N172" i="5" s="1"/>
  <c r="M164" i="5"/>
  <c r="N164" i="5" s="1"/>
  <c r="M144" i="5"/>
  <c r="N144" i="5" s="1"/>
  <c r="O144" i="5" s="1"/>
  <c r="M129" i="5"/>
  <c r="N129" i="5" s="1"/>
  <c r="M117" i="5"/>
  <c r="N117" i="5" s="1"/>
  <c r="M100" i="5"/>
  <c r="M174" i="5"/>
  <c r="N174" i="5" s="1"/>
  <c r="M205" i="5"/>
  <c r="N205" i="5" s="1"/>
  <c r="M197" i="5"/>
  <c r="M189" i="5"/>
  <c r="M181" i="5"/>
  <c r="M171" i="5"/>
  <c r="N171" i="5" s="1"/>
  <c r="M163" i="5"/>
  <c r="N163" i="5" s="1"/>
  <c r="M143" i="5"/>
  <c r="M126" i="5"/>
  <c r="M116" i="5"/>
  <c r="N116" i="5" s="1"/>
  <c r="M99" i="5"/>
  <c r="N99" i="5" s="1"/>
  <c r="O99" i="5" s="1"/>
  <c r="M221" i="5"/>
  <c r="N221" i="5" s="1"/>
  <c r="O221" i="5" s="1"/>
  <c r="M217" i="5"/>
  <c r="N217" i="5" s="1"/>
  <c r="O217" i="5" s="1"/>
  <c r="P217" i="5" s="1"/>
  <c r="M213" i="5"/>
  <c r="N213" i="5" s="1"/>
  <c r="M209" i="5"/>
  <c r="N209" i="5" s="1"/>
  <c r="M131" i="5"/>
  <c r="N131" i="5" s="1"/>
  <c r="M204" i="5"/>
  <c r="M196" i="5"/>
  <c r="M188" i="5"/>
  <c r="N188" i="5" s="1"/>
  <c r="M180" i="5"/>
  <c r="N180" i="5" s="1"/>
  <c r="O180" i="5" s="1"/>
  <c r="M170" i="5"/>
  <c r="M162" i="5"/>
  <c r="N162" i="5" s="1"/>
  <c r="M138" i="5"/>
  <c r="M123" i="5"/>
  <c r="M115" i="5"/>
  <c r="M98" i="5"/>
  <c r="N98" i="5" s="1"/>
  <c r="O98" i="5" s="1"/>
  <c r="M166" i="5"/>
  <c r="N166" i="5" s="1"/>
  <c r="O166" i="5" s="1"/>
  <c r="M203" i="5"/>
  <c r="M195" i="5"/>
  <c r="M187" i="5"/>
  <c r="N187" i="5" s="1"/>
  <c r="M179" i="5"/>
  <c r="N179" i="5" s="1"/>
  <c r="M169" i="5"/>
  <c r="N169" i="5" s="1"/>
  <c r="M159" i="5"/>
  <c r="M137" i="5"/>
  <c r="N137" i="5" s="1"/>
  <c r="M122" i="5"/>
  <c r="N122" i="5" s="1"/>
  <c r="M114" i="5"/>
  <c r="N114" i="5" s="1"/>
  <c r="O114" i="5" s="1"/>
  <c r="E96" i="7"/>
  <c r="M97" i="5"/>
  <c r="N97" i="5" s="1"/>
  <c r="O97" i="5" s="1"/>
  <c r="M218" i="5"/>
  <c r="N218" i="5" s="1"/>
  <c r="O218" i="5" s="1"/>
  <c r="M214" i="5"/>
  <c r="M210" i="5"/>
  <c r="U85" i="7"/>
  <c r="U415" i="7"/>
  <c r="V84" i="7"/>
  <c r="F136" i="7"/>
  <c r="J112" i="7"/>
  <c r="E112" i="7"/>
  <c r="I137" i="7"/>
  <c r="G136" i="7"/>
  <c r="G137" i="7"/>
  <c r="K112" i="7"/>
  <c r="F137" i="7"/>
  <c r="I112" i="7"/>
  <c r="J136" i="7"/>
  <c r="H112" i="7"/>
  <c r="K137" i="7"/>
  <c r="I136" i="7"/>
  <c r="G112" i="7"/>
  <c r="J137" i="7"/>
  <c r="H136" i="7"/>
  <c r="F112" i="7"/>
  <c r="U132" i="7"/>
  <c r="U463" i="7"/>
  <c r="U298" i="7"/>
  <c r="U643" i="7"/>
  <c r="G428" i="3"/>
  <c r="X642" i="7"/>
  <c r="X462" i="7"/>
  <c r="X297" i="7"/>
  <c r="V111" i="7"/>
  <c r="V276" i="7"/>
  <c r="V441" i="7"/>
  <c r="V621" i="7"/>
  <c r="H137" i="7"/>
  <c r="E133" i="7"/>
  <c r="K136" i="7"/>
  <c r="E136" i="7"/>
  <c r="H131" i="7"/>
  <c r="H133" i="7"/>
  <c r="I464" i="7"/>
  <c r="I135" i="7"/>
  <c r="G131" i="7"/>
  <c r="G133" i="7"/>
  <c r="J464" i="7"/>
  <c r="J135" i="7"/>
  <c r="H464" i="7"/>
  <c r="H135" i="7"/>
  <c r="F131" i="7"/>
  <c r="F133" i="7"/>
  <c r="E137" i="7"/>
  <c r="G464" i="7"/>
  <c r="G135" i="7"/>
  <c r="F464" i="7"/>
  <c r="F135" i="7"/>
  <c r="K131" i="7"/>
  <c r="K133" i="7"/>
  <c r="E464" i="7"/>
  <c r="E135" i="7"/>
  <c r="J131" i="7"/>
  <c r="J133" i="7"/>
  <c r="K464" i="7"/>
  <c r="K135" i="7"/>
  <c r="I131" i="7"/>
  <c r="I133" i="7"/>
  <c r="U571" i="7"/>
  <c r="U61" i="7"/>
  <c r="U749" i="7" s="1"/>
  <c r="W465" i="7"/>
  <c r="U227" i="7"/>
  <c r="U770" i="7" s="1"/>
  <c r="V645" i="7"/>
  <c r="V300" i="7"/>
  <c r="W411" i="7"/>
  <c r="H428" i="3"/>
  <c r="J428" i="3"/>
  <c r="F428" i="3"/>
  <c r="K424" i="3"/>
  <c r="K425" i="3"/>
  <c r="I428" i="3"/>
  <c r="F431" i="3"/>
  <c r="E429" i="3"/>
  <c r="G424" i="3"/>
  <c r="G425" i="3"/>
  <c r="I431" i="3"/>
  <c r="K428" i="3"/>
  <c r="G431" i="3"/>
  <c r="I424" i="3"/>
  <c r="I425" i="3"/>
  <c r="K431" i="3"/>
  <c r="E408" i="3"/>
  <c r="E428" i="3"/>
  <c r="D227" i="8"/>
  <c r="E425" i="3"/>
  <c r="F424" i="3"/>
  <c r="F425" i="3"/>
  <c r="H431" i="3"/>
  <c r="E424" i="3"/>
  <c r="E431" i="3"/>
  <c r="H424" i="3"/>
  <c r="H425" i="3"/>
  <c r="J431" i="3"/>
  <c r="E423" i="3"/>
  <c r="J424" i="3"/>
  <c r="J425" i="3"/>
  <c r="H684" i="7"/>
  <c r="H504" i="7"/>
  <c r="K682" i="7"/>
  <c r="K502" i="7"/>
  <c r="G681" i="7"/>
  <c r="G501" i="7"/>
  <c r="J499" i="7"/>
  <c r="J679" i="7"/>
  <c r="F678" i="7"/>
  <c r="F498" i="7"/>
  <c r="H676" i="7"/>
  <c r="H496" i="7"/>
  <c r="K685" i="7"/>
  <c r="K505" i="7"/>
  <c r="G504" i="7"/>
  <c r="G684" i="7"/>
  <c r="J682" i="7"/>
  <c r="J502" i="7"/>
  <c r="F681" i="7"/>
  <c r="F501" i="7"/>
  <c r="H679" i="7"/>
  <c r="H499" i="7"/>
  <c r="K677" i="7"/>
  <c r="K497" i="7"/>
  <c r="G496" i="7"/>
  <c r="G676" i="7"/>
  <c r="V338" i="3"/>
  <c r="V333" i="3"/>
  <c r="J685" i="7"/>
  <c r="J505" i="7"/>
  <c r="F684" i="7"/>
  <c r="F504" i="7"/>
  <c r="H682" i="7"/>
  <c r="H502" i="7"/>
  <c r="K500" i="7"/>
  <c r="K680" i="7"/>
  <c r="G679" i="7"/>
  <c r="G499" i="7"/>
  <c r="J677" i="7"/>
  <c r="J497" i="7"/>
  <c r="F676" i="7"/>
  <c r="F496" i="7"/>
  <c r="H505" i="7"/>
  <c r="H685" i="7"/>
  <c r="K683" i="7"/>
  <c r="K503" i="7"/>
  <c r="G682" i="7"/>
  <c r="G502" i="7"/>
  <c r="J680" i="7"/>
  <c r="J500" i="7"/>
  <c r="F679" i="7"/>
  <c r="F499" i="7"/>
  <c r="H497" i="7"/>
  <c r="H677" i="7"/>
  <c r="K675" i="7"/>
  <c r="K495" i="7"/>
  <c r="V336" i="3"/>
  <c r="V332" i="3"/>
  <c r="V337" i="3"/>
  <c r="G685" i="7"/>
  <c r="G505" i="7"/>
  <c r="J503" i="7"/>
  <c r="J683" i="7"/>
  <c r="F682" i="7"/>
  <c r="F502" i="7"/>
  <c r="H680" i="7"/>
  <c r="H500" i="7"/>
  <c r="K678" i="7"/>
  <c r="K498" i="7"/>
  <c r="G677" i="7"/>
  <c r="G497" i="7"/>
  <c r="J495" i="7"/>
  <c r="J675" i="7"/>
  <c r="F685" i="7"/>
  <c r="F505" i="7"/>
  <c r="H683" i="7"/>
  <c r="H503" i="7"/>
  <c r="K681" i="7"/>
  <c r="K501" i="7"/>
  <c r="G500" i="7"/>
  <c r="G680" i="7"/>
  <c r="J678" i="7"/>
  <c r="J498" i="7"/>
  <c r="F677" i="7"/>
  <c r="F497" i="7"/>
  <c r="H675" i="7"/>
  <c r="H495" i="7"/>
  <c r="V331" i="3"/>
  <c r="V339" i="3"/>
  <c r="K504" i="7"/>
  <c r="K684" i="7"/>
  <c r="G683" i="7"/>
  <c r="G503" i="7"/>
  <c r="J681" i="7"/>
  <c r="J501" i="7"/>
  <c r="F680" i="7"/>
  <c r="F500" i="7"/>
  <c r="H678" i="7"/>
  <c r="H498" i="7"/>
  <c r="K496" i="7"/>
  <c r="K676" i="7"/>
  <c r="G675" i="7"/>
  <c r="G495" i="7"/>
  <c r="J684" i="7"/>
  <c r="J504" i="7"/>
  <c r="F503" i="7"/>
  <c r="F683" i="7"/>
  <c r="H501" i="7"/>
  <c r="H681" i="7"/>
  <c r="K679" i="7"/>
  <c r="K499" i="7"/>
  <c r="G678" i="7"/>
  <c r="G498" i="7"/>
  <c r="J676" i="7"/>
  <c r="J496" i="7"/>
  <c r="F675" i="7"/>
  <c r="F495" i="7"/>
  <c r="V340" i="3"/>
  <c r="V334" i="3"/>
  <c r="V335" i="3"/>
  <c r="V299" i="3"/>
  <c r="V134" i="3"/>
  <c r="V279" i="3"/>
  <c r="H227" i="8"/>
  <c r="V371" i="3"/>
  <c r="V432" i="3" s="1"/>
  <c r="E227" i="8"/>
  <c r="V129" i="3"/>
  <c r="V278" i="3"/>
  <c r="V274" i="3"/>
  <c r="F227" i="8"/>
  <c r="V374" i="3"/>
  <c r="V246" i="3"/>
  <c r="G227" i="8"/>
  <c r="V296" i="3"/>
  <c r="V131" i="3"/>
  <c r="V370" i="3"/>
  <c r="V275" i="3"/>
  <c r="V248" i="3"/>
  <c r="V375" i="3"/>
  <c r="J227" i="8"/>
  <c r="V137" i="3"/>
  <c r="V372" i="3"/>
  <c r="I227" i="8"/>
  <c r="V368" i="3"/>
  <c r="V130" i="3"/>
  <c r="V373" i="3"/>
  <c r="V433" i="3" s="1"/>
  <c r="V136" i="3"/>
  <c r="V301" i="3"/>
  <c r="V369" i="3"/>
  <c r="K134" i="7"/>
  <c r="J134" i="7"/>
  <c r="I134" i="7"/>
  <c r="G134" i="7"/>
  <c r="F134" i="7"/>
  <c r="H134" i="7"/>
  <c r="E134" i="7"/>
  <c r="V61" i="3"/>
  <c r="V402" i="3" s="1"/>
  <c r="V411" i="7"/>
  <c r="V246" i="7"/>
  <c r="V591" i="7"/>
  <c r="V410" i="7"/>
  <c r="V590" i="7"/>
  <c r="V80" i="7"/>
  <c r="V245" i="7"/>
  <c r="U416" i="7"/>
  <c r="X622" i="7"/>
  <c r="X277" i="7"/>
  <c r="X442" i="7"/>
  <c r="X412" i="7"/>
  <c r="X592" i="7"/>
  <c r="X247" i="7"/>
  <c r="U589" i="7"/>
  <c r="U244" i="7"/>
  <c r="W594" i="7"/>
  <c r="W414" i="7"/>
  <c r="W249" i="7"/>
  <c r="U413" i="7"/>
  <c r="U593" i="7"/>
  <c r="U83" i="7"/>
  <c r="U248" i="7"/>
  <c r="W250" i="3"/>
  <c r="V85" i="3"/>
  <c r="V82" i="7"/>
  <c r="O100" i="14"/>
  <c r="Q68" i="4" s="1"/>
  <c r="R70" i="14"/>
  <c r="T65" i="4" s="1"/>
  <c r="O90" i="14"/>
  <c r="Q67" i="4" s="1"/>
  <c r="R60" i="14"/>
  <c r="T64" i="4" s="1"/>
  <c r="O80" i="14"/>
  <c r="Q66" i="4" s="1"/>
  <c r="R50" i="14"/>
  <c r="T63" i="4" s="1"/>
  <c r="O70" i="14"/>
  <c r="Q65" i="4" s="1"/>
  <c r="R100" i="14"/>
  <c r="T68" i="4" s="1"/>
  <c r="S107" i="14"/>
  <c r="T134" i="14"/>
  <c r="U142" i="14"/>
  <c r="T108" i="14"/>
  <c r="U145" i="14"/>
  <c r="T109" i="14"/>
  <c r="L704" i="7"/>
  <c r="L696" i="7"/>
  <c r="G392" i="7"/>
  <c r="F392" i="7"/>
  <c r="E392" i="7"/>
  <c r="K392" i="7"/>
  <c r="J392" i="7"/>
  <c r="I392" i="7"/>
  <c r="H392" i="7"/>
  <c r="M190" i="3"/>
  <c r="I254" i="8"/>
  <c r="M366" i="3"/>
  <c r="E254" i="8"/>
  <c r="H251" i="8"/>
  <c r="H250" i="8"/>
  <c r="D250" i="8"/>
  <c r="F251" i="8"/>
  <c r="F250" i="8"/>
  <c r="H254" i="8"/>
  <c r="G254" i="8"/>
  <c r="J251" i="8"/>
  <c r="J250" i="8"/>
  <c r="F254" i="8"/>
  <c r="I251" i="8"/>
  <c r="I250" i="8"/>
  <c r="D251" i="8"/>
  <c r="G251" i="8"/>
  <c r="G250" i="8"/>
  <c r="E251" i="8"/>
  <c r="E250" i="8"/>
  <c r="H194" i="8"/>
  <c r="M382" i="3"/>
  <c r="M209" i="3"/>
  <c r="L208" i="3"/>
  <c r="L412" i="3" s="1"/>
  <c r="L216" i="3"/>
  <c r="L409" i="7"/>
  <c r="E398" i="7"/>
  <c r="L398" i="7"/>
  <c r="E397" i="7"/>
  <c r="L397" i="7"/>
  <c r="E396" i="7"/>
  <c r="L396" i="7"/>
  <c r="E395" i="7"/>
  <c r="L395" i="7"/>
  <c r="L394" i="7"/>
  <c r="K400" i="7"/>
  <c r="J400" i="7"/>
  <c r="I400" i="7"/>
  <c r="H400" i="7"/>
  <c r="G400" i="7"/>
  <c r="F400" i="7"/>
  <c r="M378" i="3"/>
  <c r="M361" i="3"/>
  <c r="M384" i="3"/>
  <c r="D194" i="8"/>
  <c r="G190" i="8"/>
  <c r="M198" i="3"/>
  <c r="M172" i="3"/>
  <c r="F193" i="8"/>
  <c r="I193" i="8"/>
  <c r="G193" i="8"/>
  <c r="I191" i="8"/>
  <c r="D193" i="8"/>
  <c r="F194" i="8"/>
  <c r="F191" i="8"/>
  <c r="J190" i="8"/>
  <c r="E190" i="8"/>
  <c r="G194" i="8"/>
  <c r="E193" i="8"/>
  <c r="E191" i="8"/>
  <c r="L200" i="3"/>
  <c r="H193" i="8"/>
  <c r="M235" i="3"/>
  <c r="H190" i="8"/>
  <c r="F190" i="8"/>
  <c r="I194" i="8"/>
  <c r="J193" i="8"/>
  <c r="G191" i="8"/>
  <c r="E729" i="7"/>
  <c r="E219" i="7"/>
  <c r="E549" i="7"/>
  <c r="E384" i="7"/>
  <c r="E721" i="7"/>
  <c r="E211" i="7"/>
  <c r="E376" i="7"/>
  <c r="E541" i="7"/>
  <c r="E713" i="7"/>
  <c r="E203" i="7"/>
  <c r="E533" i="7"/>
  <c r="E368" i="7"/>
  <c r="E706" i="7"/>
  <c r="E196" i="7"/>
  <c r="E526" i="7"/>
  <c r="E361" i="7"/>
  <c r="E698" i="7"/>
  <c r="E518" i="7"/>
  <c r="E353" i="7"/>
  <c r="E690" i="7"/>
  <c r="E510" i="7"/>
  <c r="E345" i="7"/>
  <c r="E684" i="7"/>
  <c r="E504" i="7"/>
  <c r="E339" i="7"/>
  <c r="E676" i="7"/>
  <c r="E496" i="7"/>
  <c r="E331" i="7"/>
  <c r="E668" i="7"/>
  <c r="E488" i="7"/>
  <c r="E323" i="7"/>
  <c r="M242" i="3"/>
  <c r="M253" i="3"/>
  <c r="E416" i="7"/>
  <c r="E86" i="7"/>
  <c r="E251" i="7"/>
  <c r="E394" i="7"/>
  <c r="F731" i="7"/>
  <c r="F386" i="7"/>
  <c r="F551" i="7"/>
  <c r="F221" i="7"/>
  <c r="J729" i="7"/>
  <c r="J549" i="7"/>
  <c r="J384" i="7"/>
  <c r="J219" i="7"/>
  <c r="H728" i="7"/>
  <c r="H548" i="7"/>
  <c r="H383" i="7"/>
  <c r="H218" i="7"/>
  <c r="F727" i="7"/>
  <c r="F547" i="7"/>
  <c r="F382" i="7"/>
  <c r="F217" i="7"/>
  <c r="J725" i="7"/>
  <c r="J380" i="7"/>
  <c r="J545" i="7"/>
  <c r="J215" i="7"/>
  <c r="H724" i="7"/>
  <c r="H379" i="7"/>
  <c r="H544" i="7"/>
  <c r="H214" i="7"/>
  <c r="F723" i="7"/>
  <c r="F543" i="7"/>
  <c r="F378" i="7"/>
  <c r="F213" i="7"/>
  <c r="J721" i="7"/>
  <c r="J541" i="7"/>
  <c r="J376" i="7"/>
  <c r="J211" i="7"/>
  <c r="H720" i="7"/>
  <c r="H540" i="7"/>
  <c r="H375" i="7"/>
  <c r="H210" i="7"/>
  <c r="F719" i="7"/>
  <c r="F539" i="7"/>
  <c r="F374" i="7"/>
  <c r="F209" i="7"/>
  <c r="J717" i="7"/>
  <c r="J372" i="7"/>
  <c r="H716" i="7"/>
  <c r="H821" i="7" s="1"/>
  <c r="H371" i="7"/>
  <c r="H779" i="7" s="1"/>
  <c r="F715" i="7"/>
  <c r="F370" i="7"/>
  <c r="F205" i="7"/>
  <c r="J713" i="7"/>
  <c r="J533" i="7"/>
  <c r="J368" i="7"/>
  <c r="J203" i="7"/>
  <c r="H712" i="7"/>
  <c r="H532" i="7"/>
  <c r="H367" i="7"/>
  <c r="H202" i="7"/>
  <c r="F711" i="7"/>
  <c r="F531" i="7"/>
  <c r="F366" i="7"/>
  <c r="J709" i="7"/>
  <c r="J529" i="7"/>
  <c r="J364" i="7"/>
  <c r="J199" i="7"/>
  <c r="H708" i="7"/>
  <c r="H528" i="7"/>
  <c r="H363" i="7"/>
  <c r="H198" i="7"/>
  <c r="F707" i="7"/>
  <c r="F527" i="7"/>
  <c r="F362" i="7"/>
  <c r="F197" i="7"/>
  <c r="J706" i="7"/>
  <c r="J526" i="7"/>
  <c r="J361" i="7"/>
  <c r="J196" i="7"/>
  <c r="H705" i="7"/>
  <c r="H525" i="7"/>
  <c r="H360" i="7"/>
  <c r="H195" i="7"/>
  <c r="F704" i="7"/>
  <c r="F524" i="7"/>
  <c r="F359" i="7"/>
  <c r="F194" i="7"/>
  <c r="J702" i="7"/>
  <c r="J522" i="7"/>
  <c r="J357" i="7"/>
  <c r="J192" i="7"/>
  <c r="H701" i="7"/>
  <c r="H521" i="7"/>
  <c r="H356" i="7"/>
  <c r="F700" i="7"/>
  <c r="F520" i="7"/>
  <c r="F355" i="7"/>
  <c r="J698" i="7"/>
  <c r="J518" i="7"/>
  <c r="J353" i="7"/>
  <c r="H697" i="7"/>
  <c r="H517" i="7"/>
  <c r="H352" i="7"/>
  <c r="H187" i="7"/>
  <c r="F696" i="7"/>
  <c r="F516" i="7"/>
  <c r="F351" i="7"/>
  <c r="F186" i="7"/>
  <c r="J694" i="7"/>
  <c r="J514" i="7"/>
  <c r="J349" i="7"/>
  <c r="H693" i="7"/>
  <c r="H513" i="7"/>
  <c r="H348" i="7"/>
  <c r="F692" i="7"/>
  <c r="F512" i="7"/>
  <c r="F347" i="7"/>
  <c r="J690" i="7"/>
  <c r="J510" i="7"/>
  <c r="J345" i="7"/>
  <c r="H689" i="7"/>
  <c r="H509" i="7"/>
  <c r="H344" i="7"/>
  <c r="F686" i="7"/>
  <c r="F506" i="7"/>
  <c r="F341" i="7"/>
  <c r="J339" i="7"/>
  <c r="H338" i="7"/>
  <c r="F337" i="7"/>
  <c r="F172" i="7"/>
  <c r="J335" i="7"/>
  <c r="H334" i="7"/>
  <c r="F333" i="7"/>
  <c r="J331" i="7"/>
  <c r="H330" i="7"/>
  <c r="F674" i="7"/>
  <c r="F494" i="7"/>
  <c r="F329" i="7"/>
  <c r="J672" i="7"/>
  <c r="J492" i="7"/>
  <c r="J327" i="7"/>
  <c r="J668" i="7"/>
  <c r="J488" i="7"/>
  <c r="J323" i="7"/>
  <c r="H667" i="7"/>
  <c r="H487" i="7"/>
  <c r="H322" i="7"/>
  <c r="N287" i="3"/>
  <c r="L161" i="8"/>
  <c r="M280" i="3"/>
  <c r="E400" i="7"/>
  <c r="N240" i="3"/>
  <c r="M302" i="3"/>
  <c r="E585" i="7"/>
  <c r="E405" i="7"/>
  <c r="E240" i="7"/>
  <c r="E75" i="7"/>
  <c r="E632" i="7"/>
  <c r="E452" i="7"/>
  <c r="E287" i="7"/>
  <c r="E624" i="7"/>
  <c r="E444" i="7"/>
  <c r="E279" i="7"/>
  <c r="N323" i="3"/>
  <c r="M173" i="3"/>
  <c r="E391" i="7"/>
  <c r="E724" i="7"/>
  <c r="E544" i="7"/>
  <c r="E214" i="7"/>
  <c r="E379" i="7"/>
  <c r="E716" i="7"/>
  <c r="E821" i="7" s="1"/>
  <c r="E371" i="7"/>
  <c r="E779" i="7" s="1"/>
  <c r="E708" i="7"/>
  <c r="E528" i="7"/>
  <c r="E198" i="7"/>
  <c r="E363" i="7"/>
  <c r="E701" i="7"/>
  <c r="E521" i="7"/>
  <c r="E356" i="7"/>
  <c r="E693" i="7"/>
  <c r="E513" i="7"/>
  <c r="E348" i="7"/>
  <c r="E679" i="7"/>
  <c r="E499" i="7"/>
  <c r="E334" i="7"/>
  <c r="E654" i="7"/>
  <c r="E474" i="7"/>
  <c r="E309" i="7"/>
  <c r="E646" i="7"/>
  <c r="E466" i="7"/>
  <c r="E301" i="7"/>
  <c r="E627" i="7"/>
  <c r="E117" i="7"/>
  <c r="E447" i="7"/>
  <c r="E282" i="7"/>
  <c r="E609" i="7"/>
  <c r="E429" i="7"/>
  <c r="E264" i="7"/>
  <c r="E78" i="7"/>
  <c r="I731" i="7"/>
  <c r="I386" i="7"/>
  <c r="I551" i="7"/>
  <c r="I221" i="7"/>
  <c r="G730" i="7"/>
  <c r="G550" i="7"/>
  <c r="G385" i="7"/>
  <c r="G220" i="7"/>
  <c r="K728" i="7"/>
  <c r="K548" i="7"/>
  <c r="K383" i="7"/>
  <c r="K218" i="7"/>
  <c r="I727" i="7"/>
  <c r="I547" i="7"/>
  <c r="I382" i="7"/>
  <c r="I217" i="7"/>
  <c r="G726" i="7"/>
  <c r="G381" i="7"/>
  <c r="G546" i="7"/>
  <c r="G216" i="7"/>
  <c r="K724" i="7"/>
  <c r="K379" i="7"/>
  <c r="K544" i="7"/>
  <c r="K214" i="7"/>
  <c r="I723" i="7"/>
  <c r="I378" i="7"/>
  <c r="I543" i="7"/>
  <c r="I213" i="7"/>
  <c r="G722" i="7"/>
  <c r="G542" i="7"/>
  <c r="G377" i="7"/>
  <c r="G212" i="7"/>
  <c r="K720" i="7"/>
  <c r="K540" i="7"/>
  <c r="K375" i="7"/>
  <c r="K210" i="7"/>
  <c r="I719" i="7"/>
  <c r="I539" i="7"/>
  <c r="I374" i="7"/>
  <c r="I209" i="7"/>
  <c r="G718" i="7"/>
  <c r="G822" i="7" s="1"/>
  <c r="G373" i="7"/>
  <c r="G780" i="7" s="1"/>
  <c r="K716" i="7"/>
  <c r="K821" i="7" s="1"/>
  <c r="K371" i="7"/>
  <c r="K779" i="7" s="1"/>
  <c r="I715" i="7"/>
  <c r="I370" i="7"/>
  <c r="I205" i="7"/>
  <c r="G714" i="7"/>
  <c r="G534" i="7"/>
  <c r="G369" i="7"/>
  <c r="G204" i="7"/>
  <c r="K712" i="7"/>
  <c r="K532" i="7"/>
  <c r="K367" i="7"/>
  <c r="K202" i="7"/>
  <c r="I711" i="7"/>
  <c r="I531" i="7"/>
  <c r="I366" i="7"/>
  <c r="G710" i="7"/>
  <c r="G530" i="7"/>
  <c r="G365" i="7"/>
  <c r="K708" i="7"/>
  <c r="K528" i="7"/>
  <c r="K363" i="7"/>
  <c r="K198" i="7"/>
  <c r="I707" i="7"/>
  <c r="I527" i="7"/>
  <c r="I362" i="7"/>
  <c r="I197" i="7"/>
  <c r="K705" i="7"/>
  <c r="K525" i="7"/>
  <c r="K360" i="7"/>
  <c r="K195" i="7"/>
  <c r="I704" i="7"/>
  <c r="I524" i="7"/>
  <c r="I359" i="7"/>
  <c r="I194" i="7"/>
  <c r="G703" i="7"/>
  <c r="G523" i="7"/>
  <c r="G358" i="7"/>
  <c r="G193" i="7"/>
  <c r="K701" i="7"/>
  <c r="K521" i="7"/>
  <c r="K356" i="7"/>
  <c r="I700" i="7"/>
  <c r="I520" i="7"/>
  <c r="I355" i="7"/>
  <c r="G699" i="7"/>
  <c r="G519" i="7"/>
  <c r="G354" i="7"/>
  <c r="K697" i="7"/>
  <c r="K517" i="7"/>
  <c r="K352" i="7"/>
  <c r="K187" i="7"/>
  <c r="I696" i="7"/>
  <c r="I516" i="7"/>
  <c r="I351" i="7"/>
  <c r="I186" i="7"/>
  <c r="G695" i="7"/>
  <c r="G350" i="7"/>
  <c r="G515" i="7"/>
  <c r="K693" i="7"/>
  <c r="K513" i="7"/>
  <c r="K348" i="7"/>
  <c r="I692" i="7"/>
  <c r="I512" i="7"/>
  <c r="I347" i="7"/>
  <c r="G691" i="7"/>
  <c r="G511" i="7"/>
  <c r="G346" i="7"/>
  <c r="K689" i="7"/>
  <c r="K509" i="7"/>
  <c r="K344" i="7"/>
  <c r="I686" i="7"/>
  <c r="I506" i="7"/>
  <c r="I341" i="7"/>
  <c r="G340" i="7"/>
  <c r="K338" i="7"/>
  <c r="I337" i="7"/>
  <c r="I172" i="7"/>
  <c r="G336" i="7"/>
  <c r="K334" i="7"/>
  <c r="I333" i="7"/>
  <c r="G332" i="7"/>
  <c r="K330" i="7"/>
  <c r="I674" i="7"/>
  <c r="I494" i="7"/>
  <c r="I329" i="7"/>
  <c r="G669" i="7"/>
  <c r="G489" i="7"/>
  <c r="G324" i="7"/>
  <c r="K667" i="7"/>
  <c r="K487" i="7"/>
  <c r="K322" i="7"/>
  <c r="J656" i="7"/>
  <c r="J476" i="7"/>
  <c r="J311" i="7"/>
  <c r="H655" i="7"/>
  <c r="H475" i="7"/>
  <c r="H310" i="7"/>
  <c r="F654" i="7"/>
  <c r="F474" i="7"/>
  <c r="F309" i="7"/>
  <c r="J652" i="7"/>
  <c r="J472" i="7"/>
  <c r="J307" i="7"/>
  <c r="H651" i="7"/>
  <c r="H471" i="7"/>
  <c r="H306" i="7"/>
  <c r="J648" i="7"/>
  <c r="J468" i="7"/>
  <c r="J303" i="7"/>
  <c r="H647" i="7"/>
  <c r="H467" i="7"/>
  <c r="H302" i="7"/>
  <c r="F646" i="7"/>
  <c r="F466" i="7"/>
  <c r="F301" i="7"/>
  <c r="J641" i="7"/>
  <c r="J461" i="7"/>
  <c r="J296" i="7"/>
  <c r="H636" i="7"/>
  <c r="H456" i="7"/>
  <c r="H291" i="7"/>
  <c r="J633" i="7"/>
  <c r="J453" i="7"/>
  <c r="J288" i="7"/>
  <c r="H632" i="7"/>
  <c r="H452" i="7"/>
  <c r="H287" i="7"/>
  <c r="F631" i="7"/>
  <c r="F451" i="7"/>
  <c r="F286" i="7"/>
  <c r="J629" i="7"/>
  <c r="J449" i="7"/>
  <c r="J284" i="7"/>
  <c r="H628" i="7"/>
  <c r="H448" i="7"/>
  <c r="H283" i="7"/>
  <c r="F627" i="7"/>
  <c r="F447" i="7"/>
  <c r="F282" i="7"/>
  <c r="F117" i="7"/>
  <c r="J625" i="7"/>
  <c r="J445" i="7"/>
  <c r="J280" i="7"/>
  <c r="H624" i="7"/>
  <c r="H444" i="7"/>
  <c r="H279" i="7"/>
  <c r="F623" i="7"/>
  <c r="F443" i="7"/>
  <c r="F278" i="7"/>
  <c r="J611" i="7"/>
  <c r="J431" i="7"/>
  <c r="J266" i="7"/>
  <c r="H610" i="7"/>
  <c r="H430" i="7"/>
  <c r="H265" i="7"/>
  <c r="F609" i="7"/>
  <c r="F429" i="7"/>
  <c r="F264" i="7"/>
  <c r="J607" i="7"/>
  <c r="J427" i="7"/>
  <c r="J262" i="7"/>
  <c r="K598" i="7"/>
  <c r="K418" i="7"/>
  <c r="K253" i="7"/>
  <c r="I597" i="7"/>
  <c r="I417" i="7"/>
  <c r="I252" i="7"/>
  <c r="G596" i="7"/>
  <c r="G86" i="7"/>
  <c r="G251" i="7"/>
  <c r="G409" i="7"/>
  <c r="K587" i="7"/>
  <c r="K407" i="7"/>
  <c r="K77" i="7"/>
  <c r="K242" i="7"/>
  <c r="I586" i="7"/>
  <c r="I406" i="7"/>
  <c r="I241" i="7"/>
  <c r="I76" i="7"/>
  <c r="G585" i="7"/>
  <c r="G405" i="7"/>
  <c r="G75" i="7"/>
  <c r="G240" i="7"/>
  <c r="K584" i="7"/>
  <c r="K404" i="7"/>
  <c r="K239" i="7"/>
  <c r="K74" i="7"/>
  <c r="K582" i="7"/>
  <c r="K402" i="7"/>
  <c r="K237" i="7"/>
  <c r="K72" i="7"/>
  <c r="I581" i="7"/>
  <c r="I812" i="7" s="1"/>
  <c r="I401" i="7"/>
  <c r="I391" i="7"/>
  <c r="M347" i="3"/>
  <c r="M182" i="3"/>
  <c r="M174" i="3"/>
  <c r="M321" i="3"/>
  <c r="N313" i="3"/>
  <c r="L177" i="8"/>
  <c r="L237" i="8"/>
  <c r="L162" i="8"/>
  <c r="M281" i="3"/>
  <c r="M116" i="3"/>
  <c r="L222" i="8" s="1"/>
  <c r="L145" i="8"/>
  <c r="M259" i="3"/>
  <c r="M78" i="3"/>
  <c r="M243" i="3"/>
  <c r="L182" i="8"/>
  <c r="M308" i="3"/>
  <c r="M77" i="3"/>
  <c r="K144" i="8"/>
  <c r="L258" i="3"/>
  <c r="K151" i="8"/>
  <c r="L267" i="3"/>
  <c r="K159" i="8"/>
  <c r="K165" i="8"/>
  <c r="L285" i="3"/>
  <c r="L120" i="3"/>
  <c r="K225" i="8" s="1"/>
  <c r="K179" i="8"/>
  <c r="L304" i="3"/>
  <c r="L312" i="3"/>
  <c r="L320" i="3"/>
  <c r="L328" i="3"/>
  <c r="L163" i="3"/>
  <c r="L171" i="3"/>
  <c r="L342" i="3"/>
  <c r="M183" i="3"/>
  <c r="L350" i="3"/>
  <c r="L185" i="3"/>
  <c r="M192" i="3"/>
  <c r="L358" i="3"/>
  <c r="L381" i="3"/>
  <c r="L214" i="3"/>
  <c r="L206" i="3"/>
  <c r="L411" i="3" s="1"/>
  <c r="L198" i="3"/>
  <c r="E731" i="7"/>
  <c r="E221" i="7"/>
  <c r="E551" i="7"/>
  <c r="E386" i="7"/>
  <c r="E723" i="7"/>
  <c r="E213" i="7"/>
  <c r="E543" i="7"/>
  <c r="E378" i="7"/>
  <c r="E715" i="7"/>
  <c r="E205" i="7"/>
  <c r="E535" i="7"/>
  <c r="E370" i="7"/>
  <c r="E707" i="7"/>
  <c r="E197" i="7"/>
  <c r="E527" i="7"/>
  <c r="E362" i="7"/>
  <c r="E700" i="7"/>
  <c r="E520" i="7"/>
  <c r="E355" i="7"/>
  <c r="E692" i="7"/>
  <c r="E512" i="7"/>
  <c r="E347" i="7"/>
  <c r="E686" i="7"/>
  <c r="E506" i="7"/>
  <c r="E341" i="7"/>
  <c r="E678" i="7"/>
  <c r="E498" i="7"/>
  <c r="E333" i="7"/>
  <c r="E653" i="7"/>
  <c r="E473" i="7"/>
  <c r="E308" i="7"/>
  <c r="E644" i="7"/>
  <c r="E299" i="7"/>
  <c r="E626" i="7"/>
  <c r="E116" i="7"/>
  <c r="E446" i="7"/>
  <c r="E281" i="7"/>
  <c r="E608" i="7"/>
  <c r="E428" i="7"/>
  <c r="E263" i="7"/>
  <c r="E598" i="7"/>
  <c r="E418" i="7"/>
  <c r="E253" i="7"/>
  <c r="E587" i="7"/>
  <c r="E407" i="7"/>
  <c r="E242" i="7"/>
  <c r="E77" i="7"/>
  <c r="E582" i="7"/>
  <c r="E402" i="7"/>
  <c r="E72" i="7"/>
  <c r="E237" i="7"/>
  <c r="H731" i="7"/>
  <c r="H386" i="7"/>
  <c r="H551" i="7"/>
  <c r="H221" i="7"/>
  <c r="F730" i="7"/>
  <c r="F385" i="7"/>
  <c r="F550" i="7"/>
  <c r="F220" i="7"/>
  <c r="J728" i="7"/>
  <c r="J383" i="7"/>
  <c r="J548" i="7"/>
  <c r="J218" i="7"/>
  <c r="H727" i="7"/>
  <c r="H547" i="7"/>
  <c r="H382" i="7"/>
  <c r="H217" i="7"/>
  <c r="F726" i="7"/>
  <c r="F381" i="7"/>
  <c r="F546" i="7"/>
  <c r="F216" i="7"/>
  <c r="J724" i="7"/>
  <c r="J544" i="7"/>
  <c r="J379" i="7"/>
  <c r="J214" i="7"/>
  <c r="H723" i="7"/>
  <c r="H378" i="7"/>
  <c r="H543" i="7"/>
  <c r="H213" i="7"/>
  <c r="F722" i="7"/>
  <c r="F377" i="7"/>
  <c r="F542" i="7"/>
  <c r="F212" i="7"/>
  <c r="J720" i="7"/>
  <c r="J375" i="7"/>
  <c r="J540" i="7"/>
  <c r="J210" i="7"/>
  <c r="H719" i="7"/>
  <c r="H539" i="7"/>
  <c r="H374" i="7"/>
  <c r="H209" i="7"/>
  <c r="F718" i="7"/>
  <c r="F822" i="7" s="1"/>
  <c r="F373" i="7"/>
  <c r="F780" i="7" s="1"/>
  <c r="J716" i="7"/>
  <c r="J821" i="7" s="1"/>
  <c r="J371" i="7"/>
  <c r="J779" i="7" s="1"/>
  <c r="H715" i="7"/>
  <c r="H370" i="7"/>
  <c r="H205" i="7"/>
  <c r="F714" i="7"/>
  <c r="F369" i="7"/>
  <c r="F534" i="7"/>
  <c r="F204" i="7"/>
  <c r="J712" i="7"/>
  <c r="J532" i="7"/>
  <c r="J367" i="7"/>
  <c r="J202" i="7"/>
  <c r="H711" i="7"/>
  <c r="H531" i="7"/>
  <c r="H366" i="7"/>
  <c r="F710" i="7"/>
  <c r="F530" i="7"/>
  <c r="F365" i="7"/>
  <c r="J708" i="7"/>
  <c r="J528" i="7"/>
  <c r="J363" i="7"/>
  <c r="J198" i="7"/>
  <c r="H707" i="7"/>
  <c r="H362" i="7"/>
  <c r="H527" i="7"/>
  <c r="H197" i="7"/>
  <c r="J705" i="7"/>
  <c r="J525" i="7"/>
  <c r="J360" i="7"/>
  <c r="J195" i="7"/>
  <c r="H704" i="7"/>
  <c r="H524" i="7"/>
  <c r="H359" i="7"/>
  <c r="H194" i="7"/>
  <c r="F703" i="7"/>
  <c r="F523" i="7"/>
  <c r="F358" i="7"/>
  <c r="F193" i="7"/>
  <c r="J701" i="7"/>
  <c r="J521" i="7"/>
  <c r="J356" i="7"/>
  <c r="H700" i="7"/>
  <c r="H520" i="7"/>
  <c r="H355" i="7"/>
  <c r="F699" i="7"/>
  <c r="F519" i="7"/>
  <c r="F354" i="7"/>
  <c r="J697" i="7"/>
  <c r="J517" i="7"/>
  <c r="J352" i="7"/>
  <c r="J187" i="7"/>
  <c r="H696" i="7"/>
  <c r="H516" i="7"/>
  <c r="H351" i="7"/>
  <c r="H186" i="7"/>
  <c r="F695" i="7"/>
  <c r="F515" i="7"/>
  <c r="F350" i="7"/>
  <c r="J693" i="7"/>
  <c r="J513" i="7"/>
  <c r="J348" i="7"/>
  <c r="H692" i="7"/>
  <c r="H512" i="7"/>
  <c r="H347" i="7"/>
  <c r="F691" i="7"/>
  <c r="F511" i="7"/>
  <c r="F346" i="7"/>
  <c r="J689" i="7"/>
  <c r="J509" i="7"/>
  <c r="J344" i="7"/>
  <c r="H686" i="7"/>
  <c r="H506" i="7"/>
  <c r="H341" i="7"/>
  <c r="F340" i="7"/>
  <c r="J338" i="7"/>
  <c r="H337" i="7"/>
  <c r="H172" i="7"/>
  <c r="F336" i="7"/>
  <c r="J334" i="7"/>
  <c r="H333" i="7"/>
  <c r="F332" i="7"/>
  <c r="J330" i="7"/>
  <c r="H674" i="7"/>
  <c r="H494" i="7"/>
  <c r="H329" i="7"/>
  <c r="F669" i="7"/>
  <c r="F489" i="7"/>
  <c r="F324" i="7"/>
  <c r="J667" i="7"/>
  <c r="J487" i="7"/>
  <c r="J322" i="7"/>
  <c r="I656" i="7"/>
  <c r="I476" i="7"/>
  <c r="I311" i="7"/>
  <c r="G655" i="7"/>
  <c r="G475" i="7"/>
  <c r="G310" i="7"/>
  <c r="K653" i="7"/>
  <c r="K473" i="7"/>
  <c r="K308" i="7"/>
  <c r="I652" i="7"/>
  <c r="I472" i="7"/>
  <c r="I307" i="7"/>
  <c r="G651" i="7"/>
  <c r="G471" i="7"/>
  <c r="G306" i="7"/>
  <c r="I648" i="7"/>
  <c r="I468" i="7"/>
  <c r="I303" i="7"/>
  <c r="G647" i="7"/>
  <c r="G467" i="7"/>
  <c r="G302" i="7"/>
  <c r="K644" i="7"/>
  <c r="K299" i="7"/>
  <c r="I641" i="7"/>
  <c r="I461" i="7"/>
  <c r="I296" i="7"/>
  <c r="G636" i="7"/>
  <c r="G456" i="7"/>
  <c r="G291" i="7"/>
  <c r="I633" i="7"/>
  <c r="I453" i="7"/>
  <c r="I288" i="7"/>
  <c r="G632" i="7"/>
  <c r="G452" i="7"/>
  <c r="G287" i="7"/>
  <c r="K630" i="7"/>
  <c r="K450" i="7"/>
  <c r="K285" i="7"/>
  <c r="I629" i="7"/>
  <c r="I449" i="7"/>
  <c r="I284" i="7"/>
  <c r="G628" i="7"/>
  <c r="G448" i="7"/>
  <c r="G283" i="7"/>
  <c r="K626" i="7"/>
  <c r="K446" i="7"/>
  <c r="K281" i="7"/>
  <c r="K116" i="7"/>
  <c r="I625" i="7"/>
  <c r="I445" i="7"/>
  <c r="I280" i="7"/>
  <c r="G624" i="7"/>
  <c r="G444" i="7"/>
  <c r="G279" i="7"/>
  <c r="K620" i="7"/>
  <c r="K440" i="7"/>
  <c r="K275" i="7"/>
  <c r="I611" i="7"/>
  <c r="I431" i="7"/>
  <c r="I266" i="7"/>
  <c r="G610" i="7"/>
  <c r="G430" i="7"/>
  <c r="G265" i="7"/>
  <c r="K608" i="7"/>
  <c r="K428" i="7"/>
  <c r="K263" i="7"/>
  <c r="I607" i="7"/>
  <c r="I427" i="7"/>
  <c r="I262" i="7"/>
  <c r="J598" i="7"/>
  <c r="J418" i="7"/>
  <c r="J253" i="7"/>
  <c r="H597" i="7"/>
  <c r="H417" i="7"/>
  <c r="H252" i="7"/>
  <c r="F596" i="7"/>
  <c r="F86" i="7"/>
  <c r="F251" i="7"/>
  <c r="F409" i="7"/>
  <c r="J587" i="7"/>
  <c r="J407" i="7"/>
  <c r="J77" i="7"/>
  <c r="J242" i="7"/>
  <c r="H586" i="7"/>
  <c r="H406" i="7"/>
  <c r="H241" i="7"/>
  <c r="H76" i="7"/>
  <c r="F585" i="7"/>
  <c r="F405" i="7"/>
  <c r="F75" i="7"/>
  <c r="F240" i="7"/>
  <c r="J584" i="7"/>
  <c r="J404" i="7"/>
  <c r="J239" i="7"/>
  <c r="J74" i="7"/>
  <c r="J582" i="7"/>
  <c r="J402" i="7"/>
  <c r="J72" i="7"/>
  <c r="J237" i="7"/>
  <c r="H581" i="7"/>
  <c r="H812" i="7" s="1"/>
  <c r="H401" i="7"/>
  <c r="H391" i="7"/>
  <c r="M359" i="3"/>
  <c r="M329" i="3"/>
  <c r="M319" i="3"/>
  <c r="M313" i="3"/>
  <c r="L175" i="8"/>
  <c r="L167" i="8"/>
  <c r="M288" i="3"/>
  <c r="L152" i="8"/>
  <c r="M268" i="3"/>
  <c r="M254" i="3"/>
  <c r="M348" i="3"/>
  <c r="L240" i="3"/>
  <c r="L75" i="3"/>
  <c r="L251" i="3"/>
  <c r="L86" i="3"/>
  <c r="K145" i="8"/>
  <c r="L259" i="3"/>
  <c r="K152" i="8"/>
  <c r="L268" i="3"/>
  <c r="K160" i="8"/>
  <c r="L113" i="3"/>
  <c r="K220" i="8" s="1"/>
  <c r="K166" i="8"/>
  <c r="L121" i="3"/>
  <c r="K226" i="8" s="1"/>
  <c r="L286" i="3"/>
  <c r="K173" i="8"/>
  <c r="L294" i="3"/>
  <c r="K180" i="8"/>
  <c r="L305" i="3"/>
  <c r="L313" i="3"/>
  <c r="L321" i="3"/>
  <c r="L329" i="3"/>
  <c r="L172" i="3"/>
  <c r="L343" i="3"/>
  <c r="L351" i="3"/>
  <c r="L186" i="3"/>
  <c r="L359" i="3"/>
  <c r="L194" i="3"/>
  <c r="L72" i="3"/>
  <c r="L219" i="3"/>
  <c r="L211" i="3"/>
  <c r="L203" i="3"/>
  <c r="L196" i="3"/>
  <c r="L175" i="3"/>
  <c r="E730" i="7"/>
  <c r="E220" i="7"/>
  <c r="E550" i="7"/>
  <c r="E385" i="7"/>
  <c r="E722" i="7"/>
  <c r="E212" i="7"/>
  <c r="E542" i="7"/>
  <c r="E377" i="7"/>
  <c r="E714" i="7"/>
  <c r="E204" i="7"/>
  <c r="E534" i="7"/>
  <c r="E369" i="7"/>
  <c r="E699" i="7"/>
  <c r="E519" i="7"/>
  <c r="E354" i="7"/>
  <c r="E691" i="7"/>
  <c r="E511" i="7"/>
  <c r="E346" i="7"/>
  <c r="E685" i="7"/>
  <c r="E505" i="7"/>
  <c r="E340" i="7"/>
  <c r="E677" i="7"/>
  <c r="E497" i="7"/>
  <c r="E332" i="7"/>
  <c r="E669" i="7"/>
  <c r="E489" i="7"/>
  <c r="E324" i="7"/>
  <c r="E641" i="7"/>
  <c r="E461" i="7"/>
  <c r="E296" i="7"/>
  <c r="E633" i="7"/>
  <c r="E453" i="7"/>
  <c r="E288" i="7"/>
  <c r="E625" i="7"/>
  <c r="E445" i="7"/>
  <c r="E280" i="7"/>
  <c r="E607" i="7"/>
  <c r="E427" i="7"/>
  <c r="E262" i="7"/>
  <c r="E597" i="7"/>
  <c r="E417" i="7"/>
  <c r="E252" i="7"/>
  <c r="E586" i="7"/>
  <c r="E406" i="7"/>
  <c r="E241" i="7"/>
  <c r="E76" i="7"/>
  <c r="E581" i="7"/>
  <c r="E812" i="7" s="1"/>
  <c r="E401" i="7"/>
  <c r="G731" i="7"/>
  <c r="G386" i="7"/>
  <c r="G551" i="7"/>
  <c r="G221" i="7"/>
  <c r="K729" i="7"/>
  <c r="K549" i="7"/>
  <c r="K384" i="7"/>
  <c r="K219" i="7"/>
  <c r="I728" i="7"/>
  <c r="I383" i="7"/>
  <c r="I548" i="7"/>
  <c r="I218" i="7"/>
  <c r="G727" i="7"/>
  <c r="G382" i="7"/>
  <c r="G547" i="7"/>
  <c r="G217" i="7"/>
  <c r="K725" i="7"/>
  <c r="K380" i="7"/>
  <c r="K545" i="7"/>
  <c r="K215" i="7"/>
  <c r="I724" i="7"/>
  <c r="I544" i="7"/>
  <c r="I379" i="7"/>
  <c r="I214" i="7"/>
  <c r="G723" i="7"/>
  <c r="G543" i="7"/>
  <c r="G378" i="7"/>
  <c r="G213" i="7"/>
  <c r="K721" i="7"/>
  <c r="K541" i="7"/>
  <c r="K376" i="7"/>
  <c r="K211" i="7"/>
  <c r="I720" i="7"/>
  <c r="I375" i="7"/>
  <c r="I540" i="7"/>
  <c r="I210" i="7"/>
  <c r="G719" i="7"/>
  <c r="G374" i="7"/>
  <c r="G539" i="7"/>
  <c r="G209" i="7"/>
  <c r="K717" i="7"/>
  <c r="K372" i="7"/>
  <c r="I716" i="7"/>
  <c r="I821" i="7" s="1"/>
  <c r="I371" i="7"/>
  <c r="I779" i="7" s="1"/>
  <c r="G715" i="7"/>
  <c r="G370" i="7"/>
  <c r="G205" i="7"/>
  <c r="K713" i="7"/>
  <c r="K533" i="7"/>
  <c r="K368" i="7"/>
  <c r="K203" i="7"/>
  <c r="I712" i="7"/>
  <c r="I532" i="7"/>
  <c r="I367" i="7"/>
  <c r="I202" i="7"/>
  <c r="G711" i="7"/>
  <c r="G531" i="7"/>
  <c r="G366" i="7"/>
  <c r="K709" i="7"/>
  <c r="K529" i="7"/>
  <c r="K364" i="7"/>
  <c r="K199" i="7"/>
  <c r="I708" i="7"/>
  <c r="I528" i="7"/>
  <c r="I363" i="7"/>
  <c r="I198" i="7"/>
  <c r="G707" i="7"/>
  <c r="G527" i="7"/>
  <c r="G362" i="7"/>
  <c r="G197" i="7"/>
  <c r="K706" i="7"/>
  <c r="K526" i="7"/>
  <c r="K361" i="7"/>
  <c r="K196" i="7"/>
  <c r="I705" i="7"/>
  <c r="I360" i="7"/>
  <c r="I525" i="7"/>
  <c r="I195" i="7"/>
  <c r="G704" i="7"/>
  <c r="G524" i="7"/>
  <c r="G359" i="7"/>
  <c r="G194" i="7"/>
  <c r="K702" i="7"/>
  <c r="K522" i="7"/>
  <c r="K357" i="7"/>
  <c r="K192" i="7"/>
  <c r="I701" i="7"/>
  <c r="I521" i="7"/>
  <c r="I356" i="7"/>
  <c r="G700" i="7"/>
  <c r="G520" i="7"/>
  <c r="G355" i="7"/>
  <c r="K698" i="7"/>
  <c r="K518" i="7"/>
  <c r="K353" i="7"/>
  <c r="I697" i="7"/>
  <c r="I517" i="7"/>
  <c r="I352" i="7"/>
  <c r="I187" i="7"/>
  <c r="G696" i="7"/>
  <c r="G516" i="7"/>
  <c r="G351" i="7"/>
  <c r="G186" i="7"/>
  <c r="K694" i="7"/>
  <c r="K514" i="7"/>
  <c r="K349" i="7"/>
  <c r="I693" i="7"/>
  <c r="I513" i="7"/>
  <c r="I348" i="7"/>
  <c r="G692" i="7"/>
  <c r="G512" i="7"/>
  <c r="G347" i="7"/>
  <c r="K690" i="7"/>
  <c r="K510" i="7"/>
  <c r="K345" i="7"/>
  <c r="I689" i="7"/>
  <c r="I509" i="7"/>
  <c r="I344" i="7"/>
  <c r="G686" i="7"/>
  <c r="G506" i="7"/>
  <c r="G341" i="7"/>
  <c r="K339" i="7"/>
  <c r="I338" i="7"/>
  <c r="G337" i="7"/>
  <c r="G172" i="7"/>
  <c r="K335" i="7"/>
  <c r="I334" i="7"/>
  <c r="G333" i="7"/>
  <c r="K331" i="7"/>
  <c r="I330" i="7"/>
  <c r="G674" i="7"/>
  <c r="G494" i="7"/>
  <c r="G329" i="7"/>
  <c r="K672" i="7"/>
  <c r="K492" i="7"/>
  <c r="K327" i="7"/>
  <c r="K668" i="7"/>
  <c r="K488" i="7"/>
  <c r="K323" i="7"/>
  <c r="I667" i="7"/>
  <c r="I487" i="7"/>
  <c r="I322" i="7"/>
  <c r="H656" i="7"/>
  <c r="H476" i="7"/>
  <c r="H311" i="7"/>
  <c r="F655" i="7"/>
  <c r="F475" i="7"/>
  <c r="F310" i="7"/>
  <c r="J653" i="7"/>
  <c r="J473" i="7"/>
  <c r="J308" i="7"/>
  <c r="H652" i="7"/>
  <c r="H472" i="7"/>
  <c r="H307" i="7"/>
  <c r="F651" i="7"/>
  <c r="F471" i="7"/>
  <c r="F306" i="7"/>
  <c r="H648" i="7"/>
  <c r="H468" i="7"/>
  <c r="H303" i="7"/>
  <c r="F647" i="7"/>
  <c r="F467" i="7"/>
  <c r="F302" i="7"/>
  <c r="J644" i="7"/>
  <c r="J299" i="7"/>
  <c r="H641" i="7"/>
  <c r="H461" i="7"/>
  <c r="H296" i="7"/>
  <c r="F636" i="7"/>
  <c r="F456" i="7"/>
  <c r="F291" i="7"/>
  <c r="H633" i="7"/>
  <c r="H453" i="7"/>
  <c r="H288" i="7"/>
  <c r="F632" i="7"/>
  <c r="F452" i="7"/>
  <c r="F287" i="7"/>
  <c r="J630" i="7"/>
  <c r="J450" i="7"/>
  <c r="J285" i="7"/>
  <c r="H629" i="7"/>
  <c r="H449" i="7"/>
  <c r="H284" i="7"/>
  <c r="F628" i="7"/>
  <c r="F448" i="7"/>
  <c r="F283" i="7"/>
  <c r="J626" i="7"/>
  <c r="J446" i="7"/>
  <c r="J281" i="7"/>
  <c r="J116" i="7"/>
  <c r="H625" i="7"/>
  <c r="H445" i="7"/>
  <c r="H280" i="7"/>
  <c r="F624" i="7"/>
  <c r="F444" i="7"/>
  <c r="F279" i="7"/>
  <c r="J620" i="7"/>
  <c r="J440" i="7"/>
  <c r="J275" i="7"/>
  <c r="H611" i="7"/>
  <c r="H431" i="7"/>
  <c r="H266" i="7"/>
  <c r="F610" i="7"/>
  <c r="F430" i="7"/>
  <c r="F265" i="7"/>
  <c r="J608" i="7"/>
  <c r="J428" i="7"/>
  <c r="J263" i="7"/>
  <c r="H607" i="7"/>
  <c r="H427" i="7"/>
  <c r="H262" i="7"/>
  <c r="I598" i="7"/>
  <c r="I418" i="7"/>
  <c r="I253" i="7"/>
  <c r="G597" i="7"/>
  <c r="G417" i="7"/>
  <c r="G252" i="7"/>
  <c r="K78" i="7"/>
  <c r="I587" i="7"/>
  <c r="I407" i="7"/>
  <c r="I77" i="7"/>
  <c r="I242" i="7"/>
  <c r="G586" i="7"/>
  <c r="G406" i="7"/>
  <c r="G241" i="7"/>
  <c r="G76" i="7"/>
  <c r="I584" i="7"/>
  <c r="I404" i="7"/>
  <c r="I239" i="7"/>
  <c r="I74" i="7"/>
  <c r="I582" i="7"/>
  <c r="I402" i="7"/>
  <c r="I72" i="7"/>
  <c r="I237" i="7"/>
  <c r="G581" i="7"/>
  <c r="G812" i="7" s="1"/>
  <c r="G401" i="7"/>
  <c r="G391" i="7"/>
  <c r="M383" i="3"/>
  <c r="M357" i="3"/>
  <c r="M344" i="3"/>
  <c r="M179" i="3"/>
  <c r="M327" i="3"/>
  <c r="M162" i="3"/>
  <c r="M318" i="3"/>
  <c r="M311" i="3"/>
  <c r="M146" i="3"/>
  <c r="L174" i="8"/>
  <c r="M295" i="3"/>
  <c r="M114" i="3"/>
  <c r="M385" i="3"/>
  <c r="M346" i="3"/>
  <c r="M181" i="3"/>
  <c r="L176" i="8"/>
  <c r="L76" i="3"/>
  <c r="L241" i="3"/>
  <c r="L87" i="3"/>
  <c r="L252" i="3"/>
  <c r="K146" i="8"/>
  <c r="L260" i="3"/>
  <c r="L114" i="3"/>
  <c r="L287" i="3"/>
  <c r="L122" i="3"/>
  <c r="K174" i="8"/>
  <c r="L295" i="3"/>
  <c r="L306" i="3"/>
  <c r="L322" i="3"/>
  <c r="L157" i="3"/>
  <c r="L173" i="3"/>
  <c r="L344" i="3"/>
  <c r="L179" i="3"/>
  <c r="K161" i="8"/>
  <c r="L280" i="3"/>
  <c r="L115" i="3"/>
  <c r="K221" i="8" s="1"/>
  <c r="K167" i="8"/>
  <c r="L288" i="3"/>
  <c r="L123" i="3"/>
  <c r="K175" i="8"/>
  <c r="K181" i="8"/>
  <c r="L307" i="3"/>
  <c r="L323" i="3"/>
  <c r="L158" i="3"/>
  <c r="L174" i="3"/>
  <c r="L221" i="3"/>
  <c r="L213" i="3"/>
  <c r="L205" i="3"/>
  <c r="L197" i="3"/>
  <c r="I644" i="7"/>
  <c r="I299" i="7"/>
  <c r="E728" i="7"/>
  <c r="E218" i="7"/>
  <c r="E548" i="7"/>
  <c r="E383" i="7"/>
  <c r="E720" i="7"/>
  <c r="E210" i="7"/>
  <c r="E375" i="7"/>
  <c r="E540" i="7"/>
  <c r="E712" i="7"/>
  <c r="E202" i="7"/>
  <c r="E532" i="7"/>
  <c r="E367" i="7"/>
  <c r="E705" i="7"/>
  <c r="E195" i="7"/>
  <c r="E525" i="7"/>
  <c r="E360" i="7"/>
  <c r="E697" i="7"/>
  <c r="E187" i="7"/>
  <c r="E517" i="7"/>
  <c r="E352" i="7"/>
  <c r="E689" i="7"/>
  <c r="E509" i="7"/>
  <c r="E344" i="7"/>
  <c r="E683" i="7"/>
  <c r="E503" i="7"/>
  <c r="E338" i="7"/>
  <c r="E675" i="7"/>
  <c r="E495" i="7"/>
  <c r="E330" i="7"/>
  <c r="E667" i="7"/>
  <c r="E487" i="7"/>
  <c r="E322" i="7"/>
  <c r="E631" i="7"/>
  <c r="E451" i="7"/>
  <c r="E286" i="7"/>
  <c r="E623" i="7"/>
  <c r="E443" i="7"/>
  <c r="E278" i="7"/>
  <c r="K730" i="7"/>
  <c r="K385" i="7"/>
  <c r="K550" i="7"/>
  <c r="K220" i="7"/>
  <c r="I729" i="7"/>
  <c r="I384" i="7"/>
  <c r="I549" i="7"/>
  <c r="I219" i="7"/>
  <c r="G728" i="7"/>
  <c r="G548" i="7"/>
  <c r="G383" i="7"/>
  <c r="G218" i="7"/>
  <c r="K726" i="7"/>
  <c r="K546" i="7"/>
  <c r="K381" i="7"/>
  <c r="K216" i="7"/>
  <c r="I725" i="7"/>
  <c r="I545" i="7"/>
  <c r="I380" i="7"/>
  <c r="I215" i="7"/>
  <c r="G724" i="7"/>
  <c r="G544" i="7"/>
  <c r="G379" i="7"/>
  <c r="G214" i="7"/>
  <c r="K722" i="7"/>
  <c r="K377" i="7"/>
  <c r="K542" i="7"/>
  <c r="K212" i="7"/>
  <c r="I721" i="7"/>
  <c r="I376" i="7"/>
  <c r="I541" i="7"/>
  <c r="I211" i="7"/>
  <c r="G720" i="7"/>
  <c r="G540" i="7"/>
  <c r="G375" i="7"/>
  <c r="G210" i="7"/>
  <c r="K718" i="7"/>
  <c r="K822" i="7" s="1"/>
  <c r="K373" i="7"/>
  <c r="K780" i="7" s="1"/>
  <c r="I717" i="7"/>
  <c r="I372" i="7"/>
  <c r="G716" i="7"/>
  <c r="G821" i="7" s="1"/>
  <c r="G371" i="7"/>
  <c r="G779" i="7" s="1"/>
  <c r="K714" i="7"/>
  <c r="K369" i="7"/>
  <c r="K534" i="7"/>
  <c r="K204" i="7"/>
  <c r="I713" i="7"/>
  <c r="I368" i="7"/>
  <c r="I533" i="7"/>
  <c r="I203" i="7"/>
  <c r="G712" i="7"/>
  <c r="G532" i="7"/>
  <c r="G367" i="7"/>
  <c r="G202" i="7"/>
  <c r="K710" i="7"/>
  <c r="K365" i="7"/>
  <c r="K530" i="7"/>
  <c r="I709" i="7"/>
  <c r="I529" i="7"/>
  <c r="I364" i="7"/>
  <c r="I199" i="7"/>
  <c r="G708" i="7"/>
  <c r="G528" i="7"/>
  <c r="G363" i="7"/>
  <c r="G198" i="7"/>
  <c r="I706" i="7"/>
  <c r="I526" i="7"/>
  <c r="I361" i="7"/>
  <c r="I196" i="7"/>
  <c r="G705" i="7"/>
  <c r="G525" i="7"/>
  <c r="G360" i="7"/>
  <c r="G195" i="7"/>
  <c r="K703" i="7"/>
  <c r="K523" i="7"/>
  <c r="K358" i="7"/>
  <c r="K193" i="7"/>
  <c r="I702" i="7"/>
  <c r="I522" i="7"/>
  <c r="I357" i="7"/>
  <c r="I192" i="7"/>
  <c r="G701" i="7"/>
  <c r="G521" i="7"/>
  <c r="G356" i="7"/>
  <c r="K699" i="7"/>
  <c r="K519" i="7"/>
  <c r="K354" i="7"/>
  <c r="I698" i="7"/>
  <c r="I518" i="7"/>
  <c r="I353" i="7"/>
  <c r="G697" i="7"/>
  <c r="G517" i="7"/>
  <c r="G352" i="7"/>
  <c r="G187" i="7"/>
  <c r="K695" i="7"/>
  <c r="K515" i="7"/>
  <c r="K350" i="7"/>
  <c r="I694" i="7"/>
  <c r="I514" i="7"/>
  <c r="I349" i="7"/>
  <c r="G693" i="7"/>
  <c r="G513" i="7"/>
  <c r="G348" i="7"/>
  <c r="K691" i="7"/>
  <c r="K346" i="7"/>
  <c r="K511" i="7"/>
  <c r="I690" i="7"/>
  <c r="I510" i="7"/>
  <c r="I345" i="7"/>
  <c r="G689" i="7"/>
  <c r="G509" i="7"/>
  <c r="G344" i="7"/>
  <c r="K340" i="7"/>
  <c r="I339" i="7"/>
  <c r="G338" i="7"/>
  <c r="K336" i="7"/>
  <c r="I335" i="7"/>
  <c r="G334" i="7"/>
  <c r="K332" i="7"/>
  <c r="I331" i="7"/>
  <c r="G330" i="7"/>
  <c r="I672" i="7"/>
  <c r="I492" i="7"/>
  <c r="I327" i="7"/>
  <c r="K669" i="7"/>
  <c r="K489" i="7"/>
  <c r="K324" i="7"/>
  <c r="I668" i="7"/>
  <c r="I488" i="7"/>
  <c r="I323" i="7"/>
  <c r="G667" i="7"/>
  <c r="G487" i="7"/>
  <c r="G322" i="7"/>
  <c r="F656" i="7"/>
  <c r="F476" i="7"/>
  <c r="F311" i="7"/>
  <c r="J654" i="7"/>
  <c r="J474" i="7"/>
  <c r="J309" i="7"/>
  <c r="H653" i="7"/>
  <c r="H473" i="7"/>
  <c r="H308" i="7"/>
  <c r="F652" i="7"/>
  <c r="F472" i="7"/>
  <c r="F307" i="7"/>
  <c r="F648" i="7"/>
  <c r="F468" i="7"/>
  <c r="F303" i="7"/>
  <c r="J646" i="7"/>
  <c r="J466" i="7"/>
  <c r="J301" i="7"/>
  <c r="H644" i="7"/>
  <c r="H299" i="7"/>
  <c r="F641" i="7"/>
  <c r="F461" i="7"/>
  <c r="F296" i="7"/>
  <c r="F633" i="7"/>
  <c r="F453" i="7"/>
  <c r="F288" i="7"/>
  <c r="J631" i="7"/>
  <c r="J451" i="7"/>
  <c r="J286" i="7"/>
  <c r="H630" i="7"/>
  <c r="H450" i="7"/>
  <c r="H285" i="7"/>
  <c r="F629" i="7"/>
  <c r="F449" i="7"/>
  <c r="F284" i="7"/>
  <c r="J627" i="7"/>
  <c r="J447" i="7"/>
  <c r="J282" i="7"/>
  <c r="J117" i="7"/>
  <c r="H626" i="7"/>
  <c r="H446" i="7"/>
  <c r="H281" i="7"/>
  <c r="H116" i="7"/>
  <c r="F625" i="7"/>
  <c r="F445" i="7"/>
  <c r="F280" i="7"/>
  <c r="J623" i="7"/>
  <c r="J443" i="7"/>
  <c r="J278" i="7"/>
  <c r="H620" i="7"/>
  <c r="H440" i="7"/>
  <c r="H275" i="7"/>
  <c r="F611" i="7"/>
  <c r="F431" i="7"/>
  <c r="F266" i="7"/>
  <c r="J609" i="7"/>
  <c r="J429" i="7"/>
  <c r="J264" i="7"/>
  <c r="H608" i="7"/>
  <c r="H428" i="7"/>
  <c r="H263" i="7"/>
  <c r="F607" i="7"/>
  <c r="F427" i="7"/>
  <c r="F262" i="7"/>
  <c r="G598" i="7"/>
  <c r="G418" i="7"/>
  <c r="G253" i="7"/>
  <c r="K596" i="7"/>
  <c r="K251" i="7"/>
  <c r="K86" i="7"/>
  <c r="K409" i="7"/>
  <c r="I78" i="7"/>
  <c r="G587" i="7"/>
  <c r="G407" i="7"/>
  <c r="G242" i="7"/>
  <c r="G77" i="7"/>
  <c r="K585" i="7"/>
  <c r="K405" i="7"/>
  <c r="K240" i="7"/>
  <c r="K75" i="7"/>
  <c r="G584" i="7"/>
  <c r="G404" i="7"/>
  <c r="G74" i="7"/>
  <c r="G239" i="7"/>
  <c r="G582" i="7"/>
  <c r="G402" i="7"/>
  <c r="G72" i="7"/>
  <c r="G237" i="7"/>
  <c r="M353" i="3"/>
  <c r="M343" i="3"/>
  <c r="M169" i="3"/>
  <c r="M325" i="3"/>
  <c r="M317" i="3"/>
  <c r="L181" i="8"/>
  <c r="M307" i="3"/>
  <c r="L166" i="8"/>
  <c r="M286" i="3"/>
  <c r="L158" i="8"/>
  <c r="L148" i="8"/>
  <c r="M264" i="3"/>
  <c r="M326" i="3"/>
  <c r="L243" i="3"/>
  <c r="L78" i="3"/>
  <c r="L254" i="3"/>
  <c r="K147" i="8"/>
  <c r="L263" i="3"/>
  <c r="L98" i="3"/>
  <c r="K207" i="8" s="1"/>
  <c r="K162" i="8"/>
  <c r="L281" i="3"/>
  <c r="L116" i="3"/>
  <c r="K222" i="8" s="1"/>
  <c r="K168" i="8"/>
  <c r="L289" i="3"/>
  <c r="K176" i="8"/>
  <c r="K182" i="8"/>
  <c r="L308" i="3"/>
  <c r="L143" i="3"/>
  <c r="K242" i="8" s="1"/>
  <c r="L316" i="3"/>
  <c r="L324" i="3"/>
  <c r="L159" i="3"/>
  <c r="L346" i="3"/>
  <c r="L181" i="3"/>
  <c r="L218" i="3"/>
  <c r="L210" i="3"/>
  <c r="L202" i="3"/>
  <c r="L195" i="3"/>
  <c r="L188" i="3"/>
  <c r="G656" i="7"/>
  <c r="G476" i="7"/>
  <c r="G311" i="7"/>
  <c r="I653" i="7"/>
  <c r="I473" i="7"/>
  <c r="I308" i="7"/>
  <c r="G648" i="7"/>
  <c r="G468" i="7"/>
  <c r="G303" i="7"/>
  <c r="G641" i="7"/>
  <c r="G461" i="7"/>
  <c r="G296" i="7"/>
  <c r="G633" i="7"/>
  <c r="G453" i="7"/>
  <c r="G288" i="7"/>
  <c r="I630" i="7"/>
  <c r="I450" i="7"/>
  <c r="I285" i="7"/>
  <c r="K627" i="7"/>
  <c r="K447" i="7"/>
  <c r="K282" i="7"/>
  <c r="K117" i="7"/>
  <c r="G625" i="7"/>
  <c r="G445" i="7"/>
  <c r="G280" i="7"/>
  <c r="I620" i="7"/>
  <c r="I440" i="7"/>
  <c r="I275" i="7"/>
  <c r="G611" i="7"/>
  <c r="G431" i="7"/>
  <c r="G266" i="7"/>
  <c r="I608" i="7"/>
  <c r="I428" i="7"/>
  <c r="I263" i="7"/>
  <c r="F597" i="7"/>
  <c r="F417" i="7"/>
  <c r="F252" i="7"/>
  <c r="J78" i="7"/>
  <c r="F586" i="7"/>
  <c r="F406" i="7"/>
  <c r="F76" i="7"/>
  <c r="F241" i="7"/>
  <c r="H584" i="7"/>
  <c r="H404" i="7"/>
  <c r="H239" i="7"/>
  <c r="H74" i="7"/>
  <c r="F581" i="7"/>
  <c r="F812" i="7" s="1"/>
  <c r="F401" i="7"/>
  <c r="M364" i="3"/>
  <c r="N317" i="3"/>
  <c r="L183" i="8"/>
  <c r="M309" i="3"/>
  <c r="M287" i="3"/>
  <c r="M122" i="3"/>
  <c r="L160" i="8"/>
  <c r="L150" i="8"/>
  <c r="M266" i="3"/>
  <c r="M241" i="3"/>
  <c r="M76" i="3"/>
  <c r="L262" i="3"/>
  <c r="L97" i="3"/>
  <c r="E727" i="7"/>
  <c r="E547" i="7"/>
  <c r="E217" i="7"/>
  <c r="E382" i="7"/>
  <c r="E719" i="7"/>
  <c r="E539" i="7"/>
  <c r="E209" i="7"/>
  <c r="E374" i="7"/>
  <c r="E711" i="7"/>
  <c r="E531" i="7"/>
  <c r="E366" i="7"/>
  <c r="E704" i="7"/>
  <c r="E524" i="7"/>
  <c r="E194" i="7"/>
  <c r="E359" i="7"/>
  <c r="E696" i="7"/>
  <c r="E516" i="7"/>
  <c r="E186" i="7"/>
  <c r="E351" i="7"/>
  <c r="E682" i="7"/>
  <c r="E502" i="7"/>
  <c r="E337" i="7"/>
  <c r="E674" i="7"/>
  <c r="E494" i="7"/>
  <c r="E329" i="7"/>
  <c r="E630" i="7"/>
  <c r="E450" i="7"/>
  <c r="E285" i="7"/>
  <c r="E620" i="7"/>
  <c r="E440" i="7"/>
  <c r="E275" i="7"/>
  <c r="E584" i="7"/>
  <c r="E404" i="7"/>
  <c r="E239" i="7"/>
  <c r="E74" i="7"/>
  <c r="J730" i="7"/>
  <c r="J550" i="7"/>
  <c r="J385" i="7"/>
  <c r="J220" i="7"/>
  <c r="H729" i="7"/>
  <c r="H549" i="7"/>
  <c r="H384" i="7"/>
  <c r="H219" i="7"/>
  <c r="F728" i="7"/>
  <c r="F548" i="7"/>
  <c r="F383" i="7"/>
  <c r="F218" i="7"/>
  <c r="J726" i="7"/>
  <c r="J381" i="7"/>
  <c r="J546" i="7"/>
  <c r="J216" i="7"/>
  <c r="H725" i="7"/>
  <c r="H545" i="7"/>
  <c r="H380" i="7"/>
  <c r="H215" i="7"/>
  <c r="F724" i="7"/>
  <c r="F379" i="7"/>
  <c r="F544" i="7"/>
  <c r="F214" i="7"/>
  <c r="J722" i="7"/>
  <c r="J377" i="7"/>
  <c r="J542" i="7"/>
  <c r="J212" i="7"/>
  <c r="H721" i="7"/>
  <c r="H541" i="7"/>
  <c r="H376" i="7"/>
  <c r="H211" i="7"/>
  <c r="F720" i="7"/>
  <c r="F540" i="7"/>
  <c r="F375" i="7"/>
  <c r="F210" i="7"/>
  <c r="J718" i="7"/>
  <c r="J822" i="7" s="1"/>
  <c r="J373" i="7"/>
  <c r="J780" i="7" s="1"/>
  <c r="H717" i="7"/>
  <c r="H372" i="7"/>
  <c r="F716" i="7"/>
  <c r="F821" i="7" s="1"/>
  <c r="F371" i="7"/>
  <c r="F779" i="7" s="1"/>
  <c r="J714" i="7"/>
  <c r="J369" i="7"/>
  <c r="J534" i="7"/>
  <c r="J204" i="7"/>
  <c r="H713" i="7"/>
  <c r="H533" i="7"/>
  <c r="H368" i="7"/>
  <c r="H203" i="7"/>
  <c r="F712" i="7"/>
  <c r="F532" i="7"/>
  <c r="F367" i="7"/>
  <c r="F202" i="7"/>
  <c r="J710" i="7"/>
  <c r="J365" i="7"/>
  <c r="J530" i="7"/>
  <c r="H709" i="7"/>
  <c r="H529" i="7"/>
  <c r="H364" i="7"/>
  <c r="H199" i="7"/>
  <c r="F708" i="7"/>
  <c r="F528" i="7"/>
  <c r="F363" i="7"/>
  <c r="F198" i="7"/>
  <c r="H706" i="7"/>
  <c r="H526" i="7"/>
  <c r="H361" i="7"/>
  <c r="H196" i="7"/>
  <c r="F705" i="7"/>
  <c r="F525" i="7"/>
  <c r="F360" i="7"/>
  <c r="F195" i="7"/>
  <c r="J703" i="7"/>
  <c r="J523" i="7"/>
  <c r="J358" i="7"/>
  <c r="J193" i="7"/>
  <c r="H702" i="7"/>
  <c r="H522" i="7"/>
  <c r="H357" i="7"/>
  <c r="H192" i="7"/>
  <c r="F701" i="7"/>
  <c r="F521" i="7"/>
  <c r="F356" i="7"/>
  <c r="J699" i="7"/>
  <c r="J519" i="7"/>
  <c r="J354" i="7"/>
  <c r="H698" i="7"/>
  <c r="H518" i="7"/>
  <c r="H353" i="7"/>
  <c r="F697" i="7"/>
  <c r="F517" i="7"/>
  <c r="F352" i="7"/>
  <c r="F187" i="7"/>
  <c r="J695" i="7"/>
  <c r="J515" i="7"/>
  <c r="J350" i="7"/>
  <c r="H694" i="7"/>
  <c r="H514" i="7"/>
  <c r="H349" i="7"/>
  <c r="F693" i="7"/>
  <c r="F513" i="7"/>
  <c r="F348" i="7"/>
  <c r="J691" i="7"/>
  <c r="J511" i="7"/>
  <c r="J346" i="7"/>
  <c r="H690" i="7"/>
  <c r="H510" i="7"/>
  <c r="H345" i="7"/>
  <c r="F689" i="7"/>
  <c r="F509" i="7"/>
  <c r="F344" i="7"/>
  <c r="J340" i="7"/>
  <c r="H339" i="7"/>
  <c r="F338" i="7"/>
  <c r="J336" i="7"/>
  <c r="H335" i="7"/>
  <c r="F334" i="7"/>
  <c r="J332" i="7"/>
  <c r="H331" i="7"/>
  <c r="F330" i="7"/>
  <c r="H672" i="7"/>
  <c r="H492" i="7"/>
  <c r="H327" i="7"/>
  <c r="J669" i="7"/>
  <c r="J489" i="7"/>
  <c r="J324" i="7"/>
  <c r="H668" i="7"/>
  <c r="H488" i="7"/>
  <c r="H323" i="7"/>
  <c r="F667" i="7"/>
  <c r="F487" i="7"/>
  <c r="F322" i="7"/>
  <c r="K655" i="7"/>
  <c r="K475" i="7"/>
  <c r="K310" i="7"/>
  <c r="I654" i="7"/>
  <c r="I474" i="7"/>
  <c r="I309" i="7"/>
  <c r="G653" i="7"/>
  <c r="G473" i="7"/>
  <c r="G308" i="7"/>
  <c r="K647" i="7"/>
  <c r="K467" i="7"/>
  <c r="K302" i="7"/>
  <c r="I646" i="7"/>
  <c r="I466" i="7"/>
  <c r="I301" i="7"/>
  <c r="G644" i="7"/>
  <c r="G299" i="7"/>
  <c r="K636" i="7"/>
  <c r="K456" i="7"/>
  <c r="K291" i="7"/>
  <c r="K632" i="7"/>
  <c r="K452" i="7"/>
  <c r="K287" i="7"/>
  <c r="I631" i="7"/>
  <c r="I451" i="7"/>
  <c r="I286" i="7"/>
  <c r="G630" i="7"/>
  <c r="G450" i="7"/>
  <c r="G285" i="7"/>
  <c r="K628" i="7"/>
  <c r="K448" i="7"/>
  <c r="K283" i="7"/>
  <c r="I627" i="7"/>
  <c r="I447" i="7"/>
  <c r="I282" i="7"/>
  <c r="I117" i="7"/>
  <c r="G626" i="7"/>
  <c r="G446" i="7"/>
  <c r="G281" i="7"/>
  <c r="G116" i="7"/>
  <c r="K624" i="7"/>
  <c r="K444" i="7"/>
  <c r="K279" i="7"/>
  <c r="I623" i="7"/>
  <c r="I443" i="7"/>
  <c r="I278" i="7"/>
  <c r="G620" i="7"/>
  <c r="G440" i="7"/>
  <c r="G275" i="7"/>
  <c r="K610" i="7"/>
  <c r="K430" i="7"/>
  <c r="K265" i="7"/>
  <c r="I609" i="7"/>
  <c r="I429" i="7"/>
  <c r="I264" i="7"/>
  <c r="G608" i="7"/>
  <c r="G428" i="7"/>
  <c r="G263" i="7"/>
  <c r="F598" i="7"/>
  <c r="F418" i="7"/>
  <c r="F253" i="7"/>
  <c r="J596" i="7"/>
  <c r="J251" i="7"/>
  <c r="J86" i="7"/>
  <c r="J409" i="7"/>
  <c r="H78" i="7"/>
  <c r="F587" i="7"/>
  <c r="F407" i="7"/>
  <c r="F242" i="7"/>
  <c r="F77" i="7"/>
  <c r="J585" i="7"/>
  <c r="J405" i="7"/>
  <c r="J240" i="7"/>
  <c r="J75" i="7"/>
  <c r="F584" i="7"/>
  <c r="F404" i="7"/>
  <c r="F74" i="7"/>
  <c r="F239" i="7"/>
  <c r="F582" i="7"/>
  <c r="F402" i="7"/>
  <c r="F237" i="7"/>
  <c r="F72" i="7"/>
  <c r="M144" i="3"/>
  <c r="L243" i="8" s="1"/>
  <c r="L164" i="8"/>
  <c r="M284" i="3"/>
  <c r="M119" i="3"/>
  <c r="L224" i="8" s="1"/>
  <c r="M240" i="3"/>
  <c r="M75" i="3"/>
  <c r="M324" i="3"/>
  <c r="M159" i="3"/>
  <c r="L233" i="3"/>
  <c r="M115" i="3"/>
  <c r="L221" i="8" s="1"/>
  <c r="L244" i="3"/>
  <c r="L255" i="3"/>
  <c r="K148" i="8"/>
  <c r="L264" i="3"/>
  <c r="L99" i="3"/>
  <c r="K208" i="8" s="1"/>
  <c r="K163" i="8"/>
  <c r="L282" i="3"/>
  <c r="L117" i="3"/>
  <c r="K223" i="8" s="1"/>
  <c r="K169" i="8"/>
  <c r="L290" i="3"/>
  <c r="K177" i="8"/>
  <c r="K237" i="8"/>
  <c r="K183" i="8"/>
  <c r="L309" i="3"/>
  <c r="L144" i="3"/>
  <c r="K243" i="8" s="1"/>
  <c r="L317" i="3"/>
  <c r="L325" i="3"/>
  <c r="L341" i="3"/>
  <c r="L176" i="3"/>
  <c r="L347" i="3"/>
  <c r="L182" i="3"/>
  <c r="M220" i="3"/>
  <c r="L215" i="3"/>
  <c r="L207" i="3"/>
  <c r="M204" i="3"/>
  <c r="L199" i="3"/>
  <c r="L191" i="3"/>
  <c r="L190" i="3"/>
  <c r="L189" i="3"/>
  <c r="L187" i="3"/>
  <c r="L180" i="3"/>
  <c r="K654" i="7"/>
  <c r="K474" i="7"/>
  <c r="K309" i="7"/>
  <c r="G652" i="7"/>
  <c r="G472" i="7"/>
  <c r="G307" i="7"/>
  <c r="K646" i="7"/>
  <c r="K466" i="7"/>
  <c r="K301" i="7"/>
  <c r="K631" i="7"/>
  <c r="K451" i="7"/>
  <c r="K286" i="7"/>
  <c r="G629" i="7"/>
  <c r="G449" i="7"/>
  <c r="G284" i="7"/>
  <c r="I626" i="7"/>
  <c r="I446" i="7"/>
  <c r="I281" i="7"/>
  <c r="I116" i="7"/>
  <c r="K623" i="7"/>
  <c r="K443" i="7"/>
  <c r="K278" i="7"/>
  <c r="K609" i="7"/>
  <c r="K429" i="7"/>
  <c r="K264" i="7"/>
  <c r="G607" i="7"/>
  <c r="G427" i="7"/>
  <c r="G262" i="7"/>
  <c r="H598" i="7"/>
  <c r="H418" i="7"/>
  <c r="H253" i="7"/>
  <c r="H587" i="7"/>
  <c r="H407" i="7"/>
  <c r="H77" i="7"/>
  <c r="H242" i="7"/>
  <c r="H582" i="7"/>
  <c r="H402" i="7"/>
  <c r="H72" i="7"/>
  <c r="H237" i="7"/>
  <c r="F391" i="7"/>
  <c r="M355" i="3"/>
  <c r="N325" i="3"/>
  <c r="L173" i="8"/>
  <c r="M294" i="3"/>
  <c r="L168" i="8"/>
  <c r="M289" i="3"/>
  <c r="L242" i="3"/>
  <c r="L77" i="3"/>
  <c r="L253" i="3"/>
  <c r="L88" i="3"/>
  <c r="E726" i="7"/>
  <c r="E546" i="7"/>
  <c r="E216" i="7"/>
  <c r="E381" i="7"/>
  <c r="E718" i="7"/>
  <c r="E822" i="7" s="1"/>
  <c r="E373" i="7"/>
  <c r="E780" i="7" s="1"/>
  <c r="E710" i="7"/>
  <c r="E530" i="7"/>
  <c r="E365" i="7"/>
  <c r="E703" i="7"/>
  <c r="E523" i="7"/>
  <c r="E193" i="7"/>
  <c r="E358" i="7"/>
  <c r="E695" i="7"/>
  <c r="E515" i="7"/>
  <c r="E350" i="7"/>
  <c r="E681" i="7"/>
  <c r="E501" i="7"/>
  <c r="E336" i="7"/>
  <c r="E673" i="7"/>
  <c r="E493" i="7"/>
  <c r="E328" i="7"/>
  <c r="E656" i="7"/>
  <c r="E476" i="7"/>
  <c r="E311" i="7"/>
  <c r="E648" i="7"/>
  <c r="E468" i="7"/>
  <c r="E303" i="7"/>
  <c r="E629" i="7"/>
  <c r="E449" i="7"/>
  <c r="E284" i="7"/>
  <c r="E611" i="7"/>
  <c r="E431" i="7"/>
  <c r="E266" i="7"/>
  <c r="E81" i="7"/>
  <c r="K731" i="7"/>
  <c r="K386" i="7"/>
  <c r="K551" i="7"/>
  <c r="K221" i="7"/>
  <c r="I730" i="7"/>
  <c r="I550" i="7"/>
  <c r="I385" i="7"/>
  <c r="I220" i="7"/>
  <c r="G729" i="7"/>
  <c r="G384" i="7"/>
  <c r="G549" i="7"/>
  <c r="G219" i="7"/>
  <c r="K727" i="7"/>
  <c r="K382" i="7"/>
  <c r="K547" i="7"/>
  <c r="K217" i="7"/>
  <c r="I726" i="7"/>
  <c r="I546" i="7"/>
  <c r="I381" i="7"/>
  <c r="I216" i="7"/>
  <c r="G725" i="7"/>
  <c r="G545" i="7"/>
  <c r="G380" i="7"/>
  <c r="G215" i="7"/>
  <c r="K723" i="7"/>
  <c r="K378" i="7"/>
  <c r="K543" i="7"/>
  <c r="K213" i="7"/>
  <c r="I722" i="7"/>
  <c r="I377" i="7"/>
  <c r="I542" i="7"/>
  <c r="I212" i="7"/>
  <c r="G721" i="7"/>
  <c r="G376" i="7"/>
  <c r="G541" i="7"/>
  <c r="G211" i="7"/>
  <c r="K719" i="7"/>
  <c r="K374" i="7"/>
  <c r="K209" i="7"/>
  <c r="K539" i="7"/>
  <c r="I718" i="7"/>
  <c r="I822" i="7" s="1"/>
  <c r="I373" i="7"/>
  <c r="I780" i="7" s="1"/>
  <c r="G717" i="7"/>
  <c r="G372" i="7"/>
  <c r="K715" i="7"/>
  <c r="K370" i="7"/>
  <c r="K205" i="7"/>
  <c r="I714" i="7"/>
  <c r="I369" i="7"/>
  <c r="I534" i="7"/>
  <c r="I204" i="7"/>
  <c r="G713" i="7"/>
  <c r="G368" i="7"/>
  <c r="G533" i="7"/>
  <c r="G203" i="7"/>
  <c r="K711" i="7"/>
  <c r="K531" i="7"/>
  <c r="K366" i="7"/>
  <c r="I710" i="7"/>
  <c r="I530" i="7"/>
  <c r="I365" i="7"/>
  <c r="G709" i="7"/>
  <c r="G529" i="7"/>
  <c r="G364" i="7"/>
  <c r="G199" i="7"/>
  <c r="K707" i="7"/>
  <c r="K527" i="7"/>
  <c r="K362" i="7"/>
  <c r="K197" i="7"/>
  <c r="G706" i="7"/>
  <c r="G526" i="7"/>
  <c r="G361" i="7"/>
  <c r="G196" i="7"/>
  <c r="K704" i="7"/>
  <c r="K524" i="7"/>
  <c r="K359" i="7"/>
  <c r="K194" i="7"/>
  <c r="I703" i="7"/>
  <c r="I523" i="7"/>
  <c r="I358" i="7"/>
  <c r="I193" i="7"/>
  <c r="G702" i="7"/>
  <c r="G522" i="7"/>
  <c r="G357" i="7"/>
  <c r="G192" i="7"/>
  <c r="K700" i="7"/>
  <c r="K520" i="7"/>
  <c r="K355" i="7"/>
  <c r="I699" i="7"/>
  <c r="I519" i="7"/>
  <c r="I354" i="7"/>
  <c r="G698" i="7"/>
  <c r="G518" i="7"/>
  <c r="G353" i="7"/>
  <c r="K696" i="7"/>
  <c r="K516" i="7"/>
  <c r="K351" i="7"/>
  <c r="K186" i="7"/>
  <c r="I695" i="7"/>
  <c r="I515" i="7"/>
  <c r="I350" i="7"/>
  <c r="G694" i="7"/>
  <c r="G514" i="7"/>
  <c r="G349" i="7"/>
  <c r="K692" i="7"/>
  <c r="K512" i="7"/>
  <c r="K347" i="7"/>
  <c r="I691" i="7"/>
  <c r="I511" i="7"/>
  <c r="I346" i="7"/>
  <c r="G690" i="7"/>
  <c r="G510" i="7"/>
  <c r="G345" i="7"/>
  <c r="K686" i="7"/>
  <c r="K506" i="7"/>
  <c r="K341" i="7"/>
  <c r="I340" i="7"/>
  <c r="G339" i="7"/>
  <c r="K337" i="7"/>
  <c r="I336" i="7"/>
  <c r="G335" i="7"/>
  <c r="K333" i="7"/>
  <c r="I332" i="7"/>
  <c r="G331" i="7"/>
  <c r="K674" i="7"/>
  <c r="K494" i="7"/>
  <c r="K329" i="7"/>
  <c r="G672" i="7"/>
  <c r="G492" i="7"/>
  <c r="G327" i="7"/>
  <c r="I669" i="7"/>
  <c r="I489" i="7"/>
  <c r="I324" i="7"/>
  <c r="G668" i="7"/>
  <c r="G488" i="7"/>
  <c r="G323" i="7"/>
  <c r="J655" i="7"/>
  <c r="J475" i="7"/>
  <c r="J310" i="7"/>
  <c r="H654" i="7"/>
  <c r="H474" i="7"/>
  <c r="H309" i="7"/>
  <c r="F653" i="7"/>
  <c r="F473" i="7"/>
  <c r="F308" i="7"/>
  <c r="J651" i="7"/>
  <c r="J471" i="7"/>
  <c r="J306" i="7"/>
  <c r="J647" i="7"/>
  <c r="J467" i="7"/>
  <c r="J302" i="7"/>
  <c r="H646" i="7"/>
  <c r="H466" i="7"/>
  <c r="H301" i="7"/>
  <c r="F644" i="7"/>
  <c r="F299" i="7"/>
  <c r="J636" i="7"/>
  <c r="J456" i="7"/>
  <c r="J291" i="7"/>
  <c r="J632" i="7"/>
  <c r="J452" i="7"/>
  <c r="J287" i="7"/>
  <c r="H631" i="7"/>
  <c r="H451" i="7"/>
  <c r="H286" i="7"/>
  <c r="F630" i="7"/>
  <c r="F450" i="7"/>
  <c r="F285" i="7"/>
  <c r="J628" i="7"/>
  <c r="J448" i="7"/>
  <c r="J283" i="7"/>
  <c r="H627" i="7"/>
  <c r="H447" i="7"/>
  <c r="H117" i="7"/>
  <c r="H282" i="7"/>
  <c r="F626" i="7"/>
  <c r="F446" i="7"/>
  <c r="F281" i="7"/>
  <c r="F116" i="7"/>
  <c r="J624" i="7"/>
  <c r="J444" i="7"/>
  <c r="J279" i="7"/>
  <c r="H623" i="7"/>
  <c r="H443" i="7"/>
  <c r="H278" i="7"/>
  <c r="F620" i="7"/>
  <c r="F440" i="7"/>
  <c r="F275" i="7"/>
  <c r="J610" i="7"/>
  <c r="J430" i="7"/>
  <c r="J265" i="7"/>
  <c r="H609" i="7"/>
  <c r="H429" i="7"/>
  <c r="H264" i="7"/>
  <c r="F608" i="7"/>
  <c r="F428" i="7"/>
  <c r="F263" i="7"/>
  <c r="K597" i="7"/>
  <c r="K417" i="7"/>
  <c r="K252" i="7"/>
  <c r="I596" i="7"/>
  <c r="I86" i="7"/>
  <c r="I251" i="7"/>
  <c r="I409" i="7"/>
  <c r="G78" i="7"/>
  <c r="K586" i="7"/>
  <c r="K406" i="7"/>
  <c r="K76" i="7"/>
  <c r="K241" i="7"/>
  <c r="I585" i="7"/>
  <c r="I405" i="7"/>
  <c r="I75" i="7"/>
  <c r="I240" i="7"/>
  <c r="K581" i="7"/>
  <c r="K812" i="7" s="1"/>
  <c r="K401" i="7"/>
  <c r="K391" i="7"/>
  <c r="M351" i="3"/>
  <c r="M341" i="3"/>
  <c r="M176" i="3"/>
  <c r="M323" i="3"/>
  <c r="L180" i="8"/>
  <c r="M305" i="3"/>
  <c r="L170" i="8"/>
  <c r="M291" i="3"/>
  <c r="M283" i="3"/>
  <c r="M251" i="3"/>
  <c r="M86" i="3"/>
  <c r="M239" i="3"/>
  <c r="M74" i="3"/>
  <c r="M316" i="3"/>
  <c r="L81" i="3"/>
  <c r="K149" i="8"/>
  <c r="L100" i="3"/>
  <c r="K209" i="8" s="1"/>
  <c r="L265" i="3"/>
  <c r="M143" i="3"/>
  <c r="L242" i="8" s="1"/>
  <c r="K157" i="8"/>
  <c r="L273" i="3"/>
  <c r="L118" i="3"/>
  <c r="L283" i="3"/>
  <c r="K170" i="8"/>
  <c r="L291" i="3"/>
  <c r="L302" i="3"/>
  <c r="L310" i="3"/>
  <c r="L145" i="3"/>
  <c r="L318" i="3"/>
  <c r="L326" i="3"/>
  <c r="L169" i="3"/>
  <c r="L348" i="3"/>
  <c r="L183" i="3"/>
  <c r="L220" i="3"/>
  <c r="L212" i="3"/>
  <c r="L204" i="3"/>
  <c r="M194" i="3"/>
  <c r="L193" i="3"/>
  <c r="E725" i="7"/>
  <c r="E545" i="7"/>
  <c r="E215" i="7"/>
  <c r="E380" i="7"/>
  <c r="E717" i="7"/>
  <c r="E372" i="7"/>
  <c r="E709" i="7"/>
  <c r="E529" i="7"/>
  <c r="E199" i="7"/>
  <c r="E364" i="7"/>
  <c r="E702" i="7"/>
  <c r="E522" i="7"/>
  <c r="E192" i="7"/>
  <c r="E357" i="7"/>
  <c r="E694" i="7"/>
  <c r="E514" i="7"/>
  <c r="E349" i="7"/>
  <c r="E680" i="7"/>
  <c r="E500" i="7"/>
  <c r="E335" i="7"/>
  <c r="E672" i="7"/>
  <c r="E492" i="7"/>
  <c r="E327" i="7"/>
  <c r="E655" i="7"/>
  <c r="E475" i="7"/>
  <c r="E310" i="7"/>
  <c r="E647" i="7"/>
  <c r="E467" i="7"/>
  <c r="E302" i="7"/>
  <c r="E636" i="7"/>
  <c r="E456" i="7"/>
  <c r="E291" i="7"/>
  <c r="E628" i="7"/>
  <c r="E448" i="7"/>
  <c r="E283" i="7"/>
  <c r="E610" i="7"/>
  <c r="E430" i="7"/>
  <c r="E265" i="7"/>
  <c r="E589" i="7"/>
  <c r="E409" i="7"/>
  <c r="E244" i="7"/>
  <c r="J731" i="7"/>
  <c r="J551" i="7"/>
  <c r="J386" i="7"/>
  <c r="J221" i="7"/>
  <c r="H730" i="7"/>
  <c r="H550" i="7"/>
  <c r="H385" i="7"/>
  <c r="H220" i="7"/>
  <c r="F729" i="7"/>
  <c r="F384" i="7"/>
  <c r="F549" i="7"/>
  <c r="F219" i="7"/>
  <c r="J727" i="7"/>
  <c r="J382" i="7"/>
  <c r="J547" i="7"/>
  <c r="J217" i="7"/>
  <c r="H726" i="7"/>
  <c r="H381" i="7"/>
  <c r="H546" i="7"/>
  <c r="H216" i="7"/>
  <c r="F725" i="7"/>
  <c r="F545" i="7"/>
  <c r="F380" i="7"/>
  <c r="F215" i="7"/>
  <c r="J723" i="7"/>
  <c r="J543" i="7"/>
  <c r="J378" i="7"/>
  <c r="J213" i="7"/>
  <c r="H722" i="7"/>
  <c r="H542" i="7"/>
  <c r="H377" i="7"/>
  <c r="H212" i="7"/>
  <c r="F721" i="7"/>
  <c r="F376" i="7"/>
  <c r="F541" i="7"/>
  <c r="F211" i="7"/>
  <c r="J719" i="7"/>
  <c r="J374" i="7"/>
  <c r="J539" i="7"/>
  <c r="J209" i="7"/>
  <c r="H718" i="7"/>
  <c r="H822" i="7" s="1"/>
  <c r="H373" i="7"/>
  <c r="H780" i="7" s="1"/>
  <c r="F717" i="7"/>
  <c r="F372" i="7"/>
  <c r="J715" i="7"/>
  <c r="J370" i="7"/>
  <c r="J205" i="7"/>
  <c r="H714" i="7"/>
  <c r="H534" i="7"/>
  <c r="H369" i="7"/>
  <c r="H204" i="7"/>
  <c r="F713" i="7"/>
  <c r="F368" i="7"/>
  <c r="F533" i="7"/>
  <c r="F203" i="7"/>
  <c r="J711" i="7"/>
  <c r="J531" i="7"/>
  <c r="J366" i="7"/>
  <c r="H710" i="7"/>
  <c r="H530" i="7"/>
  <c r="H365" i="7"/>
  <c r="F709" i="7"/>
  <c r="F529" i="7"/>
  <c r="F364" i="7"/>
  <c r="F199" i="7"/>
  <c r="J707" i="7"/>
  <c r="J527" i="7"/>
  <c r="J362" i="7"/>
  <c r="J197" i="7"/>
  <c r="F706" i="7"/>
  <c r="F526" i="7"/>
  <c r="F361" i="7"/>
  <c r="F196" i="7"/>
  <c r="J704" i="7"/>
  <c r="J524" i="7"/>
  <c r="J359" i="7"/>
  <c r="J194" i="7"/>
  <c r="H703" i="7"/>
  <c r="H523" i="7"/>
  <c r="H358" i="7"/>
  <c r="H193" i="7"/>
  <c r="F702" i="7"/>
  <c r="F522" i="7"/>
  <c r="F357" i="7"/>
  <c r="F192" i="7"/>
  <c r="J700" i="7"/>
  <c r="J520" i="7"/>
  <c r="J355" i="7"/>
  <c r="H699" i="7"/>
  <c r="H519" i="7"/>
  <c r="H354" i="7"/>
  <c r="F698" i="7"/>
  <c r="F518" i="7"/>
  <c r="F353" i="7"/>
  <c r="J696" i="7"/>
  <c r="J516" i="7"/>
  <c r="J351" i="7"/>
  <c r="J186" i="7"/>
  <c r="H695" i="7"/>
  <c r="H515" i="7"/>
  <c r="H350" i="7"/>
  <c r="F694" i="7"/>
  <c r="F514" i="7"/>
  <c r="F349" i="7"/>
  <c r="J692" i="7"/>
  <c r="J512" i="7"/>
  <c r="J347" i="7"/>
  <c r="H691" i="7"/>
  <c r="H511" i="7"/>
  <c r="H346" i="7"/>
  <c r="F690" i="7"/>
  <c r="F510" i="7"/>
  <c r="F345" i="7"/>
  <c r="J686" i="7"/>
  <c r="J506" i="7"/>
  <c r="J341" i="7"/>
  <c r="H340" i="7"/>
  <c r="F339" i="7"/>
  <c r="J337" i="7"/>
  <c r="J172" i="7"/>
  <c r="H336" i="7"/>
  <c r="F335" i="7"/>
  <c r="J333" i="7"/>
  <c r="H332" i="7"/>
  <c r="F331" i="7"/>
  <c r="J674" i="7"/>
  <c r="J494" i="7"/>
  <c r="J329" i="7"/>
  <c r="F672" i="7"/>
  <c r="F492" i="7"/>
  <c r="F327" i="7"/>
  <c r="H669" i="7"/>
  <c r="H489" i="7"/>
  <c r="H324" i="7"/>
  <c r="F668" i="7"/>
  <c r="F488" i="7"/>
  <c r="F323" i="7"/>
  <c r="K656" i="7"/>
  <c r="K476" i="7"/>
  <c r="K311" i="7"/>
  <c r="I655" i="7"/>
  <c r="I475" i="7"/>
  <c r="I310" i="7"/>
  <c r="G654" i="7"/>
  <c r="G474" i="7"/>
  <c r="G309" i="7"/>
  <c r="I651" i="7"/>
  <c r="I471" i="7"/>
  <c r="I306" i="7"/>
  <c r="K648" i="7"/>
  <c r="K468" i="7"/>
  <c r="K303" i="7"/>
  <c r="I647" i="7"/>
  <c r="I467" i="7"/>
  <c r="I302" i="7"/>
  <c r="G646" i="7"/>
  <c r="G466" i="7"/>
  <c r="G301" i="7"/>
  <c r="K641" i="7"/>
  <c r="K461" i="7"/>
  <c r="K296" i="7"/>
  <c r="I636" i="7"/>
  <c r="I456" i="7"/>
  <c r="I291" i="7"/>
  <c r="K633" i="7"/>
  <c r="K453" i="7"/>
  <c r="K288" i="7"/>
  <c r="I632" i="7"/>
  <c r="I452" i="7"/>
  <c r="I287" i="7"/>
  <c r="G631" i="7"/>
  <c r="G451" i="7"/>
  <c r="G286" i="7"/>
  <c r="K629" i="7"/>
  <c r="K449" i="7"/>
  <c r="K284" i="7"/>
  <c r="I628" i="7"/>
  <c r="I448" i="7"/>
  <c r="I283" i="7"/>
  <c r="G627" i="7"/>
  <c r="G447" i="7"/>
  <c r="G117" i="7"/>
  <c r="G282" i="7"/>
  <c r="K625" i="7"/>
  <c r="K445" i="7"/>
  <c r="K280" i="7"/>
  <c r="I624" i="7"/>
  <c r="I444" i="7"/>
  <c r="I279" i="7"/>
  <c r="G623" i="7"/>
  <c r="G443" i="7"/>
  <c r="G278" i="7"/>
  <c r="K611" i="7"/>
  <c r="K431" i="7"/>
  <c r="K266" i="7"/>
  <c r="I610" i="7"/>
  <c r="I430" i="7"/>
  <c r="I265" i="7"/>
  <c r="G609" i="7"/>
  <c r="G429" i="7"/>
  <c r="G264" i="7"/>
  <c r="K607" i="7"/>
  <c r="K427" i="7"/>
  <c r="K262" i="7"/>
  <c r="J597" i="7"/>
  <c r="J417" i="7"/>
  <c r="J252" i="7"/>
  <c r="H596" i="7"/>
  <c r="H86" i="7"/>
  <c r="H251" i="7"/>
  <c r="H409" i="7"/>
  <c r="F78" i="7"/>
  <c r="J586" i="7"/>
  <c r="J406" i="7"/>
  <c r="J241" i="7"/>
  <c r="J76" i="7"/>
  <c r="H585" i="7"/>
  <c r="H405" i="7"/>
  <c r="H75" i="7"/>
  <c r="H240" i="7"/>
  <c r="J581" i="7"/>
  <c r="J812" i="7" s="1"/>
  <c r="J401" i="7"/>
  <c r="J391" i="7"/>
  <c r="M376" i="3"/>
  <c r="M367" i="3"/>
  <c r="M349" i="3"/>
  <c r="M158" i="3"/>
  <c r="L178" i="8"/>
  <c r="M303" i="3"/>
  <c r="M138" i="3"/>
  <c r="L238" i="8" s="1"/>
  <c r="L169" i="8"/>
  <c r="M290" i="3"/>
  <c r="L163" i="8"/>
  <c r="M282" i="3"/>
  <c r="M117" i="3"/>
  <c r="L223" i="8" s="1"/>
  <c r="M83" i="3"/>
  <c r="M356" i="3"/>
  <c r="M191" i="3"/>
  <c r="M310" i="3"/>
  <c r="M145" i="3"/>
  <c r="L74" i="3"/>
  <c r="L239" i="3"/>
  <c r="L83" i="3"/>
  <c r="K150" i="8"/>
  <c r="L266" i="3"/>
  <c r="L101" i="3"/>
  <c r="K210" i="8" s="1"/>
  <c r="K158" i="8"/>
  <c r="K164" i="8"/>
  <c r="L284" i="3"/>
  <c r="L119" i="3"/>
  <c r="K224" i="8" s="1"/>
  <c r="K178" i="8"/>
  <c r="L303" i="3"/>
  <c r="L138" i="3"/>
  <c r="K238" i="8" s="1"/>
  <c r="L311" i="3"/>
  <c r="L146" i="3"/>
  <c r="L319" i="3"/>
  <c r="L327" i="3"/>
  <c r="L162" i="3"/>
  <c r="L349" i="3"/>
  <c r="L184" i="3"/>
  <c r="L357" i="3"/>
  <c r="L192" i="3"/>
  <c r="L217" i="3"/>
  <c r="L209" i="3"/>
  <c r="M206" i="3"/>
  <c r="M411" i="3" s="1"/>
  <c r="L201" i="3"/>
  <c r="J194" i="8"/>
  <c r="E194" i="8"/>
  <c r="H191" i="8"/>
  <c r="I190" i="8"/>
  <c r="J191" i="8"/>
  <c r="M118" i="3"/>
  <c r="D190" i="8"/>
  <c r="D191" i="8"/>
  <c r="D34" i="10"/>
  <c r="E105" i="2" s="1"/>
  <c r="D51" i="10"/>
  <c r="E51" i="10"/>
  <c r="F51" i="10"/>
  <c r="G51" i="10"/>
  <c r="H51" i="10"/>
  <c r="H55" i="10" s="1"/>
  <c r="I51" i="10"/>
  <c r="I55" i="10" s="1"/>
  <c r="J51" i="10"/>
  <c r="J55" i="10" s="1"/>
  <c r="W51" i="10"/>
  <c r="L51" i="10"/>
  <c r="M51" i="10"/>
  <c r="N51" i="10"/>
  <c r="O51" i="10"/>
  <c r="P51" i="10"/>
  <c r="Q51" i="10"/>
  <c r="R51" i="10"/>
  <c r="S51" i="10"/>
  <c r="T51" i="10"/>
  <c r="U51" i="10"/>
  <c r="V51" i="10"/>
  <c r="D45" i="10"/>
  <c r="D54" i="10" s="1"/>
  <c r="E45" i="10"/>
  <c r="E54" i="10" s="1"/>
  <c r="F45" i="10"/>
  <c r="F54" i="10" s="1"/>
  <c r="G45" i="10"/>
  <c r="G54" i="10" s="1"/>
  <c r="H45" i="10"/>
  <c r="H54" i="10" s="1"/>
  <c r="I45" i="10"/>
  <c r="I54" i="10" s="1"/>
  <c r="J45" i="10"/>
  <c r="J54" i="10" s="1"/>
  <c r="L45" i="10"/>
  <c r="M45" i="10"/>
  <c r="N45" i="10"/>
  <c r="O45" i="10"/>
  <c r="P45" i="10"/>
  <c r="Q45" i="10"/>
  <c r="R45" i="10"/>
  <c r="S45" i="10"/>
  <c r="T45" i="10"/>
  <c r="U45" i="10"/>
  <c r="V45" i="10"/>
  <c r="W45" i="10"/>
  <c r="K45" i="10"/>
  <c r="E33" i="10"/>
  <c r="F92" i="2" s="1"/>
  <c r="F33" i="10"/>
  <c r="G92" i="2" s="1"/>
  <c r="G33" i="10"/>
  <c r="H92" i="2" s="1"/>
  <c r="H33" i="10"/>
  <c r="I92" i="2" s="1"/>
  <c r="I33" i="10"/>
  <c r="J92" i="2" s="1"/>
  <c r="J33" i="10"/>
  <c r="K92" i="2" s="1"/>
  <c r="K33" i="10"/>
  <c r="E34" i="10"/>
  <c r="F105" i="2" s="1"/>
  <c r="F34" i="10"/>
  <c r="G105" i="2" s="1"/>
  <c r="G34" i="10"/>
  <c r="H105" i="2" s="1"/>
  <c r="H34" i="10"/>
  <c r="I105" i="2" s="1"/>
  <c r="I34" i="10"/>
  <c r="J105" i="2" s="1"/>
  <c r="J34" i="10"/>
  <c r="K105" i="2" s="1"/>
  <c r="K34" i="10"/>
  <c r="E35" i="10"/>
  <c r="F106" i="2" s="1"/>
  <c r="F35" i="10"/>
  <c r="G106" i="2" s="1"/>
  <c r="G35" i="10"/>
  <c r="H106" i="2" s="1"/>
  <c r="H35" i="10"/>
  <c r="I106" i="2" s="1"/>
  <c r="I35" i="10"/>
  <c r="J106" i="2" s="1"/>
  <c r="J35" i="10"/>
  <c r="K106" i="2" s="1"/>
  <c r="K35" i="10"/>
  <c r="E36" i="10"/>
  <c r="F36" i="10"/>
  <c r="G36" i="10"/>
  <c r="H36" i="10"/>
  <c r="I36" i="10"/>
  <c r="J36" i="10"/>
  <c r="K36" i="10"/>
  <c r="D36" i="10"/>
  <c r="D33" i="10"/>
  <c r="E92" i="2" s="1"/>
  <c r="E27" i="10"/>
  <c r="F91" i="2" s="1"/>
  <c r="G90" i="5" s="1"/>
  <c r="F27" i="10"/>
  <c r="G91" i="2" s="1"/>
  <c r="H90" i="5" s="1"/>
  <c r="G27" i="10"/>
  <c r="H91" i="2" s="1"/>
  <c r="I90" i="5" s="1"/>
  <c r="H27" i="10"/>
  <c r="I91" i="2" s="1"/>
  <c r="J90" i="5" s="1"/>
  <c r="I27" i="10"/>
  <c r="J91" i="2" s="1"/>
  <c r="K90" i="5" s="1"/>
  <c r="J27" i="10"/>
  <c r="K91" i="2" s="1"/>
  <c r="L90" i="5" s="1"/>
  <c r="F104" i="2"/>
  <c r="G104" i="2"/>
  <c r="H104" i="2"/>
  <c r="I104" i="2"/>
  <c r="J104" i="2"/>
  <c r="J28" i="10"/>
  <c r="K104" i="2" s="1"/>
  <c r="K28" i="10"/>
  <c r="J29" i="10"/>
  <c r="K29" i="10"/>
  <c r="J30" i="10"/>
  <c r="K127" i="2" s="1"/>
  <c r="K30" i="10"/>
  <c r="D28" i="10"/>
  <c r="E104" i="2" s="1"/>
  <c r="D29" i="10"/>
  <c r="D30" i="10"/>
  <c r="E127" i="2" s="1"/>
  <c r="L127" i="2" s="1"/>
  <c r="M127" i="2" s="1"/>
  <c r="N127" i="2" s="1"/>
  <c r="O127" i="2" s="1"/>
  <c r="P127" i="2" s="1"/>
  <c r="Q127" i="2" s="1"/>
  <c r="R127" i="2" s="1"/>
  <c r="S127" i="2" s="1"/>
  <c r="T127" i="2" s="1"/>
  <c r="U127" i="2" s="1"/>
  <c r="V127" i="2" s="1"/>
  <c r="W127" i="2" s="1"/>
  <c r="X127" i="2" s="1"/>
  <c r="D27" i="10"/>
  <c r="E91" i="2" s="1"/>
  <c r="L105" i="2" l="1"/>
  <c r="M105" i="2" s="1"/>
  <c r="N105" i="2" s="1"/>
  <c r="O105" i="2" s="1"/>
  <c r="P105" i="2" s="1"/>
  <c r="Q105" i="2" s="1"/>
  <c r="R105" i="2" s="1"/>
  <c r="S105" i="2" s="1"/>
  <c r="T105" i="2" s="1"/>
  <c r="U105" i="2" s="1"/>
  <c r="V105" i="2" s="1"/>
  <c r="W105" i="2" s="1"/>
  <c r="X105" i="2" s="1"/>
  <c r="L106" i="2"/>
  <c r="M106" i="2" s="1"/>
  <c r="N106" i="2" s="1"/>
  <c r="O106" i="2" s="1"/>
  <c r="P106" i="2" s="1"/>
  <c r="Q106" i="2" s="1"/>
  <c r="R106" i="2" s="1"/>
  <c r="S106" i="2" s="1"/>
  <c r="T106" i="2" s="1"/>
  <c r="U106" i="2" s="1"/>
  <c r="V106" i="2" s="1"/>
  <c r="W106" i="2" s="1"/>
  <c r="X106" i="2" s="1"/>
  <c r="L92" i="2"/>
  <c r="M92" i="2" s="1"/>
  <c r="N92" i="2" s="1"/>
  <c r="O92" i="2" s="1"/>
  <c r="P92" i="2" s="1"/>
  <c r="Q92" i="2" s="1"/>
  <c r="R92" i="2" s="1"/>
  <c r="S92" i="2" s="1"/>
  <c r="T92" i="2" s="1"/>
  <c r="U92" i="2" s="1"/>
  <c r="V92" i="2" s="1"/>
  <c r="W92" i="2" s="1"/>
  <c r="X92" i="2" s="1"/>
  <c r="L104" i="2"/>
  <c r="M104" i="2" s="1"/>
  <c r="N104" i="2" s="1"/>
  <c r="O104" i="2" s="1"/>
  <c r="P104" i="2" s="1"/>
  <c r="Q104" i="2" s="1"/>
  <c r="R104" i="2" s="1"/>
  <c r="S104" i="2" s="1"/>
  <c r="T104" i="2" s="1"/>
  <c r="U104" i="2" s="1"/>
  <c r="V104" i="2" s="1"/>
  <c r="W104" i="2" s="1"/>
  <c r="X104" i="2" s="1"/>
  <c r="L91" i="2"/>
  <c r="M91" i="2" s="1"/>
  <c r="N91" i="2" s="1"/>
  <c r="O91" i="2" s="1"/>
  <c r="P91" i="2" s="1"/>
  <c r="Q91" i="2" s="1"/>
  <c r="R91" i="2" s="1"/>
  <c r="S91" i="2" s="1"/>
  <c r="T91" i="2" s="1"/>
  <c r="U91" i="2" s="1"/>
  <c r="V91" i="2" s="1"/>
  <c r="W91" i="2" s="1"/>
  <c r="X91" i="2" s="1"/>
  <c r="L515" i="7"/>
  <c r="N216" i="5"/>
  <c r="O216" i="5" s="1"/>
  <c r="P216" i="5" s="1"/>
  <c r="Q216" i="5" s="1"/>
  <c r="O219" i="5"/>
  <c r="P219" i="5" s="1"/>
  <c r="P220" i="5"/>
  <c r="P218" i="5"/>
  <c r="Q218" i="5" s="1"/>
  <c r="N215" i="5"/>
  <c r="O215" i="5" s="1"/>
  <c r="P221" i="5"/>
  <c r="Q221" i="5" s="1"/>
  <c r="O185" i="5"/>
  <c r="P185" i="5" s="1"/>
  <c r="O129" i="5"/>
  <c r="P129" i="5" s="1"/>
  <c r="N120" i="5"/>
  <c r="O120" i="5" s="1"/>
  <c r="O187" i="5"/>
  <c r="P187" i="5" s="1"/>
  <c r="P119" i="5"/>
  <c r="Q119" i="5" s="1"/>
  <c r="R119" i="5" s="1"/>
  <c r="O134" i="5"/>
  <c r="P134" i="5" s="1"/>
  <c r="Q134" i="5" s="1"/>
  <c r="O131" i="5"/>
  <c r="P131" i="5" s="1"/>
  <c r="Q131" i="5" s="1"/>
  <c r="O163" i="5"/>
  <c r="P163" i="5" s="1"/>
  <c r="Q163" i="5" s="1"/>
  <c r="R163" i="5" s="1"/>
  <c r="O169" i="5"/>
  <c r="P169" i="5" s="1"/>
  <c r="Q169" i="5" s="1"/>
  <c r="N210" i="5"/>
  <c r="O210" i="5" s="1"/>
  <c r="N115" i="5"/>
  <c r="N196" i="5"/>
  <c r="O117" i="5"/>
  <c r="P117" i="5" s="1"/>
  <c r="O172" i="5"/>
  <c r="P172" i="5" s="1"/>
  <c r="N198" i="5"/>
  <c r="N208" i="5"/>
  <c r="O208" i="5" s="1"/>
  <c r="N138" i="5"/>
  <c r="O118" i="5"/>
  <c r="O193" i="5"/>
  <c r="P193" i="5" s="1"/>
  <c r="Q193" i="5" s="1"/>
  <c r="N136" i="5"/>
  <c r="P97" i="5"/>
  <c r="O179" i="5"/>
  <c r="P166" i="5"/>
  <c r="Q166" i="5" s="1"/>
  <c r="O174" i="5"/>
  <c r="N182" i="5"/>
  <c r="O182" i="5" s="1"/>
  <c r="P182" i="5" s="1"/>
  <c r="O207" i="5"/>
  <c r="P207" i="5" s="1"/>
  <c r="N201" i="5"/>
  <c r="O201" i="5" s="1"/>
  <c r="O176" i="5"/>
  <c r="N214" i="5"/>
  <c r="O122" i="5"/>
  <c r="N203" i="5"/>
  <c r="N123" i="5"/>
  <c r="O123" i="5" s="1"/>
  <c r="P180" i="5"/>
  <c r="Q180" i="5" s="1"/>
  <c r="R180" i="5" s="1"/>
  <c r="O116" i="5"/>
  <c r="P116" i="5" s="1"/>
  <c r="P130" i="5"/>
  <c r="N110" i="5"/>
  <c r="O121" i="5"/>
  <c r="P121" i="5" s="1"/>
  <c r="P114" i="5"/>
  <c r="O137" i="5"/>
  <c r="N159" i="5"/>
  <c r="N204" i="5"/>
  <c r="O204" i="5" s="1"/>
  <c r="N534" i="7" s="1"/>
  <c r="O209" i="5"/>
  <c r="N539" i="7" s="1"/>
  <c r="N206" i="5"/>
  <c r="M536" i="7" s="1"/>
  <c r="M800" i="7" s="1"/>
  <c r="O183" i="5"/>
  <c r="P183" i="5" s="1"/>
  <c r="N168" i="5"/>
  <c r="N145" i="5"/>
  <c r="O145" i="5" s="1"/>
  <c r="N195" i="5"/>
  <c r="M705" i="7" s="1"/>
  <c r="Q217" i="5"/>
  <c r="O184" i="5"/>
  <c r="O158" i="5"/>
  <c r="P158" i="5" s="1"/>
  <c r="N194" i="5"/>
  <c r="N186" i="5"/>
  <c r="M696" i="7" s="1"/>
  <c r="P98" i="5"/>
  <c r="N170" i="5"/>
  <c r="O170" i="5" s="1"/>
  <c r="O188" i="5"/>
  <c r="N698" i="7" s="1"/>
  <c r="O171" i="5"/>
  <c r="P171" i="5" s="1"/>
  <c r="O190" i="5"/>
  <c r="P190" i="5" s="1"/>
  <c r="N101" i="5"/>
  <c r="O101" i="5" s="1"/>
  <c r="N431" i="7" s="1"/>
  <c r="N200" i="5"/>
  <c r="O200" i="5" s="1"/>
  <c r="O205" i="5"/>
  <c r="N100" i="5"/>
  <c r="P144" i="5"/>
  <c r="Q144" i="5" s="1"/>
  <c r="R144" i="5" s="1"/>
  <c r="O164" i="5"/>
  <c r="P164" i="5" s="1"/>
  <c r="Q220" i="5"/>
  <c r="R220" i="5" s="1"/>
  <c r="N192" i="5"/>
  <c r="M357" i="7" s="1"/>
  <c r="N211" i="5"/>
  <c r="M721" i="7" s="1"/>
  <c r="P113" i="5"/>
  <c r="Q113" i="5" s="1"/>
  <c r="P109" i="5"/>
  <c r="Q109" i="5" s="1"/>
  <c r="R109" i="5" s="1"/>
  <c r="N126" i="5"/>
  <c r="M291" i="7" s="1"/>
  <c r="N143" i="5"/>
  <c r="N181" i="5"/>
  <c r="M691" i="7" s="1"/>
  <c r="O212" i="5"/>
  <c r="P167" i="5"/>
  <c r="Q167" i="5" s="1"/>
  <c r="O175" i="5"/>
  <c r="O162" i="5"/>
  <c r="N672" i="7" s="1"/>
  <c r="P99" i="5"/>
  <c r="N191" i="5"/>
  <c r="O191" i="5" s="1"/>
  <c r="O202" i="5"/>
  <c r="O213" i="5"/>
  <c r="N189" i="5"/>
  <c r="N197" i="5"/>
  <c r="M527" i="7" s="1"/>
  <c r="O165" i="5"/>
  <c r="N173" i="5"/>
  <c r="O199" i="5"/>
  <c r="N157" i="5"/>
  <c r="N146" i="5"/>
  <c r="F90" i="5"/>
  <c r="W84" i="7"/>
  <c r="K107" i="2"/>
  <c r="J156" i="8" s="1"/>
  <c r="K128" i="2"/>
  <c r="J172" i="8" s="1"/>
  <c r="I107" i="2"/>
  <c r="J107" i="5" s="1"/>
  <c r="I128" i="2"/>
  <c r="I128" i="3" s="1"/>
  <c r="H232" i="8" s="1"/>
  <c r="H107" i="2"/>
  <c r="H272" i="3" s="1"/>
  <c r="H128" i="2"/>
  <c r="G172" i="8" s="1"/>
  <c r="G107" i="2"/>
  <c r="G272" i="3" s="1"/>
  <c r="G128" i="2"/>
  <c r="G293" i="3" s="1"/>
  <c r="F107" i="2"/>
  <c r="F272" i="3" s="1"/>
  <c r="F128" i="2"/>
  <c r="F128" i="3" s="1"/>
  <c r="E232" i="8" s="1"/>
  <c r="J107" i="2"/>
  <c r="I156" i="8" s="1"/>
  <c r="J128" i="2"/>
  <c r="J128" i="3" s="1"/>
  <c r="I232" i="8" s="1"/>
  <c r="E107" i="2"/>
  <c r="E128" i="2"/>
  <c r="V85" i="7"/>
  <c r="V415" i="7"/>
  <c r="L428" i="3"/>
  <c r="M96" i="7"/>
  <c r="L96" i="7"/>
  <c r="L133" i="7"/>
  <c r="V132" i="7"/>
  <c r="V298" i="7"/>
  <c r="V463" i="7"/>
  <c r="V643" i="7"/>
  <c r="L112" i="7"/>
  <c r="W111" i="7"/>
  <c r="W276" i="7"/>
  <c r="W441" i="7"/>
  <c r="W621" i="7"/>
  <c r="L136" i="7"/>
  <c r="L464" i="7"/>
  <c r="L135" i="7"/>
  <c r="W645" i="7"/>
  <c r="W300" i="7"/>
  <c r="X465" i="7"/>
  <c r="V571" i="7"/>
  <c r="V61" i="7"/>
  <c r="V749" i="7" s="1"/>
  <c r="V227" i="7"/>
  <c r="V770" i="7" s="1"/>
  <c r="W246" i="7"/>
  <c r="W591" i="7"/>
  <c r="X591" i="7"/>
  <c r="W81" i="7"/>
  <c r="L424" i="3"/>
  <c r="L425" i="3"/>
  <c r="L431" i="3"/>
  <c r="J776" i="7"/>
  <c r="F776" i="7"/>
  <c r="G776" i="7"/>
  <c r="I776" i="7"/>
  <c r="K818" i="7"/>
  <c r="K797" i="7"/>
  <c r="G797" i="7"/>
  <c r="G818" i="7"/>
  <c r="J818" i="7"/>
  <c r="F797" i="7"/>
  <c r="J797" i="7"/>
  <c r="E818" i="7"/>
  <c r="F818" i="7"/>
  <c r="H797" i="7"/>
  <c r="E797" i="7"/>
  <c r="E776" i="7"/>
  <c r="K776" i="7"/>
  <c r="H776" i="7"/>
  <c r="H818" i="7"/>
  <c r="L501" i="7"/>
  <c r="L681" i="7"/>
  <c r="L682" i="7"/>
  <c r="L502" i="7"/>
  <c r="X340" i="3"/>
  <c r="W340" i="3"/>
  <c r="X331" i="3"/>
  <c r="W331" i="3"/>
  <c r="X337" i="3"/>
  <c r="W337" i="3"/>
  <c r="L676" i="7"/>
  <c r="L496" i="7"/>
  <c r="L684" i="7"/>
  <c r="L504" i="7"/>
  <c r="L683" i="7"/>
  <c r="L503" i="7"/>
  <c r="L677" i="7"/>
  <c r="L497" i="7"/>
  <c r="L678" i="7"/>
  <c r="L498" i="7"/>
  <c r="X332" i="3"/>
  <c r="W332" i="3"/>
  <c r="X333" i="3"/>
  <c r="W333" i="3"/>
  <c r="L685" i="7"/>
  <c r="L505" i="7"/>
  <c r="L680" i="7"/>
  <c r="L500" i="7"/>
  <c r="X335" i="3"/>
  <c r="W335" i="3"/>
  <c r="X336" i="3"/>
  <c r="W336" i="3"/>
  <c r="X338" i="3"/>
  <c r="W338" i="3"/>
  <c r="M334" i="7"/>
  <c r="L679" i="7"/>
  <c r="L499" i="7"/>
  <c r="X334" i="3"/>
  <c r="W334" i="3"/>
  <c r="X339" i="3"/>
  <c r="W339" i="3"/>
  <c r="X130" i="3"/>
  <c r="W130" i="3"/>
  <c r="X369" i="3"/>
  <c r="W369" i="3"/>
  <c r="X368" i="3"/>
  <c r="W368" i="3"/>
  <c r="X370" i="3"/>
  <c r="W370" i="3"/>
  <c r="X374" i="3"/>
  <c r="W374" i="3"/>
  <c r="X129" i="3"/>
  <c r="W129" i="3"/>
  <c r="X279" i="3"/>
  <c r="W279" i="3"/>
  <c r="X246" i="3"/>
  <c r="W246" i="3"/>
  <c r="K227" i="8"/>
  <c r="W296" i="3"/>
  <c r="W131" i="3"/>
  <c r="W301" i="3"/>
  <c r="W136" i="3"/>
  <c r="X375" i="3"/>
  <c r="W375" i="3"/>
  <c r="X278" i="3"/>
  <c r="W278" i="3"/>
  <c r="X275" i="3"/>
  <c r="W275" i="3"/>
  <c r="X373" i="3"/>
  <c r="X433" i="3" s="1"/>
  <c r="W373" i="3"/>
  <c r="W433" i="3" s="1"/>
  <c r="X372" i="3"/>
  <c r="W372" i="3"/>
  <c r="X248" i="3"/>
  <c r="W248" i="3"/>
  <c r="X274" i="3"/>
  <c r="W274" i="3"/>
  <c r="X371" i="3"/>
  <c r="X432" i="3" s="1"/>
  <c r="W371" i="3"/>
  <c r="W432" i="3" s="1"/>
  <c r="W134" i="3"/>
  <c r="W299" i="3"/>
  <c r="X137" i="3"/>
  <c r="W137" i="3"/>
  <c r="L134" i="7"/>
  <c r="L137" i="7"/>
  <c r="L131" i="7"/>
  <c r="W61" i="3"/>
  <c r="W402" i="3" s="1"/>
  <c r="L536" i="7"/>
  <c r="L800" i="7" s="1"/>
  <c r="V416" i="7"/>
  <c r="L538" i="7"/>
  <c r="L801" i="7" s="1"/>
  <c r="W410" i="7"/>
  <c r="W590" i="7"/>
  <c r="W80" i="7"/>
  <c r="W245" i="7"/>
  <c r="M717" i="7"/>
  <c r="L537" i="7"/>
  <c r="L535" i="7"/>
  <c r="V83" i="7"/>
  <c r="V413" i="7"/>
  <c r="V593" i="7"/>
  <c r="V248" i="7"/>
  <c r="X594" i="7"/>
  <c r="X249" i="7"/>
  <c r="X414" i="7"/>
  <c r="W85" i="3"/>
  <c r="V589" i="7"/>
  <c r="V244" i="7"/>
  <c r="W82" i="7"/>
  <c r="L703" i="7"/>
  <c r="L719" i="7"/>
  <c r="L628" i="7"/>
  <c r="V145" i="14"/>
  <c r="V109" i="14" s="1"/>
  <c r="U109" i="14"/>
  <c r="V142" i="14"/>
  <c r="V108" i="14" s="1"/>
  <c r="U108" i="14"/>
  <c r="T107" i="14"/>
  <c r="U134" i="14"/>
  <c r="P90" i="14"/>
  <c r="R67" i="4" s="1"/>
  <c r="S60" i="14"/>
  <c r="U64" i="4" s="1"/>
  <c r="P80" i="14"/>
  <c r="R66" i="4" s="1"/>
  <c r="S50" i="14"/>
  <c r="U63" i="4" s="1"/>
  <c r="P70" i="14"/>
  <c r="R65" i="4" s="1"/>
  <c r="S100" i="14"/>
  <c r="U68" i="4" s="1"/>
  <c r="S90" i="14"/>
  <c r="U67" i="4" s="1"/>
  <c r="S80" i="14"/>
  <c r="U66" i="4" s="1"/>
  <c r="P100" i="14"/>
  <c r="R68" i="4" s="1"/>
  <c r="S70" i="14"/>
  <c r="U65" i="4" s="1"/>
  <c r="L630" i="7"/>
  <c r="L654" i="7"/>
  <c r="L492" i="7"/>
  <c r="N350" i="7"/>
  <c r="L656" i="7"/>
  <c r="L430" i="7"/>
  <c r="L629" i="7"/>
  <c r="L264" i="7"/>
  <c r="L620" i="7"/>
  <c r="M608" i="7"/>
  <c r="M712" i="7"/>
  <c r="M352" i="7"/>
  <c r="N344" i="7"/>
  <c r="M655" i="7"/>
  <c r="L718" i="7"/>
  <c r="L822" i="7" s="1"/>
  <c r="M365" i="3"/>
  <c r="M227" i="3"/>
  <c r="L392" i="7"/>
  <c r="M229" i="3"/>
  <c r="H102" i="3"/>
  <c r="G211" i="8" s="1"/>
  <c r="I102" i="5"/>
  <c r="G102" i="3"/>
  <c r="F211" i="8" s="1"/>
  <c r="H102" i="5"/>
  <c r="G100" i="7" s="1"/>
  <c r="J89" i="3"/>
  <c r="J404" i="3" s="1"/>
  <c r="J87" i="7"/>
  <c r="H90" i="3"/>
  <c r="H88" i="7"/>
  <c r="I90" i="3"/>
  <c r="I88" i="7"/>
  <c r="F102" i="3"/>
  <c r="E211" i="8" s="1"/>
  <c r="G102" i="5"/>
  <c r="I89" i="3"/>
  <c r="I404" i="3" s="1"/>
  <c r="I87" i="7"/>
  <c r="G88" i="7"/>
  <c r="G90" i="3"/>
  <c r="H89" i="3"/>
  <c r="H404" i="3" s="1"/>
  <c r="H87" i="7"/>
  <c r="K103" i="3"/>
  <c r="J212" i="8" s="1"/>
  <c r="L103" i="5"/>
  <c r="F90" i="3"/>
  <c r="F88" i="7"/>
  <c r="F103" i="5"/>
  <c r="E103" i="3"/>
  <c r="D212" i="8" s="1"/>
  <c r="K89" i="3"/>
  <c r="K404" i="3" s="1"/>
  <c r="K87" i="7"/>
  <c r="F103" i="3"/>
  <c r="E212" i="8" s="1"/>
  <c r="G103" i="5"/>
  <c r="F101" i="7" s="1"/>
  <c r="G89" i="3"/>
  <c r="G404" i="3" s="1"/>
  <c r="G87" i="7"/>
  <c r="J103" i="3"/>
  <c r="I212" i="8" s="1"/>
  <c r="K103" i="5"/>
  <c r="E87" i="7"/>
  <c r="E89" i="3"/>
  <c r="E404" i="3" s="1"/>
  <c r="F102" i="5"/>
  <c r="E102" i="3"/>
  <c r="D211" i="8" s="1"/>
  <c r="K102" i="3"/>
  <c r="J211" i="8" s="1"/>
  <c r="L102" i="5"/>
  <c r="F89" i="3"/>
  <c r="F404" i="3" s="1"/>
  <c r="F87" i="7"/>
  <c r="I103" i="3"/>
  <c r="H212" i="8" s="1"/>
  <c r="J103" i="5"/>
  <c r="M88" i="3"/>
  <c r="J102" i="3"/>
  <c r="I211" i="8" s="1"/>
  <c r="K102" i="5"/>
  <c r="E88" i="7"/>
  <c r="E90" i="3"/>
  <c r="H103" i="3"/>
  <c r="G212" i="8" s="1"/>
  <c r="I103" i="5"/>
  <c r="K90" i="3"/>
  <c r="K88" i="7"/>
  <c r="I102" i="3"/>
  <c r="H211" i="8" s="1"/>
  <c r="J102" i="5"/>
  <c r="G103" i="3"/>
  <c r="F212" i="8" s="1"/>
  <c r="H103" i="5"/>
  <c r="J90" i="3"/>
  <c r="J88" i="7"/>
  <c r="M377" i="3"/>
  <c r="M221" i="3"/>
  <c r="M189" i="3"/>
  <c r="M386" i="3"/>
  <c r="N366" i="3"/>
  <c r="M201" i="3"/>
  <c r="M217" i="3"/>
  <c r="M180" i="3"/>
  <c r="L672" i="7"/>
  <c r="M232" i="3"/>
  <c r="M345" i="3"/>
  <c r="M199" i="3"/>
  <c r="L400" i="7"/>
  <c r="M218" i="3"/>
  <c r="K251" i="8"/>
  <c r="M205" i="3"/>
  <c r="M202" i="3"/>
  <c r="M197" i="3"/>
  <c r="M354" i="3"/>
  <c r="M363" i="3"/>
  <c r="M186" i="3"/>
  <c r="M184" i="3"/>
  <c r="L250" i="8"/>
  <c r="N384" i="3"/>
  <c r="M207" i="3"/>
  <c r="K250" i="8"/>
  <c r="M212" i="3"/>
  <c r="L77" i="7"/>
  <c r="E94" i="3"/>
  <c r="D205" i="8" s="1"/>
  <c r="F94" i="5"/>
  <c r="K94" i="3"/>
  <c r="J205" i="8" s="1"/>
  <c r="L94" i="5"/>
  <c r="K98" i="7" s="1"/>
  <c r="F108" i="3"/>
  <c r="E217" i="8" s="1"/>
  <c r="G108" i="5"/>
  <c r="I95" i="3"/>
  <c r="H206" i="8" s="1"/>
  <c r="J95" i="5"/>
  <c r="J94" i="3"/>
  <c r="I205" i="8" s="1"/>
  <c r="K94" i="5"/>
  <c r="H95" i="3"/>
  <c r="G206" i="8" s="1"/>
  <c r="I95" i="5"/>
  <c r="M123" i="3"/>
  <c r="I94" i="3"/>
  <c r="H205" i="8" s="1"/>
  <c r="J94" i="5"/>
  <c r="H95" i="5"/>
  <c r="G95" i="3"/>
  <c r="F206" i="8" s="1"/>
  <c r="M203" i="3"/>
  <c r="I94" i="5"/>
  <c r="H98" i="7" s="1"/>
  <c r="H94" i="3"/>
  <c r="G205" i="8" s="1"/>
  <c r="K108" i="3"/>
  <c r="J217" i="8" s="1"/>
  <c r="L108" i="5"/>
  <c r="F95" i="3"/>
  <c r="E206" i="8" s="1"/>
  <c r="G95" i="5"/>
  <c r="E108" i="3"/>
  <c r="D217" i="8" s="1"/>
  <c r="F108" i="5"/>
  <c r="J95" i="3"/>
  <c r="I206" i="8" s="1"/>
  <c r="K95" i="5"/>
  <c r="G94" i="3"/>
  <c r="F205" i="8" s="1"/>
  <c r="H94" i="5"/>
  <c r="J108" i="3"/>
  <c r="I217" i="8" s="1"/>
  <c r="K108" i="5"/>
  <c r="H108" i="5"/>
  <c r="G108" i="3"/>
  <c r="F217" i="8" s="1"/>
  <c r="F94" i="3"/>
  <c r="E205" i="8" s="1"/>
  <c r="G94" i="5"/>
  <c r="I108" i="3"/>
  <c r="H217" i="8" s="1"/>
  <c r="J108" i="5"/>
  <c r="M113" i="3"/>
  <c r="L220" i="8" s="1"/>
  <c r="M219" i="3"/>
  <c r="M213" i="3"/>
  <c r="E95" i="3"/>
  <c r="D206" i="8" s="1"/>
  <c r="F95" i="5"/>
  <c r="H108" i="3"/>
  <c r="G217" i="8" s="1"/>
  <c r="I108" i="5"/>
  <c r="K95" i="3"/>
  <c r="J206" i="8" s="1"/>
  <c r="L95" i="5"/>
  <c r="M200" i="3"/>
  <c r="G93" i="3"/>
  <c r="F204" i="8" s="1"/>
  <c r="H93" i="5"/>
  <c r="N122" i="3"/>
  <c r="M81" i="3"/>
  <c r="M196" i="3"/>
  <c r="F93" i="3"/>
  <c r="E204" i="8" s="1"/>
  <c r="G93" i="5"/>
  <c r="L359" i="7"/>
  <c r="M188" i="3"/>
  <c r="M211" i="3"/>
  <c r="I93" i="3"/>
  <c r="H204" i="8" s="1"/>
  <c r="J93" i="5"/>
  <c r="H93" i="3"/>
  <c r="G204" i="8" s="1"/>
  <c r="I93" i="5"/>
  <c r="L194" i="7"/>
  <c r="N235" i="3"/>
  <c r="L524" i="7"/>
  <c r="M101" i="3"/>
  <c r="L210" i="8" s="1"/>
  <c r="M99" i="3"/>
  <c r="L208" i="8" s="1"/>
  <c r="M121" i="3"/>
  <c r="L226" i="8" s="1"/>
  <c r="E93" i="3"/>
  <c r="D204" i="8" s="1"/>
  <c r="F93" i="5"/>
  <c r="L93" i="5"/>
  <c r="K93" i="3"/>
  <c r="J204" i="8" s="1"/>
  <c r="K93" i="5"/>
  <c r="J93" i="3"/>
  <c r="I204" i="8" s="1"/>
  <c r="M215" i="3"/>
  <c r="M362" i="3"/>
  <c r="M175" i="3"/>
  <c r="O597" i="7"/>
  <c r="M379" i="3"/>
  <c r="L648" i="7"/>
  <c r="M214" i="3"/>
  <c r="M380" i="3"/>
  <c r="L266" i="7"/>
  <c r="L431" i="7"/>
  <c r="L611" i="7"/>
  <c r="M395" i="7"/>
  <c r="L217" i="7"/>
  <c r="L695" i="7"/>
  <c r="L303" i="7"/>
  <c r="L468" i="7"/>
  <c r="L193" i="7"/>
  <c r="L358" i="7"/>
  <c r="L523" i="7"/>
  <c r="L350" i="7"/>
  <c r="L336" i="7"/>
  <c r="L382" i="7"/>
  <c r="L587" i="7"/>
  <c r="L335" i="7"/>
  <c r="M400" i="7"/>
  <c r="L242" i="7"/>
  <c r="J139" i="3"/>
  <c r="I239" i="8" s="1"/>
  <c r="K139" i="5"/>
  <c r="J161" i="3"/>
  <c r="K161" i="5"/>
  <c r="I140" i="5"/>
  <c r="H140" i="3"/>
  <c r="G240" i="8" s="1"/>
  <c r="L125" i="5"/>
  <c r="K125" i="3"/>
  <c r="J229" i="8" s="1"/>
  <c r="J160" i="5"/>
  <c r="I160" i="3"/>
  <c r="E125" i="3"/>
  <c r="D229" i="8" s="1"/>
  <c r="F125" i="5"/>
  <c r="F160" i="5"/>
  <c r="E160" i="3"/>
  <c r="H160" i="3"/>
  <c r="I160" i="5"/>
  <c r="L141" i="5"/>
  <c r="K141" i="3"/>
  <c r="I139" i="3"/>
  <c r="H239" i="8" s="1"/>
  <c r="J139" i="5"/>
  <c r="J161" i="5"/>
  <c r="I161" i="3"/>
  <c r="H140" i="5"/>
  <c r="G140" i="3"/>
  <c r="F240" i="8" s="1"/>
  <c r="K125" i="5"/>
  <c r="J125" i="3"/>
  <c r="I229" i="8" s="1"/>
  <c r="L285" i="7"/>
  <c r="G139" i="5"/>
  <c r="F139" i="3"/>
  <c r="E239" i="8" s="1"/>
  <c r="F141" i="5"/>
  <c r="E141" i="3"/>
  <c r="I139" i="5"/>
  <c r="H139" i="3"/>
  <c r="G239" i="8" s="1"/>
  <c r="L124" i="5"/>
  <c r="K124" i="3"/>
  <c r="I161" i="5"/>
  <c r="H161" i="3"/>
  <c r="L142" i="5"/>
  <c r="K142" i="3"/>
  <c r="J241" i="8" s="1"/>
  <c r="J254" i="8" s="1"/>
  <c r="G140" i="5"/>
  <c r="F140" i="3"/>
  <c r="E240" i="8" s="1"/>
  <c r="I125" i="3"/>
  <c r="H229" i="8" s="1"/>
  <c r="J125" i="5"/>
  <c r="L450" i="7"/>
  <c r="H160" i="5"/>
  <c r="G160" i="3"/>
  <c r="E139" i="3"/>
  <c r="D239" i="8" s="1"/>
  <c r="F139" i="5"/>
  <c r="G160" i="5"/>
  <c r="F160" i="3"/>
  <c r="H139" i="5"/>
  <c r="G139" i="3"/>
  <c r="F239" i="8" s="1"/>
  <c r="K91" i="5"/>
  <c r="K124" i="5"/>
  <c r="J124" i="3"/>
  <c r="F161" i="5"/>
  <c r="E161" i="3"/>
  <c r="H161" i="5"/>
  <c r="G161" i="3"/>
  <c r="H125" i="3"/>
  <c r="G229" i="8" s="1"/>
  <c r="I125" i="5"/>
  <c r="J124" i="5"/>
  <c r="I124" i="3"/>
  <c r="H125" i="5"/>
  <c r="G125" i="3"/>
  <c r="F229" i="8" s="1"/>
  <c r="G161" i="5"/>
  <c r="F161" i="3"/>
  <c r="I124" i="5"/>
  <c r="H124" i="3"/>
  <c r="L140" i="5"/>
  <c r="K140" i="3"/>
  <c r="J240" i="8" s="1"/>
  <c r="G125" i="5"/>
  <c r="F125" i="3"/>
  <c r="E229" i="8" s="1"/>
  <c r="E124" i="3"/>
  <c r="F124" i="5"/>
  <c r="G124" i="3"/>
  <c r="H124" i="5"/>
  <c r="K140" i="5"/>
  <c r="J138" i="7" s="1"/>
  <c r="J140" i="3"/>
  <c r="I240" i="8" s="1"/>
  <c r="F142" i="5"/>
  <c r="E142" i="3"/>
  <c r="D241" i="8" s="1"/>
  <c r="D254" i="8" s="1"/>
  <c r="L160" i="5"/>
  <c r="K160" i="3"/>
  <c r="K139" i="3"/>
  <c r="J239" i="8" s="1"/>
  <c r="L139" i="5"/>
  <c r="F124" i="3"/>
  <c r="G124" i="5"/>
  <c r="K161" i="3"/>
  <c r="L161" i="5"/>
  <c r="K167" i="7" s="1"/>
  <c r="J140" i="5"/>
  <c r="I140" i="3"/>
  <c r="H240" i="8" s="1"/>
  <c r="K160" i="5"/>
  <c r="J160" i="3"/>
  <c r="E140" i="3"/>
  <c r="D240" i="8" s="1"/>
  <c r="F140" i="5"/>
  <c r="L337" i="7"/>
  <c r="L284" i="7"/>
  <c r="L327" i="7"/>
  <c r="L449" i="7"/>
  <c r="L407" i="7"/>
  <c r="L283" i="7"/>
  <c r="L186" i="7"/>
  <c r="L291" i="7"/>
  <c r="L448" i="7"/>
  <c r="L547" i="7"/>
  <c r="L610" i="7"/>
  <c r="K190" i="8"/>
  <c r="L429" i="7"/>
  <c r="L216" i="7"/>
  <c r="L381" i="7"/>
  <c r="L209" i="7"/>
  <c r="L373" i="7"/>
  <c r="L780" i="7" s="1"/>
  <c r="L546" i="7"/>
  <c r="L539" i="7"/>
  <c r="L275" i="7"/>
  <c r="L374" i="7"/>
  <c r="L440" i="7"/>
  <c r="L456" i="7"/>
  <c r="L365" i="7"/>
  <c r="L329" i="7"/>
  <c r="L636" i="7"/>
  <c r="L530" i="7"/>
  <c r="L494" i="7"/>
  <c r="L710" i="7"/>
  <c r="L674" i="7"/>
  <c r="L302" i="7"/>
  <c r="L467" i="7"/>
  <c r="L647" i="7"/>
  <c r="K191" i="8"/>
  <c r="L531" i="7"/>
  <c r="L309" i="7"/>
  <c r="M394" i="7"/>
  <c r="L310" i="7"/>
  <c r="L366" i="7"/>
  <c r="L474" i="7"/>
  <c r="L475" i="7"/>
  <c r="L609" i="7"/>
  <c r="L727" i="7"/>
  <c r="L311" i="7"/>
  <c r="L476" i="7"/>
  <c r="L351" i="7"/>
  <c r="L516" i="7"/>
  <c r="L265" i="7"/>
  <c r="D155" i="8"/>
  <c r="E271" i="3"/>
  <c r="E106" i="3"/>
  <c r="D215" i="8" s="1"/>
  <c r="F106" i="5"/>
  <c r="D153" i="8"/>
  <c r="E269" i="3"/>
  <c r="E104" i="3"/>
  <c r="D213" i="8" s="1"/>
  <c r="F104" i="5"/>
  <c r="F171" i="8"/>
  <c r="G292" i="3"/>
  <c r="G127" i="3"/>
  <c r="F231" i="8" s="1"/>
  <c r="H127" i="5"/>
  <c r="J154" i="8"/>
  <c r="K270" i="3"/>
  <c r="K105" i="3"/>
  <c r="J214" i="8" s="1"/>
  <c r="L105" i="5"/>
  <c r="E143" i="8"/>
  <c r="F257" i="3"/>
  <c r="F92" i="3"/>
  <c r="E203" i="8" s="1"/>
  <c r="E171" i="8"/>
  <c r="F292" i="3"/>
  <c r="F127" i="3"/>
  <c r="E231" i="8" s="1"/>
  <c r="G127" i="5"/>
  <c r="I154" i="8"/>
  <c r="J270" i="3"/>
  <c r="J105" i="3"/>
  <c r="I214" i="8" s="1"/>
  <c r="K105" i="5"/>
  <c r="M582" i="7"/>
  <c r="M402" i="7"/>
  <c r="M237" i="7"/>
  <c r="G171" i="8"/>
  <c r="H292" i="3"/>
  <c r="H127" i="3"/>
  <c r="G231" i="8" s="1"/>
  <c r="I127" i="5"/>
  <c r="M584" i="7"/>
  <c r="M404" i="7"/>
  <c r="M239" i="7"/>
  <c r="I153" i="8"/>
  <c r="J269" i="3"/>
  <c r="J104" i="3"/>
  <c r="I213" i="8" s="1"/>
  <c r="K104" i="5"/>
  <c r="E153" i="8"/>
  <c r="F269" i="3"/>
  <c r="F104" i="3"/>
  <c r="E213" i="8" s="1"/>
  <c r="G104" i="5"/>
  <c r="J153" i="8"/>
  <c r="K269" i="3"/>
  <c r="K104" i="3"/>
  <c r="J213" i="8" s="1"/>
  <c r="L104" i="5"/>
  <c r="E155" i="8"/>
  <c r="F271" i="3"/>
  <c r="F106" i="3"/>
  <c r="E215" i="8" s="1"/>
  <c r="G106" i="5"/>
  <c r="H153" i="8"/>
  <c r="I269" i="3"/>
  <c r="I104" i="3"/>
  <c r="H213" i="8" s="1"/>
  <c r="J104" i="5"/>
  <c r="I143" i="8"/>
  <c r="J257" i="3"/>
  <c r="J92" i="3"/>
  <c r="I203" i="8" s="1"/>
  <c r="M693" i="7"/>
  <c r="M513" i="7"/>
  <c r="M348" i="7"/>
  <c r="G153" i="8"/>
  <c r="H104" i="3"/>
  <c r="G213" i="8" s="1"/>
  <c r="H269" i="3"/>
  <c r="I104" i="5"/>
  <c r="J155" i="8"/>
  <c r="K271" i="3"/>
  <c r="K106" i="3"/>
  <c r="J215" i="8" s="1"/>
  <c r="L106" i="5"/>
  <c r="M631" i="7"/>
  <c r="M451" i="7"/>
  <c r="M286" i="7"/>
  <c r="D171" i="8"/>
  <c r="E292" i="3"/>
  <c r="F127" i="5"/>
  <c r="E127" i="3"/>
  <c r="D231" i="8" s="1"/>
  <c r="H171" i="8"/>
  <c r="I292" i="3"/>
  <c r="I127" i="3"/>
  <c r="H231" i="8" s="1"/>
  <c r="J127" i="5"/>
  <c r="F153" i="8"/>
  <c r="G269" i="3"/>
  <c r="G104" i="3"/>
  <c r="F213" i="8" s="1"/>
  <c r="H104" i="5"/>
  <c r="M512" i="7"/>
  <c r="H142" i="8"/>
  <c r="I256" i="3"/>
  <c r="I91" i="3"/>
  <c r="L110" i="3"/>
  <c r="K219" i="8" s="1"/>
  <c r="L146" i="8"/>
  <c r="M260" i="3"/>
  <c r="M164" i="8"/>
  <c r="N284" i="3"/>
  <c r="N119" i="3"/>
  <c r="M224" i="8" s="1"/>
  <c r="L632" i="7"/>
  <c r="L452" i="7"/>
  <c r="L287" i="7"/>
  <c r="N302" i="3"/>
  <c r="M700" i="7"/>
  <c r="M520" i="7"/>
  <c r="M355" i="7"/>
  <c r="H155" i="8"/>
  <c r="I271" i="3"/>
  <c r="I106" i="3"/>
  <c r="H215" i="8" s="1"/>
  <c r="J106" i="5"/>
  <c r="L147" i="8"/>
  <c r="M263" i="3"/>
  <c r="M98" i="3"/>
  <c r="L207" i="8" s="1"/>
  <c r="M689" i="7"/>
  <c r="M509" i="7"/>
  <c r="M344" i="7"/>
  <c r="L338" i="7"/>
  <c r="L598" i="7"/>
  <c r="L418" i="7"/>
  <c r="L253" i="7"/>
  <c r="N77" i="3"/>
  <c r="M244" i="3"/>
  <c r="M231" i="3"/>
  <c r="M306" i="3"/>
  <c r="L723" i="7"/>
  <c r="L543" i="7"/>
  <c r="L378" i="7"/>
  <c r="L213" i="7"/>
  <c r="N343" i="3"/>
  <c r="L653" i="7"/>
  <c r="L473" i="7"/>
  <c r="L308" i="7"/>
  <c r="L716" i="7"/>
  <c r="L821" i="7" s="1"/>
  <c r="L371" i="7"/>
  <c r="L779" i="7" s="1"/>
  <c r="N346" i="3"/>
  <c r="N181" i="3"/>
  <c r="N254" i="3"/>
  <c r="M167" i="8"/>
  <c r="N288" i="3"/>
  <c r="M171" i="3"/>
  <c r="N75" i="3"/>
  <c r="M360" i="3"/>
  <c r="M195" i="3"/>
  <c r="N173" i="3"/>
  <c r="M709" i="7"/>
  <c r="M529" i="7"/>
  <c r="M364" i="7"/>
  <c r="M648" i="7"/>
  <c r="M468" i="7"/>
  <c r="M303" i="7"/>
  <c r="L596" i="7"/>
  <c r="L251" i="7"/>
  <c r="L86" i="7"/>
  <c r="L689" i="7"/>
  <c r="L509" i="7"/>
  <c r="L344" i="7"/>
  <c r="L668" i="7"/>
  <c r="L488" i="7"/>
  <c r="L323" i="7"/>
  <c r="L729" i="7"/>
  <c r="L384" i="7"/>
  <c r="L549" i="7"/>
  <c r="L219" i="7"/>
  <c r="I155" i="8"/>
  <c r="J271" i="3"/>
  <c r="J106" i="3"/>
  <c r="I215" i="8" s="1"/>
  <c r="K106" i="5"/>
  <c r="L699" i="7"/>
  <c r="L519" i="7"/>
  <c r="L354" i="7"/>
  <c r="N355" i="3"/>
  <c r="N190" i="3"/>
  <c r="N364" i="3"/>
  <c r="N199" i="3"/>
  <c r="L644" i="7"/>
  <c r="L299" i="7"/>
  <c r="N345" i="3"/>
  <c r="N180" i="3"/>
  <c r="M162" i="8"/>
  <c r="N281" i="3"/>
  <c r="N116" i="3"/>
  <c r="M222" i="8" s="1"/>
  <c r="M161" i="8"/>
  <c r="N280" i="3"/>
  <c r="N115" i="3"/>
  <c r="M221" i="8" s="1"/>
  <c r="L690" i="7"/>
  <c r="L510" i="7"/>
  <c r="L345" i="7"/>
  <c r="F154" i="8"/>
  <c r="G270" i="3"/>
  <c r="G105" i="3"/>
  <c r="F214" i="8" s="1"/>
  <c r="H105" i="5"/>
  <c r="G155" i="8"/>
  <c r="H271" i="3"/>
  <c r="H106" i="3"/>
  <c r="G215" i="8" s="1"/>
  <c r="I106" i="5"/>
  <c r="N585" i="7"/>
  <c r="N405" i="7"/>
  <c r="N240" i="7"/>
  <c r="L151" i="8"/>
  <c r="M267" i="3"/>
  <c r="N356" i="3"/>
  <c r="N349" i="3"/>
  <c r="L623" i="7"/>
  <c r="L443" i="7"/>
  <c r="L278" i="7"/>
  <c r="L157" i="8"/>
  <c r="M273" i="3"/>
  <c r="N232" i="3"/>
  <c r="N283" i="3"/>
  <c r="M180" i="8"/>
  <c r="N305" i="3"/>
  <c r="N341" i="3"/>
  <c r="N176" i="3"/>
  <c r="L714" i="7"/>
  <c r="L369" i="7"/>
  <c r="L534" i="7"/>
  <c r="L204" i="7"/>
  <c r="M168" i="8"/>
  <c r="N289" i="3"/>
  <c r="L627" i="7"/>
  <c r="L447" i="7"/>
  <c r="L282" i="7"/>
  <c r="L117" i="7"/>
  <c r="M730" i="7"/>
  <c r="M550" i="7"/>
  <c r="M385" i="7"/>
  <c r="L669" i="7"/>
  <c r="L489" i="7"/>
  <c r="L324" i="7"/>
  <c r="L731" i="7"/>
  <c r="L551" i="7"/>
  <c r="L386" i="7"/>
  <c r="L221" i="7"/>
  <c r="N241" i="3"/>
  <c r="N76" i="3"/>
  <c r="M160" i="8"/>
  <c r="M585" i="7"/>
  <c r="M405" i="7"/>
  <c r="M240" i="7"/>
  <c r="M75" i="7"/>
  <c r="L581" i="7"/>
  <c r="L812" i="7" s="1"/>
  <c r="L401" i="7"/>
  <c r="L724" i="7"/>
  <c r="L379" i="7"/>
  <c r="L544" i="7"/>
  <c r="L214" i="7"/>
  <c r="N318" i="3"/>
  <c r="N344" i="3"/>
  <c r="N179" i="3"/>
  <c r="N383" i="3"/>
  <c r="N218" i="3"/>
  <c r="N319" i="3"/>
  <c r="N359" i="3"/>
  <c r="M312" i="3"/>
  <c r="M428" i="3" s="1"/>
  <c r="N354" i="3"/>
  <c r="N189" i="3"/>
  <c r="N321" i="3"/>
  <c r="O287" i="3"/>
  <c r="O122" i="3"/>
  <c r="L334" i="7"/>
  <c r="L702" i="7"/>
  <c r="L522" i="7"/>
  <c r="L357" i="7"/>
  <c r="L192" i="7"/>
  <c r="L717" i="7"/>
  <c r="L372" i="7"/>
  <c r="L697" i="7"/>
  <c r="L517" i="7"/>
  <c r="L352" i="7"/>
  <c r="L187" i="7"/>
  <c r="L706" i="7"/>
  <c r="L526" i="7"/>
  <c r="L361" i="7"/>
  <c r="L196" i="7"/>
  <c r="M169" i="8"/>
  <c r="N290" i="3"/>
  <c r="N186" i="3"/>
  <c r="M352" i="3"/>
  <c r="M187" i="3"/>
  <c r="N114" i="3"/>
  <c r="N78" i="3"/>
  <c r="N243" i="3"/>
  <c r="G142" i="8"/>
  <c r="H91" i="3"/>
  <c r="H256" i="3"/>
  <c r="I91" i="5"/>
  <c r="H118" i="7" s="1"/>
  <c r="F142" i="8"/>
  <c r="G91" i="3"/>
  <c r="G256" i="3"/>
  <c r="H91" i="5"/>
  <c r="G118" i="7" s="1"/>
  <c r="I171" i="8"/>
  <c r="J292" i="3"/>
  <c r="J127" i="3"/>
  <c r="I231" i="8" s="1"/>
  <c r="K127" i="5"/>
  <c r="E142" i="8"/>
  <c r="F256" i="3"/>
  <c r="F91" i="3"/>
  <c r="G91" i="5"/>
  <c r="F118" i="7" s="1"/>
  <c r="F155" i="8"/>
  <c r="G271" i="3"/>
  <c r="G106" i="3"/>
  <c r="F215" i="8" s="1"/>
  <c r="H106" i="5"/>
  <c r="L631" i="7"/>
  <c r="L451" i="7"/>
  <c r="L286" i="7"/>
  <c r="N239" i="3"/>
  <c r="N74" i="3"/>
  <c r="L722" i="7"/>
  <c r="L377" i="7"/>
  <c r="L542" i="7"/>
  <c r="L212" i="7"/>
  <c r="M173" i="8"/>
  <c r="N294" i="3"/>
  <c r="M581" i="7"/>
  <c r="M812" i="7" s="1"/>
  <c r="M401" i="7"/>
  <c r="L646" i="7"/>
  <c r="L466" i="7"/>
  <c r="L301" i="7"/>
  <c r="M233" i="3"/>
  <c r="L332" i="7"/>
  <c r="O317" i="3"/>
  <c r="M148" i="8"/>
  <c r="N264" i="3"/>
  <c r="N99" i="3"/>
  <c r="M208" i="8" s="1"/>
  <c r="M166" i="8"/>
  <c r="N286" i="3"/>
  <c r="N353" i="3"/>
  <c r="M596" i="7"/>
  <c r="M251" i="7"/>
  <c r="L586" i="7"/>
  <c r="L406" i="7"/>
  <c r="L76" i="7"/>
  <c r="L241" i="7"/>
  <c r="N385" i="3"/>
  <c r="N220" i="3"/>
  <c r="M210" i="3"/>
  <c r="N188" i="3"/>
  <c r="M350" i="3"/>
  <c r="M185" i="3"/>
  <c r="L624" i="7"/>
  <c r="L444" i="7"/>
  <c r="L279" i="7"/>
  <c r="N242" i="3"/>
  <c r="L705" i="7"/>
  <c r="L525" i="7"/>
  <c r="L360" i="7"/>
  <c r="L195" i="7"/>
  <c r="L339" i="7"/>
  <c r="N194" i="3"/>
  <c r="M358" i="3"/>
  <c r="M193" i="3"/>
  <c r="M598" i="7"/>
  <c r="M418" i="7"/>
  <c r="M253" i="7"/>
  <c r="J143" i="8"/>
  <c r="K257" i="3"/>
  <c r="K92" i="3"/>
  <c r="J203" i="8" s="1"/>
  <c r="L92" i="5"/>
  <c r="L144" i="8"/>
  <c r="M258" i="3"/>
  <c r="D143" i="8"/>
  <c r="E257" i="3"/>
  <c r="E92" i="3"/>
  <c r="D203" i="8" s="1"/>
  <c r="N581" i="7"/>
  <c r="N812" i="7" s="1"/>
  <c r="N401" i="7"/>
  <c r="J91" i="5"/>
  <c r="I118" i="7" s="1"/>
  <c r="N229" i="3"/>
  <c r="M163" i="8"/>
  <c r="N282" i="3"/>
  <c r="N117" i="3"/>
  <c r="M223" i="8" s="1"/>
  <c r="M178" i="8"/>
  <c r="N303" i="3"/>
  <c r="N138" i="3"/>
  <c r="M238" i="8" s="1"/>
  <c r="N367" i="3"/>
  <c r="N202" i="3"/>
  <c r="N351" i="3"/>
  <c r="L730" i="7"/>
  <c r="L385" i="7"/>
  <c r="L550" i="7"/>
  <c r="L220" i="7"/>
  <c r="M252" i="3"/>
  <c r="M425" i="3" s="1"/>
  <c r="M87" i="3"/>
  <c r="L607" i="7"/>
  <c r="L427" i="7"/>
  <c r="L262" i="7"/>
  <c r="L340" i="7"/>
  <c r="M597" i="7"/>
  <c r="M417" i="7"/>
  <c r="M252" i="7"/>
  <c r="L597" i="7"/>
  <c r="L417" i="7"/>
  <c r="L252" i="7"/>
  <c r="L333" i="7"/>
  <c r="M174" i="8"/>
  <c r="N295" i="3"/>
  <c r="N357" i="3"/>
  <c r="N192" i="3"/>
  <c r="N214" i="3"/>
  <c r="M381" i="3"/>
  <c r="M216" i="3"/>
  <c r="M328" i="3"/>
  <c r="M163" i="3"/>
  <c r="M145" i="8"/>
  <c r="N259" i="3"/>
  <c r="M177" i="8"/>
  <c r="M237" i="8"/>
  <c r="L712" i="7"/>
  <c r="L367" i="7"/>
  <c r="L532" i="7"/>
  <c r="L202" i="7"/>
  <c r="L721" i="7"/>
  <c r="L541" i="7"/>
  <c r="L376" i="7"/>
  <c r="L211" i="7"/>
  <c r="F143" i="8"/>
  <c r="G257" i="3"/>
  <c r="G92" i="3"/>
  <c r="F203" i="8" s="1"/>
  <c r="M230" i="3"/>
  <c r="N203" i="3"/>
  <c r="L715" i="7"/>
  <c r="L370" i="7"/>
  <c r="L205" i="7"/>
  <c r="N347" i="3"/>
  <c r="N182" i="3"/>
  <c r="J171" i="8"/>
  <c r="K292" i="3"/>
  <c r="K127" i="3"/>
  <c r="J231" i="8" s="1"/>
  <c r="L127" i="5"/>
  <c r="E154" i="8"/>
  <c r="F105" i="3"/>
  <c r="E214" i="8" s="1"/>
  <c r="F270" i="3"/>
  <c r="G105" i="5"/>
  <c r="M322" i="3"/>
  <c r="M157" i="3"/>
  <c r="N316" i="3"/>
  <c r="L625" i="7"/>
  <c r="L445" i="7"/>
  <c r="L280" i="7"/>
  <c r="L692" i="7"/>
  <c r="L512" i="7"/>
  <c r="L347" i="7"/>
  <c r="N326" i="3"/>
  <c r="L608" i="7"/>
  <c r="L428" i="7"/>
  <c r="L263" i="7"/>
  <c r="L686" i="7"/>
  <c r="L506" i="7"/>
  <c r="L341" i="7"/>
  <c r="N327" i="3"/>
  <c r="N162" i="3"/>
  <c r="N348" i="3"/>
  <c r="M152" i="8"/>
  <c r="N268" i="3"/>
  <c r="M175" i="8"/>
  <c r="N329" i="3"/>
  <c r="N113" i="3"/>
  <c r="M220" i="8" s="1"/>
  <c r="L159" i="8"/>
  <c r="M237" i="3"/>
  <c r="M72" i="3"/>
  <c r="N174" i="3"/>
  <c r="N386" i="3"/>
  <c r="N221" i="3"/>
  <c r="M694" i="7"/>
  <c r="M514" i="7"/>
  <c r="M349" i="7"/>
  <c r="L585" i="7"/>
  <c r="L405" i="7"/>
  <c r="L240" i="7"/>
  <c r="L75" i="7"/>
  <c r="L720" i="7"/>
  <c r="L375" i="7"/>
  <c r="L540" i="7"/>
  <c r="L210" i="7"/>
  <c r="L698" i="7"/>
  <c r="L518" i="7"/>
  <c r="L353" i="7"/>
  <c r="L582" i="7"/>
  <c r="L402" i="7"/>
  <c r="L237" i="7"/>
  <c r="L72" i="7"/>
  <c r="N204" i="3"/>
  <c r="M183" i="8"/>
  <c r="N309" i="3"/>
  <c r="N144" i="3"/>
  <c r="M243" i="8" s="1"/>
  <c r="D142" i="8"/>
  <c r="E256" i="3"/>
  <c r="L89" i="3"/>
  <c r="L404" i="3" s="1"/>
  <c r="F91" i="5"/>
  <c r="E91" i="3"/>
  <c r="N596" i="7"/>
  <c r="N251" i="7"/>
  <c r="J142" i="8"/>
  <c r="K256" i="3"/>
  <c r="K91" i="3"/>
  <c r="L91" i="5"/>
  <c r="H143" i="8"/>
  <c r="I257" i="3"/>
  <c r="I92" i="3"/>
  <c r="H203" i="8" s="1"/>
  <c r="D154" i="8"/>
  <c r="E270" i="3"/>
  <c r="E105" i="3"/>
  <c r="D214" i="8" s="1"/>
  <c r="F105" i="5"/>
  <c r="L165" i="8"/>
  <c r="M285" i="3"/>
  <c r="M120" i="3"/>
  <c r="L225" i="8" s="1"/>
  <c r="N376" i="3"/>
  <c r="L584" i="7"/>
  <c r="L404" i="7"/>
  <c r="L74" i="7"/>
  <c r="L239" i="7"/>
  <c r="N101" i="3"/>
  <c r="M210" i="8" s="1"/>
  <c r="L149" i="8"/>
  <c r="M265" i="3"/>
  <c r="M100" i="3"/>
  <c r="L209" i="8" s="1"/>
  <c r="N86" i="3"/>
  <c r="N251" i="3"/>
  <c r="M170" i="8"/>
  <c r="N291" i="3"/>
  <c r="N361" i="3"/>
  <c r="O325" i="3"/>
  <c r="N123" i="3"/>
  <c r="M255" i="3"/>
  <c r="N324" i="3"/>
  <c r="N159" i="3"/>
  <c r="L633" i="7"/>
  <c r="L453" i="7"/>
  <c r="L288" i="7"/>
  <c r="L700" i="7"/>
  <c r="L520" i="7"/>
  <c r="L355" i="7"/>
  <c r="M150" i="8"/>
  <c r="N266" i="3"/>
  <c r="L626" i="7"/>
  <c r="L446" i="7"/>
  <c r="L281" i="7"/>
  <c r="L116" i="7"/>
  <c r="L693" i="7"/>
  <c r="L513" i="7"/>
  <c r="L348" i="7"/>
  <c r="M176" i="8"/>
  <c r="N365" i="3"/>
  <c r="N200" i="3"/>
  <c r="M236" i="3"/>
  <c r="M208" i="3"/>
  <c r="M412" i="3" s="1"/>
  <c r="N175" i="3"/>
  <c r="M342" i="3"/>
  <c r="N169" i="3"/>
  <c r="L179" i="8"/>
  <c r="M304" i="3"/>
  <c r="M398" i="7"/>
  <c r="M668" i="7"/>
  <c r="M488" i="7"/>
  <c r="M323" i="7"/>
  <c r="M698" i="7"/>
  <c r="M518" i="7"/>
  <c r="M353" i="7"/>
  <c r="M729" i="7"/>
  <c r="M384" i="7"/>
  <c r="M549" i="7"/>
  <c r="O240" i="3"/>
  <c r="L694" i="7"/>
  <c r="L514" i="7"/>
  <c r="L349" i="7"/>
  <c r="L709" i="7"/>
  <c r="L529" i="7"/>
  <c r="L364" i="7"/>
  <c r="L199" i="7"/>
  <c r="L725" i="7"/>
  <c r="L545" i="7"/>
  <c r="L380" i="7"/>
  <c r="L215" i="7"/>
  <c r="N253" i="3"/>
  <c r="L728" i="7"/>
  <c r="L383" i="7"/>
  <c r="L548" i="7"/>
  <c r="L218" i="7"/>
  <c r="L331" i="7"/>
  <c r="G154" i="8"/>
  <c r="H270" i="3"/>
  <c r="H105" i="3"/>
  <c r="G214" i="8" s="1"/>
  <c r="I105" i="5"/>
  <c r="L708" i="7"/>
  <c r="L528" i="7"/>
  <c r="L363" i="7"/>
  <c r="L198" i="7"/>
  <c r="I142" i="8"/>
  <c r="J256" i="3"/>
  <c r="J91" i="3"/>
  <c r="G143" i="8"/>
  <c r="H257" i="3"/>
  <c r="H92" i="3"/>
  <c r="G203" i="8" s="1"/>
  <c r="H154" i="8"/>
  <c r="I270" i="3"/>
  <c r="I105" i="3"/>
  <c r="H214" i="8" s="1"/>
  <c r="J105" i="5"/>
  <c r="N597" i="7"/>
  <c r="N417" i="7"/>
  <c r="N252" i="7"/>
  <c r="N310" i="3"/>
  <c r="N145" i="3"/>
  <c r="N83" i="3"/>
  <c r="L667" i="7"/>
  <c r="L487" i="7"/>
  <c r="L322" i="7"/>
  <c r="M97" i="3"/>
  <c r="M262" i="3"/>
  <c r="L691" i="7"/>
  <c r="L511" i="7"/>
  <c r="L346" i="7"/>
  <c r="N379" i="3"/>
  <c r="M653" i="7"/>
  <c r="L641" i="7"/>
  <c r="L461" i="7"/>
  <c r="L296" i="7"/>
  <c r="L707" i="7"/>
  <c r="L527" i="7"/>
  <c r="L362" i="7"/>
  <c r="L197" i="7"/>
  <c r="N377" i="3"/>
  <c r="N212" i="3"/>
  <c r="M158" i="8"/>
  <c r="M181" i="8"/>
  <c r="N307" i="3"/>
  <c r="L701" i="7"/>
  <c r="L521" i="7"/>
  <c r="L356" i="7"/>
  <c r="N311" i="3"/>
  <c r="N146" i="3"/>
  <c r="N172" i="3"/>
  <c r="L78" i="7"/>
  <c r="M86" i="7"/>
  <c r="M320" i="3"/>
  <c r="M182" i="8"/>
  <c r="N308" i="3"/>
  <c r="N143" i="3"/>
  <c r="M242" i="8" s="1"/>
  <c r="O313" i="3"/>
  <c r="O323" i="3"/>
  <c r="L713" i="7"/>
  <c r="L533" i="7"/>
  <c r="L368" i="7"/>
  <c r="L203" i="7"/>
  <c r="K194" i="8"/>
  <c r="K193" i="8"/>
  <c r="K92" i="5"/>
  <c r="J92" i="5"/>
  <c r="I92" i="5"/>
  <c r="H92" i="5"/>
  <c r="G92" i="5"/>
  <c r="F92" i="5"/>
  <c r="M630" i="7" l="1"/>
  <c r="M540" i="7"/>
  <c r="M720" i="7"/>
  <c r="L128" i="2"/>
  <c r="M128" i="2" s="1"/>
  <c r="N128" i="2" s="1"/>
  <c r="O128" i="2" s="1"/>
  <c r="P128" i="2" s="1"/>
  <c r="Q128" i="2" s="1"/>
  <c r="R128" i="2" s="1"/>
  <c r="S128" i="2" s="1"/>
  <c r="T128" i="2" s="1"/>
  <c r="U128" i="2" s="1"/>
  <c r="V128" i="2" s="1"/>
  <c r="W128" i="2" s="1"/>
  <c r="X128" i="2" s="1"/>
  <c r="M375" i="7"/>
  <c r="I107" i="3"/>
  <c r="H216" i="8" s="1"/>
  <c r="H249" i="8" s="1"/>
  <c r="Q219" i="5"/>
  <c r="R219" i="5" s="1"/>
  <c r="S219" i="5" s="1"/>
  <c r="L107" i="2"/>
  <c r="M107" i="2" s="1"/>
  <c r="N107" i="2" s="1"/>
  <c r="O107" i="2" s="1"/>
  <c r="P107" i="2" s="1"/>
  <c r="Q107" i="2" s="1"/>
  <c r="R107" i="2" s="1"/>
  <c r="S107" i="2" s="1"/>
  <c r="T107" i="2" s="1"/>
  <c r="U107" i="2" s="1"/>
  <c r="V107" i="2" s="1"/>
  <c r="W107" i="2" s="1"/>
  <c r="X107" i="2" s="1"/>
  <c r="M702" i="7"/>
  <c r="M192" i="7"/>
  <c r="M522" i="7"/>
  <c r="M362" i="7"/>
  <c r="M521" i="7"/>
  <c r="M347" i="7"/>
  <c r="N355" i="7"/>
  <c r="S119" i="5"/>
  <c r="T119" i="5" s="1"/>
  <c r="U119" i="5" s="1"/>
  <c r="M360" i="7"/>
  <c r="M525" i="7"/>
  <c r="M692" i="7"/>
  <c r="M707" i="7"/>
  <c r="Q185" i="5"/>
  <c r="R185" i="5" s="1"/>
  <c r="Q172" i="5"/>
  <c r="R172" i="5" s="1"/>
  <c r="N725" i="7"/>
  <c r="N545" i="7"/>
  <c r="N380" i="7"/>
  <c r="M725" i="7"/>
  <c r="Q117" i="5"/>
  <c r="R117" i="5" s="1"/>
  <c r="M356" i="7"/>
  <c r="R134" i="5"/>
  <c r="S134" i="5" s="1"/>
  <c r="P215" i="5"/>
  <c r="Q215" i="5" s="1"/>
  <c r="M701" i="7"/>
  <c r="E156" i="8"/>
  <c r="E189" i="8" s="1"/>
  <c r="S220" i="5"/>
  <c r="T220" i="5" s="1"/>
  <c r="U220" i="5" s="1"/>
  <c r="L107" i="5"/>
  <c r="K437" i="7" s="1"/>
  <c r="G107" i="5"/>
  <c r="F617" i="7" s="1"/>
  <c r="M545" i="7"/>
  <c r="K107" i="3"/>
  <c r="J216" i="8" s="1"/>
  <c r="J249" i="8" s="1"/>
  <c r="M380" i="7"/>
  <c r="K272" i="3"/>
  <c r="K426" i="3" s="1"/>
  <c r="P120" i="5"/>
  <c r="Q120" i="5" s="1"/>
  <c r="O194" i="5"/>
  <c r="P194" i="5" s="1"/>
  <c r="Q187" i="5"/>
  <c r="R187" i="5" s="1"/>
  <c r="M530" i="7"/>
  <c r="R169" i="5"/>
  <c r="S169" i="5" s="1"/>
  <c r="Q207" i="5"/>
  <c r="R207" i="5" s="1"/>
  <c r="S207" i="5" s="1"/>
  <c r="T207" i="5" s="1"/>
  <c r="U207" i="5" s="1"/>
  <c r="V207" i="5" s="1"/>
  <c r="W207" i="5" s="1"/>
  <c r="O159" i="5"/>
  <c r="P159" i="5" s="1"/>
  <c r="O136" i="5"/>
  <c r="P136" i="5" s="1"/>
  <c r="Q136" i="5" s="1"/>
  <c r="Q116" i="5"/>
  <c r="R116" i="5" s="1"/>
  <c r="S180" i="5"/>
  <c r="T180" i="5" s="1"/>
  <c r="R193" i="5"/>
  <c r="S193" i="5" s="1"/>
  <c r="Q164" i="5"/>
  <c r="R164" i="5" s="1"/>
  <c r="Q182" i="5"/>
  <c r="R182" i="5" s="1"/>
  <c r="S182" i="5" s="1"/>
  <c r="R216" i="5"/>
  <c r="S216" i="5" s="1"/>
  <c r="P145" i="5"/>
  <c r="Q145" i="5" s="1"/>
  <c r="R145" i="5" s="1"/>
  <c r="P210" i="5"/>
  <c r="Q210" i="5" s="1"/>
  <c r="N375" i="7"/>
  <c r="N720" i="7"/>
  <c r="N540" i="7"/>
  <c r="Q158" i="5"/>
  <c r="R158" i="5" s="1"/>
  <c r="Q121" i="5"/>
  <c r="P205" i="5"/>
  <c r="Q205" i="5" s="1"/>
  <c r="M308" i="7"/>
  <c r="M91" i="5"/>
  <c r="M160" i="5"/>
  <c r="N160" i="5" s="1"/>
  <c r="O160" i="5" s="1"/>
  <c r="M108" i="5"/>
  <c r="N108" i="5" s="1"/>
  <c r="O108" i="5" s="1"/>
  <c r="M94" i="5"/>
  <c r="P165" i="5"/>
  <c r="Q165" i="5" s="1"/>
  <c r="P213" i="5"/>
  <c r="P162" i="5"/>
  <c r="Q162" i="5" s="1"/>
  <c r="O192" i="5"/>
  <c r="P192" i="5" s="1"/>
  <c r="O100" i="5"/>
  <c r="N430" i="7" s="1"/>
  <c r="Q98" i="5"/>
  <c r="R98" i="5" s="1"/>
  <c r="P204" i="5"/>
  <c r="Q204" i="5" s="1"/>
  <c r="R204" i="5" s="1"/>
  <c r="P184" i="5"/>
  <c r="P208" i="5"/>
  <c r="Q208" i="5" s="1"/>
  <c r="R208" i="5" s="1"/>
  <c r="S208" i="5" s="1"/>
  <c r="T208" i="5" s="1"/>
  <c r="O198" i="5"/>
  <c r="O173" i="5"/>
  <c r="P173" i="5" s="1"/>
  <c r="P188" i="5"/>
  <c r="Q188" i="5" s="1"/>
  <c r="R188" i="5" s="1"/>
  <c r="M473" i="7"/>
  <c r="M124" i="5"/>
  <c r="N124" i="5" s="1"/>
  <c r="M125" i="5"/>
  <c r="N125" i="5" s="1"/>
  <c r="M103" i="5"/>
  <c r="N103" i="5" s="1"/>
  <c r="O103" i="5" s="1"/>
  <c r="Q129" i="5"/>
  <c r="R129" i="5" s="1"/>
  <c r="S129" i="5" s="1"/>
  <c r="O197" i="5"/>
  <c r="N707" i="7" s="1"/>
  <c r="P201" i="5"/>
  <c r="O115" i="5"/>
  <c r="R166" i="5"/>
  <c r="S166" i="5" s="1"/>
  <c r="Q99" i="5"/>
  <c r="R99" i="5" s="1"/>
  <c r="S99" i="5" s="1"/>
  <c r="G426" i="3"/>
  <c r="M90" i="5"/>
  <c r="S163" i="5"/>
  <c r="P191" i="5"/>
  <c r="Q191" i="5" s="1"/>
  <c r="O146" i="5"/>
  <c r="P200" i="5"/>
  <c r="Q200" i="5" s="1"/>
  <c r="R200" i="5" s="1"/>
  <c r="Q190" i="5"/>
  <c r="O195" i="5"/>
  <c r="N525" i="7" s="1"/>
  <c r="O189" i="5"/>
  <c r="P189" i="5" s="1"/>
  <c r="Q189" i="5" s="1"/>
  <c r="R189" i="5" s="1"/>
  <c r="O168" i="5"/>
  <c r="P168" i="5" s="1"/>
  <c r="Q168" i="5" s="1"/>
  <c r="R168" i="5" s="1"/>
  <c r="S168" i="5" s="1"/>
  <c r="O110" i="5"/>
  <c r="O206" i="5"/>
  <c r="O203" i="5"/>
  <c r="P203" i="5" s="1"/>
  <c r="R221" i="5"/>
  <c r="S221" i="5" s="1"/>
  <c r="T221" i="5" s="1"/>
  <c r="U221" i="5" s="1"/>
  <c r="V221" i="5" s="1"/>
  <c r="W221" i="5" s="1"/>
  <c r="X221" i="5" s="1"/>
  <c r="Y221" i="5" s="1"/>
  <c r="P137" i="5"/>
  <c r="H426" i="3"/>
  <c r="M104" i="5"/>
  <c r="N104" i="5" s="1"/>
  <c r="O104" i="5" s="1"/>
  <c r="F426" i="3"/>
  <c r="M127" i="5"/>
  <c r="N127" i="5" s="1"/>
  <c r="M142" i="5"/>
  <c r="M161" i="5"/>
  <c r="N161" i="5" s="1"/>
  <c r="O161" i="5" s="1"/>
  <c r="M139" i="5"/>
  <c r="N139" i="5" s="1"/>
  <c r="M93" i="5"/>
  <c r="N93" i="5" s="1"/>
  <c r="O93" i="5" s="1"/>
  <c r="D172" i="8"/>
  <c r="D192" i="8" s="1"/>
  <c r="S109" i="5"/>
  <c r="Q171" i="5"/>
  <c r="O186" i="5"/>
  <c r="Q183" i="5"/>
  <c r="R131" i="5"/>
  <c r="S131" i="5" s="1"/>
  <c r="T131" i="5" s="1"/>
  <c r="U131" i="5" s="1"/>
  <c r="V131" i="5" s="1"/>
  <c r="W131" i="5" s="1"/>
  <c r="X131" i="5" s="1"/>
  <c r="P122" i="5"/>
  <c r="P202" i="5"/>
  <c r="M140" i="5"/>
  <c r="M102" i="5"/>
  <c r="N102" i="5" s="1"/>
  <c r="E272" i="3"/>
  <c r="E426" i="3" s="1"/>
  <c r="P175" i="5"/>
  <c r="P199" i="5"/>
  <c r="O709" i="7" s="1"/>
  <c r="R113" i="5"/>
  <c r="P118" i="5"/>
  <c r="S144" i="5"/>
  <c r="T144" i="5" s="1"/>
  <c r="U144" i="5" s="1"/>
  <c r="O126" i="5"/>
  <c r="P179" i="5"/>
  <c r="O689" i="7" s="1"/>
  <c r="P170" i="5"/>
  <c r="Q170" i="5" s="1"/>
  <c r="O196" i="5"/>
  <c r="P196" i="5" s="1"/>
  <c r="M106" i="5"/>
  <c r="N106" i="5" s="1"/>
  <c r="O106" i="5" s="1"/>
  <c r="O157" i="5"/>
  <c r="P157" i="5" s="1"/>
  <c r="Q157" i="5" s="1"/>
  <c r="R167" i="5"/>
  <c r="Q97" i="5"/>
  <c r="P212" i="5"/>
  <c r="P174" i="5"/>
  <c r="O339" i="7" s="1"/>
  <c r="Q114" i="5"/>
  <c r="M105" i="5"/>
  <c r="O143" i="5"/>
  <c r="P143" i="5" s="1"/>
  <c r="M92" i="5"/>
  <c r="M141" i="5"/>
  <c r="M95" i="5"/>
  <c r="N95" i="5" s="1"/>
  <c r="O95" i="5" s="1"/>
  <c r="R217" i="5"/>
  <c r="S217" i="5" s="1"/>
  <c r="O181" i="5"/>
  <c r="P181" i="5" s="1"/>
  <c r="O211" i="5"/>
  <c r="P101" i="5"/>
  <c r="O611" i="7" s="1"/>
  <c r="P209" i="5"/>
  <c r="Q130" i="5"/>
  <c r="P123" i="5"/>
  <c r="O214" i="5"/>
  <c r="P214" i="5" s="1"/>
  <c r="Q214" i="5" s="1"/>
  <c r="O138" i="5"/>
  <c r="P176" i="5"/>
  <c r="R218" i="5"/>
  <c r="S218" i="5" s="1"/>
  <c r="T218" i="5" s="1"/>
  <c r="U218" i="5" s="1"/>
  <c r="V218" i="5" s="1"/>
  <c r="W218" i="5" s="1"/>
  <c r="X218" i="5" s="1"/>
  <c r="Y218" i="5" s="1"/>
  <c r="E172" i="8"/>
  <c r="E192" i="8" s="1"/>
  <c r="L128" i="5"/>
  <c r="K638" i="7" s="1"/>
  <c r="G128" i="5"/>
  <c r="F293" i="7" s="1"/>
  <c r="K128" i="3"/>
  <c r="J232" i="8" s="1"/>
  <c r="F293" i="3"/>
  <c r="F427" i="3" s="1"/>
  <c r="K293" i="3"/>
  <c r="K427" i="3" s="1"/>
  <c r="J272" i="3"/>
  <c r="J426" i="3" s="1"/>
  <c r="K107" i="5"/>
  <c r="J107" i="7" s="1"/>
  <c r="I272" i="3"/>
  <c r="I426" i="3" s="1"/>
  <c r="J107" i="3"/>
  <c r="I216" i="8" s="1"/>
  <c r="I249" i="8" s="1"/>
  <c r="H156" i="8"/>
  <c r="H189" i="8" s="1"/>
  <c r="W415" i="7"/>
  <c r="X84" i="7"/>
  <c r="F107" i="5"/>
  <c r="E107" i="3"/>
  <c r="D216" i="8" s="1"/>
  <c r="D249" i="8" s="1"/>
  <c r="W85" i="7"/>
  <c r="F156" i="8"/>
  <c r="F189" i="8" s="1"/>
  <c r="E128" i="3"/>
  <c r="D232" i="8" s="1"/>
  <c r="I107" i="5"/>
  <c r="H617" i="7" s="1"/>
  <c r="G156" i="8"/>
  <c r="G189" i="8" s="1"/>
  <c r="D156" i="8"/>
  <c r="D189" i="8" s="1"/>
  <c r="G107" i="3"/>
  <c r="F216" i="8" s="1"/>
  <c r="F249" i="8" s="1"/>
  <c r="H107" i="5"/>
  <c r="G617" i="7" s="1"/>
  <c r="F107" i="3"/>
  <c r="E216" i="8" s="1"/>
  <c r="E249" i="8" s="1"/>
  <c r="G128" i="3"/>
  <c r="F232" i="8" s="1"/>
  <c r="H107" i="3"/>
  <c r="G216" i="8" s="1"/>
  <c r="G249" i="8" s="1"/>
  <c r="F128" i="5"/>
  <c r="E293" i="3"/>
  <c r="E427" i="3" s="1"/>
  <c r="I128" i="5"/>
  <c r="H128" i="7" s="1"/>
  <c r="H128" i="3"/>
  <c r="G232" i="8" s="1"/>
  <c r="H293" i="3"/>
  <c r="H427" i="3" s="1"/>
  <c r="I293" i="3"/>
  <c r="I427" i="3" s="1"/>
  <c r="J293" i="3"/>
  <c r="J427" i="3" s="1"/>
  <c r="H172" i="8"/>
  <c r="H192" i="8" s="1"/>
  <c r="I172" i="8"/>
  <c r="I192" i="8" s="1"/>
  <c r="J128" i="5"/>
  <c r="I638" i="7" s="1"/>
  <c r="K128" i="5"/>
  <c r="J638" i="7" s="1"/>
  <c r="F172" i="8"/>
  <c r="F192" i="8" s="1"/>
  <c r="H128" i="5"/>
  <c r="G638" i="7" s="1"/>
  <c r="F126" i="7"/>
  <c r="M112" i="7"/>
  <c r="F123" i="7"/>
  <c r="G123" i="7"/>
  <c r="M136" i="7"/>
  <c r="K138" i="7"/>
  <c r="K126" i="7"/>
  <c r="G101" i="7"/>
  <c r="I123" i="7"/>
  <c r="W132" i="7"/>
  <c r="W463" i="7"/>
  <c r="W643" i="7"/>
  <c r="W298" i="7"/>
  <c r="J123" i="7"/>
  <c r="K101" i="7"/>
  <c r="H123" i="7"/>
  <c r="N96" i="7"/>
  <c r="X276" i="7"/>
  <c r="X111" i="7"/>
  <c r="X441" i="7"/>
  <c r="X621" i="7"/>
  <c r="G126" i="7"/>
  <c r="M133" i="7"/>
  <c r="M137" i="7"/>
  <c r="M464" i="7"/>
  <c r="M135" i="7"/>
  <c r="X300" i="7"/>
  <c r="X645" i="7"/>
  <c r="W571" i="7"/>
  <c r="W61" i="7"/>
  <c r="W749" i="7" s="1"/>
  <c r="X411" i="7"/>
  <c r="X81" i="7"/>
  <c r="X246" i="7"/>
  <c r="W227" i="7"/>
  <c r="W770" i="7" s="1"/>
  <c r="M331" i="7"/>
  <c r="M424" i="3"/>
  <c r="E202" i="8"/>
  <c r="E248" i="8" s="1"/>
  <c r="D202" i="8"/>
  <c r="D248" i="8" s="1"/>
  <c r="F202" i="8"/>
  <c r="F248" i="8" s="1"/>
  <c r="G202" i="8"/>
  <c r="G248" i="8" s="1"/>
  <c r="I406" i="3"/>
  <c r="J406" i="3"/>
  <c r="J202" i="8"/>
  <c r="J248" i="8" s="1"/>
  <c r="F406" i="3"/>
  <c r="G427" i="3"/>
  <c r="I202" i="8"/>
  <c r="I248" i="8" s="1"/>
  <c r="M431" i="3"/>
  <c r="H202" i="8"/>
  <c r="H248" i="8" s="1"/>
  <c r="D228" i="8"/>
  <c r="M339" i="7"/>
  <c r="M302" i="7"/>
  <c r="M498" i="7"/>
  <c r="M678" i="7"/>
  <c r="M680" i="7"/>
  <c r="M500" i="7"/>
  <c r="M677" i="7"/>
  <c r="M497" i="7"/>
  <c r="O331" i="7"/>
  <c r="N676" i="7"/>
  <c r="N496" i="7"/>
  <c r="N684" i="7"/>
  <c r="N504" i="7"/>
  <c r="M679" i="7"/>
  <c r="M499" i="7"/>
  <c r="N685" i="7"/>
  <c r="N505" i="7"/>
  <c r="M683" i="7"/>
  <c r="M503" i="7"/>
  <c r="M676" i="7"/>
  <c r="M496" i="7"/>
  <c r="M502" i="7"/>
  <c r="M682" i="7"/>
  <c r="M685" i="7"/>
  <c r="M505" i="7"/>
  <c r="M684" i="7"/>
  <c r="M504" i="7"/>
  <c r="N336" i="7"/>
  <c r="M681" i="7"/>
  <c r="M501" i="7"/>
  <c r="I228" i="8"/>
  <c r="X85" i="3"/>
  <c r="X250" i="3"/>
  <c r="X301" i="3"/>
  <c r="X136" i="3"/>
  <c r="L227" i="8"/>
  <c r="E228" i="8"/>
  <c r="G228" i="8"/>
  <c r="N647" i="7"/>
  <c r="M227" i="8"/>
  <c r="F228" i="8"/>
  <c r="X131" i="3"/>
  <c r="X296" i="3"/>
  <c r="H228" i="8"/>
  <c r="J228" i="8"/>
  <c r="X299" i="3"/>
  <c r="X134" i="3"/>
  <c r="M134" i="7"/>
  <c r="M131" i="7"/>
  <c r="X61" i="3"/>
  <c r="X402" i="3" s="1"/>
  <c r="W589" i="7"/>
  <c r="W244" i="7"/>
  <c r="N538" i="7"/>
  <c r="N801" i="7" s="1"/>
  <c r="M538" i="7"/>
  <c r="M801" i="7" s="1"/>
  <c r="W248" i="7"/>
  <c r="W83" i="7"/>
  <c r="W413" i="7"/>
  <c r="W593" i="7"/>
  <c r="M535" i="7"/>
  <c r="X416" i="7"/>
  <c r="W416" i="7"/>
  <c r="X245" i="7"/>
  <c r="X410" i="7"/>
  <c r="X590" i="7"/>
  <c r="X80" i="7"/>
  <c r="M537" i="7"/>
  <c r="N623" i="7"/>
  <c r="X82" i="7"/>
  <c r="F100" i="7"/>
  <c r="E114" i="7"/>
  <c r="E115" i="7"/>
  <c r="I100" i="7"/>
  <c r="K100" i="7"/>
  <c r="G114" i="7"/>
  <c r="G115" i="7"/>
  <c r="J114" i="7"/>
  <c r="J115" i="7"/>
  <c r="K110" i="7"/>
  <c r="I101" i="7"/>
  <c r="I114" i="7"/>
  <c r="I115" i="7"/>
  <c r="K114" i="7"/>
  <c r="K115" i="7"/>
  <c r="H101" i="7"/>
  <c r="E167" i="7"/>
  <c r="E168" i="7"/>
  <c r="H114" i="7"/>
  <c r="H115" i="7"/>
  <c r="F114" i="7"/>
  <c r="F115" i="7"/>
  <c r="J101" i="7"/>
  <c r="G98" i="7"/>
  <c r="I110" i="7"/>
  <c r="J100" i="7"/>
  <c r="J110" i="7"/>
  <c r="I166" i="7"/>
  <c r="I167" i="7"/>
  <c r="J98" i="7"/>
  <c r="H166" i="7"/>
  <c r="H167" i="7"/>
  <c r="J166" i="7"/>
  <c r="J167" i="7"/>
  <c r="F110" i="7"/>
  <c r="H110" i="7"/>
  <c r="F166" i="7"/>
  <c r="F167" i="7"/>
  <c r="G166" i="7"/>
  <c r="G167" i="7"/>
  <c r="H100" i="7"/>
  <c r="I98" i="7"/>
  <c r="K143" i="7"/>
  <c r="I129" i="7"/>
  <c r="F129" i="7"/>
  <c r="J129" i="7"/>
  <c r="G142" i="7"/>
  <c r="I126" i="7"/>
  <c r="J126" i="7"/>
  <c r="G129" i="7"/>
  <c r="H129" i="7"/>
  <c r="G110" i="7"/>
  <c r="F98" i="7"/>
  <c r="N668" i="7"/>
  <c r="N364" i="7"/>
  <c r="N611" i="7"/>
  <c r="M532" i="7"/>
  <c r="M446" i="7"/>
  <c r="N488" i="7"/>
  <c r="M329" i="7"/>
  <c r="M278" i="7"/>
  <c r="M443" i="7"/>
  <c r="N729" i="7"/>
  <c r="M494" i="7"/>
  <c r="M674" i="7"/>
  <c r="M623" i="7"/>
  <c r="N339" i="7"/>
  <c r="M346" i="7"/>
  <c r="M379" i="7"/>
  <c r="M218" i="7"/>
  <c r="M383" i="7"/>
  <c r="M263" i="7"/>
  <c r="N331" i="7"/>
  <c r="M548" i="7"/>
  <c r="M428" i="7"/>
  <c r="M728" i="7"/>
  <c r="U107" i="14"/>
  <c r="V134" i="14"/>
  <c r="V107" i="14" s="1"/>
  <c r="Q80" i="14"/>
  <c r="S66" i="4" s="1"/>
  <c r="T50" i="14"/>
  <c r="V63" i="4" s="1"/>
  <c r="Q70" i="14"/>
  <c r="S65" i="4" s="1"/>
  <c r="T100" i="14"/>
  <c r="V68" i="4" s="1"/>
  <c r="T90" i="14"/>
  <c r="V67" i="4" s="1"/>
  <c r="T80" i="14"/>
  <c r="V66" i="4" s="1"/>
  <c r="Q100" i="14"/>
  <c r="S68" i="4" s="1"/>
  <c r="T70" i="14"/>
  <c r="V65" i="4" s="1"/>
  <c r="T60" i="14"/>
  <c r="V64" i="4" s="1"/>
  <c r="Q90" i="14"/>
  <c r="S67" i="4" s="1"/>
  <c r="M534" i="7"/>
  <c r="N714" i="7"/>
  <c r="M714" i="7"/>
  <c r="M517" i="7"/>
  <c r="N369" i="7"/>
  <c r="M367" i="7"/>
  <c r="N520" i="7"/>
  <c r="N549" i="7"/>
  <c r="N529" i="7"/>
  <c r="N709" i="7"/>
  <c r="M369" i="7"/>
  <c r="N384" i="7"/>
  <c r="N323" i="7"/>
  <c r="M511" i="7"/>
  <c r="M376" i="7"/>
  <c r="M266" i="7"/>
  <c r="M541" i="7"/>
  <c r="M431" i="7"/>
  <c r="M611" i="7"/>
  <c r="N266" i="7"/>
  <c r="M697" i="7"/>
  <c r="M377" i="7"/>
  <c r="M724" i="7"/>
  <c r="M542" i="7"/>
  <c r="M722" i="7"/>
  <c r="M214" i="7"/>
  <c r="M212" i="7"/>
  <c r="M544" i="7"/>
  <c r="N728" i="7"/>
  <c r="N548" i="7"/>
  <c r="N383" i="7"/>
  <c r="N700" i="7"/>
  <c r="M626" i="7"/>
  <c r="M368" i="7"/>
  <c r="M533" i="7"/>
  <c r="M713" i="7"/>
  <c r="M284" i="7"/>
  <c r="M281" i="7"/>
  <c r="O668" i="7"/>
  <c r="O714" i="7"/>
  <c r="N509" i="7"/>
  <c r="N689" i="7"/>
  <c r="E100" i="7"/>
  <c r="M710" i="7"/>
  <c r="E110" i="7"/>
  <c r="E98" i="7"/>
  <c r="L110" i="7"/>
  <c r="M361" i="7"/>
  <c r="M196" i="7"/>
  <c r="M526" i="7"/>
  <c r="M341" i="7"/>
  <c r="N429" i="7"/>
  <c r="N345" i="7"/>
  <c r="N624" i="7"/>
  <c r="M706" i="7"/>
  <c r="M506" i="7"/>
  <c r="N697" i="7"/>
  <c r="M365" i="7"/>
  <c r="M686" i="7"/>
  <c r="E138" i="7"/>
  <c r="L100" i="7"/>
  <c r="E101" i="7"/>
  <c r="E118" i="7"/>
  <c r="E91" i="7"/>
  <c r="N227" i="3"/>
  <c r="M77" i="7"/>
  <c r="N118" i="3"/>
  <c r="I171" i="7"/>
  <c r="I138" i="7"/>
  <c r="F169" i="7"/>
  <c r="G169" i="7"/>
  <c r="H171" i="7"/>
  <c r="H138" i="7"/>
  <c r="M78" i="7"/>
  <c r="E169" i="7"/>
  <c r="K169" i="7"/>
  <c r="F171" i="7"/>
  <c r="F138" i="7"/>
  <c r="E123" i="7"/>
  <c r="G171" i="7"/>
  <c r="G138" i="7"/>
  <c r="K123" i="7"/>
  <c r="H600" i="7"/>
  <c r="H90" i="7"/>
  <c r="H420" i="7"/>
  <c r="H255" i="7"/>
  <c r="K235" i="8"/>
  <c r="L126" i="3"/>
  <c r="K230" i="8" s="1"/>
  <c r="L88" i="7"/>
  <c r="E600" i="7"/>
  <c r="E90" i="7"/>
  <c r="E420" i="7"/>
  <c r="E255" i="7"/>
  <c r="K267" i="7"/>
  <c r="K102" i="7"/>
  <c r="K612" i="7"/>
  <c r="K432" i="7"/>
  <c r="G254" i="7"/>
  <c r="G772" i="7" s="1"/>
  <c r="G89" i="7"/>
  <c r="G751" i="7" s="1"/>
  <c r="G599" i="7"/>
  <c r="G814" i="7" s="1"/>
  <c r="G419" i="7"/>
  <c r="G793" i="7" s="1"/>
  <c r="F600" i="7"/>
  <c r="F420" i="7"/>
  <c r="F255" i="7"/>
  <c r="F90" i="7"/>
  <c r="I254" i="7"/>
  <c r="I772" i="7" s="1"/>
  <c r="I89" i="7"/>
  <c r="I751" i="7" s="1"/>
  <c r="I419" i="7"/>
  <c r="I793" i="7" s="1"/>
  <c r="I599" i="7"/>
  <c r="I814" i="7" s="1"/>
  <c r="I612" i="7"/>
  <c r="I432" i="7"/>
  <c r="I102" i="7"/>
  <c r="I267" i="7"/>
  <c r="J267" i="7"/>
  <c r="J612" i="7"/>
  <c r="J432" i="7"/>
  <c r="J102" i="7"/>
  <c r="J599" i="7"/>
  <c r="J814" i="7" s="1"/>
  <c r="J419" i="7"/>
  <c r="J793" i="7" s="1"/>
  <c r="J254" i="7"/>
  <c r="J772" i="7" s="1"/>
  <c r="J89" i="7"/>
  <c r="J751" i="7" s="1"/>
  <c r="G255" i="7"/>
  <c r="G90" i="7"/>
  <c r="G420" i="7"/>
  <c r="G600" i="7"/>
  <c r="F613" i="7"/>
  <c r="F433" i="7"/>
  <c r="F268" i="7"/>
  <c r="F103" i="7"/>
  <c r="K613" i="7"/>
  <c r="K433" i="7"/>
  <c r="K268" i="7"/>
  <c r="K103" i="7"/>
  <c r="F612" i="7"/>
  <c r="F432" i="7"/>
  <c r="F267" i="7"/>
  <c r="F102" i="7"/>
  <c r="N81" i="3"/>
  <c r="L139" i="3"/>
  <c r="K239" i="8" s="1"/>
  <c r="L102" i="3"/>
  <c r="K211" i="8" s="1"/>
  <c r="K600" i="7"/>
  <c r="K420" i="7"/>
  <c r="K90" i="7"/>
  <c r="K255" i="7"/>
  <c r="E612" i="7"/>
  <c r="E432" i="7"/>
  <c r="E102" i="7"/>
  <c r="E267" i="7"/>
  <c r="G102" i="7"/>
  <c r="G612" i="7"/>
  <c r="G432" i="7"/>
  <c r="G267" i="7"/>
  <c r="L95" i="3"/>
  <c r="K206" i="8" s="1"/>
  <c r="L90" i="3"/>
  <c r="G613" i="7"/>
  <c r="G433" i="7"/>
  <c r="G268" i="7"/>
  <c r="G103" i="7"/>
  <c r="N211" i="3"/>
  <c r="I613" i="7"/>
  <c r="I433" i="7"/>
  <c r="I268" i="7"/>
  <c r="I103" i="7"/>
  <c r="K419" i="7"/>
  <c r="K793" i="7" s="1"/>
  <c r="K254" i="7"/>
  <c r="K772" i="7" s="1"/>
  <c r="K599" i="7"/>
  <c r="K814" i="7" s="1"/>
  <c r="K89" i="7"/>
  <c r="K751" i="7" s="1"/>
  <c r="H419" i="7"/>
  <c r="H793" i="7" s="1"/>
  <c r="H89" i="7"/>
  <c r="H751" i="7" s="1"/>
  <c r="H254" i="7"/>
  <c r="H772" i="7" s="1"/>
  <c r="H599" i="7"/>
  <c r="H814" i="7" s="1"/>
  <c r="I600" i="7"/>
  <c r="I420" i="7"/>
  <c r="I255" i="7"/>
  <c r="I90" i="7"/>
  <c r="E268" i="7"/>
  <c r="E103" i="7"/>
  <c r="E613" i="7"/>
  <c r="E433" i="7"/>
  <c r="J600" i="7"/>
  <c r="J420" i="7"/>
  <c r="J90" i="7"/>
  <c r="J255" i="7"/>
  <c r="H433" i="7"/>
  <c r="H268" i="7"/>
  <c r="H613" i="7"/>
  <c r="H103" i="7"/>
  <c r="E89" i="7"/>
  <c r="E751" i="7" s="1"/>
  <c r="E419" i="7"/>
  <c r="E793" i="7" s="1"/>
  <c r="E254" i="7"/>
  <c r="E772" i="7" s="1"/>
  <c r="E599" i="7"/>
  <c r="E814" i="7" s="1"/>
  <c r="L87" i="7"/>
  <c r="H612" i="7"/>
  <c r="H432" i="7"/>
  <c r="H267" i="7"/>
  <c r="H102" i="7"/>
  <c r="L140" i="3"/>
  <c r="K240" i="8" s="1"/>
  <c r="L103" i="3"/>
  <c r="K212" i="8" s="1"/>
  <c r="F599" i="7"/>
  <c r="F814" i="7" s="1"/>
  <c r="F419" i="7"/>
  <c r="F793" i="7" s="1"/>
  <c r="F89" i="7"/>
  <c r="F751" i="7" s="1"/>
  <c r="F254" i="7"/>
  <c r="F772" i="7" s="1"/>
  <c r="J103" i="7"/>
  <c r="J268" i="7"/>
  <c r="J613" i="7"/>
  <c r="J433" i="7"/>
  <c r="N217" i="3"/>
  <c r="N219" i="3"/>
  <c r="N215" i="3"/>
  <c r="M372" i="7"/>
  <c r="N201" i="3"/>
  <c r="N209" i="3"/>
  <c r="O235" i="3"/>
  <c r="N197" i="3"/>
  <c r="M204" i="7"/>
  <c r="N380" i="3"/>
  <c r="M327" i="7"/>
  <c r="N382" i="3"/>
  <c r="O252" i="7"/>
  <c r="N198" i="3"/>
  <c r="N363" i="3"/>
  <c r="M211" i="7"/>
  <c r="M203" i="7"/>
  <c r="N206" i="3"/>
  <c r="N411" i="3" s="1"/>
  <c r="G253" i="8"/>
  <c r="N378" i="3"/>
  <c r="M337" i="7"/>
  <c r="L251" i="8"/>
  <c r="E253" i="8"/>
  <c r="M492" i="7"/>
  <c r="M672" i="7"/>
  <c r="N327" i="7"/>
  <c r="N205" i="3"/>
  <c r="N492" i="7"/>
  <c r="N191" i="3"/>
  <c r="N213" i="3"/>
  <c r="N183" i="3"/>
  <c r="H253" i="8"/>
  <c r="N184" i="3"/>
  <c r="M250" i="8"/>
  <c r="N207" i="3"/>
  <c r="D253" i="8"/>
  <c r="I253" i="8"/>
  <c r="J253" i="8"/>
  <c r="O366" i="3"/>
  <c r="F253" i="8"/>
  <c r="N362" i="3"/>
  <c r="M624" i="7"/>
  <c r="M524" i="7"/>
  <c r="M704" i="7"/>
  <c r="M194" i="7"/>
  <c r="O417" i="7"/>
  <c r="M359" i="7"/>
  <c r="E109" i="7"/>
  <c r="E113" i="7"/>
  <c r="J109" i="7"/>
  <c r="J113" i="7"/>
  <c r="G109" i="7"/>
  <c r="G113" i="7"/>
  <c r="K97" i="7"/>
  <c r="K99" i="7"/>
  <c r="F97" i="7"/>
  <c r="F99" i="7"/>
  <c r="I109" i="7"/>
  <c r="I113" i="7"/>
  <c r="G97" i="7"/>
  <c r="G99" i="7"/>
  <c r="I97" i="7"/>
  <c r="I99" i="7"/>
  <c r="M647" i="7"/>
  <c r="M199" i="7"/>
  <c r="H109" i="7"/>
  <c r="H113" i="7"/>
  <c r="K109" i="7"/>
  <c r="K113" i="7"/>
  <c r="J97" i="7"/>
  <c r="J99" i="7"/>
  <c r="F109" i="7"/>
  <c r="F113" i="7"/>
  <c r="H97" i="7"/>
  <c r="H99" i="7"/>
  <c r="M220" i="7"/>
  <c r="E97" i="7"/>
  <c r="E99" i="7"/>
  <c r="M726" i="7"/>
  <c r="E144" i="7"/>
  <c r="E129" i="7"/>
  <c r="K144" i="7"/>
  <c r="K129" i="7"/>
  <c r="M74" i="7"/>
  <c r="M197" i="7"/>
  <c r="H108" i="7"/>
  <c r="I108" i="7"/>
  <c r="G94" i="7"/>
  <c r="G260" i="7"/>
  <c r="G605" i="7"/>
  <c r="G95" i="7"/>
  <c r="G425" i="7"/>
  <c r="I260" i="7"/>
  <c r="I95" i="7"/>
  <c r="I425" i="7"/>
  <c r="I605" i="7"/>
  <c r="K108" i="7"/>
  <c r="I94" i="7"/>
  <c r="E605" i="7"/>
  <c r="E95" i="7"/>
  <c r="E425" i="7"/>
  <c r="E260" i="7"/>
  <c r="F94" i="7"/>
  <c r="J605" i="7"/>
  <c r="J425" i="7"/>
  <c r="J260" i="7"/>
  <c r="J95" i="7"/>
  <c r="F108" i="7"/>
  <c r="N196" i="3"/>
  <c r="L124" i="3"/>
  <c r="L94" i="3"/>
  <c r="K205" i="8" s="1"/>
  <c r="L160" i="3"/>
  <c r="K234" i="8"/>
  <c r="H94" i="7"/>
  <c r="H425" i="7"/>
  <c r="H260" i="7"/>
  <c r="H95" i="7"/>
  <c r="H605" i="7"/>
  <c r="K604" i="7"/>
  <c r="K424" i="7"/>
  <c r="K259" i="7"/>
  <c r="K94" i="7"/>
  <c r="N158" i="3"/>
  <c r="L141" i="3"/>
  <c r="L109" i="3"/>
  <c r="K218" i="8" s="1"/>
  <c r="G108" i="7"/>
  <c r="E108" i="7"/>
  <c r="N88" i="3"/>
  <c r="K605" i="7"/>
  <c r="K425" i="7"/>
  <c r="K95" i="7"/>
  <c r="K260" i="7"/>
  <c r="J108" i="7"/>
  <c r="J94" i="7"/>
  <c r="E94" i="7"/>
  <c r="M467" i="7"/>
  <c r="F425" i="7"/>
  <c r="F260" i="7"/>
  <c r="F605" i="7"/>
  <c r="F95" i="7"/>
  <c r="H258" i="7"/>
  <c r="H93" i="7"/>
  <c r="H423" i="7"/>
  <c r="H603" i="7"/>
  <c r="L142" i="3"/>
  <c r="K241" i="8" s="1"/>
  <c r="K254" i="8" s="1"/>
  <c r="L108" i="3"/>
  <c r="K217" i="8" s="1"/>
  <c r="F258" i="7"/>
  <c r="F93" i="7"/>
  <c r="F603" i="7"/>
  <c r="F423" i="7"/>
  <c r="I258" i="7"/>
  <c r="I603" i="7"/>
  <c r="I93" i="7"/>
  <c r="I423" i="7"/>
  <c r="N515" i="7"/>
  <c r="G603" i="7"/>
  <c r="G423" i="7"/>
  <c r="G93" i="7"/>
  <c r="G258" i="7"/>
  <c r="L161" i="3"/>
  <c r="K233" i="8"/>
  <c r="J93" i="7"/>
  <c r="J258" i="7"/>
  <c r="J603" i="7"/>
  <c r="J423" i="7"/>
  <c r="M695" i="7"/>
  <c r="L125" i="3"/>
  <c r="K229" i="8" s="1"/>
  <c r="L93" i="3"/>
  <c r="K204" i="8" s="1"/>
  <c r="N121" i="3"/>
  <c r="M226" i="8" s="1"/>
  <c r="K603" i="7"/>
  <c r="K423" i="7"/>
  <c r="K258" i="7"/>
  <c r="K93" i="7"/>
  <c r="E603" i="7"/>
  <c r="E423" i="7"/>
  <c r="E258" i="7"/>
  <c r="E93" i="7"/>
  <c r="N395" i="7"/>
  <c r="N695" i="7"/>
  <c r="M264" i="7"/>
  <c r="M429" i="7"/>
  <c r="N518" i="7"/>
  <c r="O323" i="7"/>
  <c r="M609" i="7"/>
  <c r="N353" i="7"/>
  <c r="O488" i="7"/>
  <c r="M350" i="7"/>
  <c r="E126" i="7"/>
  <c r="M515" i="7"/>
  <c r="K118" i="7"/>
  <c r="K172" i="7"/>
  <c r="J169" i="7"/>
  <c r="J171" i="7"/>
  <c r="M456" i="7"/>
  <c r="N546" i="7"/>
  <c r="N654" i="7"/>
  <c r="N523" i="7"/>
  <c r="M217" i="7"/>
  <c r="O348" i="7"/>
  <c r="M547" i="7"/>
  <c r="O329" i="7"/>
  <c r="M382" i="7"/>
  <c r="M727" i="7"/>
  <c r="N719" i="7"/>
  <c r="N547" i="7"/>
  <c r="N450" i="7"/>
  <c r="O582" i="7"/>
  <c r="O446" i="7"/>
  <c r="N727" i="7"/>
  <c r="M636" i="7"/>
  <c r="N358" i="7"/>
  <c r="N703" i="7"/>
  <c r="M193" i="7"/>
  <c r="M406" i="7"/>
  <c r="M72" i="7"/>
  <c r="M381" i="7"/>
  <c r="I142" i="7"/>
  <c r="I170" i="7"/>
  <c r="I169" i="7"/>
  <c r="M546" i="7"/>
  <c r="M202" i="7"/>
  <c r="J189" i="7"/>
  <c r="J188" i="7"/>
  <c r="K189" i="7"/>
  <c r="K188" i="7"/>
  <c r="M215" i="7"/>
  <c r="H189" i="7"/>
  <c r="H188" i="7"/>
  <c r="J142" i="7"/>
  <c r="I189" i="7"/>
  <c r="I188" i="7"/>
  <c r="H142" i="7"/>
  <c r="E172" i="7"/>
  <c r="F142" i="7"/>
  <c r="E171" i="7"/>
  <c r="G189" i="7"/>
  <c r="G188" i="7"/>
  <c r="H170" i="7"/>
  <c r="H169" i="7"/>
  <c r="N726" i="7"/>
  <c r="M116" i="7"/>
  <c r="K171" i="7"/>
  <c r="F189" i="7"/>
  <c r="F188" i="7"/>
  <c r="E189" i="7"/>
  <c r="E188" i="7"/>
  <c r="M210" i="7"/>
  <c r="N217" i="7"/>
  <c r="J170" i="7"/>
  <c r="H141" i="7"/>
  <c r="J141" i="7"/>
  <c r="H602" i="7"/>
  <c r="H126" i="7"/>
  <c r="M219" i="7"/>
  <c r="M711" i="7"/>
  <c r="F141" i="7"/>
  <c r="G170" i="7"/>
  <c r="E143" i="7"/>
  <c r="G141" i="7"/>
  <c r="F170" i="7"/>
  <c r="K170" i="7"/>
  <c r="E170" i="7"/>
  <c r="I141" i="7"/>
  <c r="K122" i="7"/>
  <c r="M586" i="7"/>
  <c r="I121" i="7"/>
  <c r="J120" i="7"/>
  <c r="F143" i="7"/>
  <c r="J421" i="7"/>
  <c r="J118" i="7"/>
  <c r="H143" i="7"/>
  <c r="F120" i="7"/>
  <c r="G144" i="7"/>
  <c r="F122" i="7"/>
  <c r="H122" i="7"/>
  <c r="E119" i="7"/>
  <c r="E130" i="7"/>
  <c r="J143" i="7"/>
  <c r="E120" i="7"/>
  <c r="E131" i="7"/>
  <c r="M216" i="7"/>
  <c r="N381" i="7"/>
  <c r="H121" i="7"/>
  <c r="E122" i="7"/>
  <c r="G119" i="7"/>
  <c r="G130" i="7"/>
  <c r="K121" i="7"/>
  <c r="H119" i="7"/>
  <c r="H130" i="7"/>
  <c r="I144" i="7"/>
  <c r="F121" i="7"/>
  <c r="F144" i="7"/>
  <c r="J119" i="7"/>
  <c r="J130" i="7"/>
  <c r="E166" i="7"/>
  <c r="K166" i="7"/>
  <c r="E165" i="7"/>
  <c r="G121" i="7"/>
  <c r="M209" i="7"/>
  <c r="M358" i="7"/>
  <c r="J121" i="7"/>
  <c r="M444" i="7"/>
  <c r="E164" i="7"/>
  <c r="M195" i="7"/>
  <c r="M523" i="7"/>
  <c r="G122" i="7"/>
  <c r="I120" i="7"/>
  <c r="M703" i="7"/>
  <c r="J122" i="7"/>
  <c r="K120" i="7"/>
  <c r="G143" i="7"/>
  <c r="H120" i="7"/>
  <c r="M241" i="7"/>
  <c r="M187" i="7"/>
  <c r="G120" i="7"/>
  <c r="I143" i="7"/>
  <c r="H144" i="7"/>
  <c r="I122" i="7"/>
  <c r="I119" i="7"/>
  <c r="I130" i="7"/>
  <c r="K119" i="7"/>
  <c r="K130" i="7"/>
  <c r="F119" i="7"/>
  <c r="F130" i="7"/>
  <c r="J144" i="7"/>
  <c r="E121" i="7"/>
  <c r="M76" i="7"/>
  <c r="N382" i="7"/>
  <c r="M448" i="7"/>
  <c r="M449" i="7"/>
  <c r="M279" i="7"/>
  <c r="M610" i="7"/>
  <c r="N406" i="7"/>
  <c r="N241" i="7"/>
  <c r="M335" i="7"/>
  <c r="M373" i="7"/>
  <c r="M780" i="7" s="1"/>
  <c r="M186" i="7"/>
  <c r="M718" i="7"/>
  <c r="M822" i="7" s="1"/>
  <c r="M351" i="7"/>
  <c r="M516" i="7"/>
  <c r="M283" i="7"/>
  <c r="M629" i="7"/>
  <c r="N374" i="7"/>
  <c r="M628" i="7"/>
  <c r="N586" i="7"/>
  <c r="M539" i="7"/>
  <c r="N329" i="7"/>
  <c r="M374" i="7"/>
  <c r="N494" i="7"/>
  <c r="M265" i="7"/>
  <c r="M719" i="7"/>
  <c r="M336" i="7"/>
  <c r="N674" i="7"/>
  <c r="M430" i="7"/>
  <c r="M531" i="7"/>
  <c r="J256" i="7"/>
  <c r="M285" i="7"/>
  <c r="J91" i="7"/>
  <c r="N409" i="7"/>
  <c r="M450" i="7"/>
  <c r="J601" i="7"/>
  <c r="M409" i="7"/>
  <c r="N78" i="7"/>
  <c r="J305" i="7"/>
  <c r="J140" i="7"/>
  <c r="J650" i="7"/>
  <c r="J470" i="7"/>
  <c r="K305" i="7"/>
  <c r="K650" i="7"/>
  <c r="K470" i="7"/>
  <c r="K140" i="7"/>
  <c r="F670" i="7"/>
  <c r="F490" i="7"/>
  <c r="F325" i="7"/>
  <c r="H671" i="7"/>
  <c r="H491" i="7"/>
  <c r="H326" i="7"/>
  <c r="F304" i="7"/>
  <c r="F139" i="7"/>
  <c r="F649" i="7"/>
  <c r="F469" i="7"/>
  <c r="K649" i="7"/>
  <c r="K469" i="7"/>
  <c r="K304" i="7"/>
  <c r="K139" i="7"/>
  <c r="G289" i="7"/>
  <c r="G124" i="7"/>
  <c r="G634" i="7"/>
  <c r="G454" i="7"/>
  <c r="I124" i="7"/>
  <c r="I634" i="7"/>
  <c r="I454" i="7"/>
  <c r="I289" i="7"/>
  <c r="E671" i="7"/>
  <c r="E491" i="7"/>
  <c r="E326" i="7"/>
  <c r="E649" i="7"/>
  <c r="E469" i="7"/>
  <c r="E139" i="7"/>
  <c r="E304" i="7"/>
  <c r="I635" i="7"/>
  <c r="I455" i="7"/>
  <c r="I290" i="7"/>
  <c r="I125" i="7"/>
  <c r="I671" i="7"/>
  <c r="I491" i="7"/>
  <c r="I326" i="7"/>
  <c r="E670" i="7"/>
  <c r="E490" i="7"/>
  <c r="E325" i="7"/>
  <c r="H650" i="7"/>
  <c r="H470" i="7"/>
  <c r="H305" i="7"/>
  <c r="H140" i="7"/>
  <c r="J670" i="7"/>
  <c r="J490" i="7"/>
  <c r="J325" i="7"/>
  <c r="H289" i="7"/>
  <c r="H124" i="7"/>
  <c r="H634" i="7"/>
  <c r="H454" i="7"/>
  <c r="K289" i="7"/>
  <c r="K124" i="7"/>
  <c r="K634" i="7"/>
  <c r="K454" i="7"/>
  <c r="I649" i="7"/>
  <c r="I469" i="7"/>
  <c r="I304" i="7"/>
  <c r="I139" i="7"/>
  <c r="E635" i="7"/>
  <c r="E125" i="7"/>
  <c r="E455" i="7"/>
  <c r="E290" i="7"/>
  <c r="J326" i="7"/>
  <c r="J671" i="7"/>
  <c r="J491" i="7"/>
  <c r="E634" i="7"/>
  <c r="E124" i="7"/>
  <c r="E454" i="7"/>
  <c r="E289" i="7"/>
  <c r="J124" i="7"/>
  <c r="J634" i="7"/>
  <c r="J454" i="7"/>
  <c r="J289" i="7"/>
  <c r="I650" i="7"/>
  <c r="I470" i="7"/>
  <c r="I305" i="7"/>
  <c r="I140" i="7"/>
  <c r="K670" i="7"/>
  <c r="K490" i="7"/>
  <c r="K325" i="7"/>
  <c r="F671" i="7"/>
  <c r="F491" i="7"/>
  <c r="F326" i="7"/>
  <c r="H635" i="7"/>
  <c r="H455" i="7"/>
  <c r="H290" i="7"/>
  <c r="H125" i="7"/>
  <c r="G670" i="7"/>
  <c r="G490" i="7"/>
  <c r="G325" i="7"/>
  <c r="F650" i="7"/>
  <c r="F470" i="7"/>
  <c r="F305" i="7"/>
  <c r="F140" i="7"/>
  <c r="H649" i="7"/>
  <c r="H469" i="7"/>
  <c r="H304" i="7"/>
  <c r="H139" i="7"/>
  <c r="J649" i="7"/>
  <c r="J469" i="7"/>
  <c r="J304" i="7"/>
  <c r="J139" i="7"/>
  <c r="K671" i="7"/>
  <c r="K491" i="7"/>
  <c r="K326" i="7"/>
  <c r="J635" i="7"/>
  <c r="J455" i="7"/>
  <c r="J290" i="7"/>
  <c r="J125" i="7"/>
  <c r="K306" i="7"/>
  <c r="K141" i="7"/>
  <c r="K651" i="7"/>
  <c r="K471" i="7"/>
  <c r="I670" i="7"/>
  <c r="I490" i="7"/>
  <c r="I325" i="7"/>
  <c r="E142" i="7"/>
  <c r="E472" i="7"/>
  <c r="E307" i="7"/>
  <c r="E652" i="7"/>
  <c r="F635" i="7"/>
  <c r="F455" i="7"/>
  <c r="F290" i="7"/>
  <c r="F125" i="7"/>
  <c r="G304" i="7"/>
  <c r="G139" i="7"/>
  <c r="G649" i="7"/>
  <c r="G469" i="7"/>
  <c r="K142" i="7"/>
  <c r="K652" i="7"/>
  <c r="K472" i="7"/>
  <c r="K307" i="7"/>
  <c r="E651" i="7"/>
  <c r="E141" i="7"/>
  <c r="E471" i="7"/>
  <c r="E306" i="7"/>
  <c r="H670" i="7"/>
  <c r="H325" i="7"/>
  <c r="H490" i="7"/>
  <c r="E650" i="7"/>
  <c r="E470" i="7"/>
  <c r="L171" i="7"/>
  <c r="E140" i="7"/>
  <c r="E305" i="7"/>
  <c r="F289" i="7"/>
  <c r="F124" i="7"/>
  <c r="F634" i="7"/>
  <c r="F454" i="7"/>
  <c r="G125" i="7"/>
  <c r="G635" i="7"/>
  <c r="G455" i="7"/>
  <c r="G290" i="7"/>
  <c r="G326" i="7"/>
  <c r="G671" i="7"/>
  <c r="G491" i="7"/>
  <c r="G140" i="7"/>
  <c r="G650" i="7"/>
  <c r="G470" i="7"/>
  <c r="G305" i="7"/>
  <c r="K635" i="7"/>
  <c r="K455" i="7"/>
  <c r="K290" i="7"/>
  <c r="K125" i="7"/>
  <c r="M587" i="7"/>
  <c r="M407" i="7"/>
  <c r="M242" i="7"/>
  <c r="M366" i="7"/>
  <c r="N628" i="7"/>
  <c r="N448" i="7"/>
  <c r="N283" i="7"/>
  <c r="M309" i="7"/>
  <c r="M275" i="7"/>
  <c r="M440" i="7"/>
  <c r="M620" i="7"/>
  <c r="M310" i="7"/>
  <c r="M475" i="7"/>
  <c r="D188" i="8"/>
  <c r="M474" i="7"/>
  <c r="M654" i="7"/>
  <c r="N309" i="7"/>
  <c r="N474" i="7"/>
  <c r="M311" i="7"/>
  <c r="M476" i="7"/>
  <c r="M656" i="7"/>
  <c r="D184" i="8"/>
  <c r="N176" i="8"/>
  <c r="O376" i="3"/>
  <c r="M159" i="8"/>
  <c r="O581" i="7"/>
  <c r="O812" i="7" s="1"/>
  <c r="O401" i="7"/>
  <c r="F601" i="7"/>
  <c r="F421" i="7"/>
  <c r="F256" i="7"/>
  <c r="F91" i="7"/>
  <c r="K616" i="7"/>
  <c r="K436" i="7"/>
  <c r="K106" i="7"/>
  <c r="K271" i="7"/>
  <c r="I602" i="7"/>
  <c r="I422" i="7"/>
  <c r="I257" i="7"/>
  <c r="I92" i="7"/>
  <c r="N181" i="8"/>
  <c r="O307" i="3"/>
  <c r="O83" i="3"/>
  <c r="O175" i="3"/>
  <c r="N342" i="3"/>
  <c r="M699" i="7"/>
  <c r="M519" i="7"/>
  <c r="M354" i="7"/>
  <c r="P325" i="3"/>
  <c r="O251" i="3"/>
  <c r="E601" i="7"/>
  <c r="E421" i="7"/>
  <c r="E256" i="7"/>
  <c r="O729" i="7"/>
  <c r="O384" i="7"/>
  <c r="O549" i="7"/>
  <c r="O327" i="3"/>
  <c r="O162" i="3"/>
  <c r="O158" i="3"/>
  <c r="N322" i="3"/>
  <c r="N157" i="3"/>
  <c r="N252" i="3"/>
  <c r="N425" i="3" s="1"/>
  <c r="N87" i="3"/>
  <c r="P317" i="3"/>
  <c r="N173" i="8"/>
  <c r="O294" i="3"/>
  <c r="O114" i="3"/>
  <c r="O354" i="3"/>
  <c r="O189" i="3"/>
  <c r="O241" i="3"/>
  <c r="O76" i="3"/>
  <c r="O355" i="3"/>
  <c r="O190" i="3"/>
  <c r="O144" i="3"/>
  <c r="N243" i="8" s="1"/>
  <c r="N306" i="3"/>
  <c r="M146" i="8"/>
  <c r="N260" i="3"/>
  <c r="M110" i="3"/>
  <c r="L219" i="8" s="1"/>
  <c r="K171" i="8"/>
  <c r="L292" i="3"/>
  <c r="L127" i="3"/>
  <c r="K231" i="8" s="1"/>
  <c r="N701" i="7"/>
  <c r="N521" i="7"/>
  <c r="N356" i="7"/>
  <c r="I614" i="7"/>
  <c r="I434" i="7"/>
  <c r="I269" i="7"/>
  <c r="I104" i="7"/>
  <c r="K614" i="7"/>
  <c r="K434" i="7"/>
  <c r="K269" i="7"/>
  <c r="K104" i="7"/>
  <c r="F614" i="7"/>
  <c r="F434" i="7"/>
  <c r="F269" i="7"/>
  <c r="F104" i="7"/>
  <c r="J614" i="7"/>
  <c r="J434" i="7"/>
  <c r="J269" i="7"/>
  <c r="J104" i="7"/>
  <c r="G192" i="8"/>
  <c r="N150" i="8"/>
  <c r="O266" i="3"/>
  <c r="O351" i="3"/>
  <c r="M157" i="8"/>
  <c r="N273" i="3"/>
  <c r="N360" i="3"/>
  <c r="N195" i="3"/>
  <c r="O585" i="7"/>
  <c r="O405" i="7"/>
  <c r="O240" i="7"/>
  <c r="J602" i="7"/>
  <c r="J422" i="7"/>
  <c r="J257" i="7"/>
  <c r="J92" i="7"/>
  <c r="P323" i="3"/>
  <c r="N182" i="8"/>
  <c r="O308" i="3"/>
  <c r="O143" i="3"/>
  <c r="N242" i="8" s="1"/>
  <c r="M641" i="7"/>
  <c r="M461" i="7"/>
  <c r="M296" i="7"/>
  <c r="O363" i="3"/>
  <c r="O86" i="3"/>
  <c r="N255" i="3"/>
  <c r="O361" i="3"/>
  <c r="K142" i="8"/>
  <c r="L256" i="3"/>
  <c r="L91" i="3"/>
  <c r="M89" i="3"/>
  <c r="M404" i="3" s="1"/>
  <c r="N183" i="8"/>
  <c r="O309" i="3"/>
  <c r="O329" i="3"/>
  <c r="N152" i="8"/>
  <c r="O268" i="3"/>
  <c r="O316" i="3"/>
  <c r="M723" i="7"/>
  <c r="M543" i="7"/>
  <c r="M378" i="7"/>
  <c r="M213" i="7"/>
  <c r="N216" i="7"/>
  <c r="N177" i="8"/>
  <c r="N237" i="8"/>
  <c r="O357" i="3"/>
  <c r="O229" i="3"/>
  <c r="P366" i="3"/>
  <c r="O385" i="3"/>
  <c r="O220" i="3"/>
  <c r="N166" i="8"/>
  <c r="O286" i="3"/>
  <c r="O243" i="3"/>
  <c r="O78" i="3"/>
  <c r="P287" i="3"/>
  <c r="O383" i="3"/>
  <c r="O218" i="3"/>
  <c r="O283" i="3"/>
  <c r="M151" i="8"/>
  <c r="N267" i="3"/>
  <c r="O364" i="3"/>
  <c r="O199" i="3"/>
  <c r="O254" i="3"/>
  <c r="N231" i="3"/>
  <c r="M147" i="8"/>
  <c r="N263" i="3"/>
  <c r="N98" i="3"/>
  <c r="M207" i="8" s="1"/>
  <c r="N164" i="8"/>
  <c r="O284" i="3"/>
  <c r="O119" i="3"/>
  <c r="N224" i="8" s="1"/>
  <c r="I617" i="7"/>
  <c r="I437" i="7"/>
  <c r="I272" i="7"/>
  <c r="I107" i="7"/>
  <c r="K615" i="7"/>
  <c r="K435" i="7"/>
  <c r="K270" i="7"/>
  <c r="K105" i="7"/>
  <c r="G637" i="7"/>
  <c r="G457" i="7"/>
  <c r="G292" i="7"/>
  <c r="G127" i="7"/>
  <c r="G601" i="7"/>
  <c r="G421" i="7"/>
  <c r="G91" i="7"/>
  <c r="G256" i="7"/>
  <c r="O343" i="3"/>
  <c r="E637" i="7"/>
  <c r="E457" i="7"/>
  <c r="E127" i="7"/>
  <c r="E292" i="7"/>
  <c r="N627" i="7"/>
  <c r="N447" i="7"/>
  <c r="N282" i="7"/>
  <c r="N72" i="7"/>
  <c r="O379" i="3"/>
  <c r="N705" i="7"/>
  <c r="E615" i="7"/>
  <c r="E105" i="7"/>
  <c r="E435" i="7"/>
  <c r="E270" i="7"/>
  <c r="K601" i="7"/>
  <c r="K421" i="7"/>
  <c r="K256" i="7"/>
  <c r="K91" i="7"/>
  <c r="N237" i="3"/>
  <c r="N72" i="3"/>
  <c r="O362" i="3"/>
  <c r="O197" i="3"/>
  <c r="K637" i="7"/>
  <c r="K457" i="7"/>
  <c r="K292" i="7"/>
  <c r="K127" i="7"/>
  <c r="N328" i="3"/>
  <c r="N163" i="3"/>
  <c r="N692" i="7"/>
  <c r="N512" i="7"/>
  <c r="N347" i="7"/>
  <c r="O205" i="3"/>
  <c r="I601" i="7"/>
  <c r="I421" i="7"/>
  <c r="I91" i="7"/>
  <c r="I256" i="7"/>
  <c r="L257" i="3"/>
  <c r="K143" i="8"/>
  <c r="L92" i="3"/>
  <c r="K203" i="8" s="1"/>
  <c r="K602" i="7"/>
  <c r="K422" i="7"/>
  <c r="K257" i="7"/>
  <c r="K92" i="7"/>
  <c r="M392" i="7"/>
  <c r="O359" i="3"/>
  <c r="O194" i="3"/>
  <c r="M669" i="7"/>
  <c r="M489" i="7"/>
  <c r="M324" i="7"/>
  <c r="O341" i="3"/>
  <c r="O176" i="3"/>
  <c r="O349" i="3"/>
  <c r="O345" i="3"/>
  <c r="O180" i="3"/>
  <c r="M708" i="7"/>
  <c r="M528" i="7"/>
  <c r="M363" i="7"/>
  <c r="M198" i="7"/>
  <c r="I616" i="7"/>
  <c r="I436" i="7"/>
  <c r="I271" i="7"/>
  <c r="I106" i="7"/>
  <c r="I637" i="7"/>
  <c r="I457" i="7"/>
  <c r="I292" i="7"/>
  <c r="I127" i="7"/>
  <c r="N626" i="7"/>
  <c r="N446" i="7"/>
  <c r="N281" i="7"/>
  <c r="E616" i="7"/>
  <c r="E106" i="7"/>
  <c r="E436" i="7"/>
  <c r="E271" i="7"/>
  <c r="M607" i="7"/>
  <c r="M427" i="7"/>
  <c r="M262" i="7"/>
  <c r="O367" i="3"/>
  <c r="O202" i="3"/>
  <c r="O310" i="3"/>
  <c r="N582" i="7"/>
  <c r="N402" i="7"/>
  <c r="N237" i="7"/>
  <c r="O207" i="3"/>
  <c r="N208" i="3"/>
  <c r="N412" i="3" s="1"/>
  <c r="O365" i="3"/>
  <c r="O200" i="3"/>
  <c r="O380" i="3"/>
  <c r="O121" i="3"/>
  <c r="N226" i="8" s="1"/>
  <c r="M165" i="8"/>
  <c r="N120" i="3"/>
  <c r="M225" i="8" s="1"/>
  <c r="N285" i="3"/>
  <c r="N598" i="7"/>
  <c r="N418" i="7"/>
  <c r="N253" i="7"/>
  <c r="O203" i="3"/>
  <c r="N178" i="8"/>
  <c r="O303" i="3"/>
  <c r="O138" i="3"/>
  <c r="N238" i="8" s="1"/>
  <c r="N722" i="7"/>
  <c r="N377" i="7"/>
  <c r="N542" i="7"/>
  <c r="N212" i="7"/>
  <c r="O211" i="3"/>
  <c r="N210" i="3"/>
  <c r="G616" i="7"/>
  <c r="G436" i="7"/>
  <c r="G271" i="7"/>
  <c r="G106" i="7"/>
  <c r="J637" i="7"/>
  <c r="J457" i="7"/>
  <c r="J292" i="7"/>
  <c r="J127" i="7"/>
  <c r="K617" i="7"/>
  <c r="K107" i="7"/>
  <c r="N352" i="3"/>
  <c r="N187" i="3"/>
  <c r="N169" i="8"/>
  <c r="O290" i="3"/>
  <c r="O145" i="3"/>
  <c r="N312" i="3"/>
  <c r="N428" i="3" s="1"/>
  <c r="O232" i="3"/>
  <c r="G615" i="7"/>
  <c r="G435" i="7"/>
  <c r="G270" i="7"/>
  <c r="G105" i="7"/>
  <c r="O75" i="3"/>
  <c r="J189" i="8"/>
  <c r="I189" i="8"/>
  <c r="K155" i="8"/>
  <c r="L271" i="3"/>
  <c r="L106" i="3"/>
  <c r="K215" i="8" s="1"/>
  <c r="P240" i="3"/>
  <c r="H601" i="7"/>
  <c r="H421" i="7"/>
  <c r="H91" i="7"/>
  <c r="H256" i="7"/>
  <c r="E602" i="7"/>
  <c r="E422" i="7"/>
  <c r="E92" i="7"/>
  <c r="E257" i="7"/>
  <c r="L118" i="7"/>
  <c r="N320" i="3"/>
  <c r="O311" i="3"/>
  <c r="O146" i="3"/>
  <c r="O206" i="3"/>
  <c r="O411" i="3" s="1"/>
  <c r="N158" i="8"/>
  <c r="N97" i="3"/>
  <c r="N262" i="3"/>
  <c r="I615" i="7"/>
  <c r="I435" i="7"/>
  <c r="I270" i="7"/>
  <c r="I105" i="7"/>
  <c r="O253" i="3"/>
  <c r="M633" i="7"/>
  <c r="M453" i="7"/>
  <c r="M288" i="7"/>
  <c r="M149" i="8"/>
  <c r="N265" i="3"/>
  <c r="N100" i="3"/>
  <c r="M209" i="8" s="1"/>
  <c r="K154" i="8"/>
  <c r="L270" i="3"/>
  <c r="L105" i="3"/>
  <c r="K214" i="8" s="1"/>
  <c r="O204" i="3"/>
  <c r="M716" i="7"/>
  <c r="M821" i="7" s="1"/>
  <c r="M371" i="7"/>
  <c r="M779" i="7" s="1"/>
  <c r="O348" i="3"/>
  <c r="O347" i="3"/>
  <c r="O182" i="3"/>
  <c r="M144" i="8"/>
  <c r="N258" i="3"/>
  <c r="O196" i="3"/>
  <c r="N358" i="3"/>
  <c r="N193" i="3"/>
  <c r="O344" i="3"/>
  <c r="O179" i="3"/>
  <c r="P122" i="3"/>
  <c r="N168" i="8"/>
  <c r="O289" i="3"/>
  <c r="O302" i="3"/>
  <c r="F616" i="7"/>
  <c r="F436" i="7"/>
  <c r="F271" i="7"/>
  <c r="F106" i="7"/>
  <c r="N584" i="7"/>
  <c r="N404" i="7"/>
  <c r="N74" i="7"/>
  <c r="N239" i="7"/>
  <c r="J192" i="8"/>
  <c r="J615" i="7"/>
  <c r="J435" i="7"/>
  <c r="J270" i="7"/>
  <c r="J105" i="7"/>
  <c r="F637" i="7"/>
  <c r="F457" i="7"/>
  <c r="F292" i="7"/>
  <c r="F127" i="7"/>
  <c r="O377" i="3"/>
  <c r="O212" i="3"/>
  <c r="N236" i="3"/>
  <c r="N163" i="8"/>
  <c r="O282" i="3"/>
  <c r="O117" i="3"/>
  <c r="N223" i="8" s="1"/>
  <c r="H616" i="7"/>
  <c r="H436" i="7"/>
  <c r="H271" i="7"/>
  <c r="H106" i="7"/>
  <c r="F602" i="7"/>
  <c r="F422" i="7"/>
  <c r="F92" i="7"/>
  <c r="F257" i="7"/>
  <c r="N694" i="7"/>
  <c r="N514" i="7"/>
  <c r="N349" i="7"/>
  <c r="P313" i="3"/>
  <c r="O209" i="3"/>
  <c r="M179" i="8"/>
  <c r="N304" i="3"/>
  <c r="M397" i="7"/>
  <c r="N170" i="8"/>
  <c r="O291" i="3"/>
  <c r="J188" i="8"/>
  <c r="J184" i="8"/>
  <c r="M333" i="7"/>
  <c r="O386" i="3"/>
  <c r="O221" i="3"/>
  <c r="N175" i="8"/>
  <c r="M627" i="7"/>
  <c r="M447" i="7"/>
  <c r="M282" i="7"/>
  <c r="M117" i="7"/>
  <c r="O326" i="3"/>
  <c r="M667" i="7"/>
  <c r="M487" i="7"/>
  <c r="M322" i="7"/>
  <c r="N230" i="3"/>
  <c r="N145" i="8"/>
  <c r="O259" i="3"/>
  <c r="O217" i="3"/>
  <c r="N381" i="3"/>
  <c r="N216" i="3"/>
  <c r="N174" i="8"/>
  <c r="O295" i="3"/>
  <c r="O353" i="3"/>
  <c r="N148" i="8"/>
  <c r="O99" i="3"/>
  <c r="N208" i="8" s="1"/>
  <c r="O264" i="3"/>
  <c r="O239" i="3"/>
  <c r="O74" i="3"/>
  <c r="O321" i="3"/>
  <c r="O319" i="3"/>
  <c r="N160" i="8"/>
  <c r="O113" i="3"/>
  <c r="N220" i="8" s="1"/>
  <c r="N730" i="7"/>
  <c r="N385" i="7"/>
  <c r="N550" i="7"/>
  <c r="O356" i="3"/>
  <c r="O173" i="3"/>
  <c r="O346" i="3"/>
  <c r="O181" i="3"/>
  <c r="N244" i="3"/>
  <c r="H614" i="7"/>
  <c r="H434" i="7"/>
  <c r="H269" i="7"/>
  <c r="H104" i="7"/>
  <c r="N693" i="7"/>
  <c r="N513" i="7"/>
  <c r="N348" i="7"/>
  <c r="H637" i="7"/>
  <c r="H457" i="7"/>
  <c r="H292" i="7"/>
  <c r="H127" i="7"/>
  <c r="E614" i="7"/>
  <c r="E104" i="7"/>
  <c r="E434" i="7"/>
  <c r="E269" i="7"/>
  <c r="L130" i="7"/>
  <c r="M338" i="7"/>
  <c r="M625" i="7"/>
  <c r="M445" i="7"/>
  <c r="M280" i="7"/>
  <c r="N116" i="7"/>
  <c r="O318" i="3"/>
  <c r="O378" i="3"/>
  <c r="N162" i="8"/>
  <c r="O281" i="3"/>
  <c r="O116" i="3"/>
  <c r="N222" i="8" s="1"/>
  <c r="G602" i="7"/>
  <c r="G422" i="7"/>
  <c r="G92" i="7"/>
  <c r="G257" i="7"/>
  <c r="N631" i="7"/>
  <c r="N451" i="7"/>
  <c r="N286" i="7"/>
  <c r="M646" i="7"/>
  <c r="M466" i="7"/>
  <c r="M301" i="7"/>
  <c r="M715" i="7"/>
  <c r="M370" i="7"/>
  <c r="M205" i="7"/>
  <c r="H615" i="7"/>
  <c r="H435" i="7"/>
  <c r="H270" i="7"/>
  <c r="H105" i="7"/>
  <c r="O324" i="3"/>
  <c r="O159" i="3"/>
  <c r="O596" i="7"/>
  <c r="O251" i="7"/>
  <c r="M644" i="7"/>
  <c r="M299" i="7"/>
  <c r="F615" i="7"/>
  <c r="F435" i="7"/>
  <c r="F270" i="7"/>
  <c r="F105" i="7"/>
  <c r="M690" i="7"/>
  <c r="M510" i="7"/>
  <c r="M345" i="7"/>
  <c r="M340" i="7"/>
  <c r="O242" i="3"/>
  <c r="N350" i="3"/>
  <c r="N185" i="3"/>
  <c r="M396" i="7"/>
  <c r="M332" i="7"/>
  <c r="N233" i="3"/>
  <c r="M731" i="7"/>
  <c r="M551" i="7"/>
  <c r="M386" i="7"/>
  <c r="M221" i="7"/>
  <c r="N220" i="7"/>
  <c r="M632" i="7"/>
  <c r="M452" i="7"/>
  <c r="M287" i="7"/>
  <c r="N180" i="8"/>
  <c r="O305" i="3"/>
  <c r="N161" i="8"/>
  <c r="O280" i="3"/>
  <c r="O115" i="3"/>
  <c r="N221" i="8" s="1"/>
  <c r="J616" i="7"/>
  <c r="J436" i="7"/>
  <c r="J271" i="7"/>
  <c r="J106" i="7"/>
  <c r="O198" i="3"/>
  <c r="N171" i="3"/>
  <c r="N167" i="8"/>
  <c r="O288" i="3"/>
  <c r="G614" i="7"/>
  <c r="G434" i="7"/>
  <c r="G269" i="7"/>
  <c r="G104" i="7"/>
  <c r="K153" i="8"/>
  <c r="L269" i="3"/>
  <c r="L104" i="3"/>
  <c r="K213" i="8" s="1"/>
  <c r="H257" i="7"/>
  <c r="H92" i="7"/>
  <c r="H422" i="7"/>
  <c r="I188" i="8"/>
  <c r="I184" i="8"/>
  <c r="H188" i="8"/>
  <c r="H184" i="8"/>
  <c r="G188" i="8"/>
  <c r="G184" i="8"/>
  <c r="F188" i="8"/>
  <c r="F184" i="8"/>
  <c r="E188" i="8"/>
  <c r="E184" i="8"/>
  <c r="C572" i="7"/>
  <c r="C579" i="7"/>
  <c r="C580" i="7"/>
  <c r="C581" i="7"/>
  <c r="C582" i="7"/>
  <c r="C583" i="7"/>
  <c r="C584" i="7"/>
  <c r="C585" i="7"/>
  <c r="C586" i="7"/>
  <c r="C587" i="7"/>
  <c r="C588" i="7"/>
  <c r="C589" i="7"/>
  <c r="C591" i="7"/>
  <c r="C593" i="7"/>
  <c r="C595" i="7"/>
  <c r="C596" i="7"/>
  <c r="C597" i="7"/>
  <c r="C598" i="7"/>
  <c r="C599" i="7"/>
  <c r="C600" i="7"/>
  <c r="C607" i="7"/>
  <c r="C624" i="7"/>
  <c r="C628" i="7"/>
  <c r="C632" i="7"/>
  <c r="C647" i="7"/>
  <c r="C651" i="7"/>
  <c r="C655" i="7"/>
  <c r="C656" i="7"/>
  <c r="C657" i="7"/>
  <c r="C658" i="7"/>
  <c r="C659" i="7"/>
  <c r="C660" i="7"/>
  <c r="C661" i="7"/>
  <c r="C662" i="7"/>
  <c r="C663" i="7"/>
  <c r="C664" i="7"/>
  <c r="C665" i="7"/>
  <c r="C666" i="7"/>
  <c r="C667" i="7"/>
  <c r="C668" i="7"/>
  <c r="C669" i="7"/>
  <c r="C670" i="7"/>
  <c r="C671" i="7"/>
  <c r="C672" i="7"/>
  <c r="C673" i="7"/>
  <c r="C674" i="7"/>
  <c r="C675" i="7"/>
  <c r="C676" i="7"/>
  <c r="C677" i="7"/>
  <c r="C678" i="7"/>
  <c r="C679" i="7"/>
  <c r="C680" i="7"/>
  <c r="C681" i="7"/>
  <c r="C682" i="7"/>
  <c r="C683" i="7"/>
  <c r="C684" i="7"/>
  <c r="C685" i="7"/>
  <c r="C686" i="7"/>
  <c r="C687" i="7"/>
  <c r="C688" i="7"/>
  <c r="C689" i="7"/>
  <c r="C690" i="7"/>
  <c r="C691" i="7"/>
  <c r="C692" i="7"/>
  <c r="C693" i="7"/>
  <c r="C694" i="7"/>
  <c r="C695" i="7"/>
  <c r="C696" i="7"/>
  <c r="C697" i="7"/>
  <c r="C698" i="7"/>
  <c r="C699" i="7"/>
  <c r="C700" i="7"/>
  <c r="C701" i="7"/>
  <c r="C702" i="7"/>
  <c r="C703" i="7"/>
  <c r="C704" i="7"/>
  <c r="C705" i="7"/>
  <c r="C706" i="7"/>
  <c r="C707" i="7"/>
  <c r="C708" i="7"/>
  <c r="C709" i="7"/>
  <c r="C710" i="7"/>
  <c r="C711" i="7"/>
  <c r="C712" i="7"/>
  <c r="C713" i="7"/>
  <c r="C714" i="7"/>
  <c r="C715" i="7"/>
  <c r="C716" i="7"/>
  <c r="C392" i="7"/>
  <c r="C399" i="7"/>
  <c r="C400" i="7"/>
  <c r="C401" i="7"/>
  <c r="C402" i="7"/>
  <c r="C403" i="7"/>
  <c r="C404" i="7"/>
  <c r="C405" i="7"/>
  <c r="C406" i="7"/>
  <c r="C407" i="7"/>
  <c r="C408" i="7"/>
  <c r="C409" i="7"/>
  <c r="C411" i="7"/>
  <c r="C413" i="7"/>
  <c r="C415" i="7"/>
  <c r="C416" i="7"/>
  <c r="C417" i="7"/>
  <c r="C418" i="7"/>
  <c r="C419" i="7"/>
  <c r="C420" i="7"/>
  <c r="C427" i="7"/>
  <c r="C444" i="7"/>
  <c r="C448" i="7"/>
  <c r="C452" i="7"/>
  <c r="C467" i="7"/>
  <c r="C471" i="7"/>
  <c r="C475" i="7"/>
  <c r="C476" i="7"/>
  <c r="C477" i="7"/>
  <c r="C478" i="7"/>
  <c r="C479" i="7"/>
  <c r="C480" i="7"/>
  <c r="C481" i="7"/>
  <c r="C482" i="7"/>
  <c r="C483" i="7"/>
  <c r="C484" i="7"/>
  <c r="C485" i="7"/>
  <c r="C486" i="7"/>
  <c r="C487" i="7"/>
  <c r="C488" i="7"/>
  <c r="C489" i="7"/>
  <c r="C490" i="7"/>
  <c r="C491" i="7"/>
  <c r="C492" i="7"/>
  <c r="C493" i="7"/>
  <c r="C494" i="7"/>
  <c r="C495" i="7"/>
  <c r="C496" i="7"/>
  <c r="C497" i="7"/>
  <c r="C498" i="7"/>
  <c r="C499" i="7"/>
  <c r="C500" i="7"/>
  <c r="C501" i="7"/>
  <c r="C502" i="7"/>
  <c r="C503" i="7"/>
  <c r="C504" i="7"/>
  <c r="C505" i="7"/>
  <c r="C506" i="7"/>
  <c r="C507" i="7"/>
  <c r="C508" i="7"/>
  <c r="C509" i="7"/>
  <c r="C510" i="7"/>
  <c r="C511" i="7"/>
  <c r="C512" i="7"/>
  <c r="C513" i="7"/>
  <c r="C514" i="7"/>
  <c r="C515" i="7"/>
  <c r="C516" i="7"/>
  <c r="C517" i="7"/>
  <c r="C518" i="7"/>
  <c r="C519" i="7"/>
  <c r="C520" i="7"/>
  <c r="C521" i="7"/>
  <c r="C522" i="7"/>
  <c r="C523" i="7"/>
  <c r="C524" i="7"/>
  <c r="C525" i="7"/>
  <c r="C526" i="7"/>
  <c r="C527" i="7"/>
  <c r="C528" i="7"/>
  <c r="C529" i="7"/>
  <c r="C530" i="7"/>
  <c r="C531" i="7"/>
  <c r="C532" i="7"/>
  <c r="C533" i="7"/>
  <c r="C534" i="7"/>
  <c r="C535" i="7"/>
  <c r="C536" i="7"/>
  <c r="C62" i="5"/>
  <c r="C227" i="7"/>
  <c r="C62" i="7"/>
  <c r="C227" i="3"/>
  <c r="C62" i="3"/>
  <c r="C62" i="4"/>
  <c r="I405" i="3" l="1"/>
  <c r="N322" i="7"/>
  <c r="N368" i="7"/>
  <c r="V220" i="5"/>
  <c r="W220" i="5" s="1"/>
  <c r="X220" i="5" s="1"/>
  <c r="Y220" i="5" s="1"/>
  <c r="N667" i="7"/>
  <c r="N487" i="7"/>
  <c r="N357" i="7"/>
  <c r="N702" i="7"/>
  <c r="T219" i="5"/>
  <c r="N533" i="7"/>
  <c r="N713" i="7"/>
  <c r="P197" i="5"/>
  <c r="O527" i="7" s="1"/>
  <c r="O364" i="7"/>
  <c r="N362" i="7"/>
  <c r="O529" i="7"/>
  <c r="O380" i="7"/>
  <c r="R215" i="5"/>
  <c r="S215" i="5" s="1"/>
  <c r="T215" i="5" s="1"/>
  <c r="U215" i="5" s="1"/>
  <c r="V215" i="5" s="1"/>
  <c r="W215" i="5" s="1"/>
  <c r="N527" i="7"/>
  <c r="O545" i="7"/>
  <c r="N265" i="7"/>
  <c r="O725" i="7"/>
  <c r="N610" i="7"/>
  <c r="N522" i="7"/>
  <c r="F107" i="7"/>
  <c r="F752" i="7" s="1"/>
  <c r="F272" i="7"/>
  <c r="K272" i="7"/>
  <c r="F437" i="7"/>
  <c r="N360" i="7"/>
  <c r="K293" i="7"/>
  <c r="T216" i="5"/>
  <c r="U216" i="5" s="1"/>
  <c r="V216" i="5" s="1"/>
  <c r="W216" i="5" s="1"/>
  <c r="X216" i="5" s="1"/>
  <c r="Y216" i="5" s="1"/>
  <c r="O710" i="7"/>
  <c r="N308" i="7"/>
  <c r="N473" i="7"/>
  <c r="N653" i="7"/>
  <c r="N544" i="7"/>
  <c r="N379" i="7"/>
  <c r="N724" i="7"/>
  <c r="T134" i="5"/>
  <c r="U134" i="5" s="1"/>
  <c r="S185" i="5"/>
  <c r="T185" i="5" s="1"/>
  <c r="U185" i="5" s="1"/>
  <c r="V185" i="5" s="1"/>
  <c r="K128" i="7"/>
  <c r="K458" i="7"/>
  <c r="P100" i="5"/>
  <c r="O265" i="7" s="1"/>
  <c r="T182" i="5"/>
  <c r="U182" i="5" s="1"/>
  <c r="V182" i="5" s="1"/>
  <c r="W182" i="5" s="1"/>
  <c r="X182" i="5" s="1"/>
  <c r="S117" i="5"/>
  <c r="K405" i="3"/>
  <c r="R120" i="5"/>
  <c r="S120" i="5" s="1"/>
  <c r="R214" i="5"/>
  <c r="S214" i="5" s="1"/>
  <c r="Q192" i="5"/>
  <c r="O702" i="7"/>
  <c r="O522" i="7"/>
  <c r="O357" i="7"/>
  <c r="Q194" i="5"/>
  <c r="R194" i="5" s="1"/>
  <c r="S116" i="5"/>
  <c r="T116" i="5" s="1"/>
  <c r="U116" i="5" s="1"/>
  <c r="N141" i="5"/>
  <c r="O141" i="5" s="1"/>
  <c r="Q203" i="5"/>
  <c r="R203" i="5" s="1"/>
  <c r="S203" i="5" s="1"/>
  <c r="O713" i="7"/>
  <c r="S187" i="5"/>
  <c r="T187" i="5" s="1"/>
  <c r="N142" i="5"/>
  <c r="O142" i="5" s="1"/>
  <c r="N94" i="5"/>
  <c r="O94" i="5" s="1"/>
  <c r="S158" i="5"/>
  <c r="T158" i="5" s="1"/>
  <c r="U158" i="5" s="1"/>
  <c r="S113" i="5"/>
  <c r="T169" i="5"/>
  <c r="P104" i="5"/>
  <c r="Q104" i="5" s="1"/>
  <c r="R191" i="5"/>
  <c r="S191" i="5" s="1"/>
  <c r="Q159" i="5"/>
  <c r="R159" i="5" s="1"/>
  <c r="S159" i="5" s="1"/>
  <c r="T159" i="5" s="1"/>
  <c r="O124" i="5"/>
  <c r="P124" i="5" s="1"/>
  <c r="O102" i="5"/>
  <c r="P102" i="5" s="1"/>
  <c r="Q102" i="5" s="1"/>
  <c r="Q181" i="5"/>
  <c r="R181" i="5" s="1"/>
  <c r="R157" i="5"/>
  <c r="S157" i="5" s="1"/>
  <c r="T157" i="5" s="1"/>
  <c r="T166" i="5"/>
  <c r="U166" i="5" s="1"/>
  <c r="V166" i="5" s="1"/>
  <c r="W166" i="5" s="1"/>
  <c r="X166" i="5" s="1"/>
  <c r="Y166" i="5" s="1"/>
  <c r="R114" i="5"/>
  <c r="S114" i="5" s="1"/>
  <c r="Q202" i="5"/>
  <c r="S98" i="5"/>
  <c r="T98" i="5" s="1"/>
  <c r="U98" i="5" s="1"/>
  <c r="V98" i="5" s="1"/>
  <c r="W98" i="5" s="1"/>
  <c r="X98" i="5" s="1"/>
  <c r="Y98" i="5" s="1"/>
  <c r="T168" i="5"/>
  <c r="U168" i="5" s="1"/>
  <c r="V168" i="5" s="1"/>
  <c r="W168" i="5" s="1"/>
  <c r="X168" i="5" s="1"/>
  <c r="Y168" i="5" s="1"/>
  <c r="X207" i="5"/>
  <c r="Y207" i="5" s="1"/>
  <c r="Q143" i="5"/>
  <c r="R143" i="5" s="1"/>
  <c r="R205" i="5"/>
  <c r="S205" i="5" s="1"/>
  <c r="T205" i="5" s="1"/>
  <c r="U219" i="5"/>
  <c r="V219" i="5" s="1"/>
  <c r="W219" i="5" s="1"/>
  <c r="X219" i="5" s="1"/>
  <c r="Y219" i="5" s="1"/>
  <c r="Q184" i="5"/>
  <c r="E617" i="7"/>
  <c r="M107" i="5"/>
  <c r="N107" i="5" s="1"/>
  <c r="O107" i="5" s="1"/>
  <c r="P138" i="5"/>
  <c r="S200" i="5"/>
  <c r="T200" i="5" s="1"/>
  <c r="U200" i="5" s="1"/>
  <c r="V200" i="5" s="1"/>
  <c r="P106" i="5"/>
  <c r="R210" i="5"/>
  <c r="S210" i="5" s="1"/>
  <c r="T210" i="5" s="1"/>
  <c r="U210" i="5" s="1"/>
  <c r="V210" i="5" s="1"/>
  <c r="W210" i="5" s="1"/>
  <c r="X210" i="5" s="1"/>
  <c r="Y210" i="5" s="1"/>
  <c r="R183" i="5"/>
  <c r="R171" i="5"/>
  <c r="O139" i="5"/>
  <c r="P139" i="5" s="1"/>
  <c r="Q139" i="5" s="1"/>
  <c r="F405" i="3"/>
  <c r="Q201" i="5"/>
  <c r="U208" i="5"/>
  <c r="V208" i="5" s="1"/>
  <c r="W208" i="5" s="1"/>
  <c r="X208" i="5" s="1"/>
  <c r="Y208" i="5" s="1"/>
  <c r="R121" i="5"/>
  <c r="S121" i="5" s="1"/>
  <c r="T121" i="5" s="1"/>
  <c r="U121" i="5" s="1"/>
  <c r="V121" i="5" s="1"/>
  <c r="W121" i="5" s="1"/>
  <c r="X121" i="5" s="1"/>
  <c r="Y121" i="5" s="1"/>
  <c r="S145" i="5"/>
  <c r="T145" i="5" s="1"/>
  <c r="U145" i="5" s="1"/>
  <c r="V145" i="5" s="1"/>
  <c r="V119" i="5"/>
  <c r="W119" i="5" s="1"/>
  <c r="X119" i="5" s="1"/>
  <c r="U180" i="5"/>
  <c r="V180" i="5" s="1"/>
  <c r="Q196" i="5"/>
  <c r="J405" i="3"/>
  <c r="S189" i="5"/>
  <c r="T189" i="5" s="1"/>
  <c r="U189" i="5" s="1"/>
  <c r="V189" i="5" s="1"/>
  <c r="W189" i="5" s="1"/>
  <c r="X189" i="5" s="1"/>
  <c r="Y189" i="5" s="1"/>
  <c r="Q213" i="5"/>
  <c r="R213" i="5" s="1"/>
  <c r="S213" i="5" s="1"/>
  <c r="T129" i="5"/>
  <c r="P160" i="5"/>
  <c r="N91" i="5"/>
  <c r="I752" i="7"/>
  <c r="E638" i="7"/>
  <c r="M128" i="5"/>
  <c r="N128" i="5" s="1"/>
  <c r="Q209" i="5"/>
  <c r="P539" i="7" s="1"/>
  <c r="P211" i="5"/>
  <c r="Q211" i="5" s="1"/>
  <c r="R211" i="5" s="1"/>
  <c r="T163" i="5"/>
  <c r="Q137" i="5"/>
  <c r="R137" i="5" s="1"/>
  <c r="S137" i="5" s="1"/>
  <c r="T137" i="5" s="1"/>
  <c r="U137" i="5" s="1"/>
  <c r="V137" i="5" s="1"/>
  <c r="P103" i="5"/>
  <c r="Q103" i="5" s="1"/>
  <c r="P108" i="5"/>
  <c r="Q108" i="5" s="1"/>
  <c r="R136" i="5"/>
  <c r="R130" i="5"/>
  <c r="O375" i="7"/>
  <c r="K752" i="7"/>
  <c r="J752" i="7"/>
  <c r="Q174" i="5"/>
  <c r="R174" i="5" s="1"/>
  <c r="S174" i="5" s="1"/>
  <c r="T174" i="5" s="1"/>
  <c r="P126" i="5"/>
  <c r="Q126" i="5" s="1"/>
  <c r="R126" i="5" s="1"/>
  <c r="N140" i="5"/>
  <c r="Q122" i="5"/>
  <c r="R122" i="5" s="1"/>
  <c r="T109" i="5"/>
  <c r="U109" i="5" s="1"/>
  <c r="V109" i="5" s="1"/>
  <c r="W109" i="5" s="1"/>
  <c r="X109" i="5" s="1"/>
  <c r="Y109" i="5" s="1"/>
  <c r="P93" i="5"/>
  <c r="P161" i="5"/>
  <c r="Q161" i="5" s="1"/>
  <c r="R97" i="5"/>
  <c r="P186" i="5"/>
  <c r="O516" i="7" s="1"/>
  <c r="N90" i="5"/>
  <c r="P206" i="5"/>
  <c r="Q206" i="5" s="1"/>
  <c r="R206" i="5" s="1"/>
  <c r="Y131" i="5"/>
  <c r="Q123" i="5"/>
  <c r="R123" i="5" s="1"/>
  <c r="S123" i="5" s="1"/>
  <c r="O720" i="7"/>
  <c r="P95" i="5"/>
  <c r="N92" i="5"/>
  <c r="N105" i="5"/>
  <c r="V144" i="5"/>
  <c r="S204" i="5"/>
  <c r="O127" i="5"/>
  <c r="P110" i="5"/>
  <c r="Q110" i="5" s="1"/>
  <c r="R110" i="5" s="1"/>
  <c r="R170" i="5"/>
  <c r="S170" i="5" s="1"/>
  <c r="T170" i="5" s="1"/>
  <c r="U170" i="5" s="1"/>
  <c r="V170" i="5" s="1"/>
  <c r="W170" i="5" s="1"/>
  <c r="X170" i="5" s="1"/>
  <c r="Y170" i="5" s="1"/>
  <c r="R192" i="5"/>
  <c r="S172" i="5"/>
  <c r="S164" i="5"/>
  <c r="T164" i="5" s="1"/>
  <c r="U164" i="5" s="1"/>
  <c r="T193" i="5"/>
  <c r="U193" i="5" s="1"/>
  <c r="V193" i="5" s="1"/>
  <c r="W193" i="5" s="1"/>
  <c r="O540" i="7"/>
  <c r="N683" i="7"/>
  <c r="Q212" i="5"/>
  <c r="R212" i="5" s="1"/>
  <c r="S212" i="5" s="1"/>
  <c r="T212" i="5" s="1"/>
  <c r="U212" i="5" s="1"/>
  <c r="V212" i="5" s="1"/>
  <c r="W212" i="5" s="1"/>
  <c r="X212" i="5" s="1"/>
  <c r="Y212" i="5" s="1"/>
  <c r="Q118" i="5"/>
  <c r="P283" i="7" s="1"/>
  <c r="Q175" i="5"/>
  <c r="P505" i="7" s="1"/>
  <c r="Q176" i="5"/>
  <c r="P195" i="5"/>
  <c r="O360" i="7" s="1"/>
  <c r="R190" i="5"/>
  <c r="P146" i="5"/>
  <c r="H405" i="3"/>
  <c r="T217" i="5"/>
  <c r="U217" i="5" s="1"/>
  <c r="V217" i="5" s="1"/>
  <c r="W217" i="5" s="1"/>
  <c r="P198" i="5"/>
  <c r="Q198" i="5" s="1"/>
  <c r="R165" i="5"/>
  <c r="S165" i="5" s="1"/>
  <c r="T165" i="5" s="1"/>
  <c r="U165" i="5" s="1"/>
  <c r="V165" i="5" s="1"/>
  <c r="Q199" i="5"/>
  <c r="R199" i="5" s="1"/>
  <c r="N503" i="7"/>
  <c r="N648" i="7"/>
  <c r="N468" i="7"/>
  <c r="N303" i="7"/>
  <c r="Q173" i="5"/>
  <c r="E405" i="3"/>
  <c r="S167" i="5"/>
  <c r="T167" i="5" s="1"/>
  <c r="U167" i="5" s="1"/>
  <c r="V167" i="5" s="1"/>
  <c r="W167" i="5" s="1"/>
  <c r="Q179" i="5"/>
  <c r="R179" i="5" s="1"/>
  <c r="S179" i="5" s="1"/>
  <c r="T179" i="5" s="1"/>
  <c r="U179" i="5" s="1"/>
  <c r="V179" i="5" s="1"/>
  <c r="W179" i="5" s="1"/>
  <c r="X179" i="5" s="1"/>
  <c r="G405" i="3"/>
  <c r="Q101" i="5"/>
  <c r="T99" i="5"/>
  <c r="U99" i="5" s="1"/>
  <c r="V99" i="5" s="1"/>
  <c r="W99" i="5" s="1"/>
  <c r="X99" i="5" s="1"/>
  <c r="Y99" i="5" s="1"/>
  <c r="P115" i="5"/>
  <c r="O125" i="5"/>
  <c r="S188" i="5"/>
  <c r="T188" i="5" s="1"/>
  <c r="U188" i="5" s="1"/>
  <c r="R162" i="5"/>
  <c r="S162" i="5" s="1"/>
  <c r="T162" i="5" s="1"/>
  <c r="U162" i="5" s="1"/>
  <c r="V162" i="5" s="1"/>
  <c r="W162" i="5" s="1"/>
  <c r="X162" i="5" s="1"/>
  <c r="F458" i="7"/>
  <c r="F638" i="7"/>
  <c r="F128" i="7"/>
  <c r="F753" i="7" s="1"/>
  <c r="K406" i="3"/>
  <c r="J272" i="7"/>
  <c r="J617" i="7"/>
  <c r="J437" i="7"/>
  <c r="E272" i="7"/>
  <c r="E437" i="7"/>
  <c r="E107" i="7"/>
  <c r="E752" i="7" s="1"/>
  <c r="H437" i="7"/>
  <c r="X415" i="7"/>
  <c r="I128" i="7"/>
  <c r="I753" i="7" s="1"/>
  <c r="E293" i="7"/>
  <c r="E128" i="7"/>
  <c r="E753" i="7" s="1"/>
  <c r="E458" i="7"/>
  <c r="H272" i="7"/>
  <c r="H107" i="7"/>
  <c r="H752" i="7" s="1"/>
  <c r="E406" i="3"/>
  <c r="G128" i="7"/>
  <c r="G753" i="7" s="1"/>
  <c r="G293" i="7"/>
  <c r="G458" i="7"/>
  <c r="I293" i="7"/>
  <c r="I458" i="7"/>
  <c r="H293" i="7"/>
  <c r="J128" i="7"/>
  <c r="J753" i="7" s="1"/>
  <c r="H458" i="7"/>
  <c r="J293" i="7"/>
  <c r="H638" i="7"/>
  <c r="J458" i="7"/>
  <c r="G107" i="7"/>
  <c r="G752" i="7" s="1"/>
  <c r="G272" i="7"/>
  <c r="G437" i="7"/>
  <c r="G406" i="3"/>
  <c r="L107" i="3"/>
  <c r="K216" i="8" s="1"/>
  <c r="K249" i="8" s="1"/>
  <c r="L272" i="3"/>
  <c r="L426" i="3" s="1"/>
  <c r="K156" i="8"/>
  <c r="H406" i="3"/>
  <c r="L128" i="3"/>
  <c r="K232" i="8" s="1"/>
  <c r="L293" i="3"/>
  <c r="L427" i="3" s="1"/>
  <c r="K172" i="8"/>
  <c r="K192" i="8" s="1"/>
  <c r="L123" i="7"/>
  <c r="L138" i="7"/>
  <c r="N210" i="7"/>
  <c r="O96" i="7"/>
  <c r="X85" i="7"/>
  <c r="X132" i="7"/>
  <c r="X463" i="7"/>
  <c r="X643" i="7"/>
  <c r="X298" i="7"/>
  <c r="N214" i="7"/>
  <c r="N133" i="7"/>
  <c r="N137" i="7"/>
  <c r="N464" i="7"/>
  <c r="N135" i="7"/>
  <c r="N112" i="7"/>
  <c r="X571" i="7"/>
  <c r="X61" i="7"/>
  <c r="X749" i="7" s="1"/>
  <c r="X227" i="7"/>
  <c r="X770" i="7" s="1"/>
  <c r="N536" i="7"/>
  <c r="N800" i="7" s="1"/>
  <c r="N431" i="3"/>
  <c r="K202" i="8"/>
  <c r="K248" i="8" s="1"/>
  <c r="N424" i="3"/>
  <c r="H753" i="7"/>
  <c r="K753" i="7"/>
  <c r="B58" i="8"/>
  <c r="B62" i="8"/>
  <c r="B52" i="8"/>
  <c r="N678" i="7"/>
  <c r="N498" i="7"/>
  <c r="O504" i="7"/>
  <c r="O684" i="7"/>
  <c r="O683" i="7"/>
  <c r="O503" i="7"/>
  <c r="O336" i="7"/>
  <c r="N681" i="7"/>
  <c r="N501" i="7"/>
  <c r="N677" i="7"/>
  <c r="N497" i="7"/>
  <c r="N682" i="7"/>
  <c r="N502" i="7"/>
  <c r="O337" i="7"/>
  <c r="O685" i="7"/>
  <c r="O505" i="7"/>
  <c r="N335" i="7"/>
  <c r="N680" i="7"/>
  <c r="N500" i="7"/>
  <c r="P331" i="7"/>
  <c r="O496" i="7"/>
  <c r="O676" i="7"/>
  <c r="N499" i="7"/>
  <c r="N679" i="7"/>
  <c r="N334" i="7"/>
  <c r="K228" i="8"/>
  <c r="N134" i="7"/>
  <c r="N466" i="7"/>
  <c r="N136" i="7"/>
  <c r="N131" i="7"/>
  <c r="N197" i="7"/>
  <c r="N278" i="7"/>
  <c r="N443" i="7"/>
  <c r="N718" i="7"/>
  <c r="N822" i="7" s="1"/>
  <c r="N373" i="7"/>
  <c r="N780" i="7" s="1"/>
  <c r="N535" i="7"/>
  <c r="X248" i="7"/>
  <c r="X413" i="7"/>
  <c r="X593" i="7"/>
  <c r="X83" i="7"/>
  <c r="N537" i="7"/>
  <c r="X589" i="7"/>
  <c r="X244" i="7"/>
  <c r="N644" i="7"/>
  <c r="O443" i="7"/>
  <c r="L101" i="7"/>
  <c r="L114" i="7"/>
  <c r="L115" i="7"/>
  <c r="L98" i="7"/>
  <c r="L129" i="7"/>
  <c r="N609" i="7"/>
  <c r="N287" i="7"/>
  <c r="N346" i="7"/>
  <c r="O344" i="7"/>
  <c r="N691" i="7"/>
  <c r="O509" i="7"/>
  <c r="N511" i="7"/>
  <c r="N655" i="7"/>
  <c r="N452" i="7"/>
  <c r="N632" i="7"/>
  <c r="V100" i="14"/>
  <c r="X68" i="4" s="1"/>
  <c r="V90" i="14"/>
  <c r="X67" i="4" s="1"/>
  <c r="V80" i="14"/>
  <c r="X66" i="4" s="1"/>
  <c r="V60" i="14"/>
  <c r="X64" i="4" s="1"/>
  <c r="V70" i="14"/>
  <c r="X65" i="4" s="1"/>
  <c r="V50" i="14"/>
  <c r="X63" i="4" s="1"/>
  <c r="U100" i="14"/>
  <c r="W68" i="4" s="1"/>
  <c r="U90" i="14"/>
  <c r="W67" i="4" s="1"/>
  <c r="U80" i="14"/>
  <c r="W66" i="4" s="1"/>
  <c r="U70" i="14"/>
  <c r="W65" i="4" s="1"/>
  <c r="R90" i="14"/>
  <c r="T67" i="4" s="1"/>
  <c r="U60" i="14"/>
  <c r="W64" i="4" s="1"/>
  <c r="R80" i="14"/>
  <c r="T66" i="4" s="1"/>
  <c r="U50" i="14"/>
  <c r="W63" i="4" s="1"/>
  <c r="N264" i="7"/>
  <c r="N646" i="7"/>
  <c r="N187" i="7"/>
  <c r="N301" i="7"/>
  <c r="O266" i="7"/>
  <c r="N352" i="7"/>
  <c r="O431" i="7"/>
  <c r="N517" i="7"/>
  <c r="N524" i="7"/>
  <c r="N279" i="7"/>
  <c r="N444" i="7"/>
  <c r="N359" i="7"/>
  <c r="N299" i="7"/>
  <c r="O383" i="7"/>
  <c r="O548" i="7"/>
  <c r="O728" i="7"/>
  <c r="N710" i="7"/>
  <c r="N366" i="7"/>
  <c r="O695" i="7"/>
  <c r="P428" i="7"/>
  <c r="O428" i="7"/>
  <c r="O706" i="7"/>
  <c r="O526" i="7"/>
  <c r="O361" i="7"/>
  <c r="O369" i="7"/>
  <c r="O534" i="7"/>
  <c r="O608" i="7"/>
  <c r="N531" i="7"/>
  <c r="O704" i="7"/>
  <c r="O517" i="7"/>
  <c r="Q323" i="7"/>
  <c r="N367" i="7"/>
  <c r="N532" i="7"/>
  <c r="N712" i="7"/>
  <c r="N711" i="7"/>
  <c r="N365" i="7"/>
  <c r="M616" i="7"/>
  <c r="O355" i="7"/>
  <c r="N721" i="7"/>
  <c r="N376" i="7"/>
  <c r="N541" i="7"/>
  <c r="O520" i="7"/>
  <c r="N706" i="7"/>
  <c r="N526" i="7"/>
  <c r="N361" i="7"/>
  <c r="O700" i="7"/>
  <c r="N341" i="7"/>
  <c r="N506" i="7"/>
  <c r="N686" i="7"/>
  <c r="N704" i="7"/>
  <c r="Q714" i="7"/>
  <c r="O263" i="7"/>
  <c r="N530" i="7"/>
  <c r="N608" i="7"/>
  <c r="N428" i="7"/>
  <c r="N263" i="7"/>
  <c r="O609" i="7"/>
  <c r="O227" i="3"/>
  <c r="K253" i="8"/>
  <c r="N337" i="7"/>
  <c r="O81" i="3"/>
  <c r="O214" i="3"/>
  <c r="O118" i="3"/>
  <c r="L235" i="8"/>
  <c r="M126" i="3"/>
  <c r="L230" i="8" s="1"/>
  <c r="M95" i="3"/>
  <c r="L206" i="8" s="1"/>
  <c r="M90" i="3"/>
  <c r="M139" i="3"/>
  <c r="L239" i="8" s="1"/>
  <c r="M102" i="3"/>
  <c r="L211" i="8" s="1"/>
  <c r="M140" i="3"/>
  <c r="L240" i="8" s="1"/>
  <c r="M103" i="3"/>
  <c r="L212" i="8" s="1"/>
  <c r="M87" i="7"/>
  <c r="L599" i="7"/>
  <c r="L814" i="7" s="1"/>
  <c r="L419" i="7"/>
  <c r="L793" i="7" s="1"/>
  <c r="L254" i="7"/>
  <c r="L772" i="7" s="1"/>
  <c r="L89" i="7"/>
  <c r="L751" i="7" s="1"/>
  <c r="L433" i="7"/>
  <c r="L103" i="7"/>
  <c r="M101" i="7"/>
  <c r="L268" i="7"/>
  <c r="L613" i="7"/>
  <c r="O169" i="3"/>
  <c r="O88" i="3"/>
  <c r="L102" i="7"/>
  <c r="M100" i="7"/>
  <c r="L432" i="7"/>
  <c r="L612" i="7"/>
  <c r="L267" i="7"/>
  <c r="M88" i="7"/>
  <c r="L420" i="7"/>
  <c r="L90" i="7"/>
  <c r="L600" i="7"/>
  <c r="L255" i="7"/>
  <c r="O384" i="3"/>
  <c r="O201" i="3"/>
  <c r="O327" i="7"/>
  <c r="P323" i="7"/>
  <c r="P252" i="7"/>
  <c r="N302" i="7"/>
  <c r="O492" i="7"/>
  <c r="P488" i="7"/>
  <c r="P597" i="7"/>
  <c r="N467" i="7"/>
  <c r="O672" i="7"/>
  <c r="P668" i="7"/>
  <c r="O239" i="7"/>
  <c r="O584" i="7"/>
  <c r="O382" i="3"/>
  <c r="O310" i="7"/>
  <c r="N475" i="7"/>
  <c r="N310" i="7"/>
  <c r="N372" i="7"/>
  <c r="N717" i="7"/>
  <c r="M251" i="8"/>
  <c r="O183" i="3"/>
  <c r="O191" i="3"/>
  <c r="O184" i="3"/>
  <c r="O192" i="3"/>
  <c r="P626" i="7"/>
  <c r="P375" i="7"/>
  <c r="O404" i="7"/>
  <c r="N250" i="8"/>
  <c r="P417" i="7"/>
  <c r="P201" i="3"/>
  <c r="O215" i="3"/>
  <c r="O217" i="7"/>
  <c r="O353" i="7"/>
  <c r="P540" i="7"/>
  <c r="O395" i="7"/>
  <c r="O281" i="7"/>
  <c r="O698" i="7"/>
  <c r="O533" i="7"/>
  <c r="O359" i="7"/>
  <c r="O707" i="7"/>
  <c r="O515" i="7"/>
  <c r="O626" i="7"/>
  <c r="N351" i="7"/>
  <c r="O518" i="7"/>
  <c r="O350" i="7"/>
  <c r="P350" i="7"/>
  <c r="O368" i="7"/>
  <c r="O524" i="7"/>
  <c r="N510" i="7"/>
  <c r="O513" i="7"/>
  <c r="L97" i="7"/>
  <c r="L99" i="7"/>
  <c r="L109" i="7"/>
  <c r="L113" i="7"/>
  <c r="N199" i="7"/>
  <c r="O365" i="7"/>
  <c r="O530" i="7"/>
  <c r="M160" i="3"/>
  <c r="L234" i="8"/>
  <c r="L108" i="7"/>
  <c r="L605" i="7"/>
  <c r="L425" i="7"/>
  <c r="L260" i="7"/>
  <c r="L95" i="7"/>
  <c r="O188" i="3"/>
  <c r="M124" i="3"/>
  <c r="M94" i="3"/>
  <c r="L205" i="8" s="1"/>
  <c r="O174" i="3"/>
  <c r="L94" i="7"/>
  <c r="O219" i="3"/>
  <c r="M141" i="3"/>
  <c r="M109" i="3"/>
  <c r="L218" i="8" s="1"/>
  <c r="O123" i="3"/>
  <c r="O77" i="3"/>
  <c r="O213" i="3"/>
  <c r="M423" i="7"/>
  <c r="M258" i="7"/>
  <c r="M603" i="7"/>
  <c r="M125" i="3"/>
  <c r="L229" i="8" s="1"/>
  <c r="M93" i="3"/>
  <c r="L204" i="8" s="1"/>
  <c r="O172" i="3"/>
  <c r="O101" i="3"/>
  <c r="N210" i="8" s="1"/>
  <c r="M142" i="3"/>
  <c r="L241" i="8" s="1"/>
  <c r="L254" i="8" s="1"/>
  <c r="M108" i="3"/>
  <c r="L217" i="8" s="1"/>
  <c r="L93" i="7"/>
  <c r="L423" i="7"/>
  <c r="L258" i="7"/>
  <c r="L603" i="7"/>
  <c r="O186" i="3"/>
  <c r="M161" i="3"/>
  <c r="L233" i="8"/>
  <c r="N516" i="7"/>
  <c r="O394" i="7"/>
  <c r="N696" i="7"/>
  <c r="G195" i="8"/>
  <c r="N630" i="7"/>
  <c r="N690" i="7"/>
  <c r="P720" i="7"/>
  <c r="P251" i="7"/>
  <c r="O630" i="7"/>
  <c r="N285" i="7"/>
  <c r="P596" i="7"/>
  <c r="O693" i="7"/>
  <c r="O237" i="7"/>
  <c r="P582" i="7"/>
  <c r="O402" i="7"/>
  <c r="P693" i="7"/>
  <c r="Q727" i="7"/>
  <c r="O547" i="7"/>
  <c r="R597" i="7"/>
  <c r="N204" i="7"/>
  <c r="O215" i="7"/>
  <c r="N192" i="7"/>
  <c r="O494" i="7"/>
  <c r="N215" i="7"/>
  <c r="N394" i="7"/>
  <c r="P698" i="7"/>
  <c r="N117" i="7"/>
  <c r="O382" i="7"/>
  <c r="N219" i="7"/>
  <c r="N209" i="7"/>
  <c r="P523" i="7"/>
  <c r="P724" i="7"/>
  <c r="O727" i="7"/>
  <c r="O523" i="7"/>
  <c r="N211" i="7"/>
  <c r="N196" i="7"/>
  <c r="N218" i="7"/>
  <c r="O703" i="7"/>
  <c r="P383" i="7"/>
  <c r="O356" i="7"/>
  <c r="O674" i="7"/>
  <c r="N636" i="7"/>
  <c r="P548" i="7"/>
  <c r="O521" i="7"/>
  <c r="O719" i="7"/>
  <c r="P728" i="7"/>
  <c r="O701" i="7"/>
  <c r="P217" i="7"/>
  <c r="N77" i="7"/>
  <c r="N291" i="7"/>
  <c r="O193" i="7"/>
  <c r="N456" i="7"/>
  <c r="O358" i="7"/>
  <c r="N186" i="7"/>
  <c r="N202" i="7"/>
  <c r="L189" i="7"/>
  <c r="L188" i="7"/>
  <c r="L169" i="7"/>
  <c r="O474" i="7"/>
  <c r="O309" i="7"/>
  <c r="O654" i="7"/>
  <c r="N193" i="7"/>
  <c r="L172" i="7"/>
  <c r="N194" i="7"/>
  <c r="N203" i="7"/>
  <c r="L602" i="7"/>
  <c r="L126" i="7"/>
  <c r="O194" i="7"/>
  <c r="N195" i="7"/>
  <c r="L122" i="7"/>
  <c r="N76" i="7"/>
  <c r="L121" i="7"/>
  <c r="O629" i="7"/>
  <c r="O406" i="7"/>
  <c r="L144" i="7"/>
  <c r="N86" i="7"/>
  <c r="M269" i="7"/>
  <c r="L119" i="7"/>
  <c r="N75" i="7"/>
  <c r="N284" i="7"/>
  <c r="N587" i="7"/>
  <c r="N449" i="7"/>
  <c r="O287" i="7"/>
  <c r="L120" i="7"/>
  <c r="L143" i="7"/>
  <c r="N629" i="7"/>
  <c r="O241" i="7"/>
  <c r="N407" i="7"/>
  <c r="O539" i="7"/>
  <c r="O586" i="7"/>
  <c r="O76" i="7"/>
  <c r="O409" i="7"/>
  <c r="O374" i="7"/>
  <c r="O546" i="7"/>
  <c r="O381" i="7"/>
  <c r="O366" i="7"/>
  <c r="O711" i="7"/>
  <c r="N242" i="7"/>
  <c r="O726" i="7"/>
  <c r="O531" i="7"/>
  <c r="N400" i="7"/>
  <c r="L671" i="7"/>
  <c r="L491" i="7"/>
  <c r="L326" i="7"/>
  <c r="L652" i="7"/>
  <c r="L472" i="7"/>
  <c r="L307" i="7"/>
  <c r="L142" i="7"/>
  <c r="L635" i="7"/>
  <c r="L455" i="7"/>
  <c r="L290" i="7"/>
  <c r="L125" i="7"/>
  <c r="M188" i="7"/>
  <c r="L490" i="7"/>
  <c r="L325" i="7"/>
  <c r="L670" i="7"/>
  <c r="L649" i="7"/>
  <c r="L469" i="7"/>
  <c r="L304" i="7"/>
  <c r="L139" i="7"/>
  <c r="L634" i="7"/>
  <c r="L454" i="7"/>
  <c r="L289" i="7"/>
  <c r="L124" i="7"/>
  <c r="L651" i="7"/>
  <c r="L471" i="7"/>
  <c r="L306" i="7"/>
  <c r="L141" i="7"/>
  <c r="L650" i="7"/>
  <c r="L470" i="7"/>
  <c r="L140" i="7"/>
  <c r="L305" i="7"/>
  <c r="O283" i="7"/>
  <c r="O448" i="7"/>
  <c r="O628" i="7"/>
  <c r="I195" i="8"/>
  <c r="P353" i="7"/>
  <c r="P518" i="7"/>
  <c r="P547" i="7"/>
  <c r="P727" i="7"/>
  <c r="D195" i="8"/>
  <c r="P382" i="7"/>
  <c r="O632" i="7"/>
  <c r="N620" i="7"/>
  <c r="N440" i="7"/>
  <c r="N275" i="7"/>
  <c r="E195" i="8"/>
  <c r="O452" i="7"/>
  <c r="F195" i="8"/>
  <c r="N656" i="7"/>
  <c r="N476" i="7"/>
  <c r="N311" i="7"/>
  <c r="P203" i="3"/>
  <c r="O182" i="8"/>
  <c r="P308" i="3"/>
  <c r="N398" i="7"/>
  <c r="P729" i="7"/>
  <c r="P549" i="7"/>
  <c r="P384" i="7"/>
  <c r="P725" i="7"/>
  <c r="P380" i="7"/>
  <c r="P545" i="7"/>
  <c r="P585" i="7"/>
  <c r="P405" i="7"/>
  <c r="P240" i="7"/>
  <c r="O167" i="8"/>
  <c r="P288" i="3"/>
  <c r="N731" i="7"/>
  <c r="N551" i="7"/>
  <c r="N386" i="7"/>
  <c r="N221" i="7"/>
  <c r="N715" i="7"/>
  <c r="N370" i="7"/>
  <c r="N205" i="7"/>
  <c r="P318" i="3"/>
  <c r="L172" i="8"/>
  <c r="M293" i="3"/>
  <c r="M128" i="3"/>
  <c r="L232" i="8" s="1"/>
  <c r="Q313" i="3"/>
  <c r="O236" i="3"/>
  <c r="P348" i="3"/>
  <c r="P204" i="3"/>
  <c r="O158" i="8"/>
  <c r="P75" i="3"/>
  <c r="O722" i="7"/>
  <c r="O542" i="7"/>
  <c r="O377" i="7"/>
  <c r="O208" i="3"/>
  <c r="O412" i="3" s="1"/>
  <c r="L143" i="8"/>
  <c r="M257" i="3"/>
  <c r="M92" i="3"/>
  <c r="L203" i="8" s="1"/>
  <c r="O328" i="3"/>
  <c r="O163" i="3"/>
  <c r="O237" i="3"/>
  <c r="O72" i="3"/>
  <c r="P343" i="3"/>
  <c r="O231" i="3"/>
  <c r="Q366" i="3"/>
  <c r="N641" i="7"/>
  <c r="N461" i="7"/>
  <c r="N296" i="7"/>
  <c r="O306" i="3"/>
  <c r="P354" i="3"/>
  <c r="P189" i="3"/>
  <c r="O176" i="8"/>
  <c r="O180" i="8"/>
  <c r="P305" i="3"/>
  <c r="O174" i="8"/>
  <c r="P295" i="3"/>
  <c r="N633" i="7"/>
  <c r="N453" i="7"/>
  <c r="N288" i="7"/>
  <c r="P380" i="3"/>
  <c r="P114" i="3"/>
  <c r="O724" i="7"/>
  <c r="O544" i="7"/>
  <c r="O379" i="7"/>
  <c r="P346" i="3"/>
  <c r="P181" i="3"/>
  <c r="O148" i="8"/>
  <c r="P264" i="3"/>
  <c r="N397" i="7"/>
  <c r="O694" i="7"/>
  <c r="O514" i="7"/>
  <c r="O349" i="7"/>
  <c r="O692" i="7"/>
  <c r="O512" i="7"/>
  <c r="O347" i="7"/>
  <c r="P191" i="3"/>
  <c r="O358" i="3"/>
  <c r="O193" i="3"/>
  <c r="N716" i="7"/>
  <c r="N821" i="7" s="1"/>
  <c r="N371" i="7"/>
  <c r="N779" i="7" s="1"/>
  <c r="L154" i="8"/>
  <c r="M105" i="3"/>
  <c r="L214" i="8" s="1"/>
  <c r="M270" i="3"/>
  <c r="P253" i="3"/>
  <c r="O320" i="3"/>
  <c r="Q240" i="3"/>
  <c r="O78" i="7"/>
  <c r="P367" i="3"/>
  <c r="P202" i="3"/>
  <c r="P349" i="3"/>
  <c r="N392" i="7"/>
  <c r="P205" i="3"/>
  <c r="L637" i="7"/>
  <c r="L457" i="7"/>
  <c r="L292" i="7"/>
  <c r="L127" i="7"/>
  <c r="Q287" i="3"/>
  <c r="P243" i="3"/>
  <c r="P78" i="3"/>
  <c r="P361" i="3"/>
  <c r="P196" i="3"/>
  <c r="P351" i="3"/>
  <c r="N146" i="8"/>
  <c r="O260" i="3"/>
  <c r="Q325" i="3"/>
  <c r="N159" i="8"/>
  <c r="O667" i="7"/>
  <c r="O487" i="7"/>
  <c r="O322" i="7"/>
  <c r="N396" i="7"/>
  <c r="O631" i="7"/>
  <c r="O451" i="7"/>
  <c r="O286" i="7"/>
  <c r="O162" i="8"/>
  <c r="P281" i="3"/>
  <c r="P116" i="3"/>
  <c r="O222" i="8" s="1"/>
  <c r="O691" i="7"/>
  <c r="O511" i="7"/>
  <c r="O346" i="7"/>
  <c r="P321" i="3"/>
  <c r="P217" i="3"/>
  <c r="O381" i="3"/>
  <c r="O216" i="3"/>
  <c r="P386" i="3"/>
  <c r="P221" i="3"/>
  <c r="J195" i="8"/>
  <c r="O170" i="8"/>
  <c r="P291" i="3"/>
  <c r="P700" i="7"/>
  <c r="P520" i="7"/>
  <c r="P355" i="7"/>
  <c r="O169" i="8"/>
  <c r="P290" i="3"/>
  <c r="N607" i="7"/>
  <c r="N427" i="7"/>
  <c r="N262" i="7"/>
  <c r="P345" i="3"/>
  <c r="L615" i="7"/>
  <c r="L435" i="7"/>
  <c r="L270" i="7"/>
  <c r="L105" i="7"/>
  <c r="P379" i="3"/>
  <c r="O164" i="8"/>
  <c r="P284" i="3"/>
  <c r="P119" i="3"/>
  <c r="O224" i="8" s="1"/>
  <c r="N151" i="8"/>
  <c r="O267" i="3"/>
  <c r="O166" i="8"/>
  <c r="P286" i="3"/>
  <c r="P357" i="3"/>
  <c r="P192" i="3"/>
  <c r="P329" i="3"/>
  <c r="O183" i="8"/>
  <c r="P309" i="3"/>
  <c r="P144" i="3"/>
  <c r="O243" i="8" s="1"/>
  <c r="Q323" i="3"/>
  <c r="P197" i="3"/>
  <c r="O360" i="3"/>
  <c r="O195" i="3"/>
  <c r="N110" i="3"/>
  <c r="M219" i="8" s="1"/>
  <c r="L156" i="8"/>
  <c r="M272" i="3"/>
  <c r="M107" i="3"/>
  <c r="L216" i="8" s="1"/>
  <c r="O252" i="3"/>
  <c r="O425" i="3" s="1"/>
  <c r="O87" i="3"/>
  <c r="P175" i="3"/>
  <c r="O342" i="3"/>
  <c r="P701" i="7"/>
  <c r="P521" i="7"/>
  <c r="P356" i="7"/>
  <c r="Q596" i="7"/>
  <c r="Q251" i="7"/>
  <c r="O152" i="8"/>
  <c r="P268" i="3"/>
  <c r="P363" i="3"/>
  <c r="P198" i="3"/>
  <c r="P172" i="3"/>
  <c r="O171" i="3"/>
  <c r="O161" i="8"/>
  <c r="P280" i="3"/>
  <c r="N340" i="7"/>
  <c r="L614" i="7"/>
  <c r="L434" i="7"/>
  <c r="L269" i="7"/>
  <c r="L104" i="7"/>
  <c r="P356" i="3"/>
  <c r="O230" i="3"/>
  <c r="N333" i="7"/>
  <c r="P377" i="3"/>
  <c r="P212" i="3"/>
  <c r="O168" i="8"/>
  <c r="P289" i="3"/>
  <c r="L155" i="8"/>
  <c r="M271" i="3"/>
  <c r="M106" i="3"/>
  <c r="L215" i="8" s="1"/>
  <c r="P232" i="3"/>
  <c r="P362" i="3"/>
  <c r="P254" i="3"/>
  <c r="N89" i="3"/>
  <c r="N404" i="3" s="1"/>
  <c r="L142" i="8"/>
  <c r="M256" i="3"/>
  <c r="M91" i="3"/>
  <c r="P355" i="3"/>
  <c r="O173" i="8"/>
  <c r="P294" i="3"/>
  <c r="P327" i="3"/>
  <c r="P162" i="3"/>
  <c r="O627" i="7"/>
  <c r="O447" i="7"/>
  <c r="O282" i="7"/>
  <c r="N723" i="7"/>
  <c r="N543" i="7"/>
  <c r="N378" i="7"/>
  <c r="N213" i="7"/>
  <c r="O214" i="7"/>
  <c r="P584" i="7"/>
  <c r="P404" i="7"/>
  <c r="P239" i="7"/>
  <c r="H195" i="8"/>
  <c r="O233" i="3"/>
  <c r="P242" i="3"/>
  <c r="P384" i="3"/>
  <c r="P219" i="3"/>
  <c r="N338" i="7"/>
  <c r="P173" i="3"/>
  <c r="O730" i="7"/>
  <c r="O550" i="7"/>
  <c r="O385" i="7"/>
  <c r="O220" i="7"/>
  <c r="O160" i="8"/>
  <c r="P353" i="3"/>
  <c r="N149" i="8"/>
  <c r="O265" i="3"/>
  <c r="O100" i="3"/>
  <c r="N209" i="8" s="1"/>
  <c r="O262" i="3"/>
  <c r="O97" i="3"/>
  <c r="L601" i="7"/>
  <c r="L421" i="7"/>
  <c r="L256" i="7"/>
  <c r="L91" i="7"/>
  <c r="O178" i="8"/>
  <c r="P303" i="3"/>
  <c r="P138" i="3"/>
  <c r="O238" i="8" s="1"/>
  <c r="O598" i="7"/>
  <c r="O418" i="7"/>
  <c r="O253" i="7"/>
  <c r="N165" i="8"/>
  <c r="O120" i="3"/>
  <c r="N225" i="8" s="1"/>
  <c r="N251" i="8" s="1"/>
  <c r="O285" i="3"/>
  <c r="P310" i="3"/>
  <c r="L616" i="7"/>
  <c r="L436" i="7"/>
  <c r="L271" i="7"/>
  <c r="L106" i="7"/>
  <c r="P341" i="3"/>
  <c r="P176" i="3"/>
  <c r="P359" i="3"/>
  <c r="P123" i="3"/>
  <c r="O255" i="3"/>
  <c r="O150" i="8"/>
  <c r="P266" i="3"/>
  <c r="N699" i="7"/>
  <c r="N519" i="7"/>
  <c r="N354" i="7"/>
  <c r="O181" i="8"/>
  <c r="P307" i="3"/>
  <c r="P376" i="3"/>
  <c r="N625" i="7"/>
  <c r="N445" i="7"/>
  <c r="N280" i="7"/>
  <c r="P319" i="3"/>
  <c r="P302" i="3"/>
  <c r="P229" i="3"/>
  <c r="P702" i="7"/>
  <c r="P522" i="7"/>
  <c r="P357" i="7"/>
  <c r="L153" i="8"/>
  <c r="M269" i="3"/>
  <c r="M104" i="3"/>
  <c r="L213" i="8" s="1"/>
  <c r="N332" i="7"/>
  <c r="P378" i="3"/>
  <c r="P213" i="3"/>
  <c r="P239" i="3"/>
  <c r="P74" i="3"/>
  <c r="N144" i="8"/>
  <c r="O258" i="3"/>
  <c r="P347" i="3"/>
  <c r="P182" i="3"/>
  <c r="Q597" i="7"/>
  <c r="Q417" i="7"/>
  <c r="Q252" i="7"/>
  <c r="P188" i="3"/>
  <c r="O352" i="3"/>
  <c r="O187" i="3"/>
  <c r="P211" i="3"/>
  <c r="O210" i="3"/>
  <c r="P365" i="3"/>
  <c r="P200" i="3"/>
  <c r="O199" i="7"/>
  <c r="N708" i="7"/>
  <c r="N528" i="7"/>
  <c r="N363" i="7"/>
  <c r="N198" i="7"/>
  <c r="N669" i="7"/>
  <c r="N489" i="7"/>
  <c r="N324" i="7"/>
  <c r="P283" i="3"/>
  <c r="P385" i="3"/>
  <c r="P220" i="3"/>
  <c r="P241" i="3"/>
  <c r="P76" i="3"/>
  <c r="P158" i="3"/>
  <c r="O322" i="3"/>
  <c r="O157" i="3"/>
  <c r="O175" i="8"/>
  <c r="P214" i="3"/>
  <c r="O350" i="3"/>
  <c r="O185" i="3"/>
  <c r="P324" i="3"/>
  <c r="P159" i="3"/>
  <c r="P581" i="7"/>
  <c r="P812" i="7" s="1"/>
  <c r="P401" i="7"/>
  <c r="O116" i="7"/>
  <c r="P115" i="3"/>
  <c r="O221" i="8" s="1"/>
  <c r="O244" i="3"/>
  <c r="O145" i="8"/>
  <c r="P259" i="3"/>
  <c r="P326" i="3"/>
  <c r="N179" i="8"/>
  <c r="O304" i="3"/>
  <c r="O163" i="8"/>
  <c r="P282" i="3"/>
  <c r="P117" i="3"/>
  <c r="O223" i="8" s="1"/>
  <c r="P344" i="3"/>
  <c r="P179" i="3"/>
  <c r="P311" i="3"/>
  <c r="P146" i="3"/>
  <c r="P145" i="3"/>
  <c r="O312" i="3"/>
  <c r="O428" i="3" s="1"/>
  <c r="N147" i="8"/>
  <c r="O263" i="3"/>
  <c r="O98" i="3"/>
  <c r="N207" i="8" s="1"/>
  <c r="P364" i="3"/>
  <c r="P199" i="3"/>
  <c r="P383" i="3"/>
  <c r="P218" i="3"/>
  <c r="O177" i="8"/>
  <c r="O237" i="8"/>
  <c r="P316" i="3"/>
  <c r="P143" i="3"/>
  <c r="O242" i="8" s="1"/>
  <c r="N157" i="8"/>
  <c r="O273" i="3"/>
  <c r="P672" i="7"/>
  <c r="P492" i="7"/>
  <c r="P327" i="7"/>
  <c r="L171" i="8"/>
  <c r="M292" i="3"/>
  <c r="M127" i="3"/>
  <c r="L231" i="8" s="1"/>
  <c r="Q317" i="3"/>
  <c r="P174" i="3"/>
  <c r="Q201" i="3"/>
  <c r="P251" i="3"/>
  <c r="O653" i="7"/>
  <c r="O473" i="7"/>
  <c r="O308" i="7"/>
  <c r="P83" i="3"/>
  <c r="M93" i="7"/>
  <c r="L422" i="7"/>
  <c r="L257" i="7"/>
  <c r="L92" i="7"/>
  <c r="O610" i="7" l="1"/>
  <c r="Q197" i="5"/>
  <c r="O362" i="7"/>
  <c r="O696" i="7"/>
  <c r="O525" i="7"/>
  <c r="O705" i="7"/>
  <c r="X215" i="5"/>
  <c r="Y215" i="5" s="1"/>
  <c r="O195" i="7"/>
  <c r="Q375" i="7"/>
  <c r="O721" i="7"/>
  <c r="P719" i="7"/>
  <c r="O351" i="7"/>
  <c r="V158" i="5"/>
  <c r="W158" i="5" s="1"/>
  <c r="X158" i="5" s="1"/>
  <c r="Y158" i="5" s="1"/>
  <c r="W185" i="5"/>
  <c r="X185" i="5" s="1"/>
  <c r="Q521" i="7"/>
  <c r="Q540" i="7"/>
  <c r="R540" i="7"/>
  <c r="O541" i="7"/>
  <c r="Q720" i="7"/>
  <c r="P141" i="5"/>
  <c r="Q141" i="5" s="1"/>
  <c r="P529" i="7"/>
  <c r="Q100" i="5"/>
  <c r="R100" i="5" s="1"/>
  <c r="O430" i="7"/>
  <c r="P709" i="7"/>
  <c r="T214" i="5"/>
  <c r="U214" i="5" s="1"/>
  <c r="V214" i="5" s="1"/>
  <c r="W214" i="5" s="1"/>
  <c r="X214" i="5" s="1"/>
  <c r="Y214" i="5" s="1"/>
  <c r="L272" i="7"/>
  <c r="Y182" i="5"/>
  <c r="T120" i="5"/>
  <c r="U120" i="5" s="1"/>
  <c r="V120" i="5" s="1"/>
  <c r="W120" i="5" s="1"/>
  <c r="T117" i="5"/>
  <c r="R108" i="5"/>
  <c r="S108" i="5" s="1"/>
  <c r="S181" i="5"/>
  <c r="T181" i="5" s="1"/>
  <c r="O456" i="7"/>
  <c r="W200" i="5"/>
  <c r="X200" i="5" s="1"/>
  <c r="Y200" i="5" s="1"/>
  <c r="S194" i="5"/>
  <c r="T194" i="5" s="1"/>
  <c r="U194" i="5" s="1"/>
  <c r="V194" i="5" s="1"/>
  <c r="W194" i="5" s="1"/>
  <c r="X194" i="5" s="1"/>
  <c r="Y194" i="5" s="1"/>
  <c r="T203" i="5"/>
  <c r="U203" i="5" s="1"/>
  <c r="V116" i="5"/>
  <c r="W116" i="5" s="1"/>
  <c r="X116" i="5" s="1"/>
  <c r="Y116" i="5" s="1"/>
  <c r="P364" i="7"/>
  <c r="P344" i="7"/>
  <c r="R198" i="5"/>
  <c r="S198" i="5" s="1"/>
  <c r="T191" i="5"/>
  <c r="U191" i="5" s="1"/>
  <c r="P142" i="5"/>
  <c r="Q142" i="5" s="1"/>
  <c r="U187" i="5"/>
  <c r="V187" i="5" s="1"/>
  <c r="W180" i="5"/>
  <c r="X180" i="5" s="1"/>
  <c r="Y180" i="5" s="1"/>
  <c r="P94" i="5"/>
  <c r="Q115" i="5"/>
  <c r="R115" i="5" s="1"/>
  <c r="S115" i="5" s="1"/>
  <c r="T115" i="5" s="1"/>
  <c r="U115" i="5" s="1"/>
  <c r="V115" i="5" s="1"/>
  <c r="T113" i="5"/>
  <c r="U157" i="5"/>
  <c r="V157" i="5" s="1"/>
  <c r="W157" i="5" s="1"/>
  <c r="X157" i="5" s="1"/>
  <c r="Y157" i="5" s="1"/>
  <c r="U169" i="5"/>
  <c r="V169" i="5" s="1"/>
  <c r="U159" i="5"/>
  <c r="V159" i="5" s="1"/>
  <c r="R102" i="5"/>
  <c r="S102" i="5" s="1"/>
  <c r="O128" i="5"/>
  <c r="P128" i="5" s="1"/>
  <c r="X193" i="5"/>
  <c r="Y193" i="5" s="1"/>
  <c r="X217" i="5"/>
  <c r="Y217" i="5" s="1"/>
  <c r="S126" i="5"/>
  <c r="T126" i="5" s="1"/>
  <c r="U163" i="5"/>
  <c r="V163" i="5" s="1"/>
  <c r="W163" i="5" s="1"/>
  <c r="X163" i="5" s="1"/>
  <c r="Y163" i="5" s="1"/>
  <c r="O648" i="7"/>
  <c r="O468" i="7"/>
  <c r="O303" i="7"/>
  <c r="Q195" i="5"/>
  <c r="R103" i="5"/>
  <c r="S103" i="5" s="1"/>
  <c r="T204" i="5"/>
  <c r="U204" i="5" s="1"/>
  <c r="V204" i="5" s="1"/>
  <c r="W204" i="5" s="1"/>
  <c r="X204" i="5" s="1"/>
  <c r="Y204" i="5" s="1"/>
  <c r="P125" i="5"/>
  <c r="Q125" i="5" s="1"/>
  <c r="R125" i="5" s="1"/>
  <c r="O91" i="5"/>
  <c r="P91" i="5" s="1"/>
  <c r="S130" i="5"/>
  <c r="R196" i="5"/>
  <c r="S196" i="5" s="1"/>
  <c r="P107" i="5"/>
  <c r="Q124" i="5"/>
  <c r="Q138" i="5"/>
  <c r="R138" i="5" s="1"/>
  <c r="M405" i="3"/>
  <c r="S122" i="5"/>
  <c r="T122" i="5" s="1"/>
  <c r="X167" i="5"/>
  <c r="Y167" i="5" s="1"/>
  <c r="Q186" i="5"/>
  <c r="R186" i="5" s="1"/>
  <c r="S186" i="5" s="1"/>
  <c r="T186" i="5" s="1"/>
  <c r="U186" i="5" s="1"/>
  <c r="V186" i="5" s="1"/>
  <c r="W186" i="5" s="1"/>
  <c r="X186" i="5" s="1"/>
  <c r="Y186" i="5" s="1"/>
  <c r="S199" i="5"/>
  <c r="T199" i="5" s="1"/>
  <c r="U199" i="5" s="1"/>
  <c r="V199" i="5" s="1"/>
  <c r="Q160" i="5"/>
  <c r="R160" i="5" s="1"/>
  <c r="R201" i="5"/>
  <c r="S201" i="5" s="1"/>
  <c r="T201" i="5" s="1"/>
  <c r="U201" i="5" s="1"/>
  <c r="V201" i="5" s="1"/>
  <c r="W201" i="5" s="1"/>
  <c r="R184" i="5"/>
  <c r="M426" i="3"/>
  <c r="O105" i="5"/>
  <c r="N615" i="7" s="1"/>
  <c r="T123" i="5"/>
  <c r="U123" i="5" s="1"/>
  <c r="S97" i="5"/>
  <c r="T97" i="5" s="1"/>
  <c r="U97" i="5" s="1"/>
  <c r="V97" i="5" s="1"/>
  <c r="W97" i="5" s="1"/>
  <c r="X97" i="5" s="1"/>
  <c r="Y97" i="5" s="1"/>
  <c r="R176" i="5"/>
  <c r="S176" i="5" s="1"/>
  <c r="T176" i="5" s="1"/>
  <c r="U176" i="5" s="1"/>
  <c r="V176" i="5" s="1"/>
  <c r="W176" i="5" s="1"/>
  <c r="X176" i="5" s="1"/>
  <c r="Y176" i="5" s="1"/>
  <c r="R209" i="5"/>
  <c r="S209" i="5" s="1"/>
  <c r="T209" i="5" s="1"/>
  <c r="U209" i="5" s="1"/>
  <c r="V209" i="5" s="1"/>
  <c r="W209" i="5" s="1"/>
  <c r="R104" i="5"/>
  <c r="P127" i="5"/>
  <c r="Q127" i="5" s="1"/>
  <c r="S183" i="5"/>
  <c r="T183" i="5" s="1"/>
  <c r="U183" i="5" s="1"/>
  <c r="V183" i="5" s="1"/>
  <c r="Q93" i="5"/>
  <c r="R93" i="5" s="1"/>
  <c r="W165" i="5"/>
  <c r="X165" i="5" s="1"/>
  <c r="Y165" i="5" s="1"/>
  <c r="R175" i="5"/>
  <c r="S175" i="5" s="1"/>
  <c r="V164" i="5"/>
  <c r="W164" i="5" s="1"/>
  <c r="X164" i="5" s="1"/>
  <c r="Y164" i="5" s="1"/>
  <c r="S192" i="5"/>
  <c r="T192" i="5" s="1"/>
  <c r="U192" i="5" s="1"/>
  <c r="V192" i="5" s="1"/>
  <c r="W192" i="5" s="1"/>
  <c r="X192" i="5" s="1"/>
  <c r="Y192" i="5" s="1"/>
  <c r="S110" i="5"/>
  <c r="T110" i="5" s="1"/>
  <c r="U110" i="5" s="1"/>
  <c r="V110" i="5" s="1"/>
  <c r="W110" i="5" s="1"/>
  <c r="X110" i="5" s="1"/>
  <c r="Y110" i="5" s="1"/>
  <c r="O92" i="5"/>
  <c r="P92" i="5" s="1"/>
  <c r="U129" i="5"/>
  <c r="V129" i="5" s="1"/>
  <c r="W129" i="5" s="1"/>
  <c r="X129" i="5" s="1"/>
  <c r="Y129" i="5" s="1"/>
  <c r="V134" i="5"/>
  <c r="W134" i="5" s="1"/>
  <c r="X134" i="5" s="1"/>
  <c r="Y134" i="5" s="1"/>
  <c r="S143" i="5"/>
  <c r="T143" i="5" s="1"/>
  <c r="U143" i="5" s="1"/>
  <c r="V143" i="5" s="1"/>
  <c r="W143" i="5" s="1"/>
  <c r="R161" i="5"/>
  <c r="S190" i="5"/>
  <c r="T190" i="5" s="1"/>
  <c r="U190" i="5" s="1"/>
  <c r="V190" i="5" s="1"/>
  <c r="W190" i="5" s="1"/>
  <c r="X190" i="5" s="1"/>
  <c r="Y190" i="5" s="1"/>
  <c r="O90" i="5"/>
  <c r="P90" i="5" s="1"/>
  <c r="R173" i="5"/>
  <c r="Q146" i="5"/>
  <c r="R146" i="5" s="1"/>
  <c r="T172" i="5"/>
  <c r="U172" i="5" s="1"/>
  <c r="V172" i="5" s="1"/>
  <c r="S206" i="5"/>
  <c r="T206" i="5" s="1"/>
  <c r="O536" i="7"/>
  <c r="O800" i="7" s="1"/>
  <c r="S136" i="5"/>
  <c r="T213" i="5"/>
  <c r="U213" i="5" s="1"/>
  <c r="V213" i="5" s="1"/>
  <c r="W213" i="5" s="1"/>
  <c r="X213" i="5" s="1"/>
  <c r="Y213" i="5" s="1"/>
  <c r="W137" i="5"/>
  <c r="X137" i="5" s="1"/>
  <c r="Y137" i="5" s="1"/>
  <c r="Q106" i="5"/>
  <c r="R101" i="5"/>
  <c r="S101" i="5" s="1"/>
  <c r="T101" i="5" s="1"/>
  <c r="U101" i="5" s="1"/>
  <c r="S171" i="5"/>
  <c r="T171" i="5" s="1"/>
  <c r="U171" i="5" s="1"/>
  <c r="V171" i="5" s="1"/>
  <c r="W171" i="5" s="1"/>
  <c r="X171" i="5" s="1"/>
  <c r="Y171" i="5" s="1"/>
  <c r="P374" i="7"/>
  <c r="P536" i="7"/>
  <c r="P800" i="7" s="1"/>
  <c r="Y179" i="5"/>
  <c r="R118" i="5"/>
  <c r="S118" i="5" s="1"/>
  <c r="T118" i="5" s="1"/>
  <c r="U118" i="5" s="1"/>
  <c r="V118" i="5" s="1"/>
  <c r="W118" i="5" s="1"/>
  <c r="X118" i="5" s="1"/>
  <c r="Y118" i="5" s="1"/>
  <c r="W144" i="5"/>
  <c r="X144" i="5" s="1"/>
  <c r="Y144" i="5" s="1"/>
  <c r="Y185" i="5"/>
  <c r="L405" i="3"/>
  <c r="O376" i="7"/>
  <c r="S211" i="5"/>
  <c r="T211" i="5" s="1"/>
  <c r="U211" i="5" s="1"/>
  <c r="V211" i="5" s="1"/>
  <c r="W211" i="5" s="1"/>
  <c r="X211" i="5" s="1"/>
  <c r="Y211" i="5" s="1"/>
  <c r="O140" i="5"/>
  <c r="W145" i="5"/>
  <c r="U205" i="5"/>
  <c r="V205" i="5" s="1"/>
  <c r="W205" i="5" s="1"/>
  <c r="X205" i="5" s="1"/>
  <c r="Y205" i="5" s="1"/>
  <c r="P685" i="7"/>
  <c r="V188" i="5"/>
  <c r="W188" i="5" s="1"/>
  <c r="X188" i="5" s="1"/>
  <c r="Y188" i="5" s="1"/>
  <c r="Q95" i="5"/>
  <c r="U174" i="5"/>
  <c r="V174" i="5" s="1"/>
  <c r="Y119" i="5"/>
  <c r="Y162" i="5"/>
  <c r="R202" i="5"/>
  <c r="S202" i="5" s="1"/>
  <c r="T114" i="5"/>
  <c r="U114" i="5" s="1"/>
  <c r="V114" i="5" s="1"/>
  <c r="W114" i="5" s="1"/>
  <c r="X114" i="5" s="1"/>
  <c r="Y114" i="5" s="1"/>
  <c r="R139" i="5"/>
  <c r="S139" i="5" s="1"/>
  <c r="L437" i="7"/>
  <c r="L617" i="7"/>
  <c r="L107" i="7"/>
  <c r="L752" i="7" s="1"/>
  <c r="L128" i="7"/>
  <c r="L753" i="7" s="1"/>
  <c r="L293" i="7"/>
  <c r="L458" i="7"/>
  <c r="L638" i="7"/>
  <c r="Q96" i="7"/>
  <c r="L406" i="3"/>
  <c r="O112" i="7"/>
  <c r="P96" i="7"/>
  <c r="O373" i="7"/>
  <c r="O780" i="7" s="1"/>
  <c r="O210" i="7"/>
  <c r="O278" i="7"/>
  <c r="Q620" i="7"/>
  <c r="O464" i="7"/>
  <c r="O135" i="7"/>
  <c r="O133" i="7"/>
  <c r="M427" i="3"/>
  <c r="O296" i="7"/>
  <c r="P339" i="7"/>
  <c r="P684" i="7"/>
  <c r="O424" i="3"/>
  <c r="O431" i="3"/>
  <c r="L202" i="8"/>
  <c r="L248" i="8" s="1"/>
  <c r="M406" i="3"/>
  <c r="P504" i="7"/>
  <c r="P679" i="7"/>
  <c r="P499" i="7"/>
  <c r="P334" i="7"/>
  <c r="R684" i="7"/>
  <c r="R504" i="7"/>
  <c r="P678" i="7"/>
  <c r="P498" i="7"/>
  <c r="O681" i="7"/>
  <c r="O501" i="7"/>
  <c r="O678" i="7"/>
  <c r="O498" i="7"/>
  <c r="O500" i="7"/>
  <c r="O680" i="7"/>
  <c r="O679" i="7"/>
  <c r="O499" i="7"/>
  <c r="O334" i="7"/>
  <c r="O677" i="7"/>
  <c r="O497" i="7"/>
  <c r="O137" i="7"/>
  <c r="P647" i="7"/>
  <c r="P683" i="7"/>
  <c r="P503" i="7"/>
  <c r="P337" i="7"/>
  <c r="O682" i="7"/>
  <c r="O502" i="7"/>
  <c r="P336" i="7"/>
  <c r="P676" i="7"/>
  <c r="P496" i="7"/>
  <c r="Q684" i="7"/>
  <c r="Q504" i="7"/>
  <c r="O227" i="8"/>
  <c r="L228" i="8"/>
  <c r="N227" i="8"/>
  <c r="O136" i="7"/>
  <c r="O644" i="7"/>
  <c r="O134" i="7"/>
  <c r="O131" i="7"/>
  <c r="O718" i="7"/>
  <c r="O822" i="7" s="1"/>
  <c r="O537" i="7"/>
  <c r="O535" i="7"/>
  <c r="P718" i="7"/>
  <c r="P822" i="7" s="1"/>
  <c r="O538" i="7"/>
  <c r="O801" i="7" s="1"/>
  <c r="M115" i="7"/>
  <c r="O623" i="7"/>
  <c r="O117" i="7"/>
  <c r="M98" i="7"/>
  <c r="P263" i="7"/>
  <c r="M114" i="7"/>
  <c r="M110" i="7"/>
  <c r="O192" i="7"/>
  <c r="O299" i="7"/>
  <c r="P361" i="7"/>
  <c r="O466" i="7"/>
  <c r="P266" i="7"/>
  <c r="O352" i="7"/>
  <c r="Q713" i="7"/>
  <c r="O624" i="7"/>
  <c r="O444" i="7"/>
  <c r="O646" i="7"/>
  <c r="P608" i="7"/>
  <c r="O301" i="7"/>
  <c r="O264" i="7"/>
  <c r="P526" i="7"/>
  <c r="P706" i="7"/>
  <c r="P431" i="7"/>
  <c r="P541" i="7"/>
  <c r="P611" i="7"/>
  <c r="P714" i="7"/>
  <c r="P721" i="7"/>
  <c r="P376" i="7"/>
  <c r="O279" i="7"/>
  <c r="M435" i="7"/>
  <c r="P369" i="7"/>
  <c r="Q668" i="7"/>
  <c r="Q369" i="7"/>
  <c r="O429" i="7"/>
  <c r="P712" i="7"/>
  <c r="P367" i="7"/>
  <c r="P532" i="7"/>
  <c r="P429" i="7"/>
  <c r="P509" i="7"/>
  <c r="P506" i="7"/>
  <c r="P341" i="7"/>
  <c r="P686" i="7"/>
  <c r="R534" i="7"/>
  <c r="R488" i="7"/>
  <c r="Q488" i="7"/>
  <c r="N129" i="7"/>
  <c r="Q534" i="7"/>
  <c r="P534" i="7"/>
  <c r="Q700" i="7"/>
  <c r="O686" i="7"/>
  <c r="O506" i="7"/>
  <c r="O341" i="7"/>
  <c r="Q344" i="7"/>
  <c r="P689" i="7"/>
  <c r="O532" i="7"/>
  <c r="O367" i="7"/>
  <c r="O712" i="7"/>
  <c r="O697" i="7"/>
  <c r="P227" i="3"/>
  <c r="Q122" i="3"/>
  <c r="N419" i="7"/>
  <c r="N793" i="7" s="1"/>
  <c r="L253" i="8"/>
  <c r="M123" i="7"/>
  <c r="M171" i="7"/>
  <c r="M138" i="7"/>
  <c r="M169" i="7"/>
  <c r="P368" i="7"/>
  <c r="P713" i="7"/>
  <c r="O302" i="7"/>
  <c r="M600" i="7"/>
  <c r="M420" i="7"/>
  <c r="M255" i="7"/>
  <c r="N88" i="7"/>
  <c r="M90" i="7"/>
  <c r="O467" i="7"/>
  <c r="N140" i="3"/>
  <c r="M240" i="8" s="1"/>
  <c r="N103" i="3"/>
  <c r="M212" i="8" s="1"/>
  <c r="Q339" i="7"/>
  <c r="O647" i="7"/>
  <c r="N95" i="3"/>
  <c r="M206" i="8" s="1"/>
  <c r="N90" i="3"/>
  <c r="P118" i="3"/>
  <c r="M433" i="7"/>
  <c r="M268" i="7"/>
  <c r="M103" i="7"/>
  <c r="M613" i="7"/>
  <c r="M599" i="7"/>
  <c r="M814" i="7" s="1"/>
  <c r="M419" i="7"/>
  <c r="M793" i="7" s="1"/>
  <c r="M254" i="7"/>
  <c r="M772" i="7" s="1"/>
  <c r="M89" i="7"/>
  <c r="M751" i="7" s="1"/>
  <c r="P169" i="3"/>
  <c r="P348" i="7"/>
  <c r="M267" i="7"/>
  <c r="M432" i="7"/>
  <c r="M612" i="7"/>
  <c r="M102" i="7"/>
  <c r="P513" i="7"/>
  <c r="O461" i="7"/>
  <c r="M235" i="8"/>
  <c r="N126" i="3"/>
  <c r="M230" i="8" s="1"/>
  <c r="N139" i="3"/>
  <c r="M239" i="8" s="1"/>
  <c r="N102" i="3"/>
  <c r="M211" i="8" s="1"/>
  <c r="P533" i="7"/>
  <c r="O285" i="7"/>
  <c r="O475" i="7"/>
  <c r="P235" i="3"/>
  <c r="P630" i="7"/>
  <c r="O197" i="7"/>
  <c r="P382" i="3"/>
  <c r="P281" i="7"/>
  <c r="P446" i="7"/>
  <c r="O655" i="7"/>
  <c r="Q701" i="7"/>
  <c r="P655" i="7"/>
  <c r="O372" i="7"/>
  <c r="O717" i="7"/>
  <c r="O450" i="7"/>
  <c r="P359" i="7"/>
  <c r="P524" i="7"/>
  <c r="P704" i="7"/>
  <c r="P515" i="7"/>
  <c r="P207" i="3"/>
  <c r="P183" i="3"/>
  <c r="O250" i="8"/>
  <c r="P186" i="3"/>
  <c r="P206" i="3"/>
  <c r="P411" i="3" s="1"/>
  <c r="P184" i="3"/>
  <c r="P194" i="3"/>
  <c r="P215" i="3"/>
  <c r="L249" i="8"/>
  <c r="P209" i="3"/>
  <c r="R701" i="7"/>
  <c r="Q356" i="7"/>
  <c r="P695" i="7"/>
  <c r="O216" i="7"/>
  <c r="M109" i="7"/>
  <c r="M113" i="7"/>
  <c r="M97" i="7"/>
  <c r="M99" i="7"/>
  <c r="O74" i="7"/>
  <c r="M144" i="7"/>
  <c r="M129" i="7"/>
  <c r="O641" i="7"/>
  <c r="P358" i="7"/>
  <c r="P703" i="7"/>
  <c r="M270" i="7"/>
  <c r="M141" i="7"/>
  <c r="M108" i="7"/>
  <c r="P77" i="3"/>
  <c r="N124" i="3"/>
  <c r="N94" i="3"/>
  <c r="M205" i="8" s="1"/>
  <c r="P113" i="3"/>
  <c r="O220" i="8" s="1"/>
  <c r="M94" i="7"/>
  <c r="M605" i="7"/>
  <c r="M425" i="7"/>
  <c r="M260" i="7"/>
  <c r="M95" i="7"/>
  <c r="P180" i="3"/>
  <c r="N141" i="3"/>
  <c r="N109" i="3"/>
  <c r="M218" i="8" s="1"/>
  <c r="P88" i="3"/>
  <c r="N160" i="3"/>
  <c r="M234" i="8"/>
  <c r="P190" i="3"/>
  <c r="M615" i="7"/>
  <c r="P101" i="3"/>
  <c r="O210" i="8" s="1"/>
  <c r="P121" i="3"/>
  <c r="O226" i="8" s="1"/>
  <c r="P86" i="3"/>
  <c r="M436" i="7"/>
  <c r="N161" i="3"/>
  <c r="M233" i="8"/>
  <c r="O291" i="7"/>
  <c r="N142" i="3"/>
  <c r="M241" i="8" s="1"/>
  <c r="M254" i="8" s="1"/>
  <c r="N108" i="3"/>
  <c r="M217" i="8" s="1"/>
  <c r="P99" i="3"/>
  <c r="O208" i="8" s="1"/>
  <c r="P81" i="3"/>
  <c r="N125" i="3"/>
  <c r="M229" i="8" s="1"/>
  <c r="N93" i="3"/>
  <c r="M204" i="8" s="1"/>
  <c r="Q382" i="7"/>
  <c r="N258" i="7"/>
  <c r="N603" i="7"/>
  <c r="N423" i="7"/>
  <c r="Q355" i="7"/>
  <c r="P237" i="7"/>
  <c r="Q520" i="7"/>
  <c r="P402" i="7"/>
  <c r="M271" i="7"/>
  <c r="O335" i="7"/>
  <c r="P309" i="7"/>
  <c r="P654" i="7"/>
  <c r="P474" i="7"/>
  <c r="P628" i="7"/>
  <c r="Q329" i="7"/>
  <c r="Q494" i="7"/>
  <c r="P544" i="7"/>
  <c r="P379" i="7"/>
  <c r="R252" i="7"/>
  <c r="R417" i="7"/>
  <c r="Q533" i="7"/>
  <c r="Q368" i="7"/>
  <c r="P632" i="7"/>
  <c r="P620" i="7"/>
  <c r="O690" i="7"/>
  <c r="O510" i="7"/>
  <c r="O345" i="7"/>
  <c r="O204" i="7"/>
  <c r="O75" i="7"/>
  <c r="P365" i="7"/>
  <c r="P710" i="7"/>
  <c r="P530" i="7"/>
  <c r="Q728" i="7"/>
  <c r="Q383" i="7"/>
  <c r="Q548" i="7"/>
  <c r="P210" i="7"/>
  <c r="P275" i="7"/>
  <c r="O202" i="7"/>
  <c r="P448" i="7"/>
  <c r="P440" i="7"/>
  <c r="P381" i="7"/>
  <c r="P726" i="7"/>
  <c r="P546" i="7"/>
  <c r="Q586" i="7"/>
  <c r="P406" i="7"/>
  <c r="P586" i="7"/>
  <c r="P241" i="7"/>
  <c r="P121" i="7"/>
  <c r="P711" i="7"/>
  <c r="P531" i="7"/>
  <c r="P366" i="7"/>
  <c r="O211" i="7"/>
  <c r="Q698" i="7"/>
  <c r="P629" i="7"/>
  <c r="Q409" i="7"/>
  <c r="Q674" i="7"/>
  <c r="R375" i="7"/>
  <c r="R382" i="7"/>
  <c r="O440" i="7"/>
  <c r="O86" i="7"/>
  <c r="Q385" i="7"/>
  <c r="M127" i="7"/>
  <c r="R720" i="7"/>
  <c r="Q547" i="7"/>
  <c r="O620" i="7"/>
  <c r="R405" i="7"/>
  <c r="O187" i="7"/>
  <c r="O212" i="7"/>
  <c r="S584" i="7"/>
  <c r="S654" i="7"/>
  <c r="Q541" i="7"/>
  <c r="Q721" i="7"/>
  <c r="Q376" i="7"/>
  <c r="P329" i="7"/>
  <c r="P674" i="7"/>
  <c r="P494" i="7"/>
  <c r="O275" i="7"/>
  <c r="O636" i="7"/>
  <c r="P279" i="7"/>
  <c r="P444" i="7"/>
  <c r="P624" i="7"/>
  <c r="P409" i="7"/>
  <c r="P287" i="7"/>
  <c r="P452" i="7"/>
  <c r="M104" i="7"/>
  <c r="M614" i="7"/>
  <c r="M128" i="7"/>
  <c r="M293" i="7"/>
  <c r="M458" i="7"/>
  <c r="M638" i="7"/>
  <c r="R698" i="7"/>
  <c r="O449" i="7"/>
  <c r="O72" i="7"/>
  <c r="M139" i="7"/>
  <c r="M434" i="7"/>
  <c r="O284" i="7"/>
  <c r="O196" i="7"/>
  <c r="P215" i="7"/>
  <c r="N104" i="7"/>
  <c r="M292" i="7"/>
  <c r="M457" i="7"/>
  <c r="O218" i="7"/>
  <c r="M172" i="7"/>
  <c r="M106" i="7"/>
  <c r="M126" i="7"/>
  <c r="O186" i="7"/>
  <c r="O203" i="7"/>
  <c r="M189" i="7"/>
  <c r="M649" i="7"/>
  <c r="M471" i="7"/>
  <c r="P194" i="7"/>
  <c r="O219" i="7"/>
  <c r="M143" i="7"/>
  <c r="M637" i="7"/>
  <c r="O397" i="7"/>
  <c r="M651" i="7"/>
  <c r="M121" i="7"/>
  <c r="O398" i="7"/>
  <c r="M105" i="7"/>
  <c r="M118" i="7"/>
  <c r="M122" i="7"/>
  <c r="M119" i="7"/>
  <c r="M130" i="7"/>
  <c r="M120" i="7"/>
  <c r="M306" i="7"/>
  <c r="N144" i="7"/>
  <c r="N120" i="7"/>
  <c r="M304" i="7"/>
  <c r="O209" i="7"/>
  <c r="M469" i="7"/>
  <c r="N121" i="7"/>
  <c r="Q474" i="7"/>
  <c r="O587" i="7"/>
  <c r="O407" i="7"/>
  <c r="O242" i="7"/>
  <c r="O77" i="7"/>
  <c r="O400" i="7"/>
  <c r="M670" i="7"/>
  <c r="M490" i="7"/>
  <c r="M325" i="7"/>
  <c r="M671" i="7"/>
  <c r="M491" i="7"/>
  <c r="M326" i="7"/>
  <c r="M635" i="7"/>
  <c r="M455" i="7"/>
  <c r="M290" i="7"/>
  <c r="M125" i="7"/>
  <c r="N123" i="7"/>
  <c r="M454" i="7"/>
  <c r="M289" i="7"/>
  <c r="M124" i="7"/>
  <c r="M634" i="7"/>
  <c r="M305" i="7"/>
  <c r="M140" i="7"/>
  <c r="N138" i="7"/>
  <c r="M650" i="7"/>
  <c r="M470" i="7"/>
  <c r="M142" i="7"/>
  <c r="M652" i="7"/>
  <c r="M472" i="7"/>
  <c r="M307" i="7"/>
  <c r="Q353" i="7"/>
  <c r="Q518" i="7"/>
  <c r="Q309" i="7"/>
  <c r="Q654" i="7"/>
  <c r="O656" i="7"/>
  <c r="O476" i="7"/>
  <c r="O311" i="7"/>
  <c r="Q346" i="3"/>
  <c r="Q181" i="3"/>
  <c r="O147" i="8"/>
  <c r="P263" i="3"/>
  <c r="P98" i="3"/>
  <c r="O207" i="8" s="1"/>
  <c r="Q324" i="3"/>
  <c r="Q159" i="3"/>
  <c r="P395" i="7"/>
  <c r="O144" i="8"/>
  <c r="P258" i="3"/>
  <c r="M153" i="8"/>
  <c r="N269" i="3"/>
  <c r="N104" i="3"/>
  <c r="M213" i="8" s="1"/>
  <c r="O699" i="7"/>
  <c r="O519" i="7"/>
  <c r="O354" i="7"/>
  <c r="P150" i="8"/>
  <c r="Q266" i="3"/>
  <c r="Q359" i="3"/>
  <c r="P598" i="7"/>
  <c r="P418" i="7"/>
  <c r="P253" i="7"/>
  <c r="P178" i="8"/>
  <c r="Q303" i="3"/>
  <c r="Q138" i="3"/>
  <c r="P238" i="8" s="1"/>
  <c r="P160" i="8"/>
  <c r="Q584" i="7"/>
  <c r="Q404" i="7"/>
  <c r="Q239" i="7"/>
  <c r="P627" i="7"/>
  <c r="P447" i="7"/>
  <c r="P282" i="7"/>
  <c r="P117" i="7"/>
  <c r="Q327" i="3"/>
  <c r="Q162" i="3"/>
  <c r="M155" i="8"/>
  <c r="N271" i="3"/>
  <c r="N106" i="3"/>
  <c r="M215" i="8" s="1"/>
  <c r="Q367" i="3"/>
  <c r="Q202" i="3"/>
  <c r="P722" i="7"/>
  <c r="P542" i="7"/>
  <c r="P377" i="7"/>
  <c r="O179" i="8"/>
  <c r="P304" i="3"/>
  <c r="Q175" i="3"/>
  <c r="P342" i="3"/>
  <c r="P170" i="8"/>
  <c r="Q291" i="3"/>
  <c r="Q205" i="3"/>
  <c r="P208" i="3"/>
  <c r="P412" i="3" s="1"/>
  <c r="Q383" i="3"/>
  <c r="Q218" i="3"/>
  <c r="P244" i="3"/>
  <c r="O607" i="7"/>
  <c r="O427" i="7"/>
  <c r="O262" i="7"/>
  <c r="Q158" i="3"/>
  <c r="P322" i="3"/>
  <c r="P157" i="3"/>
  <c r="O708" i="7"/>
  <c r="O528" i="7"/>
  <c r="O363" i="7"/>
  <c r="O198" i="7"/>
  <c r="O633" i="7"/>
  <c r="O453" i="7"/>
  <c r="O288" i="7"/>
  <c r="Q302" i="3"/>
  <c r="P667" i="7"/>
  <c r="P487" i="7"/>
  <c r="P322" i="7"/>
  <c r="P181" i="8"/>
  <c r="Q307" i="3"/>
  <c r="O333" i="7"/>
  <c r="Q173" i="3"/>
  <c r="P230" i="3"/>
  <c r="Q198" i="3"/>
  <c r="P171" i="3"/>
  <c r="Q363" i="3"/>
  <c r="O110" i="3"/>
  <c r="N219" i="8" s="1"/>
  <c r="M156" i="8"/>
  <c r="N272" i="3"/>
  <c r="N107" i="3"/>
  <c r="M216" i="8" s="1"/>
  <c r="P183" i="8"/>
  <c r="Q309" i="3"/>
  <c r="P164" i="8"/>
  <c r="Q119" i="3"/>
  <c r="P224" i="8" s="1"/>
  <c r="Q284" i="3"/>
  <c r="Q379" i="3"/>
  <c r="Q345" i="3"/>
  <c r="Q180" i="3"/>
  <c r="Q321" i="3"/>
  <c r="P631" i="7"/>
  <c r="P451" i="7"/>
  <c r="P286" i="7"/>
  <c r="O146" i="8"/>
  <c r="P260" i="3"/>
  <c r="Q361" i="3"/>
  <c r="O392" i="7"/>
  <c r="P320" i="3"/>
  <c r="Q172" i="3"/>
  <c r="P237" i="3"/>
  <c r="P72" i="3"/>
  <c r="Q348" i="3"/>
  <c r="P167" i="8"/>
  <c r="Q288" i="3"/>
  <c r="Q209" i="3"/>
  <c r="P210" i="3"/>
  <c r="O165" i="8"/>
  <c r="P285" i="3"/>
  <c r="P120" i="3"/>
  <c r="O225" i="8" s="1"/>
  <c r="M143" i="8"/>
  <c r="N92" i="3"/>
  <c r="M203" i="8" s="1"/>
  <c r="N257" i="3"/>
  <c r="Q702" i="7"/>
  <c r="Q522" i="7"/>
  <c r="Q357" i="7"/>
  <c r="Q281" i="7"/>
  <c r="Q725" i="7"/>
  <c r="Q380" i="7"/>
  <c r="Q545" i="7"/>
  <c r="Q215" i="7"/>
  <c r="M602" i="7"/>
  <c r="R317" i="3"/>
  <c r="Q316" i="3"/>
  <c r="Q311" i="3"/>
  <c r="Q146" i="3"/>
  <c r="Q344" i="3"/>
  <c r="Q179" i="3"/>
  <c r="Q326" i="3"/>
  <c r="O625" i="7"/>
  <c r="O445" i="7"/>
  <c r="O280" i="7"/>
  <c r="P350" i="3"/>
  <c r="P185" i="3"/>
  <c r="Q283" i="3"/>
  <c r="P352" i="3"/>
  <c r="P187" i="3"/>
  <c r="Q378" i="3"/>
  <c r="P214" i="7"/>
  <c r="O723" i="7"/>
  <c r="O543" i="7"/>
  <c r="O378" i="7"/>
  <c r="O213" i="7"/>
  <c r="Q254" i="3"/>
  <c r="P252" i="3"/>
  <c r="P425" i="3" s="1"/>
  <c r="P87" i="3"/>
  <c r="P691" i="7"/>
  <c r="P511" i="7"/>
  <c r="P346" i="7"/>
  <c r="O396" i="7"/>
  <c r="O159" i="8"/>
  <c r="R287" i="3"/>
  <c r="Q192" i="3"/>
  <c r="P358" i="3"/>
  <c r="P193" i="3"/>
  <c r="P174" i="8"/>
  <c r="Q295" i="3"/>
  <c r="R366" i="3"/>
  <c r="Q343" i="3"/>
  <c r="R313" i="3"/>
  <c r="Q318" i="3"/>
  <c r="Q729" i="7"/>
  <c r="Q384" i="7"/>
  <c r="Q549" i="7"/>
  <c r="Q203" i="3"/>
  <c r="O157" i="8"/>
  <c r="P273" i="3"/>
  <c r="Q357" i="3"/>
  <c r="P78" i="7"/>
  <c r="P231" i="3"/>
  <c r="P236" i="3"/>
  <c r="M171" i="8"/>
  <c r="N292" i="3"/>
  <c r="N127" i="3"/>
  <c r="M231" i="8" s="1"/>
  <c r="P175" i="8"/>
  <c r="O669" i="7"/>
  <c r="O489" i="7"/>
  <c r="O324" i="7"/>
  <c r="Q341" i="3"/>
  <c r="Q176" i="3"/>
  <c r="Q310" i="3"/>
  <c r="M601" i="7"/>
  <c r="M421" i="7"/>
  <c r="M256" i="7"/>
  <c r="M91" i="7"/>
  <c r="N89" i="7"/>
  <c r="N637" i="7"/>
  <c r="N457" i="7"/>
  <c r="N292" i="7"/>
  <c r="N127" i="7"/>
  <c r="P705" i="7"/>
  <c r="P525" i="7"/>
  <c r="P360" i="7"/>
  <c r="Q206" i="3"/>
  <c r="Q411" i="3" s="1"/>
  <c r="R323" i="3"/>
  <c r="P166" i="8"/>
  <c r="Q286" i="3"/>
  <c r="Q121" i="3"/>
  <c r="P226" i="8" s="1"/>
  <c r="Q386" i="3"/>
  <c r="Q221" i="3"/>
  <c r="P162" i="8"/>
  <c r="Q281" i="3"/>
  <c r="Q116" i="3"/>
  <c r="P222" i="8" s="1"/>
  <c r="P692" i="7"/>
  <c r="P512" i="7"/>
  <c r="P347" i="7"/>
  <c r="Q704" i="7"/>
  <c r="Q524" i="7"/>
  <c r="Q359" i="7"/>
  <c r="P180" i="8"/>
  <c r="Q305" i="3"/>
  <c r="Q354" i="3"/>
  <c r="Q189" i="3"/>
  <c r="P158" i="8"/>
  <c r="O715" i="7"/>
  <c r="O370" i="7"/>
  <c r="O205" i="7"/>
  <c r="Q385" i="3"/>
  <c r="Q220" i="3"/>
  <c r="Q356" i="3"/>
  <c r="Q243" i="3"/>
  <c r="Q78" i="3"/>
  <c r="Q83" i="3"/>
  <c r="Q251" i="3"/>
  <c r="Q86" i="3"/>
  <c r="Q364" i="3"/>
  <c r="Q199" i="3"/>
  <c r="Q145" i="3"/>
  <c r="P312" i="3"/>
  <c r="P428" i="3" s="1"/>
  <c r="Q241" i="3"/>
  <c r="Q76" i="3"/>
  <c r="P199" i="7"/>
  <c r="Q365" i="3"/>
  <c r="Q200" i="3"/>
  <c r="Q347" i="3"/>
  <c r="Q182" i="3"/>
  <c r="O332" i="7"/>
  <c r="Q319" i="3"/>
  <c r="Q123" i="3"/>
  <c r="P255" i="3"/>
  <c r="Q101" i="3"/>
  <c r="P210" i="8" s="1"/>
  <c r="O149" i="8"/>
  <c r="P265" i="3"/>
  <c r="P100" i="3"/>
  <c r="O209" i="8" s="1"/>
  <c r="Q353" i="3"/>
  <c r="Q242" i="3"/>
  <c r="P173" i="8"/>
  <c r="Q294" i="3"/>
  <c r="O89" i="3"/>
  <c r="O404" i="3" s="1"/>
  <c r="M142" i="8"/>
  <c r="N256" i="3"/>
  <c r="N91" i="3"/>
  <c r="Q232" i="3"/>
  <c r="Q196" i="3"/>
  <c r="P360" i="3"/>
  <c r="P195" i="3"/>
  <c r="Q329" i="3"/>
  <c r="R356" i="7"/>
  <c r="Q253" i="3"/>
  <c r="P694" i="7"/>
  <c r="P514" i="7"/>
  <c r="P349" i="7"/>
  <c r="P148" i="8"/>
  <c r="Q264" i="3"/>
  <c r="Q99" i="3"/>
  <c r="P208" i="8" s="1"/>
  <c r="Q380" i="3"/>
  <c r="P328" i="3"/>
  <c r="P163" i="3"/>
  <c r="P182" i="8"/>
  <c r="Q308" i="3"/>
  <c r="Q143" i="3"/>
  <c r="P242" i="8" s="1"/>
  <c r="N110" i="7"/>
  <c r="Q239" i="3"/>
  <c r="Q74" i="3"/>
  <c r="P209" i="7"/>
  <c r="O716" i="7"/>
  <c r="O821" i="7" s="1"/>
  <c r="O371" i="7"/>
  <c r="O779" i="7" s="1"/>
  <c r="Q75" i="3"/>
  <c r="Q709" i="7"/>
  <c r="Q529" i="7"/>
  <c r="Q364" i="7"/>
  <c r="P653" i="7"/>
  <c r="P473" i="7"/>
  <c r="P308" i="7"/>
  <c r="Q174" i="3"/>
  <c r="Q581" i="7"/>
  <c r="Q812" i="7" s="1"/>
  <c r="Q401" i="7"/>
  <c r="Q235" i="3"/>
  <c r="Q376" i="3"/>
  <c r="Q384" i="3"/>
  <c r="R339" i="7"/>
  <c r="P152" i="8"/>
  <c r="Q268" i="3"/>
  <c r="Q207" i="3"/>
  <c r="O151" i="8"/>
  <c r="P267" i="3"/>
  <c r="Q374" i="7"/>
  <c r="R325" i="3"/>
  <c r="Q351" i="3"/>
  <c r="Q186" i="3"/>
  <c r="Q349" i="3"/>
  <c r="Q184" i="3"/>
  <c r="M154" i="8"/>
  <c r="N105" i="3"/>
  <c r="M214" i="8" s="1"/>
  <c r="N270" i="3"/>
  <c r="Q114" i="3"/>
  <c r="P176" i="8"/>
  <c r="O731" i="7"/>
  <c r="O551" i="7"/>
  <c r="O386" i="7"/>
  <c r="O221" i="7"/>
  <c r="P116" i="7"/>
  <c r="Q672" i="7"/>
  <c r="Q492" i="7"/>
  <c r="Q327" i="7"/>
  <c r="R596" i="7"/>
  <c r="R251" i="7"/>
  <c r="Q355" i="3"/>
  <c r="Q190" i="3"/>
  <c r="P168" i="8"/>
  <c r="Q289" i="3"/>
  <c r="Q585" i="7"/>
  <c r="Q405" i="7"/>
  <c r="Q240" i="7"/>
  <c r="Q693" i="7"/>
  <c r="Q513" i="7"/>
  <c r="Q348" i="7"/>
  <c r="P177" i="8"/>
  <c r="P237" i="8"/>
  <c r="P163" i="8"/>
  <c r="Q282" i="3"/>
  <c r="Q117" i="3"/>
  <c r="P223" i="8" s="1"/>
  <c r="P145" i="8"/>
  <c r="Q259" i="3"/>
  <c r="Q229" i="3"/>
  <c r="P262" i="3"/>
  <c r="P97" i="3"/>
  <c r="P730" i="7"/>
  <c r="P550" i="7"/>
  <c r="P385" i="7"/>
  <c r="P220" i="7"/>
  <c r="O338" i="7"/>
  <c r="P233" i="3"/>
  <c r="Q362" i="3"/>
  <c r="Q377" i="3"/>
  <c r="Q212" i="3"/>
  <c r="O340" i="7"/>
  <c r="P161" i="8"/>
  <c r="Q280" i="3"/>
  <c r="Q115" i="3"/>
  <c r="P221" i="8" s="1"/>
  <c r="P169" i="8"/>
  <c r="Q290" i="3"/>
  <c r="Q217" i="3"/>
  <c r="P381" i="3"/>
  <c r="P216" i="3"/>
  <c r="R240" i="3"/>
  <c r="Q144" i="3"/>
  <c r="P243" i="8" s="1"/>
  <c r="P306" i="3"/>
  <c r="Q204" i="3"/>
  <c r="M172" i="8"/>
  <c r="N293" i="3"/>
  <c r="N128" i="3"/>
  <c r="M232" i="8" s="1"/>
  <c r="M422" i="7"/>
  <c r="M257" i="7"/>
  <c r="M92" i="7"/>
  <c r="Q361" i="7" l="1"/>
  <c r="Q526" i="7"/>
  <c r="Q706" i="7"/>
  <c r="P351" i="7"/>
  <c r="P516" i="7"/>
  <c r="P696" i="7"/>
  <c r="R197" i="5"/>
  <c r="P527" i="7"/>
  <c r="P707" i="7"/>
  <c r="P362" i="7"/>
  <c r="Q539" i="7"/>
  <c r="R704" i="7"/>
  <c r="Q719" i="7"/>
  <c r="Q505" i="7"/>
  <c r="W199" i="5"/>
  <c r="X199" i="5" s="1"/>
  <c r="Y199" i="5" s="1"/>
  <c r="T108" i="5"/>
  <c r="U108" i="5" s="1"/>
  <c r="V108" i="5" s="1"/>
  <c r="P430" i="7"/>
  <c r="Q685" i="7"/>
  <c r="Q611" i="7"/>
  <c r="P265" i="7"/>
  <c r="P610" i="7"/>
  <c r="R719" i="7"/>
  <c r="U122" i="5"/>
  <c r="V122" i="5" s="1"/>
  <c r="W122" i="5" s="1"/>
  <c r="X122" i="5" s="1"/>
  <c r="Y122" i="5" s="1"/>
  <c r="R141" i="5"/>
  <c r="S141" i="5" s="1"/>
  <c r="T141" i="5" s="1"/>
  <c r="U141" i="5" s="1"/>
  <c r="V141" i="5" s="1"/>
  <c r="W141" i="5" s="1"/>
  <c r="X141" i="5" s="1"/>
  <c r="Y141" i="5" s="1"/>
  <c r="S100" i="5"/>
  <c r="T100" i="5" s="1"/>
  <c r="U100" i="5" s="1"/>
  <c r="V100" i="5" s="1"/>
  <c r="W100" i="5" s="1"/>
  <c r="X100" i="5" s="1"/>
  <c r="Y100" i="5" s="1"/>
  <c r="Q265" i="7"/>
  <c r="Q610" i="7"/>
  <c r="Q430" i="7"/>
  <c r="Q266" i="7"/>
  <c r="Q431" i="7"/>
  <c r="U181" i="5"/>
  <c r="V181" i="5" s="1"/>
  <c r="W181" i="5" s="1"/>
  <c r="X181" i="5" s="1"/>
  <c r="Y181" i="5" s="1"/>
  <c r="X120" i="5"/>
  <c r="Y120" i="5" s="1"/>
  <c r="T175" i="5"/>
  <c r="U175" i="5" s="1"/>
  <c r="V175" i="5" s="1"/>
  <c r="W175" i="5" s="1"/>
  <c r="X175" i="5" s="1"/>
  <c r="Y175" i="5" s="1"/>
  <c r="R700" i="7"/>
  <c r="U117" i="5"/>
  <c r="V117" i="5" s="1"/>
  <c r="W117" i="5" s="1"/>
  <c r="X117" i="5" s="1"/>
  <c r="Y117" i="5" s="1"/>
  <c r="V101" i="5"/>
  <c r="W101" i="5" s="1"/>
  <c r="X101" i="5" s="1"/>
  <c r="Y101" i="5" s="1"/>
  <c r="V203" i="5"/>
  <c r="W203" i="5" s="1"/>
  <c r="V191" i="5"/>
  <c r="W191" i="5" s="1"/>
  <c r="W169" i="5"/>
  <c r="X169" i="5" s="1"/>
  <c r="Y169" i="5" s="1"/>
  <c r="W159" i="5"/>
  <c r="X159" i="5" s="1"/>
  <c r="Y159" i="5" s="1"/>
  <c r="U113" i="5"/>
  <c r="V113" i="5" s="1"/>
  <c r="R142" i="5"/>
  <c r="S142" i="5" s="1"/>
  <c r="V123" i="5"/>
  <c r="W115" i="5"/>
  <c r="X115" i="5" s="1"/>
  <c r="Y115" i="5" s="1"/>
  <c r="P140" i="5"/>
  <c r="Q140" i="5" s="1"/>
  <c r="W183" i="5"/>
  <c r="X183" i="5" s="1"/>
  <c r="Y183" i="5" s="1"/>
  <c r="Q94" i="5"/>
  <c r="R94" i="5" s="1"/>
  <c r="W187" i="5"/>
  <c r="X187" i="5" s="1"/>
  <c r="T103" i="5"/>
  <c r="U103" i="5" s="1"/>
  <c r="V103" i="5" s="1"/>
  <c r="W103" i="5" s="1"/>
  <c r="X103" i="5" s="1"/>
  <c r="Y103" i="5" s="1"/>
  <c r="T202" i="5"/>
  <c r="U202" i="5" s="1"/>
  <c r="V202" i="5" s="1"/>
  <c r="W202" i="5" s="1"/>
  <c r="X202" i="5" s="1"/>
  <c r="Y202" i="5" s="1"/>
  <c r="R712" i="7"/>
  <c r="Q90" i="5"/>
  <c r="R90" i="5" s="1"/>
  <c r="X201" i="5"/>
  <c r="Y201" i="5" s="1"/>
  <c r="S160" i="5"/>
  <c r="T160" i="5" s="1"/>
  <c r="X143" i="5"/>
  <c r="Y143" i="5" s="1"/>
  <c r="Q303" i="7"/>
  <c r="S138" i="5"/>
  <c r="Q468" i="7"/>
  <c r="Q648" i="7"/>
  <c r="R95" i="5"/>
  <c r="S95" i="5" s="1"/>
  <c r="T95" i="5" s="1"/>
  <c r="T139" i="5"/>
  <c r="U139" i="5" s="1"/>
  <c r="V139" i="5" s="1"/>
  <c r="W139" i="5" s="1"/>
  <c r="X139" i="5" s="1"/>
  <c r="Y139" i="5" s="1"/>
  <c r="S146" i="5"/>
  <c r="T146" i="5" s="1"/>
  <c r="U146" i="5" s="1"/>
  <c r="V146" i="5" s="1"/>
  <c r="W146" i="5" s="1"/>
  <c r="X146" i="5" s="1"/>
  <c r="Y146" i="5" s="1"/>
  <c r="R127" i="5"/>
  <c r="R195" i="5"/>
  <c r="S195" i="5" s="1"/>
  <c r="T195" i="5" s="1"/>
  <c r="U195" i="5" s="1"/>
  <c r="V195" i="5" s="1"/>
  <c r="W195" i="5" s="1"/>
  <c r="X195" i="5" s="1"/>
  <c r="T102" i="5"/>
  <c r="U102" i="5" s="1"/>
  <c r="N405" i="3"/>
  <c r="Q448" i="7"/>
  <c r="S184" i="5"/>
  <c r="T184" i="5" s="1"/>
  <c r="U184" i="5" s="1"/>
  <c r="T136" i="5"/>
  <c r="U136" i="5" s="1"/>
  <c r="V136" i="5" s="1"/>
  <c r="W136" i="5" s="1"/>
  <c r="X136" i="5" s="1"/>
  <c r="Y136" i="5" s="1"/>
  <c r="N426" i="3"/>
  <c r="X145" i="5"/>
  <c r="Y145" i="5" s="1"/>
  <c r="Q92" i="5"/>
  <c r="R92" i="5" s="1"/>
  <c r="S92" i="5" s="1"/>
  <c r="T92" i="5" s="1"/>
  <c r="U92" i="5" s="1"/>
  <c r="V92" i="5" s="1"/>
  <c r="W92" i="5" s="1"/>
  <c r="X92" i="5" s="1"/>
  <c r="Y92" i="5" s="1"/>
  <c r="Q91" i="5"/>
  <c r="R91" i="5" s="1"/>
  <c r="S104" i="5"/>
  <c r="T104" i="5" s="1"/>
  <c r="U104" i="5" s="1"/>
  <c r="V104" i="5" s="1"/>
  <c r="W104" i="5" s="1"/>
  <c r="X104" i="5" s="1"/>
  <c r="Y104" i="5" s="1"/>
  <c r="Q107" i="5"/>
  <c r="R107" i="5" s="1"/>
  <c r="R124" i="5"/>
  <c r="S124" i="5" s="1"/>
  <c r="T130" i="5"/>
  <c r="U130" i="5" s="1"/>
  <c r="V130" i="5" s="1"/>
  <c r="W130" i="5" s="1"/>
  <c r="X130" i="5" s="1"/>
  <c r="Y130" i="5" s="1"/>
  <c r="U206" i="5"/>
  <c r="V206" i="5" s="1"/>
  <c r="W206" i="5" s="1"/>
  <c r="X206" i="5" s="1"/>
  <c r="Y206" i="5" s="1"/>
  <c r="T198" i="5"/>
  <c r="U198" i="5" s="1"/>
  <c r="V198" i="5" s="1"/>
  <c r="P105" i="5"/>
  <c r="O615" i="7" s="1"/>
  <c r="Q128" i="5"/>
  <c r="R106" i="5"/>
  <c r="S106" i="5" s="1"/>
  <c r="T106" i="5" s="1"/>
  <c r="U106" i="5" s="1"/>
  <c r="V106" i="5" s="1"/>
  <c r="S125" i="5"/>
  <c r="T196" i="5"/>
  <c r="U196" i="5" s="1"/>
  <c r="V196" i="5" s="1"/>
  <c r="W196" i="5" s="1"/>
  <c r="X196" i="5" s="1"/>
  <c r="Y196" i="5" s="1"/>
  <c r="S161" i="5"/>
  <c r="W174" i="5"/>
  <c r="X174" i="5" s="1"/>
  <c r="Y174" i="5" s="1"/>
  <c r="W172" i="5"/>
  <c r="X172" i="5" s="1"/>
  <c r="Y172" i="5" s="1"/>
  <c r="S173" i="5"/>
  <c r="T173" i="5" s="1"/>
  <c r="U173" i="5" s="1"/>
  <c r="V173" i="5" s="1"/>
  <c r="W173" i="5" s="1"/>
  <c r="X173" i="5" s="1"/>
  <c r="Y173" i="5" s="1"/>
  <c r="X209" i="5"/>
  <c r="Y209" i="5" s="1"/>
  <c r="W123" i="5"/>
  <c r="X123" i="5" s="1"/>
  <c r="Y123" i="5" s="1"/>
  <c r="S93" i="5"/>
  <c r="T93" i="5" s="1"/>
  <c r="P648" i="7"/>
  <c r="P468" i="7"/>
  <c r="P303" i="7"/>
  <c r="U126" i="5"/>
  <c r="V126" i="5" s="1"/>
  <c r="W126" i="5" s="1"/>
  <c r="X126" i="5" s="1"/>
  <c r="Y126" i="5" s="1"/>
  <c r="M107" i="7"/>
  <c r="M752" i="7" s="1"/>
  <c r="M272" i="7"/>
  <c r="M437" i="7"/>
  <c r="M617" i="7"/>
  <c r="R96" i="7"/>
  <c r="P136" i="7"/>
  <c r="P133" i="7"/>
  <c r="P112" i="7"/>
  <c r="P131" i="7"/>
  <c r="P461" i="7"/>
  <c r="P296" i="7"/>
  <c r="R131" i="7"/>
  <c r="Q112" i="7"/>
  <c r="P464" i="7"/>
  <c r="P135" i="7"/>
  <c r="P302" i="7"/>
  <c r="P467" i="7"/>
  <c r="P424" i="3"/>
  <c r="P431" i="3"/>
  <c r="N427" i="3"/>
  <c r="N406" i="3"/>
  <c r="M202" i="8"/>
  <c r="M248" i="8" s="1"/>
  <c r="M753" i="7"/>
  <c r="P466" i="7"/>
  <c r="P301" i="7"/>
  <c r="P646" i="7"/>
  <c r="Q683" i="7"/>
  <c r="Q503" i="7"/>
  <c r="Q679" i="7"/>
  <c r="Q499" i="7"/>
  <c r="Q334" i="7"/>
  <c r="Q335" i="7"/>
  <c r="P680" i="7"/>
  <c r="P500" i="7"/>
  <c r="Q498" i="7"/>
  <c r="Q678" i="7"/>
  <c r="Q647" i="7"/>
  <c r="P137" i="7"/>
  <c r="P682" i="7"/>
  <c r="P502" i="7"/>
  <c r="Q676" i="7"/>
  <c r="Q496" i="7"/>
  <c r="Q331" i="7"/>
  <c r="Q677" i="7"/>
  <c r="Q497" i="7"/>
  <c r="T339" i="7"/>
  <c r="S504" i="7"/>
  <c r="S684" i="7"/>
  <c r="R678" i="7"/>
  <c r="R498" i="7"/>
  <c r="R685" i="7"/>
  <c r="R505" i="7"/>
  <c r="P501" i="7"/>
  <c r="P681" i="7"/>
  <c r="P497" i="7"/>
  <c r="P677" i="7"/>
  <c r="Q337" i="7"/>
  <c r="P299" i="7"/>
  <c r="P644" i="7"/>
  <c r="P227" i="8"/>
  <c r="M228" i="8"/>
  <c r="Q136" i="7"/>
  <c r="P134" i="7"/>
  <c r="P373" i="7"/>
  <c r="P780" i="7" s="1"/>
  <c r="P443" i="7"/>
  <c r="Q536" i="7"/>
  <c r="Q800" i="7" s="1"/>
  <c r="R536" i="7"/>
  <c r="R800" i="7" s="1"/>
  <c r="Q535" i="7"/>
  <c r="P278" i="7"/>
  <c r="P535" i="7"/>
  <c r="Q537" i="7"/>
  <c r="P537" i="7"/>
  <c r="P623" i="7"/>
  <c r="Q373" i="7"/>
  <c r="Q780" i="7" s="1"/>
  <c r="P538" i="7"/>
  <c r="P801" i="7" s="1"/>
  <c r="R623" i="7"/>
  <c r="N115" i="7"/>
  <c r="Q133" i="7"/>
  <c r="P193" i="7"/>
  <c r="N100" i="7"/>
  <c r="N101" i="7"/>
  <c r="N99" i="7"/>
  <c r="O109" i="7"/>
  <c r="N114" i="7"/>
  <c r="Q263" i="7"/>
  <c r="P192" i="7"/>
  <c r="N93" i="7"/>
  <c r="R428" i="7"/>
  <c r="R608" i="7"/>
  <c r="Q608" i="7"/>
  <c r="O101" i="7"/>
  <c r="N97" i="7"/>
  <c r="Q428" i="7"/>
  <c r="N260" i="7"/>
  <c r="N605" i="7"/>
  <c r="Q429" i="7"/>
  <c r="P609" i="7"/>
  <c r="P264" i="7"/>
  <c r="N425" i="7"/>
  <c r="P352" i="7"/>
  <c r="Q366" i="7"/>
  <c r="R668" i="7"/>
  <c r="R532" i="7"/>
  <c r="R367" i="7"/>
  <c r="P697" i="7"/>
  <c r="P517" i="7"/>
  <c r="Q367" i="7"/>
  <c r="Q532" i="7"/>
  <c r="Q712" i="7"/>
  <c r="O129" i="7"/>
  <c r="R714" i="7"/>
  <c r="Q509" i="7"/>
  <c r="S352" i="7"/>
  <c r="R323" i="7"/>
  <c r="Q689" i="7"/>
  <c r="R369" i="7"/>
  <c r="Q341" i="7"/>
  <c r="Q686" i="7"/>
  <c r="Q506" i="7"/>
  <c r="N254" i="7"/>
  <c r="N772" i="7" s="1"/>
  <c r="P310" i="7"/>
  <c r="M253" i="8"/>
  <c r="P284" i="7"/>
  <c r="R263" i="7"/>
  <c r="S428" i="7"/>
  <c r="P254" i="7"/>
  <c r="P772" i="7" s="1"/>
  <c r="Q227" i="3"/>
  <c r="Q626" i="7"/>
  <c r="O87" i="7"/>
  <c r="Q446" i="7"/>
  <c r="N599" i="7"/>
  <c r="N814" i="7" s="1"/>
  <c r="N87" i="7"/>
  <c r="N751" i="7" s="1"/>
  <c r="R520" i="7"/>
  <c r="S701" i="7"/>
  <c r="Q191" i="3"/>
  <c r="R585" i="7"/>
  <c r="N267" i="7"/>
  <c r="N612" i="7"/>
  <c r="N432" i="7"/>
  <c r="N102" i="7"/>
  <c r="N235" i="8"/>
  <c r="O126" i="3"/>
  <c r="N230" i="8" s="1"/>
  <c r="O140" i="3"/>
  <c r="N240" i="8" s="1"/>
  <c r="O103" i="3"/>
  <c r="N212" i="8" s="1"/>
  <c r="Q118" i="3"/>
  <c r="Q81" i="3"/>
  <c r="Q169" i="3"/>
  <c r="O95" i="3"/>
  <c r="N206" i="8" s="1"/>
  <c r="O90" i="3"/>
  <c r="O139" i="3"/>
  <c r="N239" i="8" s="1"/>
  <c r="O102" i="3"/>
  <c r="N211" i="8" s="1"/>
  <c r="N613" i="7"/>
  <c r="N433" i="7"/>
  <c r="N268" i="7"/>
  <c r="N103" i="7"/>
  <c r="N255" i="7"/>
  <c r="N420" i="7"/>
  <c r="N600" i="7"/>
  <c r="N90" i="7"/>
  <c r="O599" i="7"/>
  <c r="O814" i="7" s="1"/>
  <c r="O254" i="7"/>
  <c r="O772" i="7" s="1"/>
  <c r="O88" i="7"/>
  <c r="P285" i="7"/>
  <c r="Q630" i="7"/>
  <c r="P450" i="7"/>
  <c r="P475" i="7"/>
  <c r="P197" i="7"/>
  <c r="Q382" i="3"/>
  <c r="N270" i="7"/>
  <c r="N105" i="7"/>
  <c r="R521" i="7"/>
  <c r="R355" i="7"/>
  <c r="R348" i="7"/>
  <c r="Q237" i="7"/>
  <c r="Q402" i="7"/>
  <c r="R713" i="7"/>
  <c r="Q211" i="3"/>
  <c r="R404" i="7"/>
  <c r="P372" i="7"/>
  <c r="P717" i="7"/>
  <c r="O251" i="8"/>
  <c r="P641" i="7"/>
  <c r="R368" i="7"/>
  <c r="R533" i="7"/>
  <c r="P449" i="7"/>
  <c r="N436" i="7"/>
  <c r="Q406" i="7"/>
  <c r="N434" i="7"/>
  <c r="Q183" i="3"/>
  <c r="R240" i="7"/>
  <c r="S240" i="7"/>
  <c r="Q213" i="3"/>
  <c r="Q241" i="7"/>
  <c r="Q214" i="3"/>
  <c r="Q194" i="3"/>
  <c r="Q215" i="3"/>
  <c r="M249" i="8"/>
  <c r="P250" i="8"/>
  <c r="R584" i="7"/>
  <c r="N616" i="7"/>
  <c r="Q695" i="7"/>
  <c r="Q350" i="7"/>
  <c r="Q515" i="7"/>
  <c r="N435" i="7"/>
  <c r="S375" i="7"/>
  <c r="S239" i="7"/>
  <c r="S540" i="7"/>
  <c r="S720" i="7"/>
  <c r="S404" i="7"/>
  <c r="R359" i="7"/>
  <c r="N106" i="7"/>
  <c r="Q278" i="7"/>
  <c r="R239" i="7"/>
  <c r="N271" i="7"/>
  <c r="Q443" i="7"/>
  <c r="N95" i="7"/>
  <c r="N98" i="7"/>
  <c r="P74" i="7"/>
  <c r="P75" i="7"/>
  <c r="P216" i="7"/>
  <c r="N109" i="7"/>
  <c r="N113" i="7"/>
  <c r="R513" i="7"/>
  <c r="R524" i="7"/>
  <c r="R693" i="7"/>
  <c r="Q217" i="7"/>
  <c r="P335" i="7"/>
  <c r="Q711" i="7"/>
  <c r="Q531" i="7"/>
  <c r="N94" i="7"/>
  <c r="Q188" i="3"/>
  <c r="O141" i="3"/>
  <c r="O109" i="3"/>
  <c r="N218" i="8" s="1"/>
  <c r="Q197" i="3"/>
  <c r="Q219" i="3"/>
  <c r="O124" i="3"/>
  <c r="O94" i="3"/>
  <c r="N205" i="8" s="1"/>
  <c r="O160" i="3"/>
  <c r="N234" i="8"/>
  <c r="Q77" i="3"/>
  <c r="Q88" i="3"/>
  <c r="R122" i="3"/>
  <c r="Q113" i="3"/>
  <c r="P220" i="8" s="1"/>
  <c r="Q550" i="7"/>
  <c r="Q279" i="7"/>
  <c r="N108" i="7"/>
  <c r="R237" i="7"/>
  <c r="U237" i="7"/>
  <c r="P423" i="7"/>
  <c r="P258" i="7"/>
  <c r="P603" i="7"/>
  <c r="R730" i="7"/>
  <c r="Q582" i="7"/>
  <c r="S353" i="7"/>
  <c r="O142" i="3"/>
  <c r="N241" i="8" s="1"/>
  <c r="N254" i="8" s="1"/>
  <c r="O108" i="3"/>
  <c r="N217" i="8" s="1"/>
  <c r="Q730" i="7"/>
  <c r="R353" i="7"/>
  <c r="O125" i="3"/>
  <c r="N229" i="8" s="1"/>
  <c r="O93" i="3"/>
  <c r="N204" i="8" s="1"/>
  <c r="O161" i="3"/>
  <c r="N233" i="8"/>
  <c r="R518" i="7"/>
  <c r="R201" i="3"/>
  <c r="O423" i="7"/>
  <c r="O258" i="7"/>
  <c r="O603" i="7"/>
  <c r="S339" i="7"/>
  <c r="S546" i="7"/>
  <c r="Q546" i="7"/>
  <c r="Q381" i="7"/>
  <c r="P394" i="7"/>
  <c r="P338" i="7"/>
  <c r="S608" i="7"/>
  <c r="Q632" i="7"/>
  <c r="R309" i="7"/>
  <c r="P288" i="7"/>
  <c r="P633" i="7"/>
  <c r="S444" i="7"/>
  <c r="R624" i="7"/>
  <c r="P453" i="7"/>
  <c r="R474" i="7"/>
  <c r="Q453" i="7"/>
  <c r="Q624" i="7"/>
  <c r="R654" i="7"/>
  <c r="S382" i="7"/>
  <c r="R727" i="7"/>
  <c r="R374" i="7"/>
  <c r="Q275" i="7"/>
  <c r="R539" i="7"/>
  <c r="S374" i="7"/>
  <c r="Q440" i="7"/>
  <c r="R402" i="7"/>
  <c r="P212" i="7"/>
  <c r="R352" i="7"/>
  <c r="N130" i="7"/>
  <c r="Q703" i="7"/>
  <c r="Q358" i="7"/>
  <c r="Q523" i="7"/>
  <c r="R547" i="7"/>
  <c r="P211" i="7"/>
  <c r="N118" i="7"/>
  <c r="R582" i="7"/>
  <c r="R517" i="7"/>
  <c r="Q452" i="7"/>
  <c r="Q517" i="7"/>
  <c r="Q352" i="7"/>
  <c r="Q697" i="7"/>
  <c r="Q623" i="7"/>
  <c r="P219" i="7"/>
  <c r="P196" i="7"/>
  <c r="R542" i="7"/>
  <c r="R697" i="7"/>
  <c r="O616" i="7"/>
  <c r="R383" i="7"/>
  <c r="R548" i="7"/>
  <c r="R728" i="7"/>
  <c r="P690" i="7"/>
  <c r="P345" i="7"/>
  <c r="P510" i="7"/>
  <c r="N143" i="7"/>
  <c r="S696" i="7"/>
  <c r="Q283" i="7"/>
  <c r="N304" i="7"/>
  <c r="N638" i="7"/>
  <c r="Q291" i="7"/>
  <c r="Q379" i="7"/>
  <c r="Q724" i="7"/>
  <c r="R217" i="7"/>
  <c r="Q544" i="7"/>
  <c r="Q530" i="7"/>
  <c r="Q365" i="7"/>
  <c r="Q710" i="7"/>
  <c r="T541" i="7"/>
  <c r="R721" i="7"/>
  <c r="R376" i="7"/>
  <c r="R541" i="7"/>
  <c r="P204" i="7"/>
  <c r="Q726" i="7"/>
  <c r="S252" i="7"/>
  <c r="S597" i="7"/>
  <c r="S417" i="7"/>
  <c r="P202" i="7"/>
  <c r="P187" i="7"/>
  <c r="Q476" i="7"/>
  <c r="Q628" i="7"/>
  <c r="Q444" i="7"/>
  <c r="R494" i="7"/>
  <c r="R329" i="7"/>
  <c r="R674" i="7"/>
  <c r="Q395" i="7"/>
  <c r="S401" i="7"/>
  <c r="Q214" i="7"/>
  <c r="R395" i="7"/>
  <c r="N171" i="7"/>
  <c r="P86" i="7"/>
  <c r="P397" i="7"/>
  <c r="P291" i="7"/>
  <c r="N469" i="7"/>
  <c r="P456" i="7"/>
  <c r="P636" i="7"/>
  <c r="R279" i="7"/>
  <c r="R444" i="7"/>
  <c r="Q287" i="7"/>
  <c r="O271" i="7"/>
  <c r="O436" i="7"/>
  <c r="N128" i="7"/>
  <c r="N293" i="7"/>
  <c r="N458" i="7"/>
  <c r="N124" i="7"/>
  <c r="P72" i="7"/>
  <c r="R726" i="7"/>
  <c r="N269" i="7"/>
  <c r="Q193" i="7"/>
  <c r="Q194" i="7"/>
  <c r="Q210" i="7"/>
  <c r="P195" i="7"/>
  <c r="N139" i="7"/>
  <c r="N189" i="7"/>
  <c r="N188" i="7"/>
  <c r="N172" i="7"/>
  <c r="R546" i="7"/>
  <c r="N614" i="7"/>
  <c r="R381" i="7"/>
  <c r="N169" i="7"/>
  <c r="N649" i="7"/>
  <c r="O123" i="7"/>
  <c r="P186" i="7"/>
  <c r="P203" i="7"/>
  <c r="N602" i="7"/>
  <c r="N126" i="7"/>
  <c r="O120" i="7"/>
  <c r="N306" i="7"/>
  <c r="N289" i="7"/>
  <c r="O121" i="7"/>
  <c r="N122" i="7"/>
  <c r="N471" i="7"/>
  <c r="N670" i="7"/>
  <c r="N454" i="7"/>
  <c r="N651" i="7"/>
  <c r="O490" i="7"/>
  <c r="N634" i="7"/>
  <c r="N119" i="7"/>
  <c r="O130" i="7"/>
  <c r="S309" i="7"/>
  <c r="P398" i="7"/>
  <c r="P76" i="7"/>
  <c r="P218" i="7"/>
  <c r="N325" i="7"/>
  <c r="N141" i="7"/>
  <c r="N490" i="7"/>
  <c r="P87" i="7"/>
  <c r="Q192" i="7"/>
  <c r="N671" i="7"/>
  <c r="Q78" i="7"/>
  <c r="P587" i="7"/>
  <c r="P407" i="7"/>
  <c r="P77" i="7"/>
  <c r="P242" i="7"/>
  <c r="N326" i="7"/>
  <c r="N491" i="7"/>
  <c r="P400" i="7"/>
  <c r="N652" i="7"/>
  <c r="N472" i="7"/>
  <c r="N307" i="7"/>
  <c r="N142" i="7"/>
  <c r="N650" i="7"/>
  <c r="N470" i="7"/>
  <c r="N305" i="7"/>
  <c r="O138" i="7"/>
  <c r="N140" i="7"/>
  <c r="N290" i="7"/>
  <c r="N125" i="7"/>
  <c r="N635" i="7"/>
  <c r="N455" i="7"/>
  <c r="S474" i="7"/>
  <c r="P656" i="7"/>
  <c r="P476" i="7"/>
  <c r="P311" i="7"/>
  <c r="S672" i="7"/>
  <c r="S492" i="7"/>
  <c r="S327" i="7"/>
  <c r="P332" i="7"/>
  <c r="R175" i="3"/>
  <c r="Q342" i="3"/>
  <c r="P147" i="8"/>
  <c r="Q263" i="3"/>
  <c r="Q98" i="3"/>
  <c r="P207" i="8" s="1"/>
  <c r="R725" i="7"/>
  <c r="R380" i="7"/>
  <c r="R545" i="7"/>
  <c r="R215" i="7"/>
  <c r="Q306" i="3"/>
  <c r="S240" i="3"/>
  <c r="P340" i="7"/>
  <c r="R229" i="3"/>
  <c r="Q168" i="8"/>
  <c r="R289" i="3"/>
  <c r="S596" i="7"/>
  <c r="S251" i="7"/>
  <c r="N154" i="8"/>
  <c r="O270" i="3"/>
  <c r="O105" i="3"/>
  <c r="N214" i="8" s="1"/>
  <c r="R341" i="3"/>
  <c r="R176" i="3"/>
  <c r="R729" i="7"/>
  <c r="R549" i="7"/>
  <c r="R384" i="7"/>
  <c r="R123" i="3"/>
  <c r="P165" i="8"/>
  <c r="Q285" i="3"/>
  <c r="Q120" i="3"/>
  <c r="P225" i="8" s="1"/>
  <c r="P251" i="8" s="1"/>
  <c r="Q237" i="3"/>
  <c r="Q72" i="3"/>
  <c r="P392" i="7"/>
  <c r="Q164" i="8"/>
  <c r="R119" i="3"/>
  <c r="Q224" i="8" s="1"/>
  <c r="R284" i="3"/>
  <c r="P110" i="3"/>
  <c r="O219" i="8" s="1"/>
  <c r="N156" i="8"/>
  <c r="O107" i="3"/>
  <c r="N216" i="8" s="1"/>
  <c r="O272" i="3"/>
  <c r="Q230" i="3"/>
  <c r="P607" i="7"/>
  <c r="P427" i="7"/>
  <c r="P262" i="7"/>
  <c r="R205" i="3"/>
  <c r="Q208" i="3"/>
  <c r="Q412" i="3" s="1"/>
  <c r="S713" i="7"/>
  <c r="S533" i="7"/>
  <c r="S368" i="7"/>
  <c r="Q655" i="7"/>
  <c r="Q475" i="7"/>
  <c r="Q310" i="7"/>
  <c r="Q722" i="7"/>
  <c r="Q377" i="7"/>
  <c r="Q542" i="7"/>
  <c r="Q212" i="7"/>
  <c r="Q150" i="8"/>
  <c r="R101" i="3"/>
  <c r="Q210" i="8" s="1"/>
  <c r="R266" i="3"/>
  <c r="T693" i="7"/>
  <c r="T513" i="7"/>
  <c r="T348" i="7"/>
  <c r="S693" i="7"/>
  <c r="S513" i="7"/>
  <c r="S348" i="7"/>
  <c r="T611" i="7"/>
  <c r="T431" i="7"/>
  <c r="T266" i="7"/>
  <c r="Q233" i="3"/>
  <c r="Q145" i="8"/>
  <c r="R259" i="3"/>
  <c r="Q177" i="8"/>
  <c r="Q237" i="8"/>
  <c r="R672" i="7"/>
  <c r="R492" i="7"/>
  <c r="R327" i="7"/>
  <c r="Q220" i="7"/>
  <c r="P731" i="7"/>
  <c r="P386" i="7"/>
  <c r="P551" i="7"/>
  <c r="P221" i="7"/>
  <c r="S325" i="3"/>
  <c r="Q152" i="8"/>
  <c r="R268" i="3"/>
  <c r="R235" i="3"/>
  <c r="Q653" i="7"/>
  <c r="Q473" i="7"/>
  <c r="Q308" i="7"/>
  <c r="P716" i="7"/>
  <c r="P821" i="7" s="1"/>
  <c r="P371" i="7"/>
  <c r="P779" i="7" s="1"/>
  <c r="R353" i="3"/>
  <c r="Q255" i="3"/>
  <c r="R241" i="3"/>
  <c r="R76" i="3"/>
  <c r="R145" i="3"/>
  <c r="Q312" i="3"/>
  <c r="Q428" i="3" s="1"/>
  <c r="Q158" i="8"/>
  <c r="S323" i="3"/>
  <c r="Q175" i="8"/>
  <c r="N171" i="8"/>
  <c r="O292" i="3"/>
  <c r="O127" i="3"/>
  <c r="N231" i="8" s="1"/>
  <c r="R318" i="3"/>
  <c r="Q358" i="3"/>
  <c r="Q193" i="3"/>
  <c r="R378" i="3"/>
  <c r="R326" i="3"/>
  <c r="R361" i="3"/>
  <c r="R345" i="3"/>
  <c r="R180" i="3"/>
  <c r="Q627" i="7"/>
  <c r="Q447" i="7"/>
  <c r="Q282" i="7"/>
  <c r="Q696" i="7"/>
  <c r="Q516" i="7"/>
  <c r="Q351" i="7"/>
  <c r="Q186" i="7"/>
  <c r="R327" i="3"/>
  <c r="R162" i="3"/>
  <c r="R626" i="7"/>
  <c r="R446" i="7"/>
  <c r="R281" i="7"/>
  <c r="R343" i="3"/>
  <c r="Q252" i="3"/>
  <c r="Q425" i="3" s="1"/>
  <c r="Q87" i="3"/>
  <c r="R706" i="7"/>
  <c r="R526" i="7"/>
  <c r="R361" i="7"/>
  <c r="N92" i="7"/>
  <c r="N172" i="8"/>
  <c r="O293" i="3"/>
  <c r="O128" i="3"/>
  <c r="N232" i="8" s="1"/>
  <c r="Q169" i="8"/>
  <c r="R290" i="3"/>
  <c r="Q161" i="8"/>
  <c r="R280" i="3"/>
  <c r="Q338" i="7"/>
  <c r="P669" i="7"/>
  <c r="P489" i="7"/>
  <c r="P324" i="7"/>
  <c r="Q360" i="3"/>
  <c r="Q195" i="3"/>
  <c r="R347" i="3"/>
  <c r="R182" i="3"/>
  <c r="R83" i="3"/>
  <c r="R611" i="7"/>
  <c r="R431" i="7"/>
  <c r="R266" i="7"/>
  <c r="R243" i="3"/>
  <c r="R78" i="3"/>
  <c r="R354" i="3"/>
  <c r="R189" i="3"/>
  <c r="P396" i="7"/>
  <c r="R386" i="3"/>
  <c r="R221" i="3"/>
  <c r="R702" i="7"/>
  <c r="R522" i="7"/>
  <c r="R357" i="7"/>
  <c r="S366" i="3"/>
  <c r="S287" i="3"/>
  <c r="R254" i="3"/>
  <c r="R183" i="3"/>
  <c r="Q350" i="3"/>
  <c r="Q185" i="3"/>
  <c r="R316" i="3"/>
  <c r="Q167" i="8"/>
  <c r="R288" i="3"/>
  <c r="Q160" i="8"/>
  <c r="Q116" i="7"/>
  <c r="P625" i="7"/>
  <c r="P445" i="7"/>
  <c r="P280" i="7"/>
  <c r="Q691" i="7"/>
  <c r="Q511" i="7"/>
  <c r="Q346" i="7"/>
  <c r="Q320" i="3"/>
  <c r="Q322" i="3"/>
  <c r="Q157" i="3"/>
  <c r="R346" i="3"/>
  <c r="R181" i="3"/>
  <c r="N422" i="7"/>
  <c r="R377" i="3"/>
  <c r="R212" i="3"/>
  <c r="R355" i="3"/>
  <c r="R190" i="3"/>
  <c r="R349" i="3"/>
  <c r="R184" i="3"/>
  <c r="R75" i="3"/>
  <c r="Q148" i="8"/>
  <c r="R264" i="3"/>
  <c r="Q694" i="7"/>
  <c r="Q514" i="7"/>
  <c r="Q349" i="7"/>
  <c r="Q173" i="8"/>
  <c r="R294" i="3"/>
  <c r="R356" i="3"/>
  <c r="R203" i="3"/>
  <c r="Q210" i="3"/>
  <c r="Q631" i="7"/>
  <c r="Q451" i="7"/>
  <c r="Q286" i="7"/>
  <c r="Q121" i="7"/>
  <c r="R363" i="3"/>
  <c r="P179" i="8"/>
  <c r="Q304" i="3"/>
  <c r="Q178" i="8"/>
  <c r="R303" i="3"/>
  <c r="R138" i="3"/>
  <c r="Q238" i="8" s="1"/>
  <c r="R359" i="3"/>
  <c r="R324" i="3"/>
  <c r="R159" i="3"/>
  <c r="R380" i="3"/>
  <c r="R251" i="3"/>
  <c r="Q231" i="3"/>
  <c r="R311" i="3"/>
  <c r="R146" i="3"/>
  <c r="S611" i="7"/>
  <c r="S431" i="7"/>
  <c r="S266" i="7"/>
  <c r="N257" i="7"/>
  <c r="Q176" i="8"/>
  <c r="R114" i="3"/>
  <c r="R239" i="3"/>
  <c r="R74" i="3"/>
  <c r="R191" i="3"/>
  <c r="Q328" i="3"/>
  <c r="Q163" i="3"/>
  <c r="R253" i="3"/>
  <c r="R319" i="3"/>
  <c r="R364" i="3"/>
  <c r="R199" i="3"/>
  <c r="Q692" i="7"/>
  <c r="Q512" i="7"/>
  <c r="Q347" i="7"/>
  <c r="P333" i="7"/>
  <c r="S313" i="3"/>
  <c r="P159" i="8"/>
  <c r="Q352" i="3"/>
  <c r="Q187" i="3"/>
  <c r="R344" i="3"/>
  <c r="R179" i="3"/>
  <c r="Q209" i="7"/>
  <c r="R379" i="3"/>
  <c r="Q183" i="8"/>
  <c r="R309" i="3"/>
  <c r="R144" i="3"/>
  <c r="Q243" i="8" s="1"/>
  <c r="R173" i="3"/>
  <c r="Q170" i="8"/>
  <c r="R291" i="3"/>
  <c r="Q598" i="7"/>
  <c r="Q418" i="7"/>
  <c r="Q253" i="7"/>
  <c r="R232" i="3"/>
  <c r="R206" i="3"/>
  <c r="R411" i="3" s="1"/>
  <c r="R283" i="3"/>
  <c r="R632" i="7"/>
  <c r="R452" i="7"/>
  <c r="R287" i="7"/>
  <c r="R709" i="7"/>
  <c r="R529" i="7"/>
  <c r="R364" i="7"/>
  <c r="R204" i="3"/>
  <c r="Q163" i="8"/>
  <c r="R282" i="3"/>
  <c r="R117" i="3"/>
  <c r="Q223" i="8" s="1"/>
  <c r="P151" i="8"/>
  <c r="Q267" i="3"/>
  <c r="R207" i="3"/>
  <c r="R581" i="7"/>
  <c r="R812" i="7" s="1"/>
  <c r="R401" i="7"/>
  <c r="N617" i="7"/>
  <c r="N437" i="7"/>
  <c r="N272" i="7"/>
  <c r="N107" i="7"/>
  <c r="Q182" i="8"/>
  <c r="R308" i="3"/>
  <c r="R329" i="3"/>
  <c r="P149" i="8"/>
  <c r="Q265" i="3"/>
  <c r="Q100" i="3"/>
  <c r="P209" i="8" s="1"/>
  <c r="R365" i="3"/>
  <c r="R200" i="3"/>
  <c r="P715" i="7"/>
  <c r="P370" i="7"/>
  <c r="P205" i="7"/>
  <c r="R310" i="3"/>
  <c r="Q236" i="3"/>
  <c r="R357" i="3"/>
  <c r="R192" i="3"/>
  <c r="Q174" i="8"/>
  <c r="R295" i="3"/>
  <c r="P723" i="7"/>
  <c r="P378" i="7"/>
  <c r="P543" i="7"/>
  <c r="P213" i="7"/>
  <c r="S317" i="3"/>
  <c r="R348" i="3"/>
  <c r="P146" i="8"/>
  <c r="Q260" i="3"/>
  <c r="Q181" i="8"/>
  <c r="R307" i="3"/>
  <c r="R302" i="3"/>
  <c r="P699" i="7"/>
  <c r="P519" i="7"/>
  <c r="P354" i="7"/>
  <c r="N153" i="8"/>
  <c r="O269" i="3"/>
  <c r="O104" i="3"/>
  <c r="N213" i="8" s="1"/>
  <c r="S700" i="7"/>
  <c r="S520" i="7"/>
  <c r="S355" i="7"/>
  <c r="R143" i="3"/>
  <c r="Q242" i="8" s="1"/>
  <c r="P157" i="8"/>
  <c r="Q273" i="3"/>
  <c r="T239" i="7"/>
  <c r="Q381" i="3"/>
  <c r="Q216" i="3"/>
  <c r="R362" i="3"/>
  <c r="R197" i="3"/>
  <c r="Q262" i="3"/>
  <c r="Q97" i="3"/>
  <c r="R351" i="3"/>
  <c r="R384" i="3"/>
  <c r="R376" i="3"/>
  <c r="R211" i="3"/>
  <c r="P89" i="3"/>
  <c r="P404" i="3" s="1"/>
  <c r="N142" i="8"/>
  <c r="O91" i="3"/>
  <c r="O256" i="3"/>
  <c r="R242" i="3"/>
  <c r="Q199" i="7"/>
  <c r="P708" i="7"/>
  <c r="P528" i="7"/>
  <c r="P363" i="7"/>
  <c r="P198" i="7"/>
  <c r="R385" i="3"/>
  <c r="R220" i="3"/>
  <c r="Q180" i="8"/>
  <c r="R305" i="3"/>
  <c r="Q162" i="8"/>
  <c r="R281" i="3"/>
  <c r="R116" i="3"/>
  <c r="Q222" i="8" s="1"/>
  <c r="Q166" i="8"/>
  <c r="R286" i="3"/>
  <c r="R121" i="3"/>
  <c r="Q226" i="8" s="1"/>
  <c r="O637" i="7"/>
  <c r="O457" i="7"/>
  <c r="O292" i="7"/>
  <c r="O127" i="7"/>
  <c r="O89" i="7"/>
  <c r="N601" i="7"/>
  <c r="N421" i="7"/>
  <c r="N256" i="7"/>
  <c r="N91" i="7"/>
  <c r="N143" i="8"/>
  <c r="O92" i="3"/>
  <c r="N203" i="8" s="1"/>
  <c r="O257" i="3"/>
  <c r="R321" i="3"/>
  <c r="R198" i="3"/>
  <c r="Q171" i="3"/>
  <c r="Q667" i="7"/>
  <c r="Q487" i="7"/>
  <c r="Q322" i="7"/>
  <c r="R115" i="3"/>
  <c r="Q221" i="8" s="1"/>
  <c r="Q244" i="3"/>
  <c r="R383" i="3"/>
  <c r="R218" i="3"/>
  <c r="R169" i="3"/>
  <c r="R367" i="3"/>
  <c r="R202" i="3"/>
  <c r="N155" i="8"/>
  <c r="O271" i="3"/>
  <c r="O106" i="3"/>
  <c r="N215" i="8" s="1"/>
  <c r="P144" i="8"/>
  <c r="Q258" i="3"/>
  <c r="W108" i="5" l="1"/>
  <c r="X108" i="5" s="1"/>
  <c r="Y108" i="5" s="1"/>
  <c r="Q527" i="7"/>
  <c r="Q362" i="7"/>
  <c r="S197" i="5"/>
  <c r="Q707" i="7"/>
  <c r="Q525" i="7"/>
  <c r="R610" i="7"/>
  <c r="R265" i="7"/>
  <c r="U160" i="5"/>
  <c r="V160" i="5" s="1"/>
  <c r="R430" i="7"/>
  <c r="Q705" i="7"/>
  <c r="Q195" i="7"/>
  <c r="Q360" i="7"/>
  <c r="S90" i="5"/>
  <c r="T90" i="5" s="1"/>
  <c r="U90" i="5" s="1"/>
  <c r="V90" i="5" s="1"/>
  <c r="W90" i="5" s="1"/>
  <c r="X90" i="5" s="1"/>
  <c r="Y90" i="5" s="1"/>
  <c r="W113" i="5"/>
  <c r="X113" i="5" s="1"/>
  <c r="Y113" i="5" s="1"/>
  <c r="W198" i="5"/>
  <c r="X198" i="5" s="1"/>
  <c r="Y198" i="5" s="1"/>
  <c r="X203" i="5"/>
  <c r="Y203" i="5" s="1"/>
  <c r="V102" i="5"/>
  <c r="W102" i="5" s="1"/>
  <c r="X102" i="5" s="1"/>
  <c r="Y102" i="5" s="1"/>
  <c r="Y195" i="5"/>
  <c r="T124" i="5"/>
  <c r="U124" i="5" s="1"/>
  <c r="V124" i="5" s="1"/>
  <c r="W124" i="5" s="1"/>
  <c r="X124" i="5" s="1"/>
  <c r="Y124" i="5" s="1"/>
  <c r="Y187" i="5"/>
  <c r="R140" i="5"/>
  <c r="X191" i="5"/>
  <c r="Y191" i="5" s="1"/>
  <c r="S94" i="5"/>
  <c r="T94" i="5" s="1"/>
  <c r="U94" i="5" s="1"/>
  <c r="V184" i="5"/>
  <c r="W184" i="5" s="1"/>
  <c r="X184" i="5" s="1"/>
  <c r="Y184" i="5" s="1"/>
  <c r="T142" i="5"/>
  <c r="U142" i="5" s="1"/>
  <c r="S91" i="5"/>
  <c r="T91" i="5" s="1"/>
  <c r="U91" i="5" s="1"/>
  <c r="V91" i="5" s="1"/>
  <c r="W91" i="5" s="1"/>
  <c r="X91" i="5" s="1"/>
  <c r="Y91" i="5" s="1"/>
  <c r="U95" i="5"/>
  <c r="V95" i="5" s="1"/>
  <c r="W95" i="5" s="1"/>
  <c r="X95" i="5" s="1"/>
  <c r="Y95" i="5" s="1"/>
  <c r="T125" i="5"/>
  <c r="U125" i="5" s="1"/>
  <c r="O405" i="3"/>
  <c r="T161" i="5"/>
  <c r="U161" i="5" s="1"/>
  <c r="V161" i="5" s="1"/>
  <c r="W161" i="5" s="1"/>
  <c r="Q105" i="5"/>
  <c r="R105" i="5" s="1"/>
  <c r="S105" i="5" s="1"/>
  <c r="T105" i="5" s="1"/>
  <c r="U105" i="5" s="1"/>
  <c r="V105" i="5" s="1"/>
  <c r="W105" i="5" s="1"/>
  <c r="X105" i="5" s="1"/>
  <c r="Y105" i="5" s="1"/>
  <c r="W106" i="5"/>
  <c r="X106" i="5" s="1"/>
  <c r="Y106" i="5" s="1"/>
  <c r="S127" i="5"/>
  <c r="T127" i="5" s="1"/>
  <c r="U127" i="5" s="1"/>
  <c r="U93" i="5"/>
  <c r="V93" i="5" s="1"/>
  <c r="W93" i="5" s="1"/>
  <c r="X93" i="5" s="1"/>
  <c r="Y93" i="5" s="1"/>
  <c r="S107" i="5"/>
  <c r="T107" i="5" s="1"/>
  <c r="U107" i="5" s="1"/>
  <c r="T138" i="5"/>
  <c r="R468" i="7"/>
  <c r="R303" i="7"/>
  <c r="R648" i="7"/>
  <c r="N752" i="7"/>
  <c r="O426" i="3"/>
  <c r="R128" i="5"/>
  <c r="Q641" i="7"/>
  <c r="Q301" i="7"/>
  <c r="S96" i="7"/>
  <c r="Q646" i="7"/>
  <c r="Q131" i="7"/>
  <c r="T131" i="7"/>
  <c r="Q464" i="7"/>
  <c r="Q135" i="7"/>
  <c r="R112" i="7"/>
  <c r="Q466" i="7"/>
  <c r="Q424" i="3"/>
  <c r="Q431" i="3"/>
  <c r="N202" i="8"/>
  <c r="N248" i="8" s="1"/>
  <c r="O427" i="3"/>
  <c r="O406" i="3"/>
  <c r="O751" i="7"/>
  <c r="N753" i="7"/>
  <c r="Q299" i="7"/>
  <c r="Q302" i="7"/>
  <c r="Q467" i="7"/>
  <c r="Q680" i="7"/>
  <c r="Q500" i="7"/>
  <c r="Q681" i="7"/>
  <c r="Q501" i="7"/>
  <c r="Q336" i="7"/>
  <c r="S678" i="7"/>
  <c r="S498" i="7"/>
  <c r="T685" i="7"/>
  <c r="T505" i="7"/>
  <c r="T678" i="7"/>
  <c r="T498" i="7"/>
  <c r="R337" i="7"/>
  <c r="Q502" i="7"/>
  <c r="Q682" i="7"/>
  <c r="Q137" i="7"/>
  <c r="R467" i="7"/>
  <c r="U339" i="7"/>
  <c r="T684" i="7"/>
  <c r="T504" i="7"/>
  <c r="R676" i="7"/>
  <c r="R496" i="7"/>
  <c r="R331" i="7"/>
  <c r="R503" i="7"/>
  <c r="R683" i="7"/>
  <c r="S685" i="7"/>
  <c r="S505" i="7"/>
  <c r="R499" i="7"/>
  <c r="R679" i="7"/>
  <c r="R334" i="7"/>
  <c r="R677" i="7"/>
  <c r="R497" i="7"/>
  <c r="N228" i="8"/>
  <c r="Q227" i="8"/>
  <c r="Q134" i="7"/>
  <c r="O605" i="7"/>
  <c r="Q718" i="7"/>
  <c r="Q822" i="7" s="1"/>
  <c r="R537" i="7"/>
  <c r="Q538" i="7"/>
  <c r="Q801" i="7" s="1"/>
  <c r="R718" i="7"/>
  <c r="R822" i="7" s="1"/>
  <c r="R535" i="7"/>
  <c r="R278" i="7"/>
  <c r="R443" i="7"/>
  <c r="R133" i="7"/>
  <c r="Q644" i="7"/>
  <c r="O260" i="7"/>
  <c r="O425" i="7"/>
  <c r="O113" i="7"/>
  <c r="O115" i="7"/>
  <c r="O99" i="7"/>
  <c r="P108" i="7"/>
  <c r="O114" i="7"/>
  <c r="O98" i="7"/>
  <c r="P99" i="7"/>
  <c r="O97" i="7"/>
  <c r="R509" i="7"/>
  <c r="S712" i="7"/>
  <c r="Q264" i="7"/>
  <c r="S532" i="7"/>
  <c r="S367" i="7"/>
  <c r="Q609" i="7"/>
  <c r="R344" i="7"/>
  <c r="R689" i="7"/>
  <c r="S534" i="7"/>
  <c r="S714" i="7"/>
  <c r="S369" i="7"/>
  <c r="T540" i="7"/>
  <c r="S517" i="7"/>
  <c r="T375" i="7"/>
  <c r="T720" i="7"/>
  <c r="T714" i="7"/>
  <c r="T534" i="7"/>
  <c r="U540" i="7"/>
  <c r="S344" i="7"/>
  <c r="S509" i="7"/>
  <c r="U720" i="7"/>
  <c r="S323" i="7"/>
  <c r="S668" i="7"/>
  <c r="U375" i="7"/>
  <c r="S488" i="7"/>
  <c r="U668" i="7"/>
  <c r="T668" i="7"/>
  <c r="T488" i="7"/>
  <c r="T323" i="7"/>
  <c r="S697" i="7"/>
  <c r="T517" i="7"/>
  <c r="R341" i="7"/>
  <c r="R686" i="7"/>
  <c r="R506" i="7"/>
  <c r="S689" i="7"/>
  <c r="P127" i="7"/>
  <c r="T369" i="7"/>
  <c r="Q461" i="7"/>
  <c r="Q599" i="7"/>
  <c r="Q814" i="7" s="1"/>
  <c r="P419" i="7"/>
  <c r="P793" i="7" s="1"/>
  <c r="P599" i="7"/>
  <c r="P814" i="7" s="1"/>
  <c r="O419" i="7"/>
  <c r="O793" i="7" s="1"/>
  <c r="Q296" i="7"/>
  <c r="S263" i="7"/>
  <c r="Q450" i="7"/>
  <c r="R227" i="3"/>
  <c r="S356" i="7"/>
  <c r="S521" i="7"/>
  <c r="N253" i="8"/>
  <c r="P100" i="7"/>
  <c r="O100" i="7"/>
  <c r="P88" i="7"/>
  <c r="Q285" i="7"/>
  <c r="R630" i="7"/>
  <c r="O267" i="7"/>
  <c r="O612" i="7"/>
  <c r="O432" i="7"/>
  <c r="O102" i="7"/>
  <c r="P139" i="3"/>
  <c r="O239" i="8" s="1"/>
  <c r="P102" i="3"/>
  <c r="O211" i="8" s="1"/>
  <c r="R118" i="3"/>
  <c r="O235" i="8"/>
  <c r="P126" i="3"/>
  <c r="O230" i="8" s="1"/>
  <c r="P140" i="3"/>
  <c r="O240" i="8" s="1"/>
  <c r="P103" i="3"/>
  <c r="O212" i="8" s="1"/>
  <c r="O255" i="7"/>
  <c r="O600" i="7"/>
  <c r="O420" i="7"/>
  <c r="O90" i="7"/>
  <c r="P95" i="3"/>
  <c r="O206" i="8" s="1"/>
  <c r="P90" i="3"/>
  <c r="T582" i="7"/>
  <c r="P101" i="7"/>
  <c r="O613" i="7"/>
  <c r="O103" i="7"/>
  <c r="O433" i="7"/>
  <c r="O268" i="7"/>
  <c r="R77" i="3"/>
  <c r="S402" i="7"/>
  <c r="R473" i="7"/>
  <c r="R653" i="7"/>
  <c r="T404" i="7"/>
  <c r="T584" i="7"/>
  <c r="Q378" i="7"/>
  <c r="R217" i="3"/>
  <c r="T698" i="7"/>
  <c r="S524" i="7"/>
  <c r="O435" i="7"/>
  <c r="O270" i="7"/>
  <c r="S624" i="7"/>
  <c r="S359" i="7"/>
  <c r="S704" i="7"/>
  <c r="R550" i="7"/>
  <c r="R385" i="7"/>
  <c r="Q197" i="7"/>
  <c r="R382" i="3"/>
  <c r="S405" i="7"/>
  <c r="Q633" i="7"/>
  <c r="P436" i="7"/>
  <c r="S585" i="7"/>
  <c r="T240" i="7"/>
  <c r="R186" i="7"/>
  <c r="S409" i="7"/>
  <c r="Q717" i="7"/>
  <c r="Q372" i="7"/>
  <c r="T263" i="7"/>
  <c r="T428" i="7"/>
  <c r="R409" i="7"/>
  <c r="T608" i="7"/>
  <c r="R351" i="7"/>
  <c r="R516" i="7"/>
  <c r="R696" i="7"/>
  <c r="S351" i="7"/>
  <c r="S516" i="7"/>
  <c r="S279" i="7"/>
  <c r="S539" i="7"/>
  <c r="S237" i="7"/>
  <c r="S582" i="7"/>
  <c r="T237" i="7"/>
  <c r="T402" i="7"/>
  <c r="R213" i="3"/>
  <c r="R186" i="3"/>
  <c r="R194" i="3"/>
  <c r="Q250" i="8"/>
  <c r="R214" i="3"/>
  <c r="N249" i="8"/>
  <c r="R215" i="3"/>
  <c r="R209" i="3"/>
  <c r="S695" i="7"/>
  <c r="S515" i="7"/>
  <c r="S350" i="7"/>
  <c r="S381" i="7"/>
  <c r="S518" i="7"/>
  <c r="S698" i="7"/>
  <c r="T726" i="7"/>
  <c r="S726" i="7"/>
  <c r="R695" i="7"/>
  <c r="R350" i="7"/>
  <c r="R515" i="7"/>
  <c r="O108" i="7"/>
  <c r="O110" i="7"/>
  <c r="Q74" i="7"/>
  <c r="Q75" i="7"/>
  <c r="Q216" i="7"/>
  <c r="O422" i="7"/>
  <c r="O93" i="7"/>
  <c r="O95" i="7"/>
  <c r="P616" i="7"/>
  <c r="P271" i="7"/>
  <c r="P124" i="3"/>
  <c r="P94" i="3"/>
  <c r="O205" i="8" s="1"/>
  <c r="R174" i="3"/>
  <c r="R188" i="3"/>
  <c r="R99" i="3"/>
  <c r="Q208" i="8" s="1"/>
  <c r="S201" i="3"/>
  <c r="R88" i="3"/>
  <c r="P160" i="3"/>
  <c r="O234" i="8"/>
  <c r="R219" i="3"/>
  <c r="R158" i="3"/>
  <c r="R196" i="3"/>
  <c r="O94" i="7"/>
  <c r="R113" i="3"/>
  <c r="Q220" i="8" s="1"/>
  <c r="P141" i="3"/>
  <c r="P109" i="3"/>
  <c r="O218" i="8" s="1"/>
  <c r="P142" i="3"/>
  <c r="O241" i="8" s="1"/>
  <c r="O254" i="8" s="1"/>
  <c r="P108" i="3"/>
  <c r="O217" i="8" s="1"/>
  <c r="Q258" i="7"/>
  <c r="Q603" i="7"/>
  <c r="Q423" i="7"/>
  <c r="S719" i="7"/>
  <c r="S122" i="3"/>
  <c r="P125" i="3"/>
  <c r="O229" i="8" s="1"/>
  <c r="P93" i="3"/>
  <c r="O204" i="8" s="1"/>
  <c r="R86" i="3"/>
  <c r="R172" i="3"/>
  <c r="P161" i="3"/>
  <c r="O233" i="8"/>
  <c r="R81" i="3"/>
  <c r="T696" i="7"/>
  <c r="Q394" i="7"/>
  <c r="R394" i="7"/>
  <c r="S633" i="7"/>
  <c r="Q288" i="7"/>
  <c r="S727" i="7"/>
  <c r="S547" i="7"/>
  <c r="S631" i="7"/>
  <c r="R308" i="7"/>
  <c r="S656" i="7"/>
  <c r="Q311" i="7"/>
  <c r="Q656" i="7"/>
  <c r="R286" i="7"/>
  <c r="R451" i="7"/>
  <c r="R631" i="7"/>
  <c r="R296" i="7"/>
  <c r="R461" i="7"/>
  <c r="R377" i="7"/>
  <c r="R641" i="7"/>
  <c r="R722" i="7"/>
  <c r="U263" i="7"/>
  <c r="T722" i="7"/>
  <c r="S494" i="7"/>
  <c r="S329" i="7"/>
  <c r="S674" i="7"/>
  <c r="S357" i="7"/>
  <c r="U428" i="7"/>
  <c r="R193" i="7"/>
  <c r="S522" i="7"/>
  <c r="U608" i="7"/>
  <c r="S702" i="7"/>
  <c r="T581" i="7"/>
  <c r="T812" i="7" s="1"/>
  <c r="S581" i="7"/>
  <c r="S812" i="7" s="1"/>
  <c r="R636" i="7"/>
  <c r="Q636" i="7"/>
  <c r="Q456" i="7"/>
  <c r="V582" i="7"/>
  <c r="U582" i="7"/>
  <c r="U402" i="7"/>
  <c r="S265" i="7"/>
  <c r="S610" i="7"/>
  <c r="S430" i="7"/>
  <c r="Q543" i="7"/>
  <c r="Q213" i="7"/>
  <c r="Q723" i="7"/>
  <c r="R209" i="7"/>
  <c r="O171" i="7"/>
  <c r="O104" i="7"/>
  <c r="T376" i="7"/>
  <c r="T721" i="7"/>
  <c r="T597" i="7"/>
  <c r="T252" i="7"/>
  <c r="T417" i="7"/>
  <c r="Q629" i="7"/>
  <c r="Q449" i="7"/>
  <c r="Q284" i="7"/>
  <c r="Q699" i="7"/>
  <c r="R628" i="7"/>
  <c r="R448" i="7"/>
  <c r="R283" i="7"/>
  <c r="R440" i="7"/>
  <c r="R275" i="7"/>
  <c r="R620" i="7"/>
  <c r="U654" i="7"/>
  <c r="R711" i="7"/>
  <c r="R366" i="7"/>
  <c r="R531" i="7"/>
  <c r="R523" i="7"/>
  <c r="R358" i="7"/>
  <c r="R703" i="7"/>
  <c r="U524" i="7"/>
  <c r="Q202" i="7"/>
  <c r="R551" i="7"/>
  <c r="Q86" i="7"/>
  <c r="T474" i="7"/>
  <c r="U597" i="7"/>
  <c r="U417" i="7"/>
  <c r="U252" i="7"/>
  <c r="S383" i="7"/>
  <c r="S728" i="7"/>
  <c r="S548" i="7"/>
  <c r="O92" i="7"/>
  <c r="R530" i="7"/>
  <c r="R710" i="7"/>
  <c r="R365" i="7"/>
  <c r="R586" i="7"/>
  <c r="R406" i="7"/>
  <c r="R241" i="7"/>
  <c r="O188" i="7"/>
  <c r="S721" i="7"/>
  <c r="S541" i="7"/>
  <c r="S376" i="7"/>
  <c r="R379" i="7"/>
  <c r="R724" i="7"/>
  <c r="S217" i="7"/>
  <c r="R544" i="7"/>
  <c r="Q510" i="7"/>
  <c r="Q690" i="7"/>
  <c r="Q345" i="7"/>
  <c r="O144" i="7"/>
  <c r="O638" i="7"/>
  <c r="O458" i="7"/>
  <c r="O293" i="7"/>
  <c r="O128" i="7"/>
  <c r="Q205" i="7"/>
  <c r="Q370" i="7"/>
  <c r="R450" i="7"/>
  <c r="O141" i="7"/>
  <c r="O614" i="7"/>
  <c r="T654" i="7"/>
  <c r="Q397" i="7"/>
  <c r="O455" i="7"/>
  <c r="O290" i="7"/>
  <c r="O125" i="7"/>
  <c r="O306" i="7"/>
  <c r="O670" i="7"/>
  <c r="O325" i="7"/>
  <c r="O124" i="7"/>
  <c r="P325" i="7"/>
  <c r="T309" i="7"/>
  <c r="P289" i="7"/>
  <c r="O454" i="7"/>
  <c r="O634" i="7"/>
  <c r="O289" i="7"/>
  <c r="P188" i="7"/>
  <c r="P102" i="7"/>
  <c r="O139" i="7"/>
  <c r="O269" i="7"/>
  <c r="Q218" i="7"/>
  <c r="O434" i="7"/>
  <c r="Q204" i="7"/>
  <c r="R210" i="7"/>
  <c r="Q187" i="7"/>
  <c r="Q117" i="7"/>
  <c r="Q354" i="7"/>
  <c r="Q519" i="7"/>
  <c r="O169" i="7"/>
  <c r="R354" i="7"/>
  <c r="O172" i="7"/>
  <c r="Q203" i="7"/>
  <c r="R196" i="7"/>
  <c r="Q196" i="7"/>
  <c r="O189" i="7"/>
  <c r="O119" i="7"/>
  <c r="O126" i="7"/>
  <c r="Q715" i="7"/>
  <c r="O471" i="7"/>
  <c r="O635" i="7"/>
  <c r="O651" i="7"/>
  <c r="O143" i="7"/>
  <c r="P119" i="7"/>
  <c r="R218" i="7"/>
  <c r="R212" i="7"/>
  <c r="Q333" i="7"/>
  <c r="P120" i="7"/>
  <c r="Q76" i="7"/>
  <c r="Q120" i="7"/>
  <c r="O105" i="7"/>
  <c r="O118" i="7"/>
  <c r="R86" i="7"/>
  <c r="R194" i="7"/>
  <c r="R199" i="7"/>
  <c r="Q211" i="7"/>
  <c r="P106" i="7"/>
  <c r="O602" i="7"/>
  <c r="O106" i="7"/>
  <c r="O649" i="7"/>
  <c r="O304" i="7"/>
  <c r="O469" i="7"/>
  <c r="P110" i="7"/>
  <c r="O122" i="7"/>
  <c r="Q87" i="7"/>
  <c r="Q219" i="7"/>
  <c r="Q72" i="7"/>
  <c r="O491" i="7"/>
  <c r="O326" i="7"/>
  <c r="O671" i="7"/>
  <c r="Q587" i="7"/>
  <c r="Q407" i="7"/>
  <c r="Q77" i="7"/>
  <c r="Q242" i="7"/>
  <c r="Q400" i="7"/>
  <c r="O107" i="7"/>
  <c r="O272" i="7"/>
  <c r="O437" i="7"/>
  <c r="O617" i="7"/>
  <c r="O470" i="7"/>
  <c r="O305" i="7"/>
  <c r="O140" i="7"/>
  <c r="O650" i="7"/>
  <c r="P138" i="7"/>
  <c r="O652" i="7"/>
  <c r="O472" i="7"/>
  <c r="O307" i="7"/>
  <c r="O142" i="7"/>
  <c r="Q398" i="7"/>
  <c r="O257" i="7"/>
  <c r="Q616" i="7"/>
  <c r="Q271" i="7"/>
  <c r="Q436" i="7"/>
  <c r="S627" i="7"/>
  <c r="S447" i="7"/>
  <c r="S282" i="7"/>
  <c r="R338" i="7"/>
  <c r="V608" i="7"/>
  <c r="V428" i="7"/>
  <c r="V263" i="7"/>
  <c r="S709" i="7"/>
  <c r="S529" i="7"/>
  <c r="S364" i="7"/>
  <c r="Q144" i="8"/>
  <c r="R258" i="3"/>
  <c r="S667" i="7"/>
  <c r="S487" i="7"/>
  <c r="S322" i="7"/>
  <c r="P637" i="7"/>
  <c r="P457" i="7"/>
  <c r="P292" i="7"/>
  <c r="R162" i="8"/>
  <c r="S281" i="3"/>
  <c r="S116" i="3"/>
  <c r="R222" i="8" s="1"/>
  <c r="Q89" i="3"/>
  <c r="Q404" i="3" s="1"/>
  <c r="O142" i="8"/>
  <c r="P91" i="3"/>
  <c r="P256" i="3"/>
  <c r="S384" i="3"/>
  <c r="Q157" i="8"/>
  <c r="R273" i="3"/>
  <c r="O153" i="8"/>
  <c r="P269" i="3"/>
  <c r="P104" i="3"/>
  <c r="O213" i="8" s="1"/>
  <c r="S348" i="3"/>
  <c r="R174" i="8"/>
  <c r="S295" i="3"/>
  <c r="R236" i="3"/>
  <c r="S173" i="3"/>
  <c r="Q716" i="7"/>
  <c r="Q821" i="7" s="1"/>
  <c r="Q371" i="7"/>
  <c r="Q779" i="7" s="1"/>
  <c r="R692" i="7"/>
  <c r="R512" i="7"/>
  <c r="R347" i="7"/>
  <c r="T701" i="7"/>
  <c r="T521" i="7"/>
  <c r="T356" i="7"/>
  <c r="S311" i="3"/>
  <c r="S146" i="3"/>
  <c r="S359" i="3"/>
  <c r="Q179" i="8"/>
  <c r="R304" i="3"/>
  <c r="R320" i="3"/>
  <c r="S316" i="3"/>
  <c r="S83" i="3"/>
  <c r="T704" i="7"/>
  <c r="T359" i="7"/>
  <c r="T524" i="7"/>
  <c r="S326" i="3"/>
  <c r="O171" i="8"/>
  <c r="P292" i="3"/>
  <c r="P127" i="3"/>
  <c r="O231" i="8" s="1"/>
  <c r="Q110" i="3"/>
  <c r="P219" i="8" s="1"/>
  <c r="O156" i="8"/>
  <c r="P272" i="3"/>
  <c r="P107" i="3"/>
  <c r="O216" i="8" s="1"/>
  <c r="R182" i="8"/>
  <c r="S308" i="3"/>
  <c r="S143" i="3"/>
  <c r="R242" i="8" s="1"/>
  <c r="S251" i="3"/>
  <c r="S86" i="3"/>
  <c r="Q396" i="7"/>
  <c r="R161" i="8"/>
  <c r="S280" i="3"/>
  <c r="S343" i="3"/>
  <c r="U693" i="7"/>
  <c r="U513" i="7"/>
  <c r="U348" i="7"/>
  <c r="T712" i="7"/>
  <c r="T367" i="7"/>
  <c r="T532" i="7"/>
  <c r="S321" i="3"/>
  <c r="S362" i="3"/>
  <c r="R181" i="8"/>
  <c r="S307" i="3"/>
  <c r="S114" i="3"/>
  <c r="R173" i="8"/>
  <c r="S294" i="3"/>
  <c r="S349" i="3"/>
  <c r="S243" i="3"/>
  <c r="S78" i="3"/>
  <c r="S327" i="3"/>
  <c r="S162" i="3"/>
  <c r="T323" i="3"/>
  <c r="R152" i="8"/>
  <c r="S268" i="3"/>
  <c r="Q731" i="7"/>
  <c r="Q386" i="7"/>
  <c r="Q551" i="7"/>
  <c r="Q221" i="7"/>
  <c r="R145" i="8"/>
  <c r="S259" i="3"/>
  <c r="R237" i="3"/>
  <c r="R72" i="3"/>
  <c r="S385" i="3"/>
  <c r="S220" i="3"/>
  <c r="S318" i="3"/>
  <c r="R168" i="8"/>
  <c r="S289" i="3"/>
  <c r="O601" i="7"/>
  <c r="O421" i="7"/>
  <c r="O91" i="7"/>
  <c r="O256" i="7"/>
  <c r="R694" i="7"/>
  <c r="R349" i="7"/>
  <c r="R514" i="7"/>
  <c r="S351" i="3"/>
  <c r="T672" i="7"/>
  <c r="T492" i="7"/>
  <c r="T327" i="7"/>
  <c r="S365" i="3"/>
  <c r="S200" i="3"/>
  <c r="R691" i="7"/>
  <c r="R511" i="7"/>
  <c r="R346" i="7"/>
  <c r="R328" i="3"/>
  <c r="R163" i="3"/>
  <c r="S380" i="3"/>
  <c r="S203" i="3"/>
  <c r="R148" i="8"/>
  <c r="S264" i="3"/>
  <c r="S346" i="3"/>
  <c r="S181" i="3"/>
  <c r="T287" i="3"/>
  <c r="S354" i="3"/>
  <c r="S189" i="3"/>
  <c r="S626" i="7"/>
  <c r="S446" i="7"/>
  <c r="S281" i="7"/>
  <c r="S345" i="3"/>
  <c r="S353" i="3"/>
  <c r="Q332" i="7"/>
  <c r="S229" i="3"/>
  <c r="T240" i="3"/>
  <c r="S725" i="7"/>
  <c r="S380" i="7"/>
  <c r="S545" i="7"/>
  <c r="S215" i="7"/>
  <c r="S253" i="3"/>
  <c r="S209" i="3"/>
  <c r="R210" i="3"/>
  <c r="O172" i="8"/>
  <c r="P293" i="3"/>
  <c r="P128" i="3"/>
  <c r="O232" i="8" s="1"/>
  <c r="R255" i="3"/>
  <c r="V584" i="7"/>
  <c r="V404" i="7"/>
  <c r="V239" i="7"/>
  <c r="S706" i="7"/>
  <c r="S526" i="7"/>
  <c r="S361" i="7"/>
  <c r="S383" i="3"/>
  <c r="S218" i="3"/>
  <c r="Q151" i="8"/>
  <c r="R267" i="3"/>
  <c r="R598" i="7"/>
  <c r="R418" i="7"/>
  <c r="R253" i="7"/>
  <c r="R170" i="8"/>
  <c r="S291" i="3"/>
  <c r="S344" i="3"/>
  <c r="S179" i="3"/>
  <c r="T313" i="3"/>
  <c r="R160" i="8"/>
  <c r="R350" i="3"/>
  <c r="R185" i="3"/>
  <c r="R169" i="8"/>
  <c r="S290" i="3"/>
  <c r="S378" i="3"/>
  <c r="U611" i="7"/>
  <c r="U431" i="7"/>
  <c r="U266" i="7"/>
  <c r="R150" i="8"/>
  <c r="S266" i="3"/>
  <c r="S101" i="3"/>
  <c r="R210" i="8" s="1"/>
  <c r="S729" i="7"/>
  <c r="S549" i="7"/>
  <c r="S384" i="7"/>
  <c r="Q147" i="8"/>
  <c r="R98" i="3"/>
  <c r="Q207" i="8" s="1"/>
  <c r="R263" i="3"/>
  <c r="R655" i="7"/>
  <c r="R475" i="7"/>
  <c r="R310" i="7"/>
  <c r="S379" i="3"/>
  <c r="S319" i="3"/>
  <c r="R627" i="7"/>
  <c r="R447" i="7"/>
  <c r="R282" i="7"/>
  <c r="R117" i="7"/>
  <c r="R166" i="8"/>
  <c r="S121" i="3"/>
  <c r="R226" i="8" s="1"/>
  <c r="S286" i="3"/>
  <c r="R180" i="8"/>
  <c r="S305" i="3"/>
  <c r="S242" i="3"/>
  <c r="R381" i="3"/>
  <c r="R216" i="3"/>
  <c r="S310" i="3"/>
  <c r="S329" i="3"/>
  <c r="S204" i="3"/>
  <c r="S283" i="3"/>
  <c r="R183" i="8"/>
  <c r="S309" i="3"/>
  <c r="S364" i="3"/>
  <c r="S199" i="3"/>
  <c r="R231" i="3"/>
  <c r="R178" i="8"/>
  <c r="S303" i="3"/>
  <c r="S138" i="3"/>
  <c r="R238" i="8" s="1"/>
  <c r="S363" i="3"/>
  <c r="S356" i="3"/>
  <c r="S355" i="3"/>
  <c r="S386" i="3"/>
  <c r="S221" i="3"/>
  <c r="R252" i="3"/>
  <c r="R425" i="3" s="1"/>
  <c r="R87" i="3"/>
  <c r="S191" i="3"/>
  <c r="R358" i="3"/>
  <c r="R193" i="3"/>
  <c r="R175" i="8"/>
  <c r="R312" i="3"/>
  <c r="R428" i="3" s="1"/>
  <c r="T325" i="3"/>
  <c r="R233" i="3"/>
  <c r="R230" i="3"/>
  <c r="R164" i="8"/>
  <c r="S284" i="3"/>
  <c r="S119" i="3"/>
  <c r="R224" i="8" s="1"/>
  <c r="O154" i="8"/>
  <c r="P270" i="3"/>
  <c r="P105" i="3"/>
  <c r="O214" i="8" s="1"/>
  <c r="S175" i="3"/>
  <c r="R342" i="3"/>
  <c r="R163" i="8"/>
  <c r="S282" i="3"/>
  <c r="S117" i="3"/>
  <c r="R223" i="8" s="1"/>
  <c r="S347" i="3"/>
  <c r="S182" i="3"/>
  <c r="S653" i="7"/>
  <c r="S473" i="7"/>
  <c r="S308" i="7"/>
  <c r="T713" i="7"/>
  <c r="T368" i="7"/>
  <c r="T533" i="7"/>
  <c r="T405" i="7"/>
  <c r="O155" i="8"/>
  <c r="P271" i="3"/>
  <c r="P106" i="3"/>
  <c r="O215" i="8" s="1"/>
  <c r="T201" i="3"/>
  <c r="S367" i="3"/>
  <c r="S202" i="3"/>
  <c r="P89" i="7"/>
  <c r="Q708" i="7"/>
  <c r="Q528" i="7"/>
  <c r="Q363" i="7"/>
  <c r="Q198" i="7"/>
  <c r="S376" i="3"/>
  <c r="U584" i="7"/>
  <c r="U404" i="7"/>
  <c r="U239" i="7"/>
  <c r="S302" i="3"/>
  <c r="Q146" i="8"/>
  <c r="R260" i="3"/>
  <c r="T317" i="3"/>
  <c r="S632" i="7"/>
  <c r="S452" i="7"/>
  <c r="S287" i="7"/>
  <c r="S239" i="3"/>
  <c r="S74" i="3"/>
  <c r="R176" i="8"/>
  <c r="S324" i="3"/>
  <c r="S159" i="3"/>
  <c r="S75" i="3"/>
  <c r="S377" i="3"/>
  <c r="S212" i="3"/>
  <c r="S158" i="3"/>
  <c r="R322" i="3"/>
  <c r="R157" i="3"/>
  <c r="Q625" i="7"/>
  <c r="Q445" i="7"/>
  <c r="Q280" i="7"/>
  <c r="R167" i="8"/>
  <c r="S288" i="3"/>
  <c r="T366" i="3"/>
  <c r="S197" i="3"/>
  <c r="R360" i="3"/>
  <c r="R195" i="3"/>
  <c r="T596" i="7"/>
  <c r="T251" i="7"/>
  <c r="Q607" i="7"/>
  <c r="Q427" i="7"/>
  <c r="Q262" i="7"/>
  <c r="S361" i="3"/>
  <c r="S196" i="3"/>
  <c r="R158" i="8"/>
  <c r="S235" i="3"/>
  <c r="R177" i="8"/>
  <c r="R237" i="8"/>
  <c r="Q392" i="7"/>
  <c r="Q165" i="8"/>
  <c r="R285" i="3"/>
  <c r="R120" i="3"/>
  <c r="Q225" i="8" s="1"/>
  <c r="Q251" i="8" s="1"/>
  <c r="S144" i="3"/>
  <c r="R243" i="8" s="1"/>
  <c r="R306" i="3"/>
  <c r="S76" i="3"/>
  <c r="S241" i="3"/>
  <c r="T706" i="7"/>
  <c r="T526" i="7"/>
  <c r="T361" i="7"/>
  <c r="S115" i="3"/>
  <c r="R221" i="8" s="1"/>
  <c r="R244" i="3"/>
  <c r="R667" i="7"/>
  <c r="R487" i="7"/>
  <c r="R322" i="7"/>
  <c r="S198" i="3"/>
  <c r="R171" i="3"/>
  <c r="O143" i="8"/>
  <c r="P92" i="3"/>
  <c r="O203" i="8" s="1"/>
  <c r="P257" i="3"/>
  <c r="R262" i="3"/>
  <c r="R97" i="3"/>
  <c r="T700" i="7"/>
  <c r="T520" i="7"/>
  <c r="T355" i="7"/>
  <c r="S357" i="3"/>
  <c r="S192" i="3"/>
  <c r="Q149" i="8"/>
  <c r="R265" i="3"/>
  <c r="R100" i="3"/>
  <c r="Q209" i="8" s="1"/>
  <c r="S232" i="3"/>
  <c r="S188" i="3"/>
  <c r="R352" i="3"/>
  <c r="R187" i="3"/>
  <c r="Q159" i="8"/>
  <c r="S118" i="3"/>
  <c r="Q340" i="7"/>
  <c r="T122" i="3"/>
  <c r="S254" i="3"/>
  <c r="Q669" i="7"/>
  <c r="Q489" i="7"/>
  <c r="Q324" i="7"/>
  <c r="R705" i="7"/>
  <c r="R525" i="7"/>
  <c r="R360" i="7"/>
  <c r="R195" i="7"/>
  <c r="S207" i="3"/>
  <c r="R208" i="3"/>
  <c r="R412" i="3" s="1"/>
  <c r="T624" i="7"/>
  <c r="T444" i="7"/>
  <c r="T279" i="7"/>
  <c r="S341" i="3"/>
  <c r="S176" i="3"/>
  <c r="C234" i="7"/>
  <c r="C235" i="7"/>
  <c r="C236" i="7"/>
  <c r="C237" i="7"/>
  <c r="C238" i="7"/>
  <c r="C239" i="7"/>
  <c r="C240" i="7"/>
  <c r="C241" i="7"/>
  <c r="C242" i="7"/>
  <c r="C243" i="7"/>
  <c r="C244" i="7"/>
  <c r="C246" i="7"/>
  <c r="C248" i="7"/>
  <c r="C250" i="7"/>
  <c r="C251" i="7"/>
  <c r="C252" i="7"/>
  <c r="C253" i="7"/>
  <c r="C254" i="7"/>
  <c r="C255" i="7"/>
  <c r="C262" i="7"/>
  <c r="C279" i="7"/>
  <c r="C283" i="7"/>
  <c r="C287" i="7"/>
  <c r="C302" i="7"/>
  <c r="C306" i="7"/>
  <c r="C310" i="7"/>
  <c r="C311" i="7"/>
  <c r="C312" i="7"/>
  <c r="C313" i="7"/>
  <c r="C314" i="7"/>
  <c r="C315" i="7"/>
  <c r="C316" i="7"/>
  <c r="C317" i="7"/>
  <c r="C318" i="7"/>
  <c r="C319" i="7"/>
  <c r="C320" i="7"/>
  <c r="C321" i="7"/>
  <c r="C322" i="7"/>
  <c r="C323" i="7"/>
  <c r="C324" i="7"/>
  <c r="C325" i="7"/>
  <c r="C326" i="7"/>
  <c r="C327" i="7"/>
  <c r="C328" i="7"/>
  <c r="C329" i="7"/>
  <c r="C330" i="7"/>
  <c r="C331" i="7"/>
  <c r="C332" i="7"/>
  <c r="C333" i="7"/>
  <c r="C334" i="7"/>
  <c r="C335" i="7"/>
  <c r="C336" i="7"/>
  <c r="C337" i="7"/>
  <c r="C338" i="7"/>
  <c r="C339" i="7"/>
  <c r="C340" i="7"/>
  <c r="C341" i="7"/>
  <c r="C342" i="7"/>
  <c r="C343" i="7"/>
  <c r="C344" i="7"/>
  <c r="C345" i="7"/>
  <c r="C346" i="7"/>
  <c r="C347" i="7"/>
  <c r="C348" i="7"/>
  <c r="C349" i="7"/>
  <c r="C350" i="7"/>
  <c r="C351" i="7"/>
  <c r="C352" i="7"/>
  <c r="C353" i="7"/>
  <c r="C354" i="7"/>
  <c r="C355" i="7"/>
  <c r="C356" i="7"/>
  <c r="C357" i="7"/>
  <c r="C358" i="7"/>
  <c r="C359" i="7"/>
  <c r="C360" i="7"/>
  <c r="C361" i="7"/>
  <c r="C362" i="7"/>
  <c r="C363" i="7"/>
  <c r="C364" i="7"/>
  <c r="C365" i="7"/>
  <c r="C366" i="7"/>
  <c r="C367" i="7"/>
  <c r="C368" i="7"/>
  <c r="C369" i="7"/>
  <c r="C370" i="7"/>
  <c r="C371" i="7"/>
  <c r="C226" i="7"/>
  <c r="C61" i="7"/>
  <c r="C70" i="7"/>
  <c r="C71" i="7"/>
  <c r="C72" i="7"/>
  <c r="C73" i="7"/>
  <c r="C74" i="7"/>
  <c r="C75" i="7"/>
  <c r="C76" i="7"/>
  <c r="C77" i="7"/>
  <c r="C78" i="7"/>
  <c r="C79" i="7"/>
  <c r="C81" i="7"/>
  <c r="C83" i="7"/>
  <c r="C85" i="7"/>
  <c r="C86" i="7"/>
  <c r="C87" i="7"/>
  <c r="C88" i="7"/>
  <c r="C151" i="7"/>
  <c r="C155" i="7"/>
  <c r="C167" i="7"/>
  <c r="C171" i="7"/>
  <c r="C175" i="7"/>
  <c r="C176" i="7"/>
  <c r="C177" i="7"/>
  <c r="C178" i="7"/>
  <c r="C179" i="7"/>
  <c r="C180" i="7"/>
  <c r="C181" i="7"/>
  <c r="C182" i="7"/>
  <c r="C183" i="7"/>
  <c r="C184" i="7"/>
  <c r="C185" i="7"/>
  <c r="C186" i="7"/>
  <c r="C187" i="7"/>
  <c r="C188" i="7"/>
  <c r="C189" i="7"/>
  <c r="C190" i="7"/>
  <c r="C191" i="7"/>
  <c r="C192" i="7"/>
  <c r="C193" i="7"/>
  <c r="C194" i="7"/>
  <c r="C195" i="7"/>
  <c r="C196" i="7"/>
  <c r="C197" i="7"/>
  <c r="C198" i="7"/>
  <c r="C199" i="7"/>
  <c r="C200" i="7"/>
  <c r="C201" i="7"/>
  <c r="C202" i="7"/>
  <c r="C203" i="7"/>
  <c r="C204" i="7"/>
  <c r="C205" i="7"/>
  <c r="C206" i="7"/>
  <c r="C207" i="7"/>
  <c r="C208" i="7"/>
  <c r="C209" i="7"/>
  <c r="C210" i="7"/>
  <c r="C211" i="7"/>
  <c r="C212" i="7"/>
  <c r="C213" i="7"/>
  <c r="C214" i="7"/>
  <c r="C215" i="7"/>
  <c r="C216" i="7"/>
  <c r="C217" i="7"/>
  <c r="C218" i="7"/>
  <c r="C219" i="7"/>
  <c r="C220" i="7"/>
  <c r="C221" i="7"/>
  <c r="T197" i="5" l="1"/>
  <c r="R707" i="7"/>
  <c r="R362" i="7"/>
  <c r="R527" i="7"/>
  <c r="W160" i="5"/>
  <c r="X160" i="5" s="1"/>
  <c r="Y160" i="5" s="1"/>
  <c r="P615" i="7"/>
  <c r="V125" i="5"/>
  <c r="W125" i="5" s="1"/>
  <c r="X125" i="5" s="1"/>
  <c r="Y125" i="5" s="1"/>
  <c r="V142" i="5"/>
  <c r="W142" i="5" s="1"/>
  <c r="X142" i="5" s="1"/>
  <c r="Y142" i="5" s="1"/>
  <c r="S140" i="5"/>
  <c r="T140" i="5" s="1"/>
  <c r="U140" i="5" s="1"/>
  <c r="V94" i="5"/>
  <c r="W94" i="5" s="1"/>
  <c r="X94" i="5" s="1"/>
  <c r="Y94" i="5" s="1"/>
  <c r="X161" i="5"/>
  <c r="Y161" i="5" s="1"/>
  <c r="V107" i="5"/>
  <c r="P426" i="3"/>
  <c r="P405" i="3"/>
  <c r="S128" i="5"/>
  <c r="U138" i="5"/>
  <c r="S303" i="7"/>
  <c r="S468" i="7"/>
  <c r="S648" i="7"/>
  <c r="V127" i="5"/>
  <c r="W127" i="5" s="1"/>
  <c r="O752" i="7"/>
  <c r="R647" i="7"/>
  <c r="T96" i="7"/>
  <c r="S131" i="7"/>
  <c r="S461" i="7"/>
  <c r="S641" i="7"/>
  <c r="S296" i="7"/>
  <c r="R464" i="7"/>
  <c r="R135" i="7"/>
  <c r="P109" i="7"/>
  <c r="S112" i="7"/>
  <c r="R302" i="7"/>
  <c r="R335" i="7"/>
  <c r="R301" i="7"/>
  <c r="R466" i="7"/>
  <c r="R646" i="7"/>
  <c r="P427" i="3"/>
  <c r="P406" i="3"/>
  <c r="R424" i="3"/>
  <c r="O202" i="8"/>
  <c r="O248" i="8" s="1"/>
  <c r="R431" i="3"/>
  <c r="O753" i="7"/>
  <c r="P751" i="7"/>
  <c r="S680" i="7"/>
  <c r="S500" i="7"/>
  <c r="U685" i="7"/>
  <c r="U505" i="7"/>
  <c r="S677" i="7"/>
  <c r="S497" i="7"/>
  <c r="S679" i="7"/>
  <c r="S499" i="7"/>
  <c r="S334" i="7"/>
  <c r="S496" i="7"/>
  <c r="S676" i="7"/>
  <c r="S331" i="7"/>
  <c r="S337" i="7"/>
  <c r="R682" i="7"/>
  <c r="R502" i="7"/>
  <c r="R680" i="7"/>
  <c r="R500" i="7"/>
  <c r="R681" i="7"/>
  <c r="R501" i="7"/>
  <c r="R336" i="7"/>
  <c r="S683" i="7"/>
  <c r="S503" i="7"/>
  <c r="V339" i="7"/>
  <c r="U684" i="7"/>
  <c r="U504" i="7"/>
  <c r="U498" i="7"/>
  <c r="U678" i="7"/>
  <c r="S302" i="7"/>
  <c r="R137" i="7"/>
  <c r="R136" i="7"/>
  <c r="O228" i="8"/>
  <c r="R134" i="7"/>
  <c r="T466" i="7"/>
  <c r="R373" i="7"/>
  <c r="R780" i="7" s="1"/>
  <c r="R644" i="7"/>
  <c r="S536" i="7"/>
  <c r="S800" i="7" s="1"/>
  <c r="T536" i="7"/>
  <c r="T800" i="7" s="1"/>
  <c r="T535" i="7"/>
  <c r="S535" i="7"/>
  <c r="S537" i="7"/>
  <c r="R538" i="7"/>
  <c r="R801" i="7" s="1"/>
  <c r="R299" i="7"/>
  <c r="S443" i="7"/>
  <c r="S278" i="7"/>
  <c r="S623" i="7"/>
  <c r="P425" i="7"/>
  <c r="P260" i="7"/>
  <c r="P605" i="7"/>
  <c r="P113" i="7"/>
  <c r="P115" i="7"/>
  <c r="Q109" i="7"/>
  <c r="P114" i="7"/>
  <c r="P129" i="7"/>
  <c r="P130" i="7"/>
  <c r="Q99" i="7"/>
  <c r="P97" i="7"/>
  <c r="R429" i="7"/>
  <c r="S264" i="7"/>
  <c r="T352" i="7"/>
  <c r="R264" i="7"/>
  <c r="R609" i="7"/>
  <c r="U488" i="7"/>
  <c r="V375" i="7"/>
  <c r="V720" i="7"/>
  <c r="V540" i="7"/>
  <c r="U534" i="7"/>
  <c r="U714" i="7"/>
  <c r="U344" i="7"/>
  <c r="T509" i="7"/>
  <c r="U509" i="7"/>
  <c r="U689" i="7"/>
  <c r="T689" i="7"/>
  <c r="W509" i="7"/>
  <c r="T344" i="7"/>
  <c r="U369" i="7"/>
  <c r="S669" i="7"/>
  <c r="Q130" i="7"/>
  <c r="S506" i="7"/>
  <c r="S341" i="7"/>
  <c r="S686" i="7"/>
  <c r="T697" i="7"/>
  <c r="V323" i="7"/>
  <c r="U323" i="7"/>
  <c r="T353" i="7"/>
  <c r="T518" i="7"/>
  <c r="Q254" i="7"/>
  <c r="Q772" i="7" s="1"/>
  <c r="Q419" i="7"/>
  <c r="Q793" i="7" s="1"/>
  <c r="R254" i="7"/>
  <c r="R772" i="7" s="1"/>
  <c r="R419" i="7"/>
  <c r="R793" i="7" s="1"/>
  <c r="O253" i="8"/>
  <c r="P612" i="7"/>
  <c r="S227" i="3"/>
  <c r="R121" i="7"/>
  <c r="Q432" i="7"/>
  <c r="S145" i="3"/>
  <c r="S77" i="3"/>
  <c r="S193" i="7"/>
  <c r="P635" i="7"/>
  <c r="P123" i="7"/>
  <c r="P432" i="7"/>
  <c r="P267" i="7"/>
  <c r="Q600" i="7"/>
  <c r="R219" i="7"/>
  <c r="R187" i="7"/>
  <c r="S550" i="7"/>
  <c r="P613" i="7"/>
  <c r="P433" i="7"/>
  <c r="P103" i="7"/>
  <c r="P268" i="7"/>
  <c r="Q101" i="7"/>
  <c r="P600" i="7"/>
  <c r="P420" i="7"/>
  <c r="P255" i="7"/>
  <c r="P90" i="7"/>
  <c r="P235" i="8"/>
  <c r="Q126" i="3"/>
  <c r="P230" i="8" s="1"/>
  <c r="S385" i="7"/>
  <c r="S285" i="7"/>
  <c r="R285" i="7"/>
  <c r="S730" i="7"/>
  <c r="P435" i="7"/>
  <c r="Q95" i="3"/>
  <c r="P206" i="8" s="1"/>
  <c r="Q90" i="3"/>
  <c r="Q140" i="3"/>
  <c r="P240" i="8" s="1"/>
  <c r="Q103" i="3"/>
  <c r="P212" i="8" s="1"/>
  <c r="Q139" i="3"/>
  <c r="P239" i="8" s="1"/>
  <c r="Q102" i="3"/>
  <c r="P211" i="8" s="1"/>
  <c r="S169" i="3"/>
  <c r="T719" i="7"/>
  <c r="U698" i="7"/>
  <c r="S217" i="3"/>
  <c r="W689" i="7"/>
  <c r="V689" i="7"/>
  <c r="P270" i="7"/>
  <c r="R633" i="7"/>
  <c r="T377" i="7"/>
  <c r="Q435" i="7"/>
  <c r="R288" i="7"/>
  <c r="U704" i="7"/>
  <c r="T585" i="7"/>
  <c r="R456" i="7"/>
  <c r="R197" i="7"/>
  <c r="R291" i="7"/>
  <c r="R717" i="7"/>
  <c r="S717" i="7"/>
  <c r="R372" i="7"/>
  <c r="V344" i="7"/>
  <c r="W344" i="7"/>
  <c r="V509" i="7"/>
  <c r="R324" i="7"/>
  <c r="S382" i="3"/>
  <c r="R371" i="7"/>
  <c r="R779" i="7" s="1"/>
  <c r="V726" i="7"/>
  <c r="R716" i="7"/>
  <c r="R821" i="7" s="1"/>
  <c r="T546" i="7"/>
  <c r="T542" i="7"/>
  <c r="T409" i="7"/>
  <c r="V377" i="7"/>
  <c r="S489" i="7"/>
  <c r="R669" i="7"/>
  <c r="S324" i="7"/>
  <c r="R489" i="7"/>
  <c r="S542" i="7"/>
  <c r="S377" i="7"/>
  <c r="T539" i="7"/>
  <c r="U359" i="7"/>
  <c r="T669" i="7"/>
  <c r="S722" i="7"/>
  <c r="T374" i="7"/>
  <c r="T350" i="7"/>
  <c r="T515" i="7"/>
  <c r="R476" i="7"/>
  <c r="T695" i="7"/>
  <c r="T357" i="7"/>
  <c r="R220" i="7"/>
  <c r="P92" i="7"/>
  <c r="V266" i="7"/>
  <c r="V431" i="7"/>
  <c r="U541" i="7"/>
  <c r="S288" i="7"/>
  <c r="V611" i="7"/>
  <c r="S453" i="7"/>
  <c r="T453" i="7"/>
  <c r="R453" i="7"/>
  <c r="T381" i="7"/>
  <c r="R205" i="7"/>
  <c r="S206" i="3"/>
  <c r="S411" i="3" s="1"/>
  <c r="T461" i="7"/>
  <c r="R250" i="8"/>
  <c r="S213" i="3"/>
  <c r="S205" i="3"/>
  <c r="S183" i="3"/>
  <c r="S214" i="3"/>
  <c r="S186" i="3"/>
  <c r="S184" i="3"/>
  <c r="S194" i="3"/>
  <c r="O249" i="8"/>
  <c r="P670" i="7"/>
  <c r="S215" i="3"/>
  <c r="X509" i="7"/>
  <c r="U401" i="7"/>
  <c r="P306" i="7"/>
  <c r="P144" i="7"/>
  <c r="S511" i="7"/>
  <c r="T522" i="7"/>
  <c r="R731" i="7"/>
  <c r="R214" i="7"/>
  <c r="R216" i="7"/>
  <c r="S429" i="7"/>
  <c r="S346" i="7"/>
  <c r="T702" i="7"/>
  <c r="W239" i="7"/>
  <c r="R192" i="7"/>
  <c r="P95" i="7"/>
  <c r="P98" i="7"/>
  <c r="S691" i="7"/>
  <c r="W404" i="7"/>
  <c r="R87" i="7"/>
  <c r="W584" i="7"/>
  <c r="S209" i="7"/>
  <c r="P143" i="7"/>
  <c r="P94" i="7"/>
  <c r="R74" i="7"/>
  <c r="R370" i="7"/>
  <c r="R78" i="7"/>
  <c r="P602" i="7"/>
  <c r="P93" i="7"/>
  <c r="P257" i="7"/>
  <c r="R715" i="7"/>
  <c r="Q93" i="7"/>
  <c r="R116" i="7"/>
  <c r="P422" i="7"/>
  <c r="S74" i="7"/>
  <c r="Q141" i="3"/>
  <c r="Q109" i="3"/>
  <c r="P218" i="8" s="1"/>
  <c r="T731" i="7"/>
  <c r="S211" i="3"/>
  <c r="Q160" i="3"/>
  <c r="P234" i="8"/>
  <c r="T351" i="7"/>
  <c r="S190" i="3"/>
  <c r="Q124" i="3"/>
  <c r="Q94" i="3"/>
  <c r="P205" i="8" s="1"/>
  <c r="T516" i="7"/>
  <c r="S123" i="3"/>
  <c r="R221" i="7"/>
  <c r="S180" i="3"/>
  <c r="V402" i="7"/>
  <c r="S219" i="3"/>
  <c r="R616" i="7"/>
  <c r="R386" i="7"/>
  <c r="S174" i="3"/>
  <c r="S88" i="3"/>
  <c r="Q125" i="3"/>
  <c r="P229" i="8" s="1"/>
  <c r="Q93" i="3"/>
  <c r="P204" i="8" s="1"/>
  <c r="S99" i="3"/>
  <c r="R208" i="8" s="1"/>
  <c r="S311" i="7"/>
  <c r="R311" i="7"/>
  <c r="S476" i="7"/>
  <c r="R656" i="7"/>
  <c r="S81" i="3"/>
  <c r="Q161" i="3"/>
  <c r="P233" i="8"/>
  <c r="Q142" i="3"/>
  <c r="P241" i="8" s="1"/>
  <c r="P254" i="8" s="1"/>
  <c r="Q108" i="3"/>
  <c r="P217" i="8" s="1"/>
  <c r="S113" i="3"/>
  <c r="R220" i="8" s="1"/>
  <c r="V237" i="7"/>
  <c r="S395" i="7"/>
  <c r="R423" i="7"/>
  <c r="R603" i="7"/>
  <c r="R258" i="7"/>
  <c r="S172" i="3"/>
  <c r="S609" i="7"/>
  <c r="T401" i="7"/>
  <c r="T727" i="7"/>
  <c r="U727" i="7"/>
  <c r="T547" i="7"/>
  <c r="T382" i="7"/>
  <c r="S286" i="7"/>
  <c r="S451" i="7"/>
  <c r="T609" i="7"/>
  <c r="R271" i="7"/>
  <c r="T296" i="7"/>
  <c r="T641" i="7"/>
  <c r="R280" i="7"/>
  <c r="R445" i="7"/>
  <c r="R625" i="7"/>
  <c r="V369" i="7"/>
  <c r="V534" i="7"/>
  <c r="V714" i="7"/>
  <c r="U721" i="7"/>
  <c r="T329" i="7"/>
  <c r="T494" i="7"/>
  <c r="T674" i="7"/>
  <c r="U309" i="7"/>
  <c r="Q651" i="7"/>
  <c r="U474" i="7"/>
  <c r="P471" i="7"/>
  <c r="S360" i="7"/>
  <c r="P651" i="7"/>
  <c r="P141" i="7"/>
  <c r="U376" i="7"/>
  <c r="U711" i="7"/>
  <c r="R211" i="7"/>
  <c r="S202" i="7"/>
  <c r="T531" i="7"/>
  <c r="T366" i="7"/>
  <c r="T711" i="7"/>
  <c r="S586" i="7"/>
  <c r="S241" i="7"/>
  <c r="S406" i="7"/>
  <c r="R213" i="7"/>
  <c r="S379" i="7"/>
  <c r="T217" i="7"/>
  <c r="S724" i="7"/>
  <c r="S544" i="7"/>
  <c r="P126" i="7"/>
  <c r="R629" i="7"/>
  <c r="R449" i="7"/>
  <c r="R284" i="7"/>
  <c r="S620" i="7"/>
  <c r="S440" i="7"/>
  <c r="S275" i="7"/>
  <c r="R378" i="7"/>
  <c r="U409" i="7"/>
  <c r="R690" i="7"/>
  <c r="R510" i="7"/>
  <c r="R345" i="7"/>
  <c r="V597" i="7"/>
  <c r="V252" i="7"/>
  <c r="V417" i="7"/>
  <c r="S710" i="7"/>
  <c r="S530" i="7"/>
  <c r="S365" i="7"/>
  <c r="R543" i="7"/>
  <c r="P172" i="7"/>
  <c r="S699" i="7"/>
  <c r="S523" i="7"/>
  <c r="S703" i="7"/>
  <c r="S358" i="7"/>
  <c r="T548" i="7"/>
  <c r="T383" i="7"/>
  <c r="T728" i="7"/>
  <c r="S628" i="7"/>
  <c r="S448" i="7"/>
  <c r="S283" i="7"/>
  <c r="T610" i="7"/>
  <c r="T430" i="7"/>
  <c r="T265" i="7"/>
  <c r="S212" i="7"/>
  <c r="R607" i="7"/>
  <c r="R723" i="7"/>
  <c r="P125" i="7"/>
  <c r="R699" i="7"/>
  <c r="P454" i="7"/>
  <c r="P171" i="7"/>
  <c r="V704" i="7"/>
  <c r="S705" i="7"/>
  <c r="U728" i="7"/>
  <c r="U548" i="7"/>
  <c r="U383" i="7"/>
  <c r="S711" i="7"/>
  <c r="S531" i="7"/>
  <c r="S366" i="7"/>
  <c r="P638" i="7"/>
  <c r="P458" i="7"/>
  <c r="P293" i="7"/>
  <c r="P128" i="7"/>
  <c r="S253" i="7"/>
  <c r="S195" i="7"/>
  <c r="R97" i="7"/>
  <c r="R427" i="7"/>
  <c r="Q325" i="7"/>
  <c r="R519" i="7"/>
  <c r="R332" i="7"/>
  <c r="P490" i="7"/>
  <c r="S418" i="7"/>
  <c r="S598" i="7"/>
  <c r="R75" i="7"/>
  <c r="R397" i="7"/>
  <c r="P290" i="7"/>
  <c r="P455" i="7"/>
  <c r="P634" i="7"/>
  <c r="R333" i="7"/>
  <c r="S525" i="7"/>
  <c r="R436" i="7"/>
  <c r="P104" i="7"/>
  <c r="S72" i="7"/>
  <c r="P107" i="7"/>
  <c r="P189" i="7"/>
  <c r="R203" i="7"/>
  <c r="R202" i="7"/>
  <c r="Q189" i="7"/>
  <c r="P437" i="7"/>
  <c r="P124" i="7"/>
  <c r="Q188" i="7"/>
  <c r="P139" i="7"/>
  <c r="P614" i="7"/>
  <c r="P434" i="7"/>
  <c r="P269" i="7"/>
  <c r="R72" i="7"/>
  <c r="P169" i="7"/>
  <c r="R204" i="7"/>
  <c r="R340" i="7"/>
  <c r="S616" i="7"/>
  <c r="S218" i="7"/>
  <c r="P491" i="7"/>
  <c r="S186" i="7"/>
  <c r="S203" i="7"/>
  <c r="R363" i="7"/>
  <c r="R528" i="7"/>
  <c r="R708" i="7"/>
  <c r="Q119" i="7"/>
  <c r="P105" i="7"/>
  <c r="P118" i="7"/>
  <c r="S220" i="7"/>
  <c r="S194" i="7"/>
  <c r="R76" i="7"/>
  <c r="S192" i="7"/>
  <c r="R198" i="7"/>
  <c r="P272" i="7"/>
  <c r="S219" i="7"/>
  <c r="S121" i="7"/>
  <c r="T395" i="7"/>
  <c r="T74" i="7"/>
  <c r="P326" i="7"/>
  <c r="P671" i="7"/>
  <c r="R120" i="7"/>
  <c r="T346" i="7"/>
  <c r="Q106" i="7"/>
  <c r="P617" i="7"/>
  <c r="P122" i="7"/>
  <c r="S87" i="7"/>
  <c r="R262" i="7"/>
  <c r="R396" i="7"/>
  <c r="P649" i="7"/>
  <c r="P469" i="7"/>
  <c r="P304" i="7"/>
  <c r="U700" i="7"/>
  <c r="R77" i="7"/>
  <c r="R242" i="7"/>
  <c r="R587" i="7"/>
  <c r="R407" i="7"/>
  <c r="R400" i="7"/>
  <c r="P142" i="7"/>
  <c r="P652" i="7"/>
  <c r="P472" i="7"/>
  <c r="P307" i="7"/>
  <c r="Q138" i="7"/>
  <c r="P305" i="7"/>
  <c r="P140" i="7"/>
  <c r="P650" i="7"/>
  <c r="P470" i="7"/>
  <c r="U355" i="7"/>
  <c r="U520" i="7"/>
  <c r="R398" i="7"/>
  <c r="V700" i="7"/>
  <c r="V520" i="7"/>
  <c r="V355" i="7"/>
  <c r="R149" i="8"/>
  <c r="S265" i="3"/>
  <c r="S100" i="3"/>
  <c r="R209" i="8" s="1"/>
  <c r="T386" i="3"/>
  <c r="T221" i="3"/>
  <c r="T310" i="3"/>
  <c r="U624" i="7"/>
  <c r="U444" i="7"/>
  <c r="U279" i="7"/>
  <c r="S208" i="3"/>
  <c r="S412" i="3" s="1"/>
  <c r="P143" i="8"/>
  <c r="Q92" i="3"/>
  <c r="P203" i="8" s="1"/>
  <c r="Q257" i="3"/>
  <c r="T76" i="3"/>
  <c r="T241" i="3"/>
  <c r="R392" i="7"/>
  <c r="T75" i="3"/>
  <c r="T239" i="3"/>
  <c r="T74" i="3"/>
  <c r="R146" i="8"/>
  <c r="S260" i="3"/>
  <c r="S87" i="3"/>
  <c r="S252" i="3"/>
  <c r="S425" i="3" s="1"/>
  <c r="U719" i="7"/>
  <c r="U374" i="7"/>
  <c r="U539" i="7"/>
  <c r="T378" i="3"/>
  <c r="T253" i="3"/>
  <c r="T88" i="3"/>
  <c r="T353" i="3"/>
  <c r="T626" i="7"/>
  <c r="T446" i="7"/>
  <c r="T281" i="7"/>
  <c r="T351" i="3"/>
  <c r="T318" i="3"/>
  <c r="T385" i="3"/>
  <c r="T220" i="3"/>
  <c r="R110" i="3"/>
  <c r="Q219" i="8" s="1"/>
  <c r="P156" i="8"/>
  <c r="Q272" i="3"/>
  <c r="Q107" i="3"/>
  <c r="P216" i="8" s="1"/>
  <c r="S236" i="3"/>
  <c r="U695" i="7"/>
  <c r="U515" i="7"/>
  <c r="U350" i="7"/>
  <c r="T729" i="7"/>
  <c r="T549" i="7"/>
  <c r="T384" i="7"/>
  <c r="T219" i="7"/>
  <c r="T376" i="3"/>
  <c r="T364" i="3"/>
  <c r="T199" i="3"/>
  <c r="T173" i="3"/>
  <c r="R157" i="8"/>
  <c r="S273" i="3"/>
  <c r="W608" i="7"/>
  <c r="W428" i="7"/>
  <c r="W263" i="7"/>
  <c r="U706" i="7"/>
  <c r="U526" i="7"/>
  <c r="U361" i="7"/>
  <c r="T190" i="3"/>
  <c r="S352" i="3"/>
  <c r="S187" i="3"/>
  <c r="U672" i="7"/>
  <c r="U492" i="7"/>
  <c r="U327" i="7"/>
  <c r="S306" i="3"/>
  <c r="V596" i="7"/>
  <c r="V251" i="7"/>
  <c r="T158" i="3"/>
  <c r="S322" i="3"/>
  <c r="S157" i="3"/>
  <c r="T632" i="7"/>
  <c r="T452" i="7"/>
  <c r="T287" i="7"/>
  <c r="P155" i="8"/>
  <c r="Q271" i="3"/>
  <c r="Q106" i="3"/>
  <c r="P215" i="8" s="1"/>
  <c r="T347" i="3"/>
  <c r="T182" i="3"/>
  <c r="S163" i="8"/>
  <c r="T282" i="3"/>
  <c r="T117" i="3"/>
  <c r="S223" i="8" s="1"/>
  <c r="S164" i="8"/>
  <c r="T284" i="3"/>
  <c r="T119" i="3"/>
  <c r="S224" i="8" s="1"/>
  <c r="S175" i="8"/>
  <c r="T205" i="3"/>
  <c r="T627" i="7"/>
  <c r="T447" i="7"/>
  <c r="T282" i="7"/>
  <c r="T319" i="3"/>
  <c r="S170" i="8"/>
  <c r="T291" i="3"/>
  <c r="S255" i="3"/>
  <c r="T725" i="7"/>
  <c r="T545" i="7"/>
  <c r="T380" i="7"/>
  <c r="T215" i="7"/>
  <c r="S168" i="8"/>
  <c r="T289" i="3"/>
  <c r="T243" i="3"/>
  <c r="T78" i="3"/>
  <c r="T349" i="3"/>
  <c r="T114" i="3"/>
  <c r="T362" i="3"/>
  <c r="S161" i="8"/>
  <c r="T280" i="3"/>
  <c r="T115" i="3"/>
  <c r="S221" i="8" s="1"/>
  <c r="T359" i="3"/>
  <c r="T194" i="3"/>
  <c r="T709" i="7"/>
  <c r="T529" i="7"/>
  <c r="T364" i="7"/>
  <c r="T242" i="3"/>
  <c r="U701" i="7"/>
  <c r="U356" i="7"/>
  <c r="U521" i="7"/>
  <c r="T254" i="3"/>
  <c r="S158" i="8"/>
  <c r="T196" i="3"/>
  <c r="S360" i="3"/>
  <c r="S195" i="3"/>
  <c r="S167" i="8"/>
  <c r="T288" i="3"/>
  <c r="T123" i="3"/>
  <c r="V713" i="7"/>
  <c r="V368" i="7"/>
  <c r="V533" i="7"/>
  <c r="T653" i="7"/>
  <c r="T473" i="7"/>
  <c r="T308" i="7"/>
  <c r="U325" i="3"/>
  <c r="T191" i="3"/>
  <c r="S358" i="3"/>
  <c r="S193" i="3"/>
  <c r="T355" i="3"/>
  <c r="T283" i="3"/>
  <c r="U313" i="3"/>
  <c r="T383" i="3"/>
  <c r="T218" i="3"/>
  <c r="T203" i="3"/>
  <c r="S182" i="8"/>
  <c r="T308" i="3"/>
  <c r="T143" i="3"/>
  <c r="S242" i="8" s="1"/>
  <c r="T384" i="3"/>
  <c r="T219" i="3"/>
  <c r="S162" i="8"/>
  <c r="T281" i="3"/>
  <c r="T116" i="3"/>
  <c r="S222" i="8" s="1"/>
  <c r="S338" i="7"/>
  <c r="T121" i="3"/>
  <c r="S226" i="8" s="1"/>
  <c r="R165" i="8"/>
  <c r="S285" i="3"/>
  <c r="S120" i="3"/>
  <c r="R225" i="8" s="1"/>
  <c r="R251" i="8" s="1"/>
  <c r="S694" i="7"/>
  <c r="S514" i="7"/>
  <c r="S349" i="7"/>
  <c r="T348" i="3"/>
  <c r="W693" i="7"/>
  <c r="W513" i="7"/>
  <c r="W348" i="7"/>
  <c r="U712" i="7"/>
  <c r="U532" i="7"/>
  <c r="U367" i="7"/>
  <c r="T341" i="3"/>
  <c r="T176" i="3"/>
  <c r="T232" i="3"/>
  <c r="S177" i="8"/>
  <c r="S237" i="8"/>
  <c r="T361" i="3"/>
  <c r="T302" i="3"/>
  <c r="S230" i="3"/>
  <c r="T172" i="3"/>
  <c r="S183" i="8"/>
  <c r="T309" i="3"/>
  <c r="T144" i="3"/>
  <c r="S243" i="8" s="1"/>
  <c r="S180" i="8"/>
  <c r="T305" i="3"/>
  <c r="R147" i="8"/>
  <c r="S98" i="3"/>
  <c r="R207" i="8" s="1"/>
  <c r="S263" i="3"/>
  <c r="T207" i="3"/>
  <c r="T345" i="3"/>
  <c r="T180" i="3"/>
  <c r="S145" i="8"/>
  <c r="T259" i="3"/>
  <c r="S152" i="8"/>
  <c r="T268" i="3"/>
  <c r="V721" i="7"/>
  <c r="V376" i="7"/>
  <c r="V541" i="7"/>
  <c r="P171" i="8"/>
  <c r="Q292" i="3"/>
  <c r="Q127" i="3"/>
  <c r="P231" i="8" s="1"/>
  <c r="T83" i="3"/>
  <c r="P153" i="8"/>
  <c r="Q269" i="3"/>
  <c r="Q104" i="3"/>
  <c r="P213" i="8" s="1"/>
  <c r="R144" i="8"/>
  <c r="S258" i="3"/>
  <c r="W611" i="7"/>
  <c r="W431" i="7"/>
  <c r="W266" i="7"/>
  <c r="S171" i="3"/>
  <c r="S244" i="3"/>
  <c r="U317" i="3"/>
  <c r="U713" i="7"/>
  <c r="U368" i="7"/>
  <c r="U533" i="7"/>
  <c r="T206" i="3"/>
  <c r="T411" i="3" s="1"/>
  <c r="S342" i="3"/>
  <c r="S231" i="3"/>
  <c r="T329" i="3"/>
  <c r="T217" i="3"/>
  <c r="S381" i="3"/>
  <c r="S216" i="3"/>
  <c r="T379" i="3"/>
  <c r="S169" i="8"/>
  <c r="T290" i="3"/>
  <c r="T214" i="3"/>
  <c r="S350" i="3"/>
  <c r="S185" i="3"/>
  <c r="S160" i="8"/>
  <c r="R151" i="8"/>
  <c r="S267" i="3"/>
  <c r="U240" i="3"/>
  <c r="T354" i="3"/>
  <c r="T189" i="3"/>
  <c r="T346" i="3"/>
  <c r="T181" i="3"/>
  <c r="S328" i="3"/>
  <c r="S163" i="3"/>
  <c r="T321" i="3"/>
  <c r="T174" i="3"/>
  <c r="T311" i="3"/>
  <c r="T146" i="3"/>
  <c r="S692" i="7"/>
  <c r="S512" i="7"/>
  <c r="S347" i="7"/>
  <c r="S174" i="8"/>
  <c r="T295" i="3"/>
  <c r="S262" i="3"/>
  <c r="S97" i="3"/>
  <c r="T377" i="3"/>
  <c r="T212" i="3"/>
  <c r="T324" i="3"/>
  <c r="T159" i="3"/>
  <c r="S176" i="8"/>
  <c r="Q89" i="7"/>
  <c r="P601" i="7"/>
  <c r="P421" i="7"/>
  <c r="P91" i="7"/>
  <c r="P256" i="7"/>
  <c r="T367" i="3"/>
  <c r="T202" i="3"/>
  <c r="P154" i="8"/>
  <c r="Q270" i="3"/>
  <c r="Q105" i="3"/>
  <c r="P214" i="8" s="1"/>
  <c r="S715" i="7"/>
  <c r="S370" i="7"/>
  <c r="S205" i="7"/>
  <c r="T218" i="7"/>
  <c r="S312" i="3"/>
  <c r="S428" i="3" s="1"/>
  <c r="T356" i="3"/>
  <c r="T204" i="3"/>
  <c r="W720" i="7"/>
  <c r="W375" i="7"/>
  <c r="W540" i="7"/>
  <c r="S150" i="8"/>
  <c r="T266" i="3"/>
  <c r="T344" i="3"/>
  <c r="T179" i="3"/>
  <c r="S335" i="7"/>
  <c r="P172" i="8"/>
  <c r="Q293" i="3"/>
  <c r="Q128" i="3"/>
  <c r="P232" i="8" s="1"/>
  <c r="S210" i="3"/>
  <c r="T380" i="3"/>
  <c r="T365" i="3"/>
  <c r="T200" i="3"/>
  <c r="X584" i="7"/>
  <c r="X404" i="7"/>
  <c r="X239" i="7"/>
  <c r="T327" i="3"/>
  <c r="T162" i="3"/>
  <c r="S173" i="8"/>
  <c r="T294" i="3"/>
  <c r="T667" i="7"/>
  <c r="T487" i="7"/>
  <c r="T322" i="7"/>
  <c r="T343" i="3"/>
  <c r="T730" i="7"/>
  <c r="T385" i="7"/>
  <c r="T550" i="7"/>
  <c r="T220" i="7"/>
  <c r="S320" i="3"/>
  <c r="Q637" i="7"/>
  <c r="Q457" i="7"/>
  <c r="Q292" i="7"/>
  <c r="Q127" i="7"/>
  <c r="S166" i="8"/>
  <c r="T286" i="3"/>
  <c r="S655" i="7"/>
  <c r="S475" i="7"/>
  <c r="S310" i="7"/>
  <c r="U287" i="3"/>
  <c r="U702" i="7"/>
  <c r="U522" i="7"/>
  <c r="U357" i="7"/>
  <c r="V719" i="7"/>
  <c r="V539" i="7"/>
  <c r="V374" i="7"/>
  <c r="R159" i="8"/>
  <c r="T357" i="3"/>
  <c r="T192" i="3"/>
  <c r="T235" i="3"/>
  <c r="U596" i="7"/>
  <c r="U251" i="7"/>
  <c r="U366" i="3"/>
  <c r="S636" i="7"/>
  <c r="S646" i="7"/>
  <c r="S466" i="7"/>
  <c r="S301" i="7"/>
  <c r="S233" i="3"/>
  <c r="T363" i="3"/>
  <c r="T198" i="3"/>
  <c r="S178" i="8"/>
  <c r="T303" i="3"/>
  <c r="T138" i="3"/>
  <c r="S238" i="8" s="1"/>
  <c r="T229" i="3"/>
  <c r="S148" i="8"/>
  <c r="T264" i="3"/>
  <c r="T99" i="3"/>
  <c r="S208" i="8" s="1"/>
  <c r="S237" i="3"/>
  <c r="S72" i="3"/>
  <c r="U323" i="3"/>
  <c r="S181" i="8"/>
  <c r="T307" i="3"/>
  <c r="V693" i="7"/>
  <c r="V513" i="7"/>
  <c r="V348" i="7"/>
  <c r="T251" i="3"/>
  <c r="T86" i="3"/>
  <c r="T326" i="3"/>
  <c r="T316" i="3"/>
  <c r="R179" i="8"/>
  <c r="S304" i="3"/>
  <c r="R89" i="3"/>
  <c r="R404" i="3" s="1"/>
  <c r="P142" i="8"/>
  <c r="Q256" i="3"/>
  <c r="Q91" i="3"/>
  <c r="U197" i="5" l="1"/>
  <c r="T197" i="7" s="1"/>
  <c r="S362" i="7"/>
  <c r="S527" i="7"/>
  <c r="S707" i="7"/>
  <c r="Q405" i="3"/>
  <c r="Q426" i="3"/>
  <c r="T128" i="5"/>
  <c r="U128" i="5" s="1"/>
  <c r="V128" i="5" s="1"/>
  <c r="W128" i="5" s="1"/>
  <c r="X128" i="5" s="1"/>
  <c r="Y128" i="5" s="1"/>
  <c r="V140" i="5"/>
  <c r="W140" i="5" s="1"/>
  <c r="X140" i="5" s="1"/>
  <c r="Y140" i="5" s="1"/>
  <c r="X127" i="5"/>
  <c r="Y127" i="5" s="1"/>
  <c r="W107" i="5"/>
  <c r="X107" i="5" s="1"/>
  <c r="Y107" i="5" s="1"/>
  <c r="V138" i="5"/>
  <c r="T468" i="7"/>
  <c r="T648" i="7"/>
  <c r="T303" i="7"/>
  <c r="P752" i="7"/>
  <c r="U131" i="7"/>
  <c r="U96" i="7"/>
  <c r="S135" i="7"/>
  <c r="S133" i="7"/>
  <c r="U641" i="7"/>
  <c r="U461" i="7"/>
  <c r="U296" i="7"/>
  <c r="S467" i="7"/>
  <c r="W131" i="7"/>
  <c r="V131" i="7"/>
  <c r="T538" i="7"/>
  <c r="T801" i="7" s="1"/>
  <c r="S210" i="7"/>
  <c r="S136" i="7"/>
  <c r="T112" i="7"/>
  <c r="U275" i="7"/>
  <c r="T646" i="7"/>
  <c r="S431" i="3"/>
  <c r="S424" i="3"/>
  <c r="P202" i="8"/>
  <c r="P248" i="8" s="1"/>
  <c r="Q406" i="3"/>
  <c r="Q427" i="3"/>
  <c r="P753" i="7"/>
  <c r="S647" i="7"/>
  <c r="T301" i="7"/>
  <c r="T679" i="7"/>
  <c r="T499" i="7"/>
  <c r="T334" i="7"/>
  <c r="W339" i="7"/>
  <c r="V684" i="7"/>
  <c r="V504" i="7"/>
  <c r="T647" i="7"/>
  <c r="S137" i="7"/>
  <c r="S681" i="7"/>
  <c r="S501" i="7"/>
  <c r="S336" i="7"/>
  <c r="T676" i="7"/>
  <c r="T496" i="7"/>
  <c r="T331" i="7"/>
  <c r="T497" i="7"/>
  <c r="T677" i="7"/>
  <c r="T683" i="7"/>
  <c r="T503" i="7"/>
  <c r="U338" i="7"/>
  <c r="T680" i="7"/>
  <c r="T500" i="7"/>
  <c r="V678" i="7"/>
  <c r="V498" i="7"/>
  <c r="S682" i="7"/>
  <c r="S502" i="7"/>
  <c r="V685" i="7"/>
  <c r="V505" i="7"/>
  <c r="R227" i="8"/>
  <c r="S644" i="7"/>
  <c r="S464" i="7"/>
  <c r="S227" i="8"/>
  <c r="P228" i="8"/>
  <c r="S299" i="7"/>
  <c r="S134" i="7"/>
  <c r="U646" i="7"/>
  <c r="T716" i="7"/>
  <c r="T821" i="7" s="1"/>
  <c r="U535" i="7"/>
  <c r="U371" i="7"/>
  <c r="U779" i="7" s="1"/>
  <c r="T537" i="7"/>
  <c r="S538" i="7"/>
  <c r="S801" i="7" s="1"/>
  <c r="S373" i="7"/>
  <c r="S780" i="7" s="1"/>
  <c r="S718" i="7"/>
  <c r="S822" i="7" s="1"/>
  <c r="Q605" i="7"/>
  <c r="Q260" i="7"/>
  <c r="T623" i="7"/>
  <c r="T443" i="7"/>
  <c r="T278" i="7"/>
  <c r="Q114" i="7"/>
  <c r="Q115" i="7"/>
  <c r="R109" i="7"/>
  <c r="Q113" i="7"/>
  <c r="Q425" i="7"/>
  <c r="Q97" i="7"/>
  <c r="V668" i="7"/>
  <c r="X517" i="7"/>
  <c r="U352" i="7"/>
  <c r="U517" i="7"/>
  <c r="V488" i="7"/>
  <c r="T341" i="7"/>
  <c r="T686" i="7"/>
  <c r="T506" i="7"/>
  <c r="U697" i="7"/>
  <c r="Q102" i="7"/>
  <c r="R599" i="7"/>
  <c r="R814" i="7" s="1"/>
  <c r="Q420" i="7"/>
  <c r="Q255" i="7"/>
  <c r="R88" i="7"/>
  <c r="Q267" i="7"/>
  <c r="S392" i="7"/>
  <c r="T227" i="3"/>
  <c r="S117" i="7"/>
  <c r="Q612" i="7"/>
  <c r="Q100" i="7"/>
  <c r="T169" i="3"/>
  <c r="T118" i="3"/>
  <c r="T145" i="3"/>
  <c r="T81" i="3"/>
  <c r="P253" i="8"/>
  <c r="S196" i="7"/>
  <c r="Q90" i="7"/>
  <c r="Q88" i="7"/>
  <c r="Q751" i="7" s="1"/>
  <c r="R123" i="7"/>
  <c r="Q123" i="7"/>
  <c r="S291" i="7"/>
  <c r="S456" i="7"/>
  <c r="Q306" i="7"/>
  <c r="R139" i="3"/>
  <c r="Q239" i="8" s="1"/>
  <c r="R102" i="3"/>
  <c r="Q211" i="8" s="1"/>
  <c r="R255" i="7"/>
  <c r="Q613" i="7"/>
  <c r="Q433" i="7"/>
  <c r="Q268" i="7"/>
  <c r="Q103" i="7"/>
  <c r="S450" i="7"/>
  <c r="R140" i="3"/>
  <c r="Q240" i="8" s="1"/>
  <c r="R103" i="3"/>
  <c r="Q212" i="8" s="1"/>
  <c r="S630" i="7"/>
  <c r="T175" i="3"/>
  <c r="V381" i="7"/>
  <c r="Q235" i="8"/>
  <c r="R126" i="3"/>
  <c r="Q230" i="8" s="1"/>
  <c r="V546" i="7"/>
  <c r="R95" i="3"/>
  <c r="Q206" i="8" s="1"/>
  <c r="R90" i="3"/>
  <c r="U122" i="3"/>
  <c r="U542" i="7"/>
  <c r="V722" i="7"/>
  <c r="V698" i="7"/>
  <c r="U722" i="7"/>
  <c r="T286" i="7"/>
  <c r="U353" i="7"/>
  <c r="U377" i="7"/>
  <c r="T451" i="7"/>
  <c r="U518" i="7"/>
  <c r="T631" i="7"/>
  <c r="V542" i="7"/>
  <c r="U405" i="7"/>
  <c r="U585" i="7"/>
  <c r="U240" i="7"/>
  <c r="X581" i="7"/>
  <c r="X812" i="7" s="1"/>
  <c r="Q141" i="7"/>
  <c r="S716" i="7"/>
  <c r="S821" i="7" s="1"/>
  <c r="T371" i="7"/>
  <c r="T779" i="7" s="1"/>
  <c r="T324" i="7"/>
  <c r="T489" i="7"/>
  <c r="V669" i="7"/>
  <c r="Q270" i="7"/>
  <c r="U351" i="7"/>
  <c r="Q257" i="7"/>
  <c r="U516" i="7"/>
  <c r="U696" i="7"/>
  <c r="S371" i="7"/>
  <c r="S779" i="7" s="1"/>
  <c r="Q615" i="7"/>
  <c r="T598" i="7"/>
  <c r="T476" i="7"/>
  <c r="X344" i="7"/>
  <c r="S211" i="7"/>
  <c r="X689" i="7"/>
  <c r="T360" i="7"/>
  <c r="T656" i="7"/>
  <c r="T205" i="7"/>
  <c r="S197" i="7"/>
  <c r="S372" i="7"/>
  <c r="T311" i="7"/>
  <c r="T215" i="3"/>
  <c r="R98" i="7"/>
  <c r="U546" i="7"/>
  <c r="T382" i="3"/>
  <c r="U381" i="7"/>
  <c r="U581" i="7"/>
  <c r="U812" i="7" s="1"/>
  <c r="U726" i="7"/>
  <c r="S198" i="7"/>
  <c r="V353" i="7"/>
  <c r="T705" i="7"/>
  <c r="T253" i="7"/>
  <c r="T525" i="7"/>
  <c r="Q94" i="7"/>
  <c r="T418" i="7"/>
  <c r="T456" i="7"/>
  <c r="T636" i="7"/>
  <c r="T288" i="7"/>
  <c r="U633" i="7"/>
  <c r="S187" i="7"/>
  <c r="T633" i="7"/>
  <c r="S528" i="7"/>
  <c r="S363" i="7"/>
  <c r="S708" i="7"/>
  <c r="W533" i="7"/>
  <c r="W368" i="7"/>
  <c r="W713" i="7"/>
  <c r="T183" i="3"/>
  <c r="S221" i="7"/>
  <c r="T221" i="7"/>
  <c r="T386" i="7"/>
  <c r="S386" i="7"/>
  <c r="S551" i="7"/>
  <c r="T551" i="7"/>
  <c r="S731" i="7"/>
  <c r="Q602" i="7"/>
  <c r="Q422" i="7"/>
  <c r="Q92" i="7"/>
  <c r="T184" i="3"/>
  <c r="T209" i="3"/>
  <c r="P249" i="8"/>
  <c r="S250" i="8"/>
  <c r="Q129" i="7"/>
  <c r="T378" i="7"/>
  <c r="S216" i="7"/>
  <c r="Q95" i="7"/>
  <c r="Q98" i="7"/>
  <c r="Q108" i="7"/>
  <c r="Q110" i="7"/>
  <c r="U586" i="7"/>
  <c r="S204" i="7"/>
  <c r="S78" i="7"/>
  <c r="Q126" i="7"/>
  <c r="U216" i="7"/>
  <c r="S214" i="7"/>
  <c r="S199" i="7"/>
  <c r="S116" i="7"/>
  <c r="U201" i="3"/>
  <c r="R160" i="3"/>
  <c r="Q234" i="8"/>
  <c r="S280" i="7"/>
  <c r="R141" i="3"/>
  <c r="R109" i="3"/>
  <c r="Q218" i="8" s="1"/>
  <c r="R124" i="3"/>
  <c r="R94" i="3"/>
  <c r="Q205" i="8" s="1"/>
  <c r="T101" i="3"/>
  <c r="S210" i="8" s="1"/>
  <c r="S625" i="7"/>
  <c r="T211" i="3"/>
  <c r="T197" i="3"/>
  <c r="T188" i="3"/>
  <c r="T213" i="3"/>
  <c r="S445" i="7"/>
  <c r="S332" i="7"/>
  <c r="V359" i="7"/>
  <c r="T214" i="7"/>
  <c r="T77" i="3"/>
  <c r="V524" i="7"/>
  <c r="T186" i="3"/>
  <c r="R142" i="3"/>
  <c r="Q241" i="8" s="1"/>
  <c r="Q254" i="8" s="1"/>
  <c r="R108" i="3"/>
  <c r="Q217" i="8" s="1"/>
  <c r="R161" i="3"/>
  <c r="Q233" i="8"/>
  <c r="R125" i="3"/>
  <c r="Q229" i="8" s="1"/>
  <c r="R93" i="3"/>
  <c r="Q204" i="8" s="1"/>
  <c r="S603" i="7"/>
  <c r="S258" i="7"/>
  <c r="S423" i="7"/>
  <c r="T113" i="3"/>
  <c r="S220" i="8" s="1"/>
  <c r="U308" i="7"/>
  <c r="T264" i="7"/>
  <c r="U473" i="7"/>
  <c r="U653" i="7"/>
  <c r="T429" i="7"/>
  <c r="V309" i="7"/>
  <c r="S354" i="7"/>
  <c r="S213" i="7"/>
  <c r="U487" i="7"/>
  <c r="V474" i="7"/>
  <c r="S519" i="7"/>
  <c r="S543" i="7"/>
  <c r="U667" i="7"/>
  <c r="V654" i="7"/>
  <c r="U547" i="7"/>
  <c r="U382" i="7"/>
  <c r="S378" i="7"/>
  <c r="S723" i="7"/>
  <c r="U669" i="7"/>
  <c r="W377" i="7"/>
  <c r="S394" i="7"/>
  <c r="U322" i="7"/>
  <c r="W542" i="7"/>
  <c r="W722" i="7"/>
  <c r="S340" i="7"/>
  <c r="Q471" i="7"/>
  <c r="R144" i="7"/>
  <c r="T291" i="7"/>
  <c r="U525" i="7"/>
  <c r="U705" i="7"/>
  <c r="U360" i="7"/>
  <c r="Q670" i="7"/>
  <c r="Q635" i="7"/>
  <c r="U193" i="7"/>
  <c r="X714" i="7"/>
  <c r="X534" i="7"/>
  <c r="X369" i="7"/>
  <c r="W714" i="7"/>
  <c r="W534" i="7"/>
  <c r="W369" i="7"/>
  <c r="V610" i="7"/>
  <c r="U531" i="7"/>
  <c r="V409" i="7"/>
  <c r="U366" i="7"/>
  <c r="U674" i="7"/>
  <c r="U329" i="7"/>
  <c r="U494" i="7"/>
  <c r="X582" i="7"/>
  <c r="X402" i="7"/>
  <c r="X237" i="7"/>
  <c r="X713" i="7"/>
  <c r="X533" i="7"/>
  <c r="X368" i="7"/>
  <c r="T199" i="7"/>
  <c r="Q104" i="7"/>
  <c r="Q454" i="7"/>
  <c r="T628" i="7"/>
  <c r="T448" i="7"/>
  <c r="T283" i="7"/>
  <c r="W694" i="7"/>
  <c r="V430" i="7"/>
  <c r="T209" i="7"/>
  <c r="V728" i="7"/>
  <c r="V548" i="7"/>
  <c r="V383" i="7"/>
  <c r="S86" i="7"/>
  <c r="S629" i="7"/>
  <c r="S449" i="7"/>
  <c r="S284" i="7"/>
  <c r="V265" i="7"/>
  <c r="T202" i="7"/>
  <c r="Q171" i="7"/>
  <c r="W597" i="7"/>
  <c r="W417" i="7"/>
  <c r="W252" i="7"/>
  <c r="T586" i="7"/>
  <c r="T406" i="7"/>
  <c r="T241" i="7"/>
  <c r="U610" i="7"/>
  <c r="U430" i="7"/>
  <c r="U265" i="7"/>
  <c r="S690" i="7"/>
  <c r="S510" i="7"/>
  <c r="S345" i="7"/>
  <c r="W582" i="7"/>
  <c r="W402" i="7"/>
  <c r="W237" i="7"/>
  <c r="Q139" i="7"/>
  <c r="T655" i="7"/>
  <c r="U310" i="7"/>
  <c r="Q143" i="7"/>
  <c r="T530" i="7"/>
  <c r="T710" i="7"/>
  <c r="T365" i="7"/>
  <c r="Q290" i="7"/>
  <c r="Q455" i="7"/>
  <c r="T703" i="7"/>
  <c r="T523" i="7"/>
  <c r="T358" i="7"/>
  <c r="T193" i="7"/>
  <c r="T275" i="7"/>
  <c r="T620" i="7"/>
  <c r="T440" i="7"/>
  <c r="U199" i="7"/>
  <c r="T544" i="7"/>
  <c r="T379" i="7"/>
  <c r="T724" i="7"/>
  <c r="U214" i="7"/>
  <c r="T338" i="7"/>
  <c r="Q172" i="7"/>
  <c r="Q144" i="7"/>
  <c r="Q458" i="7"/>
  <c r="Q128" i="7"/>
  <c r="R126" i="7"/>
  <c r="Q638" i="7"/>
  <c r="Q293" i="7"/>
  <c r="R110" i="7"/>
  <c r="Q107" i="7"/>
  <c r="R325" i="7"/>
  <c r="S97" i="7"/>
  <c r="Q490" i="7"/>
  <c r="R102" i="7"/>
  <c r="S436" i="7"/>
  <c r="S75" i="7"/>
  <c r="S397" i="7"/>
  <c r="S271" i="7"/>
  <c r="T310" i="7"/>
  <c r="T475" i="7"/>
  <c r="Q634" i="7"/>
  <c r="Q289" i="7"/>
  <c r="Q326" i="7"/>
  <c r="Q434" i="7"/>
  <c r="Q671" i="7"/>
  <c r="Q491" i="7"/>
  <c r="Q269" i="7"/>
  <c r="Q614" i="7"/>
  <c r="T72" i="7"/>
  <c r="T117" i="7"/>
  <c r="Q125" i="7"/>
  <c r="Q124" i="7"/>
  <c r="Q272" i="7"/>
  <c r="Q437" i="7"/>
  <c r="T188" i="7"/>
  <c r="T204" i="7"/>
  <c r="Q169" i="7"/>
  <c r="R188" i="7"/>
  <c r="S189" i="7"/>
  <c r="T186" i="7"/>
  <c r="T203" i="7"/>
  <c r="T349" i="7"/>
  <c r="S607" i="7"/>
  <c r="T195" i="7"/>
  <c r="T212" i="7"/>
  <c r="T514" i="7"/>
  <c r="S262" i="7"/>
  <c r="T694" i="7"/>
  <c r="S93" i="7"/>
  <c r="S88" i="7"/>
  <c r="T335" i="7"/>
  <c r="Q617" i="7"/>
  <c r="T691" i="7"/>
  <c r="R119" i="7"/>
  <c r="T511" i="7"/>
  <c r="R189" i="7"/>
  <c r="R122" i="7"/>
  <c r="S120" i="7"/>
  <c r="T630" i="7"/>
  <c r="T450" i="7"/>
  <c r="T285" i="7"/>
  <c r="Q105" i="7"/>
  <c r="Q118" i="7"/>
  <c r="S333" i="7"/>
  <c r="S76" i="7"/>
  <c r="T196" i="7"/>
  <c r="Q122" i="7"/>
  <c r="T121" i="7"/>
  <c r="U395" i="7"/>
  <c r="U74" i="7"/>
  <c r="U253" i="7"/>
  <c r="T194" i="7"/>
  <c r="S427" i="7"/>
  <c r="U418" i="7"/>
  <c r="S396" i="7"/>
  <c r="U598" i="7"/>
  <c r="T87" i="7"/>
  <c r="R106" i="7"/>
  <c r="T86" i="7"/>
  <c r="W357" i="7"/>
  <c r="U87" i="7"/>
  <c r="Q649" i="7"/>
  <c r="Q469" i="7"/>
  <c r="Q304" i="7"/>
  <c r="R671" i="7"/>
  <c r="R491" i="7"/>
  <c r="R326" i="7"/>
  <c r="S407" i="7"/>
  <c r="S77" i="7"/>
  <c r="S242" i="7"/>
  <c r="S587" i="7"/>
  <c r="T78" i="7"/>
  <c r="S400" i="7"/>
  <c r="R171" i="7"/>
  <c r="Q650" i="7"/>
  <c r="Q470" i="7"/>
  <c r="Q305" i="7"/>
  <c r="Q140" i="7"/>
  <c r="Q652" i="7"/>
  <c r="Q472" i="7"/>
  <c r="Q307" i="7"/>
  <c r="Q142" i="7"/>
  <c r="S398" i="7"/>
  <c r="X700" i="7"/>
  <c r="X520" i="7"/>
  <c r="X355" i="7"/>
  <c r="W700" i="7"/>
  <c r="W520" i="7"/>
  <c r="W355" i="7"/>
  <c r="U656" i="7"/>
  <c r="U476" i="7"/>
  <c r="U311" i="7"/>
  <c r="U174" i="3"/>
  <c r="T180" i="8"/>
  <c r="U305" i="3"/>
  <c r="T162" i="8"/>
  <c r="U281" i="3"/>
  <c r="U116" i="3"/>
  <c r="T222" i="8" s="1"/>
  <c r="W719" i="7"/>
  <c r="W374" i="7"/>
  <c r="W539" i="7"/>
  <c r="R637" i="7"/>
  <c r="R457" i="7"/>
  <c r="R292" i="7"/>
  <c r="U229" i="3"/>
  <c r="X720" i="7"/>
  <c r="X375" i="7"/>
  <c r="X540" i="7"/>
  <c r="T262" i="3"/>
  <c r="T97" i="3"/>
  <c r="T381" i="3"/>
  <c r="T216" i="3"/>
  <c r="X611" i="7"/>
  <c r="X431" i="7"/>
  <c r="X266" i="7"/>
  <c r="Q153" i="8"/>
  <c r="R269" i="3"/>
  <c r="R104" i="3"/>
  <c r="Q213" i="8" s="1"/>
  <c r="T230" i="3"/>
  <c r="U341" i="3"/>
  <c r="U176" i="3"/>
  <c r="V313" i="3"/>
  <c r="V653" i="7"/>
  <c r="V473" i="7"/>
  <c r="V308" i="7"/>
  <c r="U242" i="3"/>
  <c r="T170" i="8"/>
  <c r="U291" i="3"/>
  <c r="T175" i="8"/>
  <c r="U364" i="3"/>
  <c r="U199" i="3"/>
  <c r="U351" i="3"/>
  <c r="T252" i="3"/>
  <c r="T425" i="3" s="1"/>
  <c r="T87" i="3"/>
  <c r="U74" i="3"/>
  <c r="U239" i="3"/>
  <c r="U354" i="3"/>
  <c r="U189" i="3"/>
  <c r="W712" i="7"/>
  <c r="W532" i="7"/>
  <c r="W367" i="7"/>
  <c r="U326" i="3"/>
  <c r="V323" i="3"/>
  <c r="T178" i="8"/>
  <c r="U303" i="3"/>
  <c r="U138" i="3"/>
  <c r="T238" i="8" s="1"/>
  <c r="V696" i="7"/>
  <c r="V516" i="7"/>
  <c r="V351" i="7"/>
  <c r="S159" i="8"/>
  <c r="T320" i="3"/>
  <c r="U145" i="3"/>
  <c r="T312" i="3"/>
  <c r="T428" i="3" s="1"/>
  <c r="T328" i="3"/>
  <c r="T163" i="3"/>
  <c r="U186" i="3"/>
  <c r="T350" i="3"/>
  <c r="T185" i="3"/>
  <c r="U180" i="3"/>
  <c r="T342" i="3"/>
  <c r="W721" i="7"/>
  <c r="W376" i="7"/>
  <c r="W541" i="7"/>
  <c r="U383" i="3"/>
  <c r="U218" i="3"/>
  <c r="T158" i="8"/>
  <c r="U359" i="3"/>
  <c r="T161" i="8"/>
  <c r="U280" i="3"/>
  <c r="U347" i="3"/>
  <c r="U182" i="3"/>
  <c r="Q155" i="8"/>
  <c r="R106" i="3"/>
  <c r="Q215" i="8" s="1"/>
  <c r="R271" i="3"/>
  <c r="U353" i="3"/>
  <c r="U99" i="3"/>
  <c r="T208" i="8" s="1"/>
  <c r="S146" i="8"/>
  <c r="T260" i="3"/>
  <c r="U241" i="3"/>
  <c r="U76" i="3"/>
  <c r="T208" i="3"/>
  <c r="T412" i="3" s="1"/>
  <c r="W654" i="7"/>
  <c r="W474" i="7"/>
  <c r="W309" i="7"/>
  <c r="V730" i="7"/>
  <c r="V385" i="7"/>
  <c r="V550" i="7"/>
  <c r="U343" i="3"/>
  <c r="U380" i="3"/>
  <c r="T150" i="8"/>
  <c r="U266" i="3"/>
  <c r="T715" i="7"/>
  <c r="T370" i="7"/>
  <c r="Q154" i="8"/>
  <c r="R270" i="3"/>
  <c r="R105" i="3"/>
  <c r="Q214" i="8" s="1"/>
  <c r="U367" i="3"/>
  <c r="U202" i="3"/>
  <c r="S151" i="8"/>
  <c r="T267" i="3"/>
  <c r="U115" i="3"/>
  <c r="T221" i="8" s="1"/>
  <c r="T244" i="3"/>
  <c r="Q171" i="8"/>
  <c r="R127" i="3"/>
  <c r="Q231" i="8" s="1"/>
  <c r="R292" i="3"/>
  <c r="T145" i="8"/>
  <c r="U259" i="3"/>
  <c r="X693" i="7"/>
  <c r="X513" i="7"/>
  <c r="X348" i="7"/>
  <c r="U384" i="3"/>
  <c r="U355" i="3"/>
  <c r="V325" i="3"/>
  <c r="V701" i="7"/>
  <c r="V521" i="7"/>
  <c r="V356" i="7"/>
  <c r="U709" i="7"/>
  <c r="U529" i="7"/>
  <c r="U364" i="7"/>
  <c r="U349" i="3"/>
  <c r="U184" i="3"/>
  <c r="U632" i="7"/>
  <c r="U452" i="7"/>
  <c r="U287" i="7"/>
  <c r="V672" i="7"/>
  <c r="V492" i="7"/>
  <c r="V327" i="7"/>
  <c r="U190" i="3"/>
  <c r="T352" i="3"/>
  <c r="T187" i="3"/>
  <c r="S157" i="8"/>
  <c r="T273" i="3"/>
  <c r="U385" i="3"/>
  <c r="U220" i="3"/>
  <c r="U626" i="7"/>
  <c r="U446" i="7"/>
  <c r="U281" i="7"/>
  <c r="V624" i="7"/>
  <c r="V444" i="7"/>
  <c r="V279" i="7"/>
  <c r="U310" i="3"/>
  <c r="Q172" i="8"/>
  <c r="R293" i="3"/>
  <c r="R128" i="3"/>
  <c r="Q232" i="8" s="1"/>
  <c r="S147" i="8"/>
  <c r="T263" i="3"/>
  <c r="T98" i="3"/>
  <c r="S207" i="8" s="1"/>
  <c r="W409" i="7"/>
  <c r="S179" i="8"/>
  <c r="T304" i="3"/>
  <c r="U235" i="3"/>
  <c r="V702" i="7"/>
  <c r="V522" i="7"/>
  <c r="V357" i="7"/>
  <c r="U730" i="7"/>
  <c r="U550" i="7"/>
  <c r="U385" i="7"/>
  <c r="V667" i="7"/>
  <c r="V487" i="7"/>
  <c r="V322" i="7"/>
  <c r="U211" i="3"/>
  <c r="T210" i="3"/>
  <c r="U204" i="3"/>
  <c r="T176" i="8"/>
  <c r="T174" i="8"/>
  <c r="U295" i="3"/>
  <c r="U311" i="3"/>
  <c r="U146" i="3"/>
  <c r="U329" i="3"/>
  <c r="U81" i="3"/>
  <c r="U345" i="3"/>
  <c r="T183" i="8"/>
  <c r="U309" i="3"/>
  <c r="U144" i="3"/>
  <c r="T243" i="8" s="1"/>
  <c r="U361" i="3"/>
  <c r="T177" i="8"/>
  <c r="T237" i="8"/>
  <c r="T182" i="8"/>
  <c r="U308" i="3"/>
  <c r="U143" i="3"/>
  <c r="T242" i="8" s="1"/>
  <c r="U88" i="3"/>
  <c r="T255" i="3"/>
  <c r="U376" i="3"/>
  <c r="T236" i="3"/>
  <c r="S110" i="3"/>
  <c r="R219" i="8" s="1"/>
  <c r="Q156" i="8"/>
  <c r="R272" i="3"/>
  <c r="R107" i="3"/>
  <c r="Q216" i="8" s="1"/>
  <c r="U75" i="3"/>
  <c r="Q601" i="7"/>
  <c r="Q421" i="7"/>
  <c r="Q91" i="7"/>
  <c r="Q256" i="7"/>
  <c r="R89" i="7"/>
  <c r="U194" i="3"/>
  <c r="T358" i="3"/>
  <c r="T193" i="3"/>
  <c r="S89" i="3"/>
  <c r="S404" i="3" s="1"/>
  <c r="Q142" i="8"/>
  <c r="R256" i="3"/>
  <c r="R91" i="3"/>
  <c r="U251" i="3"/>
  <c r="U86" i="3"/>
  <c r="T237" i="3"/>
  <c r="T72" i="3"/>
  <c r="U363" i="3"/>
  <c r="V366" i="3"/>
  <c r="V287" i="3"/>
  <c r="T173" i="8"/>
  <c r="U294" i="3"/>
  <c r="V627" i="7"/>
  <c r="V447" i="7"/>
  <c r="V282" i="7"/>
  <c r="T692" i="7"/>
  <c r="T512" i="7"/>
  <c r="T347" i="7"/>
  <c r="U346" i="3"/>
  <c r="U181" i="3"/>
  <c r="X608" i="7"/>
  <c r="X428" i="7"/>
  <c r="X263" i="7"/>
  <c r="V729" i="7"/>
  <c r="V384" i="7"/>
  <c r="V549" i="7"/>
  <c r="V219" i="7"/>
  <c r="U203" i="3"/>
  <c r="U283" i="3"/>
  <c r="U254" i="3"/>
  <c r="U362" i="3"/>
  <c r="U197" i="3"/>
  <c r="U725" i="7"/>
  <c r="U380" i="7"/>
  <c r="U545" i="7"/>
  <c r="U215" i="7"/>
  <c r="U627" i="7"/>
  <c r="U447" i="7"/>
  <c r="U282" i="7"/>
  <c r="U205" i="3"/>
  <c r="T164" i="8"/>
  <c r="U284" i="3"/>
  <c r="U119" i="3"/>
  <c r="T224" i="8" s="1"/>
  <c r="T306" i="3"/>
  <c r="U729" i="7"/>
  <c r="U549" i="7"/>
  <c r="U384" i="7"/>
  <c r="U219" i="7"/>
  <c r="U253" i="3"/>
  <c r="Q143" i="8"/>
  <c r="R92" i="3"/>
  <c r="Q203" i="8" s="1"/>
  <c r="R257" i="3"/>
  <c r="T166" i="8"/>
  <c r="U286" i="3"/>
  <c r="U327" i="3"/>
  <c r="U162" i="3"/>
  <c r="U321" i="3"/>
  <c r="U319" i="3"/>
  <c r="V585" i="7"/>
  <c r="V405" i="7"/>
  <c r="V240" i="7"/>
  <c r="T181" i="8"/>
  <c r="U307" i="3"/>
  <c r="W596" i="7"/>
  <c r="W251" i="7"/>
  <c r="U357" i="3"/>
  <c r="U377" i="3"/>
  <c r="U212" i="3"/>
  <c r="T169" i="8"/>
  <c r="U290" i="3"/>
  <c r="U379" i="3"/>
  <c r="U214" i="3"/>
  <c r="T231" i="3"/>
  <c r="U198" i="3"/>
  <c r="T171" i="3"/>
  <c r="U232" i="3"/>
  <c r="V712" i="7"/>
  <c r="V532" i="7"/>
  <c r="V367" i="7"/>
  <c r="U348" i="3"/>
  <c r="U206" i="3"/>
  <c r="U411" i="3" s="1"/>
  <c r="U196" i="3"/>
  <c r="T360" i="3"/>
  <c r="T195" i="3"/>
  <c r="U78" i="3"/>
  <c r="U243" i="3"/>
  <c r="T168" i="8"/>
  <c r="U289" i="3"/>
  <c r="X722" i="7"/>
  <c r="X542" i="7"/>
  <c r="X377" i="7"/>
  <c r="T322" i="3"/>
  <c r="T157" i="3"/>
  <c r="U173" i="3"/>
  <c r="U318" i="3"/>
  <c r="T392" i="7"/>
  <c r="U386" i="3"/>
  <c r="U221" i="3"/>
  <c r="V201" i="3"/>
  <c r="U365" i="3"/>
  <c r="U200" i="3"/>
  <c r="U302" i="3"/>
  <c r="T167" i="8"/>
  <c r="U288" i="3"/>
  <c r="U114" i="3"/>
  <c r="U378" i="3"/>
  <c r="V706" i="7"/>
  <c r="V526" i="7"/>
  <c r="V361" i="7"/>
  <c r="V695" i="7"/>
  <c r="V515" i="7"/>
  <c r="V350" i="7"/>
  <c r="U316" i="3"/>
  <c r="T148" i="8"/>
  <c r="U264" i="3"/>
  <c r="T233" i="3"/>
  <c r="U344" i="3"/>
  <c r="U179" i="3"/>
  <c r="U356" i="3"/>
  <c r="U324" i="3"/>
  <c r="U159" i="3"/>
  <c r="U631" i="7"/>
  <c r="U451" i="7"/>
  <c r="U286" i="7"/>
  <c r="U121" i="7"/>
  <c r="V240" i="3"/>
  <c r="T160" i="8"/>
  <c r="U113" i="3"/>
  <c r="T220" i="8" s="1"/>
  <c r="V317" i="3"/>
  <c r="S144" i="8"/>
  <c r="T258" i="3"/>
  <c r="U83" i="3"/>
  <c r="T152" i="8"/>
  <c r="U268" i="3"/>
  <c r="U207" i="3"/>
  <c r="V641" i="7"/>
  <c r="V461" i="7"/>
  <c r="V296" i="7"/>
  <c r="U118" i="3"/>
  <c r="S165" i="8"/>
  <c r="T285" i="3"/>
  <c r="T120" i="3"/>
  <c r="S225" i="8" s="1"/>
  <c r="S251" i="8" s="1"/>
  <c r="U636" i="7"/>
  <c r="U456" i="7"/>
  <c r="U291" i="7"/>
  <c r="T163" i="8"/>
  <c r="U282" i="3"/>
  <c r="U117" i="3"/>
  <c r="T223" i="8" s="1"/>
  <c r="S149" i="8"/>
  <c r="T265" i="3"/>
  <c r="T100" i="3"/>
  <c r="S209" i="8" s="1"/>
  <c r="L193" i="8"/>
  <c r="L191" i="8"/>
  <c r="L194" i="8"/>
  <c r="L190" i="8"/>
  <c r="S204" i="4"/>
  <c r="S165" i="4"/>
  <c r="S161" i="4"/>
  <c r="S154" i="4"/>
  <c r="S86" i="4"/>
  <c r="S81" i="4"/>
  <c r="S78" i="4"/>
  <c r="S77" i="4"/>
  <c r="S79" i="3" s="1"/>
  <c r="R204" i="4"/>
  <c r="R165" i="4"/>
  <c r="R161" i="4"/>
  <c r="R154" i="4"/>
  <c r="R86" i="4"/>
  <c r="R81" i="4"/>
  <c r="R78" i="4"/>
  <c r="R77" i="4"/>
  <c r="Q204" i="4"/>
  <c r="Q165" i="4"/>
  <c r="Q161" i="4"/>
  <c r="Q154" i="4"/>
  <c r="Q259" i="7"/>
  <c r="Q86" i="4"/>
  <c r="Q81" i="4"/>
  <c r="Q78" i="4"/>
  <c r="Q77" i="4"/>
  <c r="C70" i="5"/>
  <c r="C71" i="5"/>
  <c r="C72" i="5"/>
  <c r="C73" i="5"/>
  <c r="C74" i="5"/>
  <c r="C75" i="5"/>
  <c r="C76" i="5"/>
  <c r="C77" i="5"/>
  <c r="C78" i="5"/>
  <c r="C79" i="5"/>
  <c r="C80" i="5"/>
  <c r="C81" i="5"/>
  <c r="C61" i="5"/>
  <c r="V197" i="5" l="1"/>
  <c r="W197" i="5" s="1"/>
  <c r="T527" i="7"/>
  <c r="T362" i="7"/>
  <c r="T707" i="7"/>
  <c r="R426" i="3"/>
  <c r="Q752" i="7"/>
  <c r="W138" i="5"/>
  <c r="U303" i="7"/>
  <c r="U468" i="7"/>
  <c r="U648" i="7"/>
  <c r="R405" i="3"/>
  <c r="V96" i="7"/>
  <c r="U620" i="7"/>
  <c r="T136" i="7"/>
  <c r="T133" i="7"/>
  <c r="R588" i="7"/>
  <c r="R243" i="7"/>
  <c r="R408" i="7"/>
  <c r="R792" i="7" s="1"/>
  <c r="Q408" i="7"/>
  <c r="Q792" i="7" s="1"/>
  <c r="Q588" i="7"/>
  <c r="Q243" i="7"/>
  <c r="S243" i="7"/>
  <c r="S588" i="7"/>
  <c r="S408" i="7"/>
  <c r="S792" i="7" s="1"/>
  <c r="U440" i="7"/>
  <c r="X131" i="7"/>
  <c r="T211" i="7"/>
  <c r="T373" i="7"/>
  <c r="T780" i="7" s="1"/>
  <c r="U209" i="7"/>
  <c r="T210" i="7"/>
  <c r="T718" i="7"/>
  <c r="T822" i="7" s="1"/>
  <c r="U210" i="7"/>
  <c r="V440" i="7"/>
  <c r="U112" i="7"/>
  <c r="T135" i="7"/>
  <c r="Q202" i="8"/>
  <c r="Q248" i="8" s="1"/>
  <c r="R406" i="3"/>
  <c r="R427" i="3"/>
  <c r="T431" i="3"/>
  <c r="T424" i="3"/>
  <c r="R751" i="7"/>
  <c r="Q753" i="7"/>
  <c r="T337" i="7"/>
  <c r="T302" i="7"/>
  <c r="T467" i="7"/>
  <c r="W678" i="7"/>
  <c r="W498" i="7"/>
  <c r="U680" i="7"/>
  <c r="U500" i="7"/>
  <c r="W685" i="7"/>
  <c r="W505" i="7"/>
  <c r="U679" i="7"/>
  <c r="U499" i="7"/>
  <c r="U334" i="7"/>
  <c r="U682" i="7"/>
  <c r="U502" i="7"/>
  <c r="V338" i="7"/>
  <c r="U683" i="7"/>
  <c r="U503" i="7"/>
  <c r="T501" i="7"/>
  <c r="T681" i="7"/>
  <c r="T336" i="7"/>
  <c r="W684" i="7"/>
  <c r="W504" i="7"/>
  <c r="U676" i="7"/>
  <c r="U496" i="7"/>
  <c r="U331" i="7"/>
  <c r="T682" i="7"/>
  <c r="T502" i="7"/>
  <c r="Q170" i="3"/>
  <c r="Q330" i="3"/>
  <c r="Q429" i="3" s="1"/>
  <c r="Q675" i="7"/>
  <c r="Q818" i="7" s="1"/>
  <c r="Q495" i="7"/>
  <c r="Q797" i="7" s="1"/>
  <c r="R170" i="3"/>
  <c r="R330" i="3"/>
  <c r="R429" i="3" s="1"/>
  <c r="R495" i="7"/>
  <c r="R797" i="7" s="1"/>
  <c r="R675" i="7"/>
  <c r="R818" i="7" s="1"/>
  <c r="S170" i="3"/>
  <c r="S330" i="3"/>
  <c r="S429" i="3" s="1"/>
  <c r="S675" i="7"/>
  <c r="S818" i="7" s="1"/>
  <c r="S495" i="7"/>
  <c r="S797" i="7" s="1"/>
  <c r="U677" i="7"/>
  <c r="U497" i="7"/>
  <c r="U647" i="7"/>
  <c r="T137" i="7"/>
  <c r="T299" i="7"/>
  <c r="Q228" i="8"/>
  <c r="T644" i="7"/>
  <c r="T464" i="7"/>
  <c r="T134" i="7"/>
  <c r="V646" i="7"/>
  <c r="U301" i="7"/>
  <c r="U466" i="7"/>
  <c r="U536" i="7"/>
  <c r="U800" i="7" s="1"/>
  <c r="V210" i="7"/>
  <c r="U537" i="7"/>
  <c r="R95" i="7"/>
  <c r="R115" i="7"/>
  <c r="U443" i="7"/>
  <c r="U623" i="7"/>
  <c r="U278" i="7"/>
  <c r="R101" i="7"/>
  <c r="R605" i="7"/>
  <c r="R260" i="7"/>
  <c r="R425" i="7"/>
  <c r="R113" i="7"/>
  <c r="R114" i="7"/>
  <c r="S109" i="7"/>
  <c r="R455" i="7"/>
  <c r="R130" i="7"/>
  <c r="R99" i="7"/>
  <c r="Q604" i="7"/>
  <c r="Q619" i="7"/>
  <c r="Q274" i="7"/>
  <c r="Q439" i="7"/>
  <c r="R439" i="7"/>
  <c r="R619" i="7"/>
  <c r="R274" i="7"/>
  <c r="S274" i="7"/>
  <c r="S439" i="7"/>
  <c r="S619" i="7"/>
  <c r="Q639" i="7"/>
  <c r="Q459" i="7"/>
  <c r="Q294" i="7"/>
  <c r="S639" i="7"/>
  <c r="S459" i="7"/>
  <c r="S294" i="7"/>
  <c r="Q170" i="7"/>
  <c r="R639" i="7"/>
  <c r="R459" i="7"/>
  <c r="R294" i="7"/>
  <c r="Q460" i="7"/>
  <c r="Q640" i="7"/>
  <c r="Q295" i="7"/>
  <c r="R640" i="7"/>
  <c r="R460" i="7"/>
  <c r="R295" i="7"/>
  <c r="S640" i="7"/>
  <c r="S460" i="7"/>
  <c r="S295" i="7"/>
  <c r="Q424" i="7"/>
  <c r="Q166" i="3"/>
  <c r="R166" i="3"/>
  <c r="S166" i="3"/>
  <c r="S167" i="7"/>
  <c r="Q618" i="7"/>
  <c r="Q438" i="7"/>
  <c r="Q273" i="7"/>
  <c r="R618" i="7"/>
  <c r="R438" i="7"/>
  <c r="R273" i="7"/>
  <c r="Q166" i="7"/>
  <c r="W352" i="7"/>
  <c r="W668" i="7"/>
  <c r="V352" i="7"/>
  <c r="W323" i="7"/>
  <c r="W488" i="7"/>
  <c r="V517" i="7"/>
  <c r="W517" i="7"/>
  <c r="V697" i="7"/>
  <c r="W697" i="7"/>
  <c r="U686" i="7"/>
  <c r="U506" i="7"/>
  <c r="U341" i="7"/>
  <c r="U716" i="7"/>
  <c r="U821" i="7" s="1"/>
  <c r="S599" i="7"/>
  <c r="S814" i="7" s="1"/>
  <c r="S254" i="7"/>
  <c r="S772" i="7" s="1"/>
  <c r="S419" i="7"/>
  <c r="S793" i="7" s="1"/>
  <c r="S255" i="7"/>
  <c r="R424" i="7"/>
  <c r="R600" i="7"/>
  <c r="R420" i="7"/>
  <c r="U227" i="3"/>
  <c r="U392" i="7"/>
  <c r="S267" i="7"/>
  <c r="S432" i="7"/>
  <c r="S612" i="7"/>
  <c r="S100" i="7"/>
  <c r="V581" i="7"/>
  <c r="V812" i="7" s="1"/>
  <c r="W581" i="7"/>
  <c r="W812" i="7" s="1"/>
  <c r="R612" i="7"/>
  <c r="R267" i="7"/>
  <c r="R100" i="7"/>
  <c r="R432" i="7"/>
  <c r="X401" i="7"/>
  <c r="S98" i="7"/>
  <c r="W401" i="7"/>
  <c r="U169" i="3"/>
  <c r="Q253" i="8"/>
  <c r="Q79" i="3"/>
  <c r="Q79" i="7"/>
  <c r="Q750" i="7" s="1"/>
  <c r="R79" i="3"/>
  <c r="R79" i="7"/>
  <c r="R750" i="7" s="1"/>
  <c r="S79" i="7"/>
  <c r="S750" i="7" s="1"/>
  <c r="Q236" i="8"/>
  <c r="R236" i="8"/>
  <c r="Q167" i="3"/>
  <c r="Q167" i="7"/>
  <c r="R167" i="3"/>
  <c r="R167" i="7"/>
  <c r="S167" i="3"/>
  <c r="R139" i="7"/>
  <c r="R93" i="7"/>
  <c r="R90" i="7"/>
  <c r="T75" i="7"/>
  <c r="R290" i="7"/>
  <c r="R635" i="7"/>
  <c r="R235" i="8"/>
  <c r="S126" i="3"/>
  <c r="R230" i="8" s="1"/>
  <c r="S420" i="7"/>
  <c r="S600" i="7"/>
  <c r="S140" i="3"/>
  <c r="R240" i="8" s="1"/>
  <c r="S103" i="3"/>
  <c r="R212" i="8" s="1"/>
  <c r="U175" i="3"/>
  <c r="U183" i="3"/>
  <c r="S95" i="3"/>
  <c r="R206" i="8" s="1"/>
  <c r="S90" i="3"/>
  <c r="R138" i="7"/>
  <c r="R613" i="7"/>
  <c r="R433" i="7"/>
  <c r="R268" i="7"/>
  <c r="R103" i="7"/>
  <c r="S101" i="7"/>
  <c r="S139" i="3"/>
  <c r="R239" i="8" s="1"/>
  <c r="S102" i="3"/>
  <c r="R211" i="8" s="1"/>
  <c r="V401" i="7"/>
  <c r="R257" i="7"/>
  <c r="R422" i="7"/>
  <c r="U221" i="7"/>
  <c r="R602" i="7"/>
  <c r="W546" i="7"/>
  <c r="W381" i="7"/>
  <c r="V518" i="7"/>
  <c r="W726" i="7"/>
  <c r="U489" i="7"/>
  <c r="V324" i="7"/>
  <c r="V489" i="7"/>
  <c r="U324" i="7"/>
  <c r="U217" i="3"/>
  <c r="R270" i="7"/>
  <c r="R435" i="7"/>
  <c r="R615" i="7"/>
  <c r="T363" i="7"/>
  <c r="T708" i="7"/>
  <c r="R604" i="7"/>
  <c r="R259" i="7"/>
  <c r="U220" i="7"/>
  <c r="V656" i="7"/>
  <c r="T372" i="7"/>
  <c r="U205" i="7"/>
  <c r="T717" i="7"/>
  <c r="U382" i="3"/>
  <c r="U288" i="7"/>
  <c r="W633" i="7"/>
  <c r="U453" i="7"/>
  <c r="T528" i="7"/>
  <c r="T198" i="7"/>
  <c r="V311" i="7"/>
  <c r="U349" i="7"/>
  <c r="U514" i="7"/>
  <c r="T332" i="7"/>
  <c r="U694" i="7"/>
  <c r="V476" i="7"/>
  <c r="T354" i="7"/>
  <c r="T187" i="7"/>
  <c r="U212" i="7"/>
  <c r="T213" i="7"/>
  <c r="V586" i="7"/>
  <c r="U241" i="7"/>
  <c r="U406" i="7"/>
  <c r="U264" i="7"/>
  <c r="U609" i="7"/>
  <c r="U386" i="7"/>
  <c r="U551" i="7"/>
  <c r="U731" i="7"/>
  <c r="U191" i="3"/>
  <c r="S95" i="7"/>
  <c r="U192" i="3"/>
  <c r="T250" i="8"/>
  <c r="W359" i="7"/>
  <c r="W704" i="7"/>
  <c r="U215" i="3"/>
  <c r="Q249" i="8"/>
  <c r="U209" i="3"/>
  <c r="T192" i="7"/>
  <c r="S306" i="7"/>
  <c r="R471" i="7"/>
  <c r="T723" i="7"/>
  <c r="T216" i="7"/>
  <c r="R306" i="7"/>
  <c r="T99" i="7"/>
  <c r="S99" i="7"/>
  <c r="R92" i="7"/>
  <c r="R94" i="7"/>
  <c r="R172" i="7"/>
  <c r="R129" i="7"/>
  <c r="T543" i="7"/>
  <c r="U217" i="7"/>
  <c r="R127" i="7"/>
  <c r="R651" i="7"/>
  <c r="T427" i="7"/>
  <c r="R437" i="7"/>
  <c r="R108" i="7"/>
  <c r="T280" i="7"/>
  <c r="T625" i="7"/>
  <c r="T116" i="7"/>
  <c r="T445" i="7"/>
  <c r="R141" i="7"/>
  <c r="W351" i="7"/>
  <c r="W516" i="7"/>
  <c r="R143" i="7"/>
  <c r="W696" i="7"/>
  <c r="W524" i="7"/>
  <c r="U429" i="7"/>
  <c r="U188" i="3"/>
  <c r="U703" i="7"/>
  <c r="U123" i="3"/>
  <c r="U213" i="3"/>
  <c r="S160" i="3"/>
  <c r="R234" i="8"/>
  <c r="U77" i="3"/>
  <c r="S141" i="3"/>
  <c r="S109" i="3"/>
  <c r="R218" i="8" s="1"/>
  <c r="U158" i="3"/>
  <c r="S124" i="3"/>
  <c r="S94" i="3"/>
  <c r="R205" i="8" s="1"/>
  <c r="U219" i="3"/>
  <c r="S605" i="7"/>
  <c r="S425" i="7"/>
  <c r="S260" i="7"/>
  <c r="V122" i="3"/>
  <c r="S142" i="3"/>
  <c r="R241" i="8" s="1"/>
  <c r="R254" i="8" s="1"/>
  <c r="S108" i="3"/>
  <c r="R217" i="8" s="1"/>
  <c r="U172" i="3"/>
  <c r="S125" i="3"/>
  <c r="R229" i="8" s="1"/>
  <c r="S93" i="3"/>
  <c r="R204" i="8" s="1"/>
  <c r="U101" i="3"/>
  <c r="T210" i="8" s="1"/>
  <c r="V525" i="7"/>
  <c r="S161" i="3"/>
  <c r="R233" i="8"/>
  <c r="U358" i="7"/>
  <c r="T603" i="7"/>
  <c r="T258" i="7"/>
  <c r="T423" i="7"/>
  <c r="U121" i="3"/>
  <c r="T226" i="8" s="1"/>
  <c r="U523" i="7"/>
  <c r="W265" i="7"/>
  <c r="W430" i="7"/>
  <c r="W610" i="7"/>
  <c r="R330" i="7"/>
  <c r="R776" i="7" s="1"/>
  <c r="V705" i="7"/>
  <c r="T699" i="7"/>
  <c r="T519" i="7"/>
  <c r="V711" i="7"/>
  <c r="V531" i="7"/>
  <c r="V366" i="7"/>
  <c r="X697" i="7"/>
  <c r="U187" i="7"/>
  <c r="U394" i="7"/>
  <c r="S330" i="7"/>
  <c r="S776" i="7" s="1"/>
  <c r="T394" i="7"/>
  <c r="Q330" i="7"/>
  <c r="Q776" i="7" s="1"/>
  <c r="V727" i="7"/>
  <c r="V547" i="7"/>
  <c r="V382" i="7"/>
  <c r="V360" i="7"/>
  <c r="R617" i="7"/>
  <c r="R107" i="7"/>
  <c r="T340" i="7"/>
  <c r="X349" i="7"/>
  <c r="V349" i="7"/>
  <c r="U475" i="7"/>
  <c r="V514" i="7"/>
  <c r="U655" i="7"/>
  <c r="V694" i="7"/>
  <c r="S110" i="7"/>
  <c r="X352" i="7"/>
  <c r="V494" i="7"/>
  <c r="V674" i="7"/>
  <c r="V329" i="7"/>
  <c r="V345" i="7"/>
  <c r="X610" i="7"/>
  <c r="X430" i="7"/>
  <c r="X265" i="7"/>
  <c r="T449" i="7"/>
  <c r="T284" i="7"/>
  <c r="T629" i="7"/>
  <c r="W728" i="7"/>
  <c r="W383" i="7"/>
  <c r="W548" i="7"/>
  <c r="W324" i="7"/>
  <c r="R269" i="7"/>
  <c r="U710" i="7"/>
  <c r="U530" i="7"/>
  <c r="U365" i="7"/>
  <c r="U448" i="7"/>
  <c r="U628" i="7"/>
  <c r="U283" i="7"/>
  <c r="W489" i="7"/>
  <c r="T607" i="7"/>
  <c r="V199" i="7"/>
  <c r="X597" i="7"/>
  <c r="X417" i="7"/>
  <c r="X252" i="7"/>
  <c r="T616" i="7"/>
  <c r="T436" i="7"/>
  <c r="T271" i="7"/>
  <c r="V710" i="7"/>
  <c r="V530" i="7"/>
  <c r="V365" i="7"/>
  <c r="X668" i="7"/>
  <c r="X488" i="7"/>
  <c r="X323" i="7"/>
  <c r="U379" i="7"/>
  <c r="U544" i="7"/>
  <c r="U724" i="7"/>
  <c r="T262" i="7"/>
  <c r="T690" i="7"/>
  <c r="T345" i="7"/>
  <c r="T510" i="7"/>
  <c r="U690" i="7"/>
  <c r="U510" i="7"/>
  <c r="U345" i="7"/>
  <c r="R272" i="7"/>
  <c r="W522" i="7"/>
  <c r="W702" i="7"/>
  <c r="S144" i="7"/>
  <c r="R490" i="7"/>
  <c r="R638" i="7"/>
  <c r="R458" i="7"/>
  <c r="R293" i="7"/>
  <c r="R128" i="7"/>
  <c r="R614" i="7"/>
  <c r="R104" i="7"/>
  <c r="T97" i="7"/>
  <c r="T123" i="7"/>
  <c r="R670" i="7"/>
  <c r="R454" i="7"/>
  <c r="T397" i="7"/>
  <c r="S102" i="7"/>
  <c r="R434" i="7"/>
  <c r="R634" i="7"/>
  <c r="R289" i="7"/>
  <c r="U335" i="7"/>
  <c r="V253" i="7"/>
  <c r="U203" i="7"/>
  <c r="U202" i="7"/>
  <c r="U72" i="7"/>
  <c r="U197" i="7"/>
  <c r="T189" i="7"/>
  <c r="U117" i="7"/>
  <c r="S143" i="7"/>
  <c r="R125" i="7"/>
  <c r="R124" i="7"/>
  <c r="R170" i="7"/>
  <c r="R169" i="7"/>
  <c r="U204" i="7"/>
  <c r="U691" i="7"/>
  <c r="U511" i="7"/>
  <c r="U346" i="7"/>
  <c r="S119" i="7"/>
  <c r="V87" i="7"/>
  <c r="T76" i="7"/>
  <c r="X521" i="7"/>
  <c r="T88" i="7"/>
  <c r="T333" i="7"/>
  <c r="R166" i="7"/>
  <c r="U196" i="7"/>
  <c r="V598" i="7"/>
  <c r="U98" i="7"/>
  <c r="V395" i="7"/>
  <c r="R105" i="7"/>
  <c r="R118" i="7"/>
  <c r="U194" i="7"/>
  <c r="U630" i="7"/>
  <c r="U450" i="7"/>
  <c r="U285" i="7"/>
  <c r="W395" i="7"/>
  <c r="U195" i="7"/>
  <c r="S106" i="7"/>
  <c r="V202" i="7"/>
  <c r="U186" i="7"/>
  <c r="V218" i="7"/>
  <c r="U218" i="7"/>
  <c r="R304" i="7"/>
  <c r="R469" i="7"/>
  <c r="R649" i="7"/>
  <c r="U86" i="7"/>
  <c r="T120" i="7"/>
  <c r="S122" i="7"/>
  <c r="V418" i="7"/>
  <c r="T400" i="7"/>
  <c r="S671" i="7"/>
  <c r="S491" i="7"/>
  <c r="S326" i="7"/>
  <c r="T587" i="7"/>
  <c r="T407" i="7"/>
  <c r="T242" i="7"/>
  <c r="T77" i="7"/>
  <c r="R650" i="7"/>
  <c r="R470" i="7"/>
  <c r="R305" i="7"/>
  <c r="R140" i="7"/>
  <c r="S138" i="7"/>
  <c r="R307" i="7"/>
  <c r="R142" i="7"/>
  <c r="R472" i="7"/>
  <c r="R652" i="7"/>
  <c r="T398" i="7"/>
  <c r="W349" i="7"/>
  <c r="W514" i="7"/>
  <c r="W656" i="7"/>
  <c r="W476" i="7"/>
  <c r="W311" i="7"/>
  <c r="X624" i="7"/>
  <c r="X444" i="7"/>
  <c r="X279" i="7"/>
  <c r="W317" i="3"/>
  <c r="U182" i="8"/>
  <c r="V308" i="3"/>
  <c r="V345" i="3"/>
  <c r="U178" i="8"/>
  <c r="V303" i="3"/>
  <c r="V138" i="3"/>
  <c r="U238" i="8" s="1"/>
  <c r="V242" i="3"/>
  <c r="U337" i="7"/>
  <c r="V378" i="3"/>
  <c r="V379" i="3"/>
  <c r="V725" i="7"/>
  <c r="V545" i="7"/>
  <c r="V380" i="7"/>
  <c r="V215" i="7"/>
  <c r="V731" i="7"/>
  <c r="V551" i="7"/>
  <c r="V386" i="7"/>
  <c r="V221" i="7"/>
  <c r="T89" i="3"/>
  <c r="T404" i="3" s="1"/>
  <c r="R142" i="8"/>
  <c r="S256" i="3"/>
  <c r="S91" i="3"/>
  <c r="V376" i="3"/>
  <c r="W653" i="7"/>
  <c r="W473" i="7"/>
  <c r="W308" i="7"/>
  <c r="V361" i="3"/>
  <c r="W667" i="7"/>
  <c r="W487" i="7"/>
  <c r="W322" i="7"/>
  <c r="V632" i="7"/>
  <c r="V452" i="7"/>
  <c r="V287" i="7"/>
  <c r="V349" i="3"/>
  <c r="R155" i="8"/>
  <c r="S106" i="3"/>
  <c r="R215" i="8" s="1"/>
  <c r="S271" i="3"/>
  <c r="U158" i="8"/>
  <c r="V326" i="3"/>
  <c r="U170" i="8"/>
  <c r="V291" i="3"/>
  <c r="V179" i="3"/>
  <c r="V344" i="3"/>
  <c r="S637" i="7"/>
  <c r="S457" i="7"/>
  <c r="S292" i="7"/>
  <c r="S127" i="7"/>
  <c r="W672" i="7"/>
  <c r="W492" i="7"/>
  <c r="W327" i="7"/>
  <c r="V380" i="3"/>
  <c r="V241" i="3"/>
  <c r="V76" i="3"/>
  <c r="R153" i="8"/>
  <c r="S269" i="3"/>
  <c r="S104" i="3"/>
  <c r="R213" i="8" s="1"/>
  <c r="T144" i="8"/>
  <c r="U258" i="3"/>
  <c r="V324" i="3"/>
  <c r="V159" i="3"/>
  <c r="V173" i="3"/>
  <c r="V377" i="3"/>
  <c r="V212" i="3"/>
  <c r="V357" i="3"/>
  <c r="U166" i="8"/>
  <c r="V286" i="3"/>
  <c r="V283" i="3"/>
  <c r="W729" i="7"/>
  <c r="W384" i="7"/>
  <c r="W549" i="7"/>
  <c r="W219" i="7"/>
  <c r="U237" i="3"/>
  <c r="U72" i="3"/>
  <c r="U174" i="8"/>
  <c r="V295" i="3"/>
  <c r="U176" i="8"/>
  <c r="X730" i="7"/>
  <c r="X550" i="7"/>
  <c r="X385" i="7"/>
  <c r="T147" i="8"/>
  <c r="U263" i="3"/>
  <c r="U98" i="3"/>
  <c r="T207" i="8" s="1"/>
  <c r="V709" i="7"/>
  <c r="V529" i="7"/>
  <c r="V364" i="7"/>
  <c r="V183" i="3"/>
  <c r="U350" i="3"/>
  <c r="U185" i="3"/>
  <c r="U312" i="3"/>
  <c r="U428" i="3" s="1"/>
  <c r="V351" i="3"/>
  <c r="V341" i="3"/>
  <c r="V176" i="3"/>
  <c r="U162" i="8"/>
  <c r="V281" i="3"/>
  <c r="V116" i="3"/>
  <c r="U222" i="8" s="1"/>
  <c r="W585" i="7"/>
  <c r="W405" i="7"/>
  <c r="W240" i="7"/>
  <c r="U255" i="3"/>
  <c r="V310" i="3"/>
  <c r="V355" i="3"/>
  <c r="V190" i="3"/>
  <c r="U161" i="8"/>
  <c r="V280" i="3"/>
  <c r="U152" i="8"/>
  <c r="V268" i="3"/>
  <c r="U322" i="3"/>
  <c r="U157" i="3"/>
  <c r="V321" i="3"/>
  <c r="R143" i="8"/>
  <c r="S92" i="3"/>
  <c r="R203" i="8" s="1"/>
  <c r="S257" i="3"/>
  <c r="V144" i="3"/>
  <c r="U243" i="8" s="1"/>
  <c r="U306" i="3"/>
  <c r="W627" i="7"/>
  <c r="W447" i="7"/>
  <c r="W282" i="7"/>
  <c r="U173" i="8"/>
  <c r="V294" i="3"/>
  <c r="V329" i="3"/>
  <c r="V204" i="3"/>
  <c r="V385" i="3"/>
  <c r="V220" i="3"/>
  <c r="W701" i="7"/>
  <c r="W521" i="7"/>
  <c r="W356" i="7"/>
  <c r="V384" i="3"/>
  <c r="V219" i="3"/>
  <c r="R171" i="8"/>
  <c r="S292" i="3"/>
  <c r="S127" i="3"/>
  <c r="R231" i="8" s="1"/>
  <c r="V115" i="3"/>
  <c r="U221" i="8" s="1"/>
  <c r="U244" i="3"/>
  <c r="R154" i="8"/>
  <c r="S270" i="3"/>
  <c r="S105" i="3"/>
  <c r="R214" i="8" s="1"/>
  <c r="W730" i="7"/>
  <c r="W550" i="7"/>
  <c r="W385" i="7"/>
  <c r="X654" i="7"/>
  <c r="X474" i="7"/>
  <c r="X309" i="7"/>
  <c r="V359" i="3"/>
  <c r="X721" i="7"/>
  <c r="X541" i="7"/>
  <c r="X376" i="7"/>
  <c r="T159" i="8"/>
  <c r="W598" i="7"/>
  <c r="W418" i="7"/>
  <c r="W253" i="7"/>
  <c r="U708" i="7"/>
  <c r="U528" i="7"/>
  <c r="U363" i="7"/>
  <c r="U198" i="7"/>
  <c r="U97" i="3"/>
  <c r="U262" i="3"/>
  <c r="V316" i="3"/>
  <c r="X672" i="7"/>
  <c r="X492" i="7"/>
  <c r="X327" i="7"/>
  <c r="V174" i="3"/>
  <c r="U171" i="3"/>
  <c r="V172" i="3"/>
  <c r="U160" i="8"/>
  <c r="V631" i="7"/>
  <c r="V451" i="7"/>
  <c r="V286" i="7"/>
  <c r="U233" i="3"/>
  <c r="U167" i="8"/>
  <c r="V288" i="3"/>
  <c r="V386" i="3"/>
  <c r="V221" i="3"/>
  <c r="U168" i="8"/>
  <c r="V289" i="3"/>
  <c r="V196" i="3"/>
  <c r="U360" i="3"/>
  <c r="U195" i="3"/>
  <c r="V253" i="3"/>
  <c r="T396" i="7"/>
  <c r="X704" i="7"/>
  <c r="X524" i="7"/>
  <c r="X359" i="7"/>
  <c r="W287" i="3"/>
  <c r="X696" i="7"/>
  <c r="X516" i="7"/>
  <c r="X351" i="7"/>
  <c r="T110" i="3"/>
  <c r="S219" i="8" s="1"/>
  <c r="R156" i="8"/>
  <c r="S272" i="3"/>
  <c r="S107" i="3"/>
  <c r="R216" i="8" s="1"/>
  <c r="X667" i="7"/>
  <c r="X487" i="7"/>
  <c r="X322" i="7"/>
  <c r="V626" i="7"/>
  <c r="V446" i="7"/>
  <c r="V281" i="7"/>
  <c r="T146" i="8"/>
  <c r="U260" i="3"/>
  <c r="V353" i="3"/>
  <c r="V347" i="3"/>
  <c r="V182" i="3"/>
  <c r="W705" i="7"/>
  <c r="W525" i="7"/>
  <c r="W360" i="7"/>
  <c r="V239" i="3"/>
  <c r="V74" i="3"/>
  <c r="U230" i="3"/>
  <c r="W706" i="7"/>
  <c r="W526" i="7"/>
  <c r="W361" i="7"/>
  <c r="U163" i="8"/>
  <c r="V282" i="3"/>
  <c r="V117" i="3"/>
  <c r="U223" i="8" s="1"/>
  <c r="W641" i="7"/>
  <c r="W461" i="7"/>
  <c r="W296" i="7"/>
  <c r="V356" i="3"/>
  <c r="V232" i="3"/>
  <c r="U169" i="8"/>
  <c r="V290" i="3"/>
  <c r="V203" i="3"/>
  <c r="V251" i="3"/>
  <c r="V75" i="3"/>
  <c r="U183" i="8"/>
  <c r="V309" i="3"/>
  <c r="X409" i="7"/>
  <c r="W325" i="3"/>
  <c r="U715" i="7"/>
  <c r="U370" i="7"/>
  <c r="W218" i="7"/>
  <c r="U150" i="8"/>
  <c r="V266" i="3"/>
  <c r="V101" i="3"/>
  <c r="U210" i="8" s="1"/>
  <c r="U332" i="7"/>
  <c r="U208" i="3"/>
  <c r="U412" i="3" s="1"/>
  <c r="V383" i="3"/>
  <c r="V218" i="3"/>
  <c r="U328" i="3"/>
  <c r="U163" i="3"/>
  <c r="U320" i="3"/>
  <c r="V364" i="3"/>
  <c r="V199" i="3"/>
  <c r="U175" i="8"/>
  <c r="U381" i="3"/>
  <c r="U216" i="3"/>
  <c r="V229" i="3"/>
  <c r="V121" i="7"/>
  <c r="V609" i="7"/>
  <c r="V429" i="7"/>
  <c r="V264" i="7"/>
  <c r="V636" i="7"/>
  <c r="V456" i="7"/>
  <c r="V291" i="7"/>
  <c r="V83" i="3"/>
  <c r="W695" i="7"/>
  <c r="W515" i="7"/>
  <c r="W350" i="7"/>
  <c r="V365" i="3"/>
  <c r="V200" i="3"/>
  <c r="U231" i="3"/>
  <c r="V327" i="3"/>
  <c r="V162" i="3"/>
  <c r="U692" i="7"/>
  <c r="U512" i="7"/>
  <c r="U347" i="7"/>
  <c r="U236" i="3"/>
  <c r="U177" i="8"/>
  <c r="U237" i="8"/>
  <c r="V311" i="3"/>
  <c r="V146" i="3"/>
  <c r="V213" i="3"/>
  <c r="U210" i="3"/>
  <c r="R172" i="8"/>
  <c r="S293" i="3"/>
  <c r="S128" i="3"/>
  <c r="R232" i="8" s="1"/>
  <c r="W624" i="7"/>
  <c r="W444" i="7"/>
  <c r="W279" i="7"/>
  <c r="V343" i="3"/>
  <c r="X669" i="7"/>
  <c r="X489" i="7"/>
  <c r="X324" i="7"/>
  <c r="W323" i="3"/>
  <c r="X712" i="7"/>
  <c r="X532" i="7"/>
  <c r="X367" i="7"/>
  <c r="V354" i="3"/>
  <c r="V189" i="3"/>
  <c r="U180" i="8"/>
  <c r="V305" i="3"/>
  <c r="U148" i="8"/>
  <c r="V264" i="3"/>
  <c r="V99" i="3"/>
  <c r="U208" i="8" s="1"/>
  <c r="V114" i="3"/>
  <c r="V319" i="3"/>
  <c r="V362" i="3"/>
  <c r="V169" i="3"/>
  <c r="T179" i="8"/>
  <c r="U304" i="3"/>
  <c r="X695" i="7"/>
  <c r="X515" i="7"/>
  <c r="X350" i="7"/>
  <c r="T149" i="8"/>
  <c r="U100" i="3"/>
  <c r="T209" i="8" s="1"/>
  <c r="U265" i="3"/>
  <c r="V121" i="3"/>
  <c r="U226" i="8" s="1"/>
  <c r="T165" i="8"/>
  <c r="U285" i="3"/>
  <c r="U120" i="3"/>
  <c r="T225" i="8" s="1"/>
  <c r="V207" i="3"/>
  <c r="W240" i="3"/>
  <c r="V302" i="3"/>
  <c r="V318" i="3"/>
  <c r="X726" i="7"/>
  <c r="X381" i="7"/>
  <c r="X546" i="7"/>
  <c r="V243" i="3"/>
  <c r="V78" i="3"/>
  <c r="V348" i="3"/>
  <c r="X596" i="7"/>
  <c r="X251" i="7"/>
  <c r="U181" i="8"/>
  <c r="V307" i="3"/>
  <c r="U164" i="8"/>
  <c r="V284" i="3"/>
  <c r="V119" i="3"/>
  <c r="U224" i="8" s="1"/>
  <c r="V254" i="3"/>
  <c r="V346" i="3"/>
  <c r="V181" i="3"/>
  <c r="W366" i="3"/>
  <c r="V363" i="3"/>
  <c r="V198" i="3"/>
  <c r="V194" i="3"/>
  <c r="U358" i="3"/>
  <c r="U193" i="3"/>
  <c r="R601" i="7"/>
  <c r="R421" i="7"/>
  <c r="R91" i="7"/>
  <c r="R256" i="7"/>
  <c r="V235" i="3"/>
  <c r="V143" i="3"/>
  <c r="U242" i="8" s="1"/>
  <c r="T157" i="8"/>
  <c r="U273" i="3"/>
  <c r="V188" i="3"/>
  <c r="U352" i="3"/>
  <c r="U187" i="3"/>
  <c r="U145" i="8"/>
  <c r="V259" i="3"/>
  <c r="T151" i="8"/>
  <c r="U267" i="3"/>
  <c r="V367" i="3"/>
  <c r="V202" i="3"/>
  <c r="V206" i="3"/>
  <c r="V411" i="3" s="1"/>
  <c r="U342" i="3"/>
  <c r="V88" i="3"/>
  <c r="U252" i="3"/>
  <c r="U425" i="3" s="1"/>
  <c r="U87" i="3"/>
  <c r="W313" i="3"/>
  <c r="X719" i="7"/>
  <c r="X539" i="7"/>
  <c r="X374" i="7"/>
  <c r="M191" i="8"/>
  <c r="M193" i="8"/>
  <c r="M194" i="8"/>
  <c r="M190" i="8"/>
  <c r="X197" i="5" l="1"/>
  <c r="V707" i="7"/>
  <c r="V527" i="7"/>
  <c r="V362" i="7"/>
  <c r="U362" i="7"/>
  <c r="U707" i="7"/>
  <c r="U527" i="7"/>
  <c r="R794" i="7"/>
  <c r="S405" i="3"/>
  <c r="S426" i="3"/>
  <c r="R815" i="7"/>
  <c r="X138" i="5"/>
  <c r="V648" i="7"/>
  <c r="V468" i="7"/>
  <c r="V303" i="7"/>
  <c r="Q815" i="7"/>
  <c r="Q794" i="7"/>
  <c r="Q773" i="7"/>
  <c r="R773" i="7"/>
  <c r="R752" i="7"/>
  <c r="V427" i="7"/>
  <c r="X296" i="7"/>
  <c r="W96" i="7"/>
  <c r="U136" i="7"/>
  <c r="U299" i="7"/>
  <c r="U133" i="7"/>
  <c r="U373" i="7"/>
  <c r="U780" i="7" s="1"/>
  <c r="U718" i="7"/>
  <c r="U822" i="7" s="1"/>
  <c r="U538" i="7"/>
  <c r="U801" i="7" s="1"/>
  <c r="U644" i="7"/>
  <c r="U134" i="7"/>
  <c r="V275" i="7"/>
  <c r="V620" i="7"/>
  <c r="U464" i="7"/>
  <c r="U135" i="7"/>
  <c r="V112" i="7"/>
  <c r="U302" i="7"/>
  <c r="U467" i="7"/>
  <c r="U424" i="3"/>
  <c r="R202" i="8"/>
  <c r="R248" i="8" s="1"/>
  <c r="U431" i="3"/>
  <c r="S427" i="3"/>
  <c r="S406" i="3"/>
  <c r="Q816" i="7"/>
  <c r="R753" i="7"/>
  <c r="Q774" i="7"/>
  <c r="Q795" i="7"/>
  <c r="R795" i="7"/>
  <c r="R774" i="7"/>
  <c r="R816" i="7"/>
  <c r="V535" i="7"/>
  <c r="Q252" i="8"/>
  <c r="Q255" i="8" s="1"/>
  <c r="U681" i="7"/>
  <c r="U501" i="7"/>
  <c r="U336" i="7"/>
  <c r="W500" i="7"/>
  <c r="W680" i="7"/>
  <c r="V136" i="7"/>
  <c r="U137" i="7"/>
  <c r="V676" i="7"/>
  <c r="V496" i="7"/>
  <c r="V331" i="7"/>
  <c r="V682" i="7"/>
  <c r="V502" i="7"/>
  <c r="V680" i="7"/>
  <c r="V500" i="7"/>
  <c r="V677" i="7"/>
  <c r="V497" i="7"/>
  <c r="X684" i="7"/>
  <c r="X504" i="7"/>
  <c r="X339" i="7"/>
  <c r="X505" i="7"/>
  <c r="X685" i="7"/>
  <c r="V499" i="7"/>
  <c r="V679" i="7"/>
  <c r="V334" i="7"/>
  <c r="W338" i="7"/>
  <c r="V503" i="7"/>
  <c r="V683" i="7"/>
  <c r="X678" i="7"/>
  <c r="X498" i="7"/>
  <c r="R228" i="8"/>
  <c r="T227" i="8"/>
  <c r="V301" i="7"/>
  <c r="V466" i="7"/>
  <c r="W646" i="7"/>
  <c r="V536" i="7"/>
  <c r="V800" i="7" s="1"/>
  <c r="W371" i="7"/>
  <c r="W779" i="7" s="1"/>
  <c r="X535" i="7"/>
  <c r="W535" i="7"/>
  <c r="V537" i="7"/>
  <c r="V538" i="7"/>
  <c r="V801" i="7" s="1"/>
  <c r="V373" i="7"/>
  <c r="V780" i="7" s="1"/>
  <c r="V718" i="7"/>
  <c r="V822" i="7" s="1"/>
  <c r="U99" i="7"/>
  <c r="S115" i="7"/>
  <c r="V623" i="7"/>
  <c r="V443" i="7"/>
  <c r="V278" i="7"/>
  <c r="S618" i="7"/>
  <c r="S114" i="7"/>
  <c r="S273" i="7"/>
  <c r="T109" i="7"/>
  <c r="S113" i="7"/>
  <c r="S438" i="7"/>
  <c r="S455" i="7"/>
  <c r="S130" i="7"/>
  <c r="S635" i="7"/>
  <c r="V341" i="7"/>
  <c r="V686" i="7"/>
  <c r="V506" i="7"/>
  <c r="T254" i="7"/>
  <c r="T772" i="7" s="1"/>
  <c r="T599" i="7"/>
  <c r="T814" i="7" s="1"/>
  <c r="T419" i="7"/>
  <c r="T793" i="7" s="1"/>
  <c r="W669" i="7"/>
  <c r="S604" i="7"/>
  <c r="V392" i="7"/>
  <c r="V227" i="3"/>
  <c r="S126" i="7"/>
  <c r="T98" i="7"/>
  <c r="S424" i="7"/>
  <c r="S259" i="7"/>
  <c r="T612" i="7"/>
  <c r="T267" i="7"/>
  <c r="T432" i="7"/>
  <c r="T100" i="7"/>
  <c r="V118" i="3"/>
  <c r="P236" i="8"/>
  <c r="Q244" i="8"/>
  <c r="R253" i="8"/>
  <c r="S602" i="7"/>
  <c r="S90" i="7"/>
  <c r="S290" i="7"/>
  <c r="S123" i="7"/>
  <c r="S94" i="7"/>
  <c r="S89" i="7"/>
  <c r="S751" i="7" s="1"/>
  <c r="T139" i="3"/>
  <c r="S239" i="8" s="1"/>
  <c r="T102" i="3"/>
  <c r="S211" i="8" s="1"/>
  <c r="V175" i="3"/>
  <c r="T95" i="3"/>
  <c r="S206" i="8" s="1"/>
  <c r="T90" i="3"/>
  <c r="V716" i="7"/>
  <c r="V821" i="7" s="1"/>
  <c r="T422" i="7"/>
  <c r="S257" i="7"/>
  <c r="T140" i="3"/>
  <c r="S240" i="8" s="1"/>
  <c r="T103" i="3"/>
  <c r="S212" i="8" s="1"/>
  <c r="V371" i="7"/>
  <c r="V779" i="7" s="1"/>
  <c r="S235" i="8"/>
  <c r="T126" i="3"/>
  <c r="S230" i="8" s="1"/>
  <c r="V81" i="3"/>
  <c r="S92" i="7"/>
  <c r="V145" i="3"/>
  <c r="S613" i="7"/>
  <c r="T101" i="7"/>
  <c r="S433" i="7"/>
  <c r="S268" i="7"/>
  <c r="S103" i="7"/>
  <c r="T600" i="7"/>
  <c r="T255" i="7"/>
  <c r="T420" i="7"/>
  <c r="U88" i="7"/>
  <c r="S422" i="7"/>
  <c r="W698" i="7"/>
  <c r="W518" i="7"/>
  <c r="W353" i="7"/>
  <c r="W586" i="7"/>
  <c r="V453" i="7"/>
  <c r="W288" i="7"/>
  <c r="S141" i="7"/>
  <c r="V406" i="7"/>
  <c r="X288" i="7"/>
  <c r="W221" i="7"/>
  <c r="W386" i="7"/>
  <c r="S435" i="7"/>
  <c r="S615" i="7"/>
  <c r="S270" i="7"/>
  <c r="V217" i="3"/>
  <c r="V213" i="7"/>
  <c r="U211" i="7"/>
  <c r="W551" i="7"/>
  <c r="U717" i="7"/>
  <c r="U372" i="7"/>
  <c r="W731" i="7"/>
  <c r="V382" i="3"/>
  <c r="U543" i="7"/>
  <c r="U213" i="7"/>
  <c r="W453" i="7"/>
  <c r="V633" i="7"/>
  <c r="V288" i="7"/>
  <c r="T651" i="7"/>
  <c r="S471" i="7"/>
  <c r="T605" i="7"/>
  <c r="V211" i="3"/>
  <c r="V241" i="7"/>
  <c r="V191" i="3"/>
  <c r="U723" i="7"/>
  <c r="U378" i="7"/>
  <c r="V205" i="3"/>
  <c r="S437" i="7"/>
  <c r="V209" i="3"/>
  <c r="S651" i="7"/>
  <c r="U260" i="7"/>
  <c r="S272" i="7"/>
  <c r="T425" i="7"/>
  <c r="T251" i="8"/>
  <c r="V186" i="3"/>
  <c r="V214" i="3"/>
  <c r="V184" i="3"/>
  <c r="V192" i="3"/>
  <c r="T260" i="7"/>
  <c r="U250" i="8"/>
  <c r="V215" i="3"/>
  <c r="R249" i="8"/>
  <c r="T95" i="7"/>
  <c r="V519" i="7"/>
  <c r="U192" i="7"/>
  <c r="X345" i="7"/>
  <c r="U699" i="7"/>
  <c r="V216" i="7"/>
  <c r="U519" i="7"/>
  <c r="V217" i="7"/>
  <c r="U100" i="7"/>
  <c r="T144" i="7"/>
  <c r="V116" i="7"/>
  <c r="S108" i="7"/>
  <c r="V510" i="7"/>
  <c r="U354" i="7"/>
  <c r="V74" i="7"/>
  <c r="U625" i="7"/>
  <c r="U445" i="7"/>
  <c r="U116" i="7"/>
  <c r="U280" i="7"/>
  <c r="T93" i="7"/>
  <c r="V78" i="7"/>
  <c r="U78" i="7"/>
  <c r="W655" i="7"/>
  <c r="S129" i="7"/>
  <c r="W201" i="3"/>
  <c r="V158" i="3"/>
  <c r="V180" i="3"/>
  <c r="T124" i="3"/>
  <c r="T94" i="3"/>
  <c r="S205" i="8" s="1"/>
  <c r="S638" i="7"/>
  <c r="T141" i="3"/>
  <c r="T109" i="3"/>
  <c r="S218" i="8" s="1"/>
  <c r="S293" i="7"/>
  <c r="V123" i="3"/>
  <c r="V113" i="3"/>
  <c r="U220" i="8" s="1"/>
  <c r="T160" i="3"/>
  <c r="S234" i="8"/>
  <c r="V77" i="3"/>
  <c r="V197" i="3"/>
  <c r="T142" i="3"/>
  <c r="S241" i="8" s="1"/>
  <c r="S254" i="8" s="1"/>
  <c r="T108" i="3"/>
  <c r="S217" i="8" s="1"/>
  <c r="W122" i="3"/>
  <c r="U258" i="7"/>
  <c r="U603" i="7"/>
  <c r="U423" i="7"/>
  <c r="V86" i="3"/>
  <c r="T161" i="3"/>
  <c r="S233" i="8"/>
  <c r="T125" i="3"/>
  <c r="S229" i="8" s="1"/>
  <c r="T93" i="3"/>
  <c r="S204" i="8" s="1"/>
  <c r="S107" i="7"/>
  <c r="V690" i="7"/>
  <c r="W711" i="7"/>
  <c r="W531" i="7"/>
  <c r="W366" i="7"/>
  <c r="W727" i="7"/>
  <c r="W382" i="7"/>
  <c r="W547" i="7"/>
  <c r="W217" i="7"/>
  <c r="S617" i="7"/>
  <c r="U340" i="7"/>
  <c r="T471" i="7"/>
  <c r="S128" i="7"/>
  <c r="S458" i="7"/>
  <c r="V358" i="7"/>
  <c r="V193" i="7"/>
  <c r="V523" i="7"/>
  <c r="V703" i="7"/>
  <c r="V310" i="7"/>
  <c r="X633" i="7"/>
  <c r="V475" i="7"/>
  <c r="V655" i="7"/>
  <c r="W674" i="7"/>
  <c r="W494" i="7"/>
  <c r="W329" i="7"/>
  <c r="V449" i="7"/>
  <c r="V284" i="7"/>
  <c r="V629" i="7"/>
  <c r="W628" i="7"/>
  <c r="W448" i="7"/>
  <c r="W283" i="7"/>
  <c r="W724" i="7"/>
  <c r="W544" i="7"/>
  <c r="W379" i="7"/>
  <c r="W214" i="7"/>
  <c r="S172" i="7"/>
  <c r="W710" i="7"/>
  <c r="W365" i="7"/>
  <c r="W530" i="7"/>
  <c r="X728" i="7"/>
  <c r="X383" i="7"/>
  <c r="X548" i="7"/>
  <c r="U284" i="7"/>
  <c r="U629" i="7"/>
  <c r="U449" i="7"/>
  <c r="V448" i="7"/>
  <c r="V283" i="7"/>
  <c r="V628" i="7"/>
  <c r="V379" i="7"/>
  <c r="V544" i="7"/>
  <c r="V724" i="7"/>
  <c r="V214" i="7"/>
  <c r="X710" i="7"/>
  <c r="X365" i="7"/>
  <c r="X530" i="7"/>
  <c r="W241" i="7"/>
  <c r="S171" i="7"/>
  <c r="S139" i="7"/>
  <c r="U271" i="7"/>
  <c r="U616" i="7"/>
  <c r="U436" i="7"/>
  <c r="U262" i="7"/>
  <c r="V262" i="7"/>
  <c r="V607" i="7"/>
  <c r="U333" i="7"/>
  <c r="X694" i="7"/>
  <c r="U97" i="7"/>
  <c r="U607" i="7"/>
  <c r="U427" i="7"/>
  <c r="S188" i="7"/>
  <c r="S670" i="7"/>
  <c r="S490" i="7"/>
  <c r="S325" i="7"/>
  <c r="V692" i="7"/>
  <c r="S104" i="7"/>
  <c r="S614" i="7"/>
  <c r="S269" i="7"/>
  <c r="S434" i="7"/>
  <c r="U75" i="7"/>
  <c r="U397" i="7"/>
  <c r="S454" i="7"/>
  <c r="S634" i="7"/>
  <c r="S289" i="7"/>
  <c r="V347" i="7"/>
  <c r="V512" i="7"/>
  <c r="V340" i="7"/>
  <c r="V332" i="7"/>
  <c r="V370" i="7"/>
  <c r="V715" i="7"/>
  <c r="W117" i="7"/>
  <c r="S125" i="7"/>
  <c r="S124" i="7"/>
  <c r="X356" i="7"/>
  <c r="V86" i="7"/>
  <c r="S170" i="7"/>
  <c r="S169" i="7"/>
  <c r="V195" i="7"/>
  <c r="X701" i="7"/>
  <c r="V335" i="7"/>
  <c r="V197" i="7"/>
  <c r="V188" i="7"/>
  <c r="V204" i="7"/>
  <c r="U188" i="7"/>
  <c r="V117" i="7"/>
  <c r="X514" i="7"/>
  <c r="V196" i="7"/>
  <c r="V186" i="7"/>
  <c r="V203" i="7"/>
  <c r="V205" i="7"/>
  <c r="T119" i="7"/>
  <c r="U93" i="7"/>
  <c r="V691" i="7"/>
  <c r="V511" i="7"/>
  <c r="V346" i="7"/>
  <c r="V212" i="7"/>
  <c r="U76" i="7"/>
  <c r="S105" i="7"/>
  <c r="S118" i="7"/>
  <c r="V209" i="7"/>
  <c r="V220" i="7"/>
  <c r="W692" i="7"/>
  <c r="U400" i="7"/>
  <c r="V194" i="7"/>
  <c r="S166" i="7"/>
  <c r="V450" i="7"/>
  <c r="V285" i="7"/>
  <c r="V630" i="7"/>
  <c r="X522" i="7"/>
  <c r="X702" i="7"/>
  <c r="X357" i="7"/>
  <c r="X461" i="7"/>
  <c r="V72" i="7"/>
  <c r="X641" i="7"/>
  <c r="S469" i="7"/>
  <c r="S304" i="7"/>
  <c r="S649" i="7"/>
  <c r="T106" i="7"/>
  <c r="X395" i="7"/>
  <c r="U120" i="7"/>
  <c r="W87" i="7"/>
  <c r="W186" i="7"/>
  <c r="T671" i="7"/>
  <c r="T491" i="7"/>
  <c r="T326" i="7"/>
  <c r="U189" i="7"/>
  <c r="U587" i="7"/>
  <c r="U407" i="7"/>
  <c r="U242" i="7"/>
  <c r="U77" i="7"/>
  <c r="S650" i="7"/>
  <c r="S470" i="7"/>
  <c r="S305" i="7"/>
  <c r="S140" i="7"/>
  <c r="S307" i="7"/>
  <c r="S142" i="7"/>
  <c r="S652" i="7"/>
  <c r="S472" i="7"/>
  <c r="U398" i="7"/>
  <c r="X656" i="7"/>
  <c r="X311" i="7"/>
  <c r="X476" i="7"/>
  <c r="X78" i="7"/>
  <c r="X636" i="7"/>
  <c r="X456" i="7"/>
  <c r="X291" i="7"/>
  <c r="V180" i="8"/>
  <c r="W305" i="3"/>
  <c r="W311" i="3"/>
  <c r="W146" i="3"/>
  <c r="V352" i="3"/>
  <c r="V187" i="3"/>
  <c r="W363" i="3"/>
  <c r="V164" i="8"/>
  <c r="W284" i="3"/>
  <c r="W119" i="3"/>
  <c r="V224" i="8" s="1"/>
  <c r="W348" i="3"/>
  <c r="U149" i="8"/>
  <c r="V265" i="3"/>
  <c r="V100" i="3"/>
  <c r="U209" i="8" s="1"/>
  <c r="U179" i="8"/>
  <c r="V304" i="3"/>
  <c r="V148" i="8"/>
  <c r="W264" i="3"/>
  <c r="W354" i="3"/>
  <c r="W189" i="3"/>
  <c r="W327" i="3"/>
  <c r="W162" i="3"/>
  <c r="W217" i="3"/>
  <c r="V381" i="3"/>
  <c r="V216" i="3"/>
  <c r="W364" i="3"/>
  <c r="W199" i="3"/>
  <c r="V320" i="3"/>
  <c r="X706" i="7"/>
  <c r="X526" i="7"/>
  <c r="X361" i="7"/>
  <c r="W347" i="3"/>
  <c r="W182" i="3"/>
  <c r="V333" i="7"/>
  <c r="X598" i="7"/>
  <c r="X418" i="7"/>
  <c r="X253" i="7"/>
  <c r="V173" i="8"/>
  <c r="W294" i="3"/>
  <c r="S143" i="8"/>
  <c r="T257" i="3"/>
  <c r="T92" i="3"/>
  <c r="S203" i="8" s="1"/>
  <c r="W158" i="3"/>
  <c r="V322" i="3"/>
  <c r="V157" i="3"/>
  <c r="X585" i="7"/>
  <c r="X405" i="7"/>
  <c r="X240" i="7"/>
  <c r="X729" i="7"/>
  <c r="X549" i="7"/>
  <c r="X384" i="7"/>
  <c r="X219" i="7"/>
  <c r="S155" i="8"/>
  <c r="T271" i="3"/>
  <c r="T106" i="3"/>
  <c r="S215" i="8" s="1"/>
  <c r="W349" i="3"/>
  <c r="U89" i="3"/>
  <c r="U404" i="3" s="1"/>
  <c r="S142" i="8"/>
  <c r="T256" i="3"/>
  <c r="T91" i="3"/>
  <c r="V182" i="8"/>
  <c r="W308" i="3"/>
  <c r="W78" i="7"/>
  <c r="V176" i="8"/>
  <c r="W242" i="3"/>
  <c r="X609" i="7"/>
  <c r="X429" i="7"/>
  <c r="X264" i="7"/>
  <c r="U151" i="8"/>
  <c r="V267" i="3"/>
  <c r="W346" i="3"/>
  <c r="W181" i="3"/>
  <c r="V181" i="8"/>
  <c r="W307" i="3"/>
  <c r="W302" i="3"/>
  <c r="W319" i="3"/>
  <c r="W86" i="3"/>
  <c r="S172" i="8"/>
  <c r="T293" i="3"/>
  <c r="T128" i="3"/>
  <c r="S232" i="8" s="1"/>
  <c r="W83" i="3"/>
  <c r="V208" i="3"/>
  <c r="V412" i="3" s="1"/>
  <c r="V150" i="8"/>
  <c r="W266" i="3"/>
  <c r="X325" i="3"/>
  <c r="V183" i="8"/>
  <c r="W309" i="3"/>
  <c r="W144" i="3"/>
  <c r="V243" i="8" s="1"/>
  <c r="X287" i="3"/>
  <c r="W253" i="3"/>
  <c r="W355" i="3"/>
  <c r="W190" i="3"/>
  <c r="W341" i="3"/>
  <c r="W176" i="3"/>
  <c r="W357" i="3"/>
  <c r="W241" i="3"/>
  <c r="W76" i="3"/>
  <c r="X653" i="7"/>
  <c r="X473" i="7"/>
  <c r="X308" i="7"/>
  <c r="W725" i="7"/>
  <c r="W545" i="7"/>
  <c r="W380" i="7"/>
  <c r="W215" i="7"/>
  <c r="W196" i="7"/>
  <c r="X323" i="3"/>
  <c r="V237" i="3"/>
  <c r="V72" i="3"/>
  <c r="S601" i="7"/>
  <c r="S421" i="7"/>
  <c r="S256" i="7"/>
  <c r="S91" i="7"/>
  <c r="W318" i="3"/>
  <c r="V236" i="3"/>
  <c r="V231" i="3"/>
  <c r="X218" i="7"/>
  <c r="W715" i="7"/>
  <c r="W370" i="7"/>
  <c r="V230" i="3"/>
  <c r="V167" i="8"/>
  <c r="W288" i="3"/>
  <c r="W631" i="7"/>
  <c r="W451" i="7"/>
  <c r="W286" i="7"/>
  <c r="W121" i="7"/>
  <c r="S171" i="8"/>
  <c r="T292" i="3"/>
  <c r="T127" i="3"/>
  <c r="S231" i="8" s="1"/>
  <c r="V312" i="3"/>
  <c r="V428" i="3" s="1"/>
  <c r="W205" i="3"/>
  <c r="U144" i="8"/>
  <c r="V258" i="3"/>
  <c r="V337" i="7"/>
  <c r="W359" i="3"/>
  <c r="W180" i="3"/>
  <c r="V342" i="3"/>
  <c r="X366" i="3"/>
  <c r="W243" i="3"/>
  <c r="W78" i="3"/>
  <c r="T637" i="7"/>
  <c r="T457" i="7"/>
  <c r="T292" i="7"/>
  <c r="T127" i="7"/>
  <c r="V177" i="8"/>
  <c r="V237" i="8"/>
  <c r="W609" i="7"/>
  <c r="W429" i="7"/>
  <c r="W264" i="7"/>
  <c r="V328" i="3"/>
  <c r="V163" i="3"/>
  <c r="V163" i="8"/>
  <c r="W117" i="3"/>
  <c r="V223" i="8" s="1"/>
  <c r="W282" i="3"/>
  <c r="W353" i="3"/>
  <c r="W626" i="7"/>
  <c r="W446" i="7"/>
  <c r="W281" i="7"/>
  <c r="W116" i="7"/>
  <c r="V168" i="8"/>
  <c r="W289" i="3"/>
  <c r="V97" i="3"/>
  <c r="V262" i="3"/>
  <c r="S154" i="8"/>
  <c r="T270" i="3"/>
  <c r="T105" i="3"/>
  <c r="S214" i="8" s="1"/>
  <c r="W329" i="3"/>
  <c r="X627" i="7"/>
  <c r="X447" i="7"/>
  <c r="X282" i="7"/>
  <c r="V152" i="8"/>
  <c r="W268" i="3"/>
  <c r="V255" i="3"/>
  <c r="W709" i="7"/>
  <c r="W529" i="7"/>
  <c r="W364" i="7"/>
  <c r="W199" i="7"/>
  <c r="W101" i="3"/>
  <c r="V210" i="8" s="1"/>
  <c r="U147" i="8"/>
  <c r="V263" i="3"/>
  <c r="V98" i="3"/>
  <c r="U207" i="8" s="1"/>
  <c r="V174" i="8"/>
  <c r="W295" i="3"/>
  <c r="V170" i="8"/>
  <c r="W291" i="3"/>
  <c r="V178" i="8"/>
  <c r="W303" i="3"/>
  <c r="W138" i="3"/>
  <c r="V238" i="8" s="1"/>
  <c r="W283" i="3"/>
  <c r="W143" i="3"/>
  <c r="V242" i="8" s="1"/>
  <c r="U157" i="8"/>
  <c r="V273" i="3"/>
  <c r="W254" i="3"/>
  <c r="W118" i="3"/>
  <c r="U165" i="8"/>
  <c r="V120" i="3"/>
  <c r="U225" i="8" s="1"/>
  <c r="U251" i="8" s="1"/>
  <c r="V285" i="3"/>
  <c r="W114" i="3"/>
  <c r="V708" i="7"/>
  <c r="V528" i="7"/>
  <c r="V363" i="7"/>
  <c r="V198" i="7"/>
  <c r="W209" i="3"/>
  <c r="V210" i="3"/>
  <c r="W75" i="3"/>
  <c r="V169" i="8"/>
  <c r="W290" i="3"/>
  <c r="W206" i="3"/>
  <c r="W411" i="3" s="1"/>
  <c r="V233" i="3"/>
  <c r="W316" i="3"/>
  <c r="W145" i="3"/>
  <c r="U159" i="8"/>
  <c r="W385" i="3"/>
  <c r="W220" i="3"/>
  <c r="W310" i="3"/>
  <c r="W377" i="3"/>
  <c r="W212" i="3"/>
  <c r="W380" i="3"/>
  <c r="W215" i="3"/>
  <c r="V158" i="8"/>
  <c r="W376" i="3"/>
  <c r="W220" i="7"/>
  <c r="W345" i="3"/>
  <c r="W203" i="3"/>
  <c r="W99" i="3"/>
  <c r="V208" i="8" s="1"/>
  <c r="U146" i="8"/>
  <c r="V260" i="3"/>
  <c r="W204" i="3"/>
  <c r="W351" i="3"/>
  <c r="W186" i="3"/>
  <c r="W344" i="3"/>
  <c r="W179" i="3"/>
  <c r="W361" i="3"/>
  <c r="V252" i="3"/>
  <c r="V425" i="3" s="1"/>
  <c r="V87" i="3"/>
  <c r="V145" i="8"/>
  <c r="W259" i="3"/>
  <c r="W191" i="3"/>
  <c r="V358" i="3"/>
  <c r="V193" i="3"/>
  <c r="X240" i="3"/>
  <c r="W365" i="3"/>
  <c r="W200" i="3"/>
  <c r="X229" i="3"/>
  <c r="W229" i="3"/>
  <c r="V175" i="8"/>
  <c r="W356" i="3"/>
  <c r="W239" i="3"/>
  <c r="W74" i="3"/>
  <c r="X705" i="7"/>
  <c r="X525" i="7"/>
  <c r="X360" i="7"/>
  <c r="X195" i="7"/>
  <c r="W198" i="3"/>
  <c r="V171" i="3"/>
  <c r="W384" i="3"/>
  <c r="W219" i="3"/>
  <c r="X731" i="7"/>
  <c r="X386" i="7"/>
  <c r="X551" i="7"/>
  <c r="X221" i="7"/>
  <c r="W321" i="3"/>
  <c r="V162" i="8"/>
  <c r="W281" i="3"/>
  <c r="W116" i="3"/>
  <c r="V222" i="8" s="1"/>
  <c r="V350" i="3"/>
  <c r="V185" i="3"/>
  <c r="W632" i="7"/>
  <c r="W452" i="7"/>
  <c r="W287" i="7"/>
  <c r="W175" i="3"/>
  <c r="W379" i="3"/>
  <c r="W378" i="3"/>
  <c r="W213" i="3"/>
  <c r="X317" i="3"/>
  <c r="W251" i="3"/>
  <c r="V360" i="3"/>
  <c r="V195" i="3"/>
  <c r="X313" i="3"/>
  <c r="W367" i="3"/>
  <c r="W202" i="3"/>
  <c r="X235" i="3"/>
  <c r="W235" i="3"/>
  <c r="W362" i="3"/>
  <c r="W197" i="3"/>
  <c r="W343" i="3"/>
  <c r="W636" i="7"/>
  <c r="W456" i="7"/>
  <c r="W291" i="7"/>
  <c r="W383" i="3"/>
  <c r="W218" i="3"/>
  <c r="X232" i="3"/>
  <c r="W232" i="3"/>
  <c r="U110" i="3"/>
  <c r="T219" i="8" s="1"/>
  <c r="S156" i="8"/>
  <c r="T272" i="3"/>
  <c r="T107" i="3"/>
  <c r="S216" i="8" s="1"/>
  <c r="U396" i="7"/>
  <c r="W386" i="3"/>
  <c r="W221" i="3"/>
  <c r="V160" i="8"/>
  <c r="W77" i="3"/>
  <c r="V244" i="3"/>
  <c r="V306" i="3"/>
  <c r="V161" i="8"/>
  <c r="W280" i="3"/>
  <c r="V166" i="8"/>
  <c r="W286" i="3"/>
  <c r="W121" i="3"/>
  <c r="V226" i="8" s="1"/>
  <c r="W173" i="3"/>
  <c r="W324" i="3"/>
  <c r="W159" i="3"/>
  <c r="S153" i="8"/>
  <c r="T269" i="3"/>
  <c r="T104" i="3"/>
  <c r="S213" i="8" s="1"/>
  <c r="W326" i="3"/>
  <c r="N194" i="8"/>
  <c r="N191" i="8"/>
  <c r="N193" i="8"/>
  <c r="N190" i="8"/>
  <c r="C75" i="4"/>
  <c r="Y197" i="5" l="1"/>
  <c r="W707" i="7"/>
  <c r="W527" i="7"/>
  <c r="W362" i="7"/>
  <c r="S752" i="7"/>
  <c r="T405" i="3"/>
  <c r="T426" i="3"/>
  <c r="Y138" i="5"/>
  <c r="W648" i="7"/>
  <c r="W468" i="7"/>
  <c r="W303" i="7"/>
  <c r="S773" i="7"/>
  <c r="S794" i="7"/>
  <c r="S815" i="7"/>
  <c r="T427" i="3"/>
  <c r="X96" i="7"/>
  <c r="V299" i="7"/>
  <c r="V133" i="7"/>
  <c r="V134" i="7"/>
  <c r="V644" i="7"/>
  <c r="V137" i="7"/>
  <c r="W135" i="7"/>
  <c r="W112" i="7"/>
  <c r="W620" i="7"/>
  <c r="W440" i="7"/>
  <c r="W275" i="7"/>
  <c r="V464" i="7"/>
  <c r="V135" i="7"/>
  <c r="R244" i="8"/>
  <c r="V467" i="7"/>
  <c r="V647" i="7"/>
  <c r="V302" i="7"/>
  <c r="R252" i="8"/>
  <c r="R255" i="8" s="1"/>
  <c r="V431" i="3"/>
  <c r="V424" i="3"/>
  <c r="S202" i="8"/>
  <c r="S248" i="8" s="1"/>
  <c r="T406" i="3"/>
  <c r="S774" i="7"/>
  <c r="S753" i="7"/>
  <c r="S816" i="7"/>
  <c r="S795" i="7"/>
  <c r="V681" i="7"/>
  <c r="V501" i="7"/>
  <c r="V336" i="7"/>
  <c r="W679" i="7"/>
  <c r="W499" i="7"/>
  <c r="W334" i="7"/>
  <c r="W496" i="7"/>
  <c r="W676" i="7"/>
  <c r="W331" i="7"/>
  <c r="X332" i="7"/>
  <c r="W677" i="7"/>
  <c r="W497" i="7"/>
  <c r="W682" i="7"/>
  <c r="W502" i="7"/>
  <c r="X680" i="7"/>
  <c r="X500" i="7"/>
  <c r="W683" i="7"/>
  <c r="W503" i="7"/>
  <c r="W647" i="7"/>
  <c r="S228" i="8"/>
  <c r="W716" i="7"/>
  <c r="W821" i="7" s="1"/>
  <c r="U227" i="8"/>
  <c r="W301" i="7"/>
  <c r="W466" i="7"/>
  <c r="S253" i="8"/>
  <c r="W536" i="7"/>
  <c r="W800" i="7" s="1"/>
  <c r="X537" i="7"/>
  <c r="W537" i="7"/>
  <c r="W538" i="7"/>
  <c r="W801" i="7" s="1"/>
  <c r="W373" i="7"/>
  <c r="W780" i="7" s="1"/>
  <c r="W718" i="7"/>
  <c r="W822" i="7" s="1"/>
  <c r="X211" i="7"/>
  <c r="X117" i="7"/>
  <c r="W623" i="7"/>
  <c r="W443" i="7"/>
  <c r="W278" i="7"/>
  <c r="T114" i="7"/>
  <c r="T115" i="7"/>
  <c r="U109" i="7"/>
  <c r="T113" i="7"/>
  <c r="U455" i="7"/>
  <c r="T130" i="7"/>
  <c r="T455" i="7"/>
  <c r="T290" i="7"/>
  <c r="T635" i="7"/>
  <c r="W686" i="7"/>
  <c r="W506" i="7"/>
  <c r="W341" i="7"/>
  <c r="W406" i="7"/>
  <c r="X453" i="7"/>
  <c r="U599" i="7"/>
  <c r="U814" i="7" s="1"/>
  <c r="U419" i="7"/>
  <c r="U793" i="7" s="1"/>
  <c r="U254" i="7"/>
  <c r="U772" i="7" s="1"/>
  <c r="W392" i="7"/>
  <c r="W227" i="3"/>
  <c r="T122" i="7"/>
  <c r="U267" i="7"/>
  <c r="U612" i="7"/>
  <c r="U432" i="7"/>
  <c r="W214" i="3"/>
  <c r="T128" i="7"/>
  <c r="P244" i="8"/>
  <c r="P252" i="8"/>
  <c r="P255" i="8" s="1"/>
  <c r="U90" i="7"/>
  <c r="T90" i="7"/>
  <c r="T94" i="7"/>
  <c r="T89" i="7"/>
  <c r="T751" i="7" s="1"/>
  <c r="T171" i="7"/>
  <c r="T138" i="7"/>
  <c r="V543" i="7"/>
  <c r="T126" i="7"/>
  <c r="U102" i="7"/>
  <c r="T102" i="7"/>
  <c r="V123" i="7"/>
  <c r="U123" i="7"/>
  <c r="V75" i="7"/>
  <c r="U139" i="3"/>
  <c r="T239" i="8" s="1"/>
  <c r="U102" i="3"/>
  <c r="T211" i="8" s="1"/>
  <c r="W88" i="3"/>
  <c r="T602" i="7"/>
  <c r="U140" i="3"/>
  <c r="T240" i="8" s="1"/>
  <c r="U103" i="3"/>
  <c r="T212" i="8" s="1"/>
  <c r="U95" i="3"/>
  <c r="T206" i="8" s="1"/>
  <c r="U90" i="3"/>
  <c r="T613" i="7"/>
  <c r="T433" i="7"/>
  <c r="U101" i="7"/>
  <c r="T268" i="7"/>
  <c r="T103" i="7"/>
  <c r="W169" i="3"/>
  <c r="V88" i="7"/>
  <c r="U600" i="7"/>
  <c r="U420" i="7"/>
  <c r="U255" i="7"/>
  <c r="T92" i="7"/>
  <c r="T235" i="8"/>
  <c r="U126" i="3"/>
  <c r="T230" i="8" s="1"/>
  <c r="T306" i="7"/>
  <c r="T257" i="7"/>
  <c r="V699" i="7"/>
  <c r="X353" i="7"/>
  <c r="X518" i="7"/>
  <c r="X698" i="7"/>
  <c r="X586" i="7"/>
  <c r="V354" i="7"/>
  <c r="V378" i="7"/>
  <c r="T615" i="7"/>
  <c r="T435" i="7"/>
  <c r="T270" i="7"/>
  <c r="W717" i="7"/>
  <c r="W372" i="7"/>
  <c r="V723" i="7"/>
  <c r="V211" i="7"/>
  <c r="V717" i="7"/>
  <c r="V372" i="7"/>
  <c r="U425" i="7"/>
  <c r="U95" i="7"/>
  <c r="W382" i="3"/>
  <c r="X382" i="3"/>
  <c r="U605" i="7"/>
  <c r="V99" i="7"/>
  <c r="W211" i="3"/>
  <c r="V192" i="7"/>
  <c r="V187" i="7"/>
  <c r="W310" i="7"/>
  <c r="W690" i="7"/>
  <c r="S249" i="8"/>
  <c r="W475" i="7"/>
  <c r="W183" i="3"/>
  <c r="X510" i="7"/>
  <c r="X690" i="7"/>
  <c r="W345" i="7"/>
  <c r="W510" i="7"/>
  <c r="W194" i="3"/>
  <c r="W184" i="3"/>
  <c r="W192" i="3"/>
  <c r="W207" i="3"/>
  <c r="V445" i="7"/>
  <c r="V280" i="7"/>
  <c r="W280" i="7"/>
  <c r="V625" i="7"/>
  <c r="T143" i="7"/>
  <c r="T638" i="7"/>
  <c r="T617" i="7"/>
  <c r="T110" i="7"/>
  <c r="T458" i="7"/>
  <c r="W192" i="7"/>
  <c r="W723" i="7"/>
  <c r="W216" i="7"/>
  <c r="W543" i="7"/>
  <c r="U651" i="7"/>
  <c r="U144" i="7"/>
  <c r="T437" i="7"/>
  <c r="T108" i="7"/>
  <c r="T129" i="7"/>
  <c r="T293" i="7"/>
  <c r="U110" i="7"/>
  <c r="W74" i="7"/>
  <c r="T141" i="7"/>
  <c r="W113" i="3"/>
  <c r="V220" i="8" s="1"/>
  <c r="U160" i="3"/>
  <c r="T234" i="8"/>
  <c r="U141" i="3"/>
  <c r="U109" i="3"/>
  <c r="T218" i="8" s="1"/>
  <c r="W188" i="3"/>
  <c r="W115" i="3"/>
  <c r="V221" i="8" s="1"/>
  <c r="V250" i="8" s="1"/>
  <c r="W196" i="3"/>
  <c r="U124" i="3"/>
  <c r="U94" i="3"/>
  <c r="T205" i="8" s="1"/>
  <c r="W174" i="3"/>
  <c r="W123" i="3"/>
  <c r="U125" i="3"/>
  <c r="T229" i="8" s="1"/>
  <c r="U93" i="3"/>
  <c r="T204" i="8" s="1"/>
  <c r="T272" i="7"/>
  <c r="W172" i="3"/>
  <c r="X201" i="3"/>
  <c r="U142" i="3"/>
  <c r="T241" i="8" s="1"/>
  <c r="T254" i="8" s="1"/>
  <c r="U108" i="3"/>
  <c r="T217" i="8" s="1"/>
  <c r="U161" i="3"/>
  <c r="T233" i="8"/>
  <c r="W81" i="3"/>
  <c r="X122" i="3"/>
  <c r="T107" i="7"/>
  <c r="V258" i="7"/>
  <c r="V603" i="7"/>
  <c r="V423" i="7"/>
  <c r="W378" i="7"/>
  <c r="W213" i="7"/>
  <c r="X531" i="7"/>
  <c r="X711" i="7"/>
  <c r="X366" i="7"/>
  <c r="V394" i="7"/>
  <c r="X727" i="7"/>
  <c r="X547" i="7"/>
  <c r="X382" i="7"/>
  <c r="X217" i="7"/>
  <c r="U306" i="7"/>
  <c r="U471" i="7"/>
  <c r="T634" i="7"/>
  <c r="T289" i="7"/>
  <c r="T454" i="7"/>
  <c r="W703" i="7"/>
  <c r="W523" i="7"/>
  <c r="W358" i="7"/>
  <c r="W193" i="7"/>
  <c r="X616" i="7"/>
  <c r="X674" i="7"/>
  <c r="X494" i="7"/>
  <c r="X329" i="7"/>
  <c r="U89" i="7"/>
  <c r="U751" i="7" s="1"/>
  <c r="T172" i="7"/>
  <c r="W616" i="7"/>
  <c r="W436" i="7"/>
  <c r="W271" i="7"/>
  <c r="X284" i="7"/>
  <c r="X449" i="7"/>
  <c r="X629" i="7"/>
  <c r="W629" i="7"/>
  <c r="W449" i="7"/>
  <c r="W284" i="7"/>
  <c r="W144" i="7"/>
  <c r="X628" i="7"/>
  <c r="X448" i="7"/>
  <c r="X283" i="7"/>
  <c r="V436" i="7"/>
  <c r="V271" i="7"/>
  <c r="V616" i="7"/>
  <c r="X724" i="7"/>
  <c r="X379" i="7"/>
  <c r="X544" i="7"/>
  <c r="W607" i="7"/>
  <c r="W427" i="7"/>
  <c r="W262" i="7"/>
  <c r="T325" i="7"/>
  <c r="T670" i="7"/>
  <c r="T490" i="7"/>
  <c r="W332" i="7"/>
  <c r="T104" i="7"/>
  <c r="T614" i="7"/>
  <c r="T269" i="7"/>
  <c r="T434" i="7"/>
  <c r="V397" i="7"/>
  <c r="W340" i="7"/>
  <c r="X396" i="7"/>
  <c r="T169" i="7"/>
  <c r="T139" i="7"/>
  <c r="W72" i="7"/>
  <c r="W335" i="7"/>
  <c r="W197" i="7"/>
  <c r="V98" i="7"/>
  <c r="V97" i="7"/>
  <c r="W86" i="7"/>
  <c r="T125" i="7"/>
  <c r="T124" i="7"/>
  <c r="W188" i="7"/>
  <c r="W204" i="7"/>
  <c r="W203" i="7"/>
  <c r="W202" i="7"/>
  <c r="W210" i="7"/>
  <c r="W512" i="7"/>
  <c r="V400" i="7"/>
  <c r="W212" i="7"/>
  <c r="W347" i="7"/>
  <c r="U119" i="7"/>
  <c r="U126" i="7"/>
  <c r="X212" i="7"/>
  <c r="W205" i="7"/>
  <c r="V93" i="7"/>
  <c r="W511" i="7"/>
  <c r="W346" i="7"/>
  <c r="W691" i="7"/>
  <c r="W211" i="7"/>
  <c r="X203" i="7"/>
  <c r="W195" i="7"/>
  <c r="T105" i="7"/>
  <c r="T118" i="7"/>
  <c r="W194" i="7"/>
  <c r="V76" i="7"/>
  <c r="W450" i="7"/>
  <c r="W285" i="7"/>
  <c r="W630" i="7"/>
  <c r="U106" i="7"/>
  <c r="W209" i="7"/>
  <c r="V120" i="7"/>
  <c r="V396" i="7"/>
  <c r="X87" i="7"/>
  <c r="W396" i="7"/>
  <c r="T649" i="7"/>
  <c r="T469" i="7"/>
  <c r="T304" i="7"/>
  <c r="U671" i="7"/>
  <c r="U491" i="7"/>
  <c r="U326" i="7"/>
  <c r="V189" i="7"/>
  <c r="V587" i="7"/>
  <c r="V407" i="7"/>
  <c r="V77" i="7"/>
  <c r="V242" i="7"/>
  <c r="W400" i="7"/>
  <c r="T307" i="7"/>
  <c r="T142" i="7"/>
  <c r="U172" i="7"/>
  <c r="T652" i="7"/>
  <c r="T472" i="7"/>
  <c r="U171" i="7"/>
  <c r="T650" i="7"/>
  <c r="T470" i="7"/>
  <c r="T305" i="7"/>
  <c r="T140" i="7"/>
  <c r="V398" i="7"/>
  <c r="X324" i="3"/>
  <c r="X159" i="3"/>
  <c r="X367" i="3"/>
  <c r="X202" i="3"/>
  <c r="W350" i="3"/>
  <c r="W185" i="3"/>
  <c r="X356" i="3"/>
  <c r="W175" i="8"/>
  <c r="W145" i="8"/>
  <c r="X259" i="3"/>
  <c r="X174" i="3"/>
  <c r="X203" i="3"/>
  <c r="X380" i="3"/>
  <c r="X385" i="3"/>
  <c r="X220" i="3"/>
  <c r="V157" i="8"/>
  <c r="W273" i="3"/>
  <c r="V147" i="8"/>
  <c r="W263" i="3"/>
  <c r="W98" i="3"/>
  <c r="V207" i="8" s="1"/>
  <c r="W255" i="3"/>
  <c r="X353" i="3"/>
  <c r="X241" i="3"/>
  <c r="X76" i="3"/>
  <c r="X253" i="3"/>
  <c r="V151" i="8"/>
  <c r="W267" i="3"/>
  <c r="W182" i="8"/>
  <c r="X308" i="3"/>
  <c r="X143" i="3"/>
  <c r="W242" i="8" s="1"/>
  <c r="T143" i="8"/>
  <c r="U92" i="3"/>
  <c r="T203" i="8" s="1"/>
  <c r="U257" i="3"/>
  <c r="X183" i="3"/>
  <c r="W320" i="3"/>
  <c r="W148" i="8"/>
  <c r="X264" i="3"/>
  <c r="X326" i="3"/>
  <c r="X321" i="3"/>
  <c r="X383" i="3"/>
  <c r="X218" i="3"/>
  <c r="W171" i="3"/>
  <c r="X204" i="3"/>
  <c r="W158" i="8"/>
  <c r="X316" i="3"/>
  <c r="X75" i="3"/>
  <c r="W210" i="3"/>
  <c r="X114" i="3"/>
  <c r="X254" i="3"/>
  <c r="W168" i="8"/>
  <c r="X289" i="3"/>
  <c r="X145" i="3"/>
  <c r="W312" i="3"/>
  <c r="W428" i="3" s="1"/>
  <c r="X318" i="3"/>
  <c r="X725" i="7"/>
  <c r="X380" i="7"/>
  <c r="X545" i="7"/>
  <c r="X215" i="7"/>
  <c r="X346" i="3"/>
  <c r="X181" i="3"/>
  <c r="X347" i="3"/>
  <c r="X182" i="3"/>
  <c r="X327" i="3"/>
  <c r="X162" i="3"/>
  <c r="V149" i="8"/>
  <c r="W265" i="3"/>
  <c r="W100" i="3"/>
  <c r="V209" i="8" s="1"/>
  <c r="X186" i="3"/>
  <c r="W352" i="3"/>
  <c r="W187" i="3"/>
  <c r="T172" i="8"/>
  <c r="U293" i="3"/>
  <c r="U128" i="3"/>
  <c r="T232" i="8" s="1"/>
  <c r="X348" i="3"/>
  <c r="W160" i="8"/>
  <c r="X251" i="3"/>
  <c r="X378" i="3"/>
  <c r="W262" i="3"/>
  <c r="W97" i="3"/>
  <c r="U637" i="7"/>
  <c r="U457" i="7"/>
  <c r="U292" i="7"/>
  <c r="U127" i="7"/>
  <c r="X231" i="3"/>
  <c r="W231" i="3"/>
  <c r="T601" i="7"/>
  <c r="T421" i="7"/>
  <c r="T256" i="7"/>
  <c r="T91" i="7"/>
  <c r="W237" i="3"/>
  <c r="W72" i="3"/>
  <c r="X355" i="3"/>
  <c r="X190" i="3"/>
  <c r="X86" i="3"/>
  <c r="X302" i="3"/>
  <c r="X242" i="3"/>
  <c r="T155" i="8"/>
  <c r="U271" i="3"/>
  <c r="U106" i="3"/>
  <c r="T215" i="8" s="1"/>
  <c r="W306" i="3"/>
  <c r="T154" i="8"/>
  <c r="U105" i="3"/>
  <c r="T214" i="8" s="1"/>
  <c r="U270" i="3"/>
  <c r="V144" i="8"/>
  <c r="W258" i="3"/>
  <c r="X211" i="3"/>
  <c r="W208" i="3"/>
  <c r="W412" i="3" s="1"/>
  <c r="W180" i="8"/>
  <c r="X305" i="3"/>
  <c r="X173" i="3"/>
  <c r="W161" i="8"/>
  <c r="X280" i="3"/>
  <c r="V110" i="3"/>
  <c r="U219" i="8" s="1"/>
  <c r="T156" i="8"/>
  <c r="U272" i="3"/>
  <c r="U107" i="3"/>
  <c r="T216" i="8" s="1"/>
  <c r="X88" i="3"/>
  <c r="W252" i="3"/>
  <c r="W425" i="3" s="1"/>
  <c r="W87" i="3"/>
  <c r="X344" i="3"/>
  <c r="X179" i="3"/>
  <c r="X233" i="3"/>
  <c r="W233" i="3"/>
  <c r="X329" i="3"/>
  <c r="X243" i="3"/>
  <c r="X78" i="3"/>
  <c r="X715" i="7"/>
  <c r="X370" i="7"/>
  <c r="X83" i="3"/>
  <c r="X364" i="3"/>
  <c r="X199" i="3"/>
  <c r="W164" i="8"/>
  <c r="X284" i="3"/>
  <c r="X119" i="3"/>
  <c r="W224" i="8" s="1"/>
  <c r="X311" i="3"/>
  <c r="X146" i="3"/>
  <c r="T153" i="8"/>
  <c r="U269" i="3"/>
  <c r="U104" i="3"/>
  <c r="T213" i="8" s="1"/>
  <c r="X343" i="3"/>
  <c r="W162" i="8"/>
  <c r="X281" i="3"/>
  <c r="X116" i="3"/>
  <c r="W222" i="8" s="1"/>
  <c r="W358" i="3"/>
  <c r="W193" i="3"/>
  <c r="X345" i="3"/>
  <c r="X377" i="3"/>
  <c r="X212" i="3"/>
  <c r="V159" i="8"/>
  <c r="W174" i="8"/>
  <c r="X295" i="3"/>
  <c r="W152" i="8"/>
  <c r="X268" i="3"/>
  <c r="W163" i="8"/>
  <c r="X117" i="3"/>
  <c r="W223" i="8" s="1"/>
  <c r="X282" i="3"/>
  <c r="W177" i="8"/>
  <c r="W237" i="8"/>
  <c r="X359" i="3"/>
  <c r="X194" i="3"/>
  <c r="W337" i="7"/>
  <c r="T171" i="8"/>
  <c r="U292" i="3"/>
  <c r="U127" i="3"/>
  <c r="T231" i="8" s="1"/>
  <c r="W167" i="8"/>
  <c r="X288" i="3"/>
  <c r="X236" i="3"/>
  <c r="W236" i="3"/>
  <c r="X357" i="3"/>
  <c r="X192" i="3"/>
  <c r="W150" i="8"/>
  <c r="X266" i="3"/>
  <c r="X101" i="3"/>
  <c r="W210" i="8" s="1"/>
  <c r="X81" i="3"/>
  <c r="V89" i="3"/>
  <c r="V404" i="3" s="1"/>
  <c r="T142" i="8"/>
  <c r="U256" i="3"/>
  <c r="U91" i="3"/>
  <c r="X354" i="3"/>
  <c r="X189" i="3"/>
  <c r="X169" i="3"/>
  <c r="V179" i="8"/>
  <c r="W304" i="3"/>
  <c r="X362" i="3"/>
  <c r="X341" i="3"/>
  <c r="X176" i="3"/>
  <c r="X115" i="3"/>
  <c r="W221" i="8" s="1"/>
  <c r="W244" i="3"/>
  <c r="X386" i="3"/>
  <c r="X221" i="3"/>
  <c r="X379" i="3"/>
  <c r="X632" i="7"/>
  <c r="X452" i="7"/>
  <c r="X287" i="7"/>
  <c r="X239" i="3"/>
  <c r="X74" i="3"/>
  <c r="X365" i="3"/>
  <c r="X200" i="3"/>
  <c r="X361" i="3"/>
  <c r="V146" i="8"/>
  <c r="W260" i="3"/>
  <c r="X376" i="3"/>
  <c r="X310" i="3"/>
  <c r="X283" i="3"/>
  <c r="W178" i="8"/>
  <c r="X303" i="3"/>
  <c r="X138" i="3"/>
  <c r="W238" i="8" s="1"/>
  <c r="X709" i="7"/>
  <c r="X529" i="7"/>
  <c r="X364" i="7"/>
  <c r="X199" i="7"/>
  <c r="X209" i="3"/>
  <c r="X172" i="3"/>
  <c r="X319" i="3"/>
  <c r="X158" i="3"/>
  <c r="W322" i="3"/>
  <c r="W157" i="3"/>
  <c r="W173" i="8"/>
  <c r="X294" i="3"/>
  <c r="W166" i="8"/>
  <c r="X286" i="3"/>
  <c r="X196" i="3"/>
  <c r="W360" i="3"/>
  <c r="W195" i="3"/>
  <c r="W328" i="3"/>
  <c r="W163" i="3"/>
  <c r="W333" i="7"/>
  <c r="X626" i="7"/>
  <c r="X446" i="7"/>
  <c r="X281" i="7"/>
  <c r="X116" i="7"/>
  <c r="X384" i="3"/>
  <c r="X631" i="7"/>
  <c r="X451" i="7"/>
  <c r="X286" i="7"/>
  <c r="X121" i="7"/>
  <c r="X351" i="3"/>
  <c r="W169" i="8"/>
  <c r="X290" i="3"/>
  <c r="W708" i="7"/>
  <c r="W528" i="7"/>
  <c r="W363" i="7"/>
  <c r="W198" i="7"/>
  <c r="X118" i="3"/>
  <c r="V165" i="8"/>
  <c r="W285" i="3"/>
  <c r="W120" i="3"/>
  <c r="V225" i="8" s="1"/>
  <c r="V251" i="8" s="1"/>
  <c r="W170" i="8"/>
  <c r="X291" i="3"/>
  <c r="X206" i="3"/>
  <c r="X411" i="3" s="1"/>
  <c r="W342" i="3"/>
  <c r="X230" i="3"/>
  <c r="W230" i="3"/>
  <c r="W183" i="8"/>
  <c r="X309" i="3"/>
  <c r="X144" i="3"/>
  <c r="W243" i="8" s="1"/>
  <c r="W181" i="8"/>
  <c r="X307" i="3"/>
  <c r="W176" i="8"/>
  <c r="X349" i="3"/>
  <c r="X184" i="3"/>
  <c r="W381" i="3"/>
  <c r="W216" i="3"/>
  <c r="X363" i="3"/>
  <c r="X198" i="3"/>
  <c r="U92" i="7"/>
  <c r="O193" i="8"/>
  <c r="O191" i="8"/>
  <c r="O194" i="8"/>
  <c r="O190" i="8"/>
  <c r="X707" i="7" l="1"/>
  <c r="X527" i="7"/>
  <c r="X362" i="7"/>
  <c r="U426" i="3"/>
  <c r="U405" i="3"/>
  <c r="T752" i="7"/>
  <c r="X648" i="7"/>
  <c r="X468" i="7"/>
  <c r="X303" i="7"/>
  <c r="W136" i="7"/>
  <c r="W464" i="7"/>
  <c r="W133" i="7"/>
  <c r="X466" i="7"/>
  <c r="W644" i="7"/>
  <c r="W134" i="7"/>
  <c r="W299" i="7"/>
  <c r="X210" i="7"/>
  <c r="X135" i="7"/>
  <c r="X301" i="7"/>
  <c r="X112" i="7"/>
  <c r="X620" i="7"/>
  <c r="X440" i="7"/>
  <c r="X275" i="7"/>
  <c r="U427" i="3"/>
  <c r="W424" i="3"/>
  <c r="W431" i="3"/>
  <c r="T202" i="8"/>
  <c r="T248" i="8" s="1"/>
  <c r="U406" i="3"/>
  <c r="T753" i="7"/>
  <c r="W302" i="7"/>
  <c r="W467" i="7"/>
  <c r="X646" i="7"/>
  <c r="X682" i="7"/>
  <c r="X502" i="7"/>
  <c r="X683" i="7"/>
  <c r="X503" i="7"/>
  <c r="X338" i="7"/>
  <c r="X497" i="7"/>
  <c r="X677" i="7"/>
  <c r="X679" i="7"/>
  <c r="X499" i="7"/>
  <c r="X334" i="7"/>
  <c r="X137" i="7"/>
  <c r="W137" i="7"/>
  <c r="X676" i="7"/>
  <c r="X496" i="7"/>
  <c r="X331" i="7"/>
  <c r="W681" i="7"/>
  <c r="W501" i="7"/>
  <c r="W336" i="7"/>
  <c r="T228" i="8"/>
  <c r="V227" i="8"/>
  <c r="X536" i="7"/>
  <c r="X800" i="7" s="1"/>
  <c r="X716" i="7"/>
  <c r="X821" i="7" s="1"/>
  <c r="X371" i="7"/>
  <c r="X779" i="7" s="1"/>
  <c r="X538" i="7"/>
  <c r="X801" i="7" s="1"/>
  <c r="X718" i="7"/>
  <c r="X822" i="7" s="1"/>
  <c r="X373" i="7"/>
  <c r="X780" i="7" s="1"/>
  <c r="U290" i="7"/>
  <c r="X623" i="7"/>
  <c r="X278" i="7"/>
  <c r="X443" i="7"/>
  <c r="U635" i="7"/>
  <c r="U114" i="7"/>
  <c r="U115" i="7"/>
  <c r="U113" i="7"/>
  <c r="V290" i="7"/>
  <c r="U130" i="7"/>
  <c r="X686" i="7"/>
  <c r="X506" i="7"/>
  <c r="X341" i="7"/>
  <c r="V599" i="7"/>
  <c r="V814" i="7" s="1"/>
  <c r="V419" i="7"/>
  <c r="V793" i="7" s="1"/>
  <c r="V254" i="7"/>
  <c r="V772" i="7" s="1"/>
  <c r="U139" i="7"/>
  <c r="U257" i="7"/>
  <c r="U422" i="7"/>
  <c r="U602" i="7"/>
  <c r="V102" i="7"/>
  <c r="X392" i="7"/>
  <c r="X102" i="7"/>
  <c r="W432" i="7"/>
  <c r="W612" i="7"/>
  <c r="W267" i="7"/>
  <c r="W100" i="7"/>
  <c r="V612" i="7"/>
  <c r="V267" i="7"/>
  <c r="V432" i="7"/>
  <c r="V100" i="7"/>
  <c r="T253" i="8"/>
  <c r="U634" i="7"/>
  <c r="U122" i="7"/>
  <c r="V138" i="7"/>
  <c r="U138" i="7"/>
  <c r="X75" i="7"/>
  <c r="W75" i="7"/>
  <c r="V600" i="7"/>
  <c r="V420" i="7"/>
  <c r="V255" i="7"/>
  <c r="W88" i="7"/>
  <c r="V139" i="3"/>
  <c r="U239" i="8" s="1"/>
  <c r="V102" i="3"/>
  <c r="U211" i="8" s="1"/>
  <c r="U235" i="8"/>
  <c r="V126" i="3"/>
  <c r="U230" i="8" s="1"/>
  <c r="V140" i="3"/>
  <c r="U240" i="8" s="1"/>
  <c r="V103" i="3"/>
  <c r="U212" i="8" s="1"/>
  <c r="X175" i="3"/>
  <c r="U433" i="7"/>
  <c r="U613" i="7"/>
  <c r="U103" i="7"/>
  <c r="U268" i="7"/>
  <c r="V101" i="7"/>
  <c r="X77" i="3"/>
  <c r="V95" i="3"/>
  <c r="U206" i="8" s="1"/>
  <c r="V90" i="3"/>
  <c r="X191" i="3"/>
  <c r="V90" i="7"/>
  <c r="X217" i="3"/>
  <c r="X406" i="7"/>
  <c r="X241" i="7"/>
  <c r="U128" i="7"/>
  <c r="U615" i="7"/>
  <c r="U435" i="7"/>
  <c r="U270" i="7"/>
  <c r="U107" i="7"/>
  <c r="X717" i="7"/>
  <c r="X372" i="7"/>
  <c r="V260" i="7"/>
  <c r="V425" i="7"/>
  <c r="V605" i="7"/>
  <c r="V95" i="7"/>
  <c r="W95" i="7"/>
  <c r="X187" i="7"/>
  <c r="W187" i="7"/>
  <c r="X214" i="3"/>
  <c r="U272" i="7"/>
  <c r="X310" i="7"/>
  <c r="X207" i="3"/>
  <c r="X655" i="7"/>
  <c r="X475" i="7"/>
  <c r="X205" i="3"/>
  <c r="X213" i="3"/>
  <c r="W250" i="8"/>
  <c r="U437" i="7"/>
  <c r="X192" i="7"/>
  <c r="T249" i="8"/>
  <c r="W445" i="7"/>
  <c r="W625" i="7"/>
  <c r="X215" i="3"/>
  <c r="U458" i="7"/>
  <c r="U638" i="7"/>
  <c r="U293" i="7"/>
  <c r="W354" i="7"/>
  <c r="W699" i="7"/>
  <c r="W519" i="7"/>
  <c r="V110" i="7"/>
  <c r="U143" i="7"/>
  <c r="X214" i="7"/>
  <c r="X216" i="7"/>
  <c r="W99" i="7"/>
  <c r="U94" i="7"/>
  <c r="U141" i="7"/>
  <c r="U129" i="7"/>
  <c r="V293" i="7"/>
  <c r="X74" i="7"/>
  <c r="U617" i="7"/>
  <c r="U108" i="7"/>
  <c r="X99" i="3"/>
  <c r="W208" i="8" s="1"/>
  <c r="V124" i="3"/>
  <c r="V94" i="3"/>
  <c r="U205" i="8" s="1"/>
  <c r="X180" i="3"/>
  <c r="V141" i="3"/>
  <c r="V109" i="3"/>
  <c r="U218" i="8" s="1"/>
  <c r="V160" i="3"/>
  <c r="U234" i="8"/>
  <c r="X219" i="3"/>
  <c r="X197" i="3"/>
  <c r="X123" i="3"/>
  <c r="X188" i="3"/>
  <c r="X113" i="3"/>
  <c r="W220" i="8" s="1"/>
  <c r="V125" i="3"/>
  <c r="U229" i="8" s="1"/>
  <c r="V93" i="3"/>
  <c r="U204" i="8" s="1"/>
  <c r="V161" i="3"/>
  <c r="U233" i="8"/>
  <c r="W258" i="7"/>
  <c r="W603" i="7"/>
  <c r="W423" i="7"/>
  <c r="X94" i="7"/>
  <c r="V142" i="3"/>
  <c r="U241" i="8" s="1"/>
  <c r="U254" i="8" s="1"/>
  <c r="V108" i="3"/>
  <c r="U217" i="8" s="1"/>
  <c r="X121" i="3"/>
  <c r="W226" i="8" s="1"/>
  <c r="X213" i="7"/>
  <c r="X543" i="7"/>
  <c r="X723" i="7"/>
  <c r="X378" i="7"/>
  <c r="W394" i="7"/>
  <c r="U289" i="7"/>
  <c r="U454" i="7"/>
  <c r="X271" i="7"/>
  <c r="X358" i="7"/>
  <c r="X703" i="7"/>
  <c r="X523" i="7"/>
  <c r="X193" i="7"/>
  <c r="V651" i="7"/>
  <c r="V471" i="7"/>
  <c r="V141" i="7"/>
  <c r="X436" i="7"/>
  <c r="V306" i="7"/>
  <c r="X427" i="7"/>
  <c r="X262" i="7"/>
  <c r="X607" i="7"/>
  <c r="V144" i="7"/>
  <c r="X511" i="7"/>
  <c r="X346" i="7"/>
  <c r="U670" i="7"/>
  <c r="U490" i="7"/>
  <c r="U325" i="7"/>
  <c r="W397" i="7"/>
  <c r="X397" i="7"/>
  <c r="U434" i="7"/>
  <c r="U269" i="7"/>
  <c r="U104" i="7"/>
  <c r="U614" i="7"/>
  <c r="X227" i="3"/>
  <c r="V139" i="7"/>
  <c r="U649" i="7"/>
  <c r="U469" i="7"/>
  <c r="U304" i="7"/>
  <c r="W102" i="7"/>
  <c r="W90" i="7"/>
  <c r="W97" i="7"/>
  <c r="X196" i="7"/>
  <c r="V143" i="7"/>
  <c r="V169" i="7"/>
  <c r="X186" i="7"/>
  <c r="X202" i="7"/>
  <c r="X340" i="7"/>
  <c r="X335" i="7"/>
  <c r="X197" i="7"/>
  <c r="U125" i="7"/>
  <c r="U124" i="7"/>
  <c r="X188" i="7"/>
  <c r="X204" i="7"/>
  <c r="U169" i="7"/>
  <c r="X691" i="7"/>
  <c r="W98" i="7"/>
  <c r="X205" i="7"/>
  <c r="V119" i="7"/>
  <c r="X209" i="7"/>
  <c r="X220" i="7"/>
  <c r="X194" i="7"/>
  <c r="X630" i="7"/>
  <c r="X450" i="7"/>
  <c r="X285" i="7"/>
  <c r="X347" i="7"/>
  <c r="X692" i="7"/>
  <c r="X512" i="7"/>
  <c r="U105" i="7"/>
  <c r="U118" i="7"/>
  <c r="X120" i="7"/>
  <c r="V602" i="7"/>
  <c r="V106" i="7"/>
  <c r="W398" i="7"/>
  <c r="W76" i="7"/>
  <c r="X400" i="7"/>
  <c r="W120" i="7"/>
  <c r="X86" i="7"/>
  <c r="V304" i="7"/>
  <c r="X72" i="7"/>
  <c r="V671" i="7"/>
  <c r="V491" i="7"/>
  <c r="V326" i="7"/>
  <c r="W587" i="7"/>
  <c r="W407" i="7"/>
  <c r="W242" i="7"/>
  <c r="W77" i="7"/>
  <c r="U140" i="7"/>
  <c r="U305" i="7"/>
  <c r="U650" i="7"/>
  <c r="U470" i="7"/>
  <c r="U652" i="7"/>
  <c r="U472" i="7"/>
  <c r="U307" i="7"/>
  <c r="U142" i="7"/>
  <c r="V172" i="7"/>
  <c r="W651" i="7"/>
  <c r="W471" i="7"/>
  <c r="W306" i="7"/>
  <c r="W141" i="7"/>
  <c r="V171" i="7"/>
  <c r="X342" i="3"/>
  <c r="X328" i="3"/>
  <c r="X163" i="3"/>
  <c r="X208" i="3"/>
  <c r="X412" i="3" s="1"/>
  <c r="V637" i="7"/>
  <c r="V457" i="7"/>
  <c r="V292" i="7"/>
  <c r="U172" i="8"/>
  <c r="V293" i="3"/>
  <c r="V128" i="3"/>
  <c r="U232" i="8" s="1"/>
  <c r="W110" i="3"/>
  <c r="V219" i="8" s="1"/>
  <c r="U156" i="8"/>
  <c r="V272" i="3"/>
  <c r="V107" i="3"/>
  <c r="U216" i="8" s="1"/>
  <c r="X237" i="3"/>
  <c r="X72" i="3"/>
  <c r="X262" i="3"/>
  <c r="X97" i="3"/>
  <c r="X320" i="3"/>
  <c r="X350" i="3"/>
  <c r="X185" i="3"/>
  <c r="W165" i="8"/>
  <c r="X285" i="3"/>
  <c r="X120" i="3"/>
  <c r="W225" i="8" s="1"/>
  <c r="W146" i="8"/>
  <c r="X260" i="3"/>
  <c r="U154" i="8"/>
  <c r="V270" i="3"/>
  <c r="V105" i="3"/>
  <c r="U214" i="8" s="1"/>
  <c r="X352" i="3"/>
  <c r="X187" i="3"/>
  <c r="W147" i="8"/>
  <c r="X263" i="3"/>
  <c r="X98" i="3"/>
  <c r="W207" i="8" s="1"/>
  <c r="W179" i="8"/>
  <c r="X304" i="3"/>
  <c r="X360" i="3"/>
  <c r="X195" i="3"/>
  <c r="X337" i="7"/>
  <c r="U153" i="8"/>
  <c r="V269" i="3"/>
  <c r="V104" i="3"/>
  <c r="U213" i="8" s="1"/>
  <c r="U143" i="8"/>
  <c r="V257" i="3"/>
  <c r="V92" i="3"/>
  <c r="U203" i="8" s="1"/>
  <c r="X322" i="3"/>
  <c r="X157" i="3"/>
  <c r="X244" i="3"/>
  <c r="U171" i="8"/>
  <c r="V292" i="3"/>
  <c r="V127" i="3"/>
  <c r="U231" i="8" s="1"/>
  <c r="X358" i="3"/>
  <c r="X193" i="3"/>
  <c r="X210" i="3"/>
  <c r="X708" i="7"/>
  <c r="X528" i="7"/>
  <c r="X363" i="7"/>
  <c r="X198" i="7"/>
  <c r="X381" i="3"/>
  <c r="X216" i="3"/>
  <c r="X333" i="7"/>
  <c r="W89" i="3"/>
  <c r="W404" i="3" s="1"/>
  <c r="U142" i="8"/>
  <c r="V256" i="3"/>
  <c r="V91" i="3"/>
  <c r="W159" i="8"/>
  <c r="X252" i="3"/>
  <c r="X425" i="3" s="1"/>
  <c r="X87" i="3"/>
  <c r="X306" i="3"/>
  <c r="U155" i="8"/>
  <c r="V271" i="3"/>
  <c r="V106" i="3"/>
  <c r="U215" i="8" s="1"/>
  <c r="X312" i="3"/>
  <c r="X428" i="3" s="1"/>
  <c r="X171" i="3"/>
  <c r="W151" i="8"/>
  <c r="X267" i="3"/>
  <c r="W144" i="8"/>
  <c r="X258" i="3"/>
  <c r="U601" i="7"/>
  <c r="U421" i="7"/>
  <c r="U256" i="7"/>
  <c r="U91" i="7"/>
  <c r="W149" i="8"/>
  <c r="X265" i="3"/>
  <c r="X100" i="3"/>
  <c r="W209" i="8" s="1"/>
  <c r="X255" i="3"/>
  <c r="W157" i="8"/>
  <c r="X273" i="3"/>
  <c r="V92" i="7"/>
  <c r="V257" i="7"/>
  <c r="P191" i="8"/>
  <c r="P190" i="8"/>
  <c r="P193" i="8"/>
  <c r="P194" i="8"/>
  <c r="C234" i="3"/>
  <c r="C235" i="3"/>
  <c r="C236" i="3"/>
  <c r="C237" i="3"/>
  <c r="C238" i="3"/>
  <c r="C239" i="3"/>
  <c r="C240" i="3"/>
  <c r="C241" i="3"/>
  <c r="C242" i="3"/>
  <c r="C243" i="3"/>
  <c r="C244" i="3"/>
  <c r="C246" i="3"/>
  <c r="C248" i="3"/>
  <c r="C251" i="3"/>
  <c r="C252" i="3"/>
  <c r="C253" i="3"/>
  <c r="C254" i="3"/>
  <c r="C255" i="3"/>
  <c r="C262" i="3"/>
  <c r="C279" i="3"/>
  <c r="C283" i="3"/>
  <c r="C287" i="3"/>
  <c r="C302" i="3"/>
  <c r="C306"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226" i="3"/>
  <c r="V426" i="3" l="1"/>
  <c r="V405" i="3"/>
  <c r="U752" i="7"/>
  <c r="X136" i="7"/>
  <c r="X644" i="7"/>
  <c r="X133" i="7"/>
  <c r="X134" i="7"/>
  <c r="X299" i="7"/>
  <c r="X464" i="7"/>
  <c r="V126" i="7"/>
  <c r="V108" i="7"/>
  <c r="V109" i="7"/>
  <c r="X302" i="7"/>
  <c r="X467" i="7"/>
  <c r="X647" i="7"/>
  <c r="X424" i="3"/>
  <c r="V427" i="3"/>
  <c r="X431" i="3"/>
  <c r="U202" i="8"/>
  <c r="U248" i="8" s="1"/>
  <c r="V406" i="3"/>
  <c r="U753" i="7"/>
  <c r="X501" i="7"/>
  <c r="X681" i="7"/>
  <c r="X336" i="7"/>
  <c r="U228" i="8"/>
  <c r="W227" i="8"/>
  <c r="V114" i="7"/>
  <c r="V115" i="7"/>
  <c r="V455" i="7"/>
  <c r="V635" i="7"/>
  <c r="V113" i="7"/>
  <c r="W290" i="7"/>
  <c r="V130" i="7"/>
  <c r="W599" i="7"/>
  <c r="W814" i="7" s="1"/>
  <c r="W419" i="7"/>
  <c r="W793" i="7" s="1"/>
  <c r="W254" i="7"/>
  <c r="W772" i="7" s="1"/>
  <c r="V422" i="7"/>
  <c r="U253" i="8"/>
  <c r="X123" i="7"/>
  <c r="W123" i="7"/>
  <c r="X267" i="7"/>
  <c r="X432" i="7"/>
  <c r="X612" i="7"/>
  <c r="X100" i="7"/>
  <c r="V634" i="7"/>
  <c r="V122" i="7"/>
  <c r="V94" i="7"/>
  <c r="V89" i="7"/>
  <c r="V751" i="7" s="1"/>
  <c r="W93" i="7"/>
  <c r="W139" i="3"/>
  <c r="V239" i="8" s="1"/>
  <c r="W102" i="3"/>
  <c r="V211" i="8" s="1"/>
  <c r="W140" i="3"/>
  <c r="V240" i="8" s="1"/>
  <c r="W103" i="3"/>
  <c r="V212" i="8" s="1"/>
  <c r="V235" i="8"/>
  <c r="W126" i="3"/>
  <c r="V230" i="8" s="1"/>
  <c r="W95" i="3"/>
  <c r="V206" i="8" s="1"/>
  <c r="W90" i="3"/>
  <c r="W600" i="7"/>
  <c r="W420" i="7"/>
  <c r="W255" i="7"/>
  <c r="X88" i="7"/>
  <c r="V433" i="7"/>
  <c r="V613" i="7"/>
  <c r="V268" i="7"/>
  <c r="V103" i="7"/>
  <c r="V435" i="7"/>
  <c r="V270" i="7"/>
  <c r="V615" i="7"/>
  <c r="W425" i="7"/>
  <c r="W605" i="7"/>
  <c r="X425" i="7"/>
  <c r="W260" i="7"/>
  <c r="V458" i="7"/>
  <c r="X617" i="7"/>
  <c r="V272" i="7"/>
  <c r="V617" i="7"/>
  <c r="V128" i="7"/>
  <c r="X699" i="7"/>
  <c r="X354" i="7"/>
  <c r="X519" i="7"/>
  <c r="W251" i="8"/>
  <c r="U249" i="8"/>
  <c r="X625" i="7"/>
  <c r="X445" i="7"/>
  <c r="X280" i="7"/>
  <c r="V437" i="7"/>
  <c r="V107" i="7"/>
  <c r="X99" i="7"/>
  <c r="V129" i="7"/>
  <c r="V127" i="7"/>
  <c r="V638" i="7"/>
  <c r="W110" i="7"/>
  <c r="W94" i="7"/>
  <c r="W126" i="7"/>
  <c r="W124" i="3"/>
  <c r="W94" i="3"/>
  <c r="V205" i="8" s="1"/>
  <c r="W160" i="3"/>
  <c r="V234" i="8"/>
  <c r="W141" i="3"/>
  <c r="W109" i="3"/>
  <c r="V218" i="8" s="1"/>
  <c r="W142" i="3"/>
  <c r="V241" i="8" s="1"/>
  <c r="V254" i="8" s="1"/>
  <c r="W108" i="3"/>
  <c r="V217" i="8" s="1"/>
  <c r="W125" i="3"/>
  <c r="V229" i="8" s="1"/>
  <c r="W93" i="3"/>
  <c r="V204" i="8" s="1"/>
  <c r="W161" i="3"/>
  <c r="V233" i="8"/>
  <c r="X394" i="7"/>
  <c r="V289" i="7"/>
  <c r="V454" i="7"/>
  <c r="X144" i="7"/>
  <c r="W139" i="7"/>
  <c r="V649" i="7"/>
  <c r="V469" i="7"/>
  <c r="W325" i="7"/>
  <c r="W670" i="7"/>
  <c r="W490" i="7"/>
  <c r="V670" i="7"/>
  <c r="V490" i="7"/>
  <c r="V325" i="7"/>
  <c r="W104" i="7"/>
  <c r="W614" i="7"/>
  <c r="W434" i="7"/>
  <c r="W269" i="7"/>
  <c r="V104" i="7"/>
  <c r="V269" i="7"/>
  <c r="V614" i="7"/>
  <c r="V434" i="7"/>
  <c r="W189" i="7"/>
  <c r="W143" i="7"/>
  <c r="X90" i="7"/>
  <c r="X97" i="7"/>
  <c r="V125" i="7"/>
  <c r="V124" i="7"/>
  <c r="W491" i="7"/>
  <c r="W169" i="7"/>
  <c r="X98" i="7"/>
  <c r="V105" i="7"/>
  <c r="V118" i="7"/>
  <c r="W106" i="7"/>
  <c r="W119" i="7"/>
  <c r="X398" i="7"/>
  <c r="X76" i="7"/>
  <c r="W326" i="7"/>
  <c r="W469" i="7"/>
  <c r="W649" i="7"/>
  <c r="W671" i="7"/>
  <c r="X189" i="7"/>
  <c r="X587" i="7"/>
  <c r="X407" i="7"/>
  <c r="X77" i="7"/>
  <c r="X242" i="7"/>
  <c r="X651" i="7"/>
  <c r="X471" i="7"/>
  <c r="X306" i="7"/>
  <c r="X141" i="7"/>
  <c r="W171" i="7"/>
  <c r="V305" i="7"/>
  <c r="V140" i="7"/>
  <c r="V650" i="7"/>
  <c r="V470" i="7"/>
  <c r="W172" i="7"/>
  <c r="V472" i="7"/>
  <c r="V307" i="7"/>
  <c r="V142" i="7"/>
  <c r="V652" i="7"/>
  <c r="V601" i="7"/>
  <c r="V421" i="7"/>
  <c r="V256" i="7"/>
  <c r="V91" i="7"/>
  <c r="V172" i="8"/>
  <c r="W293" i="3"/>
  <c r="W128" i="3"/>
  <c r="V232" i="8" s="1"/>
  <c r="V171" i="8"/>
  <c r="W292" i="3"/>
  <c r="W127" i="3"/>
  <c r="V231" i="8" s="1"/>
  <c r="V153" i="8"/>
  <c r="W269" i="3"/>
  <c r="W104" i="3"/>
  <c r="V213" i="8" s="1"/>
  <c r="V155" i="8"/>
  <c r="W271" i="3"/>
  <c r="W106" i="3"/>
  <c r="V215" i="8" s="1"/>
  <c r="V154" i="8"/>
  <c r="W270" i="3"/>
  <c r="W105" i="3"/>
  <c r="V214" i="8" s="1"/>
  <c r="X110" i="3"/>
  <c r="W219" i="8" s="1"/>
  <c r="V156" i="8"/>
  <c r="W272" i="3"/>
  <c r="W107" i="3"/>
  <c r="V216" i="8" s="1"/>
  <c r="W602" i="7"/>
  <c r="V143" i="8"/>
  <c r="W92" i="3"/>
  <c r="V203" i="8" s="1"/>
  <c r="W257" i="3"/>
  <c r="W637" i="7"/>
  <c r="W457" i="7"/>
  <c r="W292" i="7"/>
  <c r="W127" i="7"/>
  <c r="X89" i="3"/>
  <c r="X404" i="3" s="1"/>
  <c r="V142" i="8"/>
  <c r="W91" i="3"/>
  <c r="W256" i="3"/>
  <c r="W92" i="7"/>
  <c r="W257" i="7"/>
  <c r="W422" i="7"/>
  <c r="Q193" i="8"/>
  <c r="Q194" i="8"/>
  <c r="Q191" i="8"/>
  <c r="Q190" i="8"/>
  <c r="K189" i="8"/>
  <c r="C219" i="3"/>
  <c r="C220" i="3"/>
  <c r="C221" i="3"/>
  <c r="C212" i="3"/>
  <c r="C213" i="3"/>
  <c r="C214" i="3"/>
  <c r="C215" i="3"/>
  <c r="C216" i="3"/>
  <c r="C217" i="3"/>
  <c r="C218" i="3"/>
  <c r="W405" i="3" l="1"/>
  <c r="V752" i="7"/>
  <c r="W426" i="3"/>
  <c r="W108" i="7"/>
  <c r="W109" i="7"/>
  <c r="W427" i="3"/>
  <c r="V202" i="8"/>
  <c r="V248" i="8" s="1"/>
  <c r="W406" i="3"/>
  <c r="V753" i="7"/>
  <c r="V228" i="8"/>
  <c r="W114" i="7"/>
  <c r="W115" i="7"/>
  <c r="X107" i="7"/>
  <c r="W113" i="7"/>
  <c r="W455" i="7"/>
  <c r="X130" i="7"/>
  <c r="W130" i="7"/>
  <c r="W635" i="7"/>
  <c r="E295" i="7"/>
  <c r="E640" i="7"/>
  <c r="E460" i="7"/>
  <c r="X640" i="7"/>
  <c r="X460" i="7"/>
  <c r="X295" i="7"/>
  <c r="F294" i="7"/>
  <c r="F639" i="7"/>
  <c r="F459" i="7"/>
  <c r="F640" i="7"/>
  <c r="F460" i="7"/>
  <c r="F295" i="7"/>
  <c r="N640" i="7"/>
  <c r="N460" i="7"/>
  <c r="N295" i="7"/>
  <c r="E639" i="7"/>
  <c r="E459" i="7"/>
  <c r="E294" i="7"/>
  <c r="M639" i="7"/>
  <c r="M459" i="7"/>
  <c r="M294" i="7"/>
  <c r="X639" i="7"/>
  <c r="X459" i="7"/>
  <c r="X294" i="7"/>
  <c r="K640" i="7"/>
  <c r="K460" i="7"/>
  <c r="K295" i="7"/>
  <c r="M295" i="7"/>
  <c r="M460" i="7"/>
  <c r="M640" i="7"/>
  <c r="G640" i="7"/>
  <c r="G460" i="7"/>
  <c r="G295" i="7"/>
  <c r="O295" i="7"/>
  <c r="O460" i="7"/>
  <c r="O640" i="7"/>
  <c r="W639" i="7"/>
  <c r="W459" i="7"/>
  <c r="W294" i="7"/>
  <c r="L639" i="7"/>
  <c r="L459" i="7"/>
  <c r="L294" i="7"/>
  <c r="K639" i="7"/>
  <c r="K459" i="7"/>
  <c r="K294" i="7"/>
  <c r="P640" i="7"/>
  <c r="P460" i="7"/>
  <c r="P295" i="7"/>
  <c r="U639" i="7"/>
  <c r="U459" i="7"/>
  <c r="U294" i="7"/>
  <c r="H639" i="7"/>
  <c r="H459" i="7"/>
  <c r="H294" i="7"/>
  <c r="H460" i="7"/>
  <c r="H295" i="7"/>
  <c r="H640" i="7"/>
  <c r="V639" i="7"/>
  <c r="V459" i="7"/>
  <c r="V294" i="7"/>
  <c r="I640" i="7"/>
  <c r="I295" i="7"/>
  <c r="I460" i="7"/>
  <c r="T640" i="7"/>
  <c r="T460" i="7"/>
  <c r="T295" i="7"/>
  <c r="J459" i="7"/>
  <c r="J639" i="7"/>
  <c r="J294" i="7"/>
  <c r="J295" i="7"/>
  <c r="J640" i="7"/>
  <c r="J460" i="7"/>
  <c r="U460" i="7"/>
  <c r="U295" i="7"/>
  <c r="U640" i="7"/>
  <c r="T294" i="7"/>
  <c r="T639" i="7"/>
  <c r="T459" i="7"/>
  <c r="I639" i="7"/>
  <c r="I459" i="7"/>
  <c r="I294" i="7"/>
  <c r="P294" i="7"/>
  <c r="P639" i="7"/>
  <c r="P459" i="7"/>
  <c r="V640" i="7"/>
  <c r="V460" i="7"/>
  <c r="V295" i="7"/>
  <c r="L460" i="7"/>
  <c r="L295" i="7"/>
  <c r="L640" i="7"/>
  <c r="W295" i="7"/>
  <c r="W640" i="7"/>
  <c r="W460" i="7"/>
  <c r="O639" i="7"/>
  <c r="O294" i="7"/>
  <c r="O459" i="7"/>
  <c r="G294" i="7"/>
  <c r="G639" i="7"/>
  <c r="G459" i="7"/>
  <c r="N294" i="7"/>
  <c r="N459" i="7"/>
  <c r="N639" i="7"/>
  <c r="X599" i="7"/>
  <c r="X814" i="7" s="1"/>
  <c r="X419" i="7"/>
  <c r="X793" i="7" s="1"/>
  <c r="X254" i="7"/>
  <c r="X772" i="7" s="1"/>
  <c r="X139" i="7"/>
  <c r="X437" i="7"/>
  <c r="V236" i="8"/>
  <c r="D236" i="8"/>
  <c r="W236" i="8"/>
  <c r="X89" i="7"/>
  <c r="X751" i="7" s="1"/>
  <c r="W89" i="7"/>
  <c r="W751" i="7" s="1"/>
  <c r="W289" i="7"/>
  <c r="W122" i="7"/>
  <c r="X138" i="7"/>
  <c r="W138" i="7"/>
  <c r="X93" i="7"/>
  <c r="X101" i="7"/>
  <c r="W101" i="7"/>
  <c r="X605" i="7"/>
  <c r="W103" i="7"/>
  <c r="W268" i="7"/>
  <c r="W433" i="7"/>
  <c r="W613" i="7"/>
  <c r="X140" i="3"/>
  <c r="W240" i="8" s="1"/>
  <c r="X103" i="3"/>
  <c r="W212" i="8" s="1"/>
  <c r="X255" i="7"/>
  <c r="X600" i="7"/>
  <c r="X420" i="7"/>
  <c r="X139" i="3"/>
  <c r="W239" i="8" s="1"/>
  <c r="X102" i="3"/>
  <c r="W211" i="8" s="1"/>
  <c r="W235" i="8"/>
  <c r="X126" i="3"/>
  <c r="W230" i="8" s="1"/>
  <c r="X95" i="3"/>
  <c r="W206" i="8" s="1"/>
  <c r="X90" i="3"/>
  <c r="V253" i="8"/>
  <c r="X260" i="7"/>
  <c r="X95" i="7"/>
  <c r="W270" i="7"/>
  <c r="W435" i="7"/>
  <c r="W615" i="7"/>
  <c r="W272" i="7"/>
  <c r="W437" i="7"/>
  <c r="X272" i="7"/>
  <c r="W107" i="7"/>
  <c r="W617" i="7"/>
  <c r="V249" i="8"/>
  <c r="W128" i="7"/>
  <c r="W129" i="7"/>
  <c r="W638" i="7"/>
  <c r="W458" i="7"/>
  <c r="W293" i="7"/>
  <c r="X141" i="3"/>
  <c r="X109" i="3"/>
  <c r="W218" i="8" s="1"/>
  <c r="X124" i="3"/>
  <c r="X94" i="3"/>
  <c r="W205" i="8" s="1"/>
  <c r="X160" i="3"/>
  <c r="W234" i="8"/>
  <c r="X161" i="3"/>
  <c r="W233" i="8"/>
  <c r="X125" i="3"/>
  <c r="W229" i="8" s="1"/>
  <c r="X93" i="3"/>
  <c r="W204" i="8" s="1"/>
  <c r="X142" i="3"/>
  <c r="W241" i="8" s="1"/>
  <c r="W254" i="8" s="1"/>
  <c r="X108" i="3"/>
  <c r="W217" i="8" s="1"/>
  <c r="W124" i="7"/>
  <c r="W634" i="7"/>
  <c r="W454" i="7"/>
  <c r="W304" i="7"/>
  <c r="X490" i="7"/>
  <c r="X670" i="7"/>
  <c r="X325" i="7"/>
  <c r="X434" i="7"/>
  <c r="X269" i="7"/>
  <c r="X614" i="7"/>
  <c r="X104" i="7"/>
  <c r="X143" i="7"/>
  <c r="X169" i="7"/>
  <c r="W118" i="7"/>
  <c r="W125" i="7"/>
  <c r="X119" i="7"/>
  <c r="X602" i="7"/>
  <c r="X106" i="7"/>
  <c r="W105" i="7"/>
  <c r="X304" i="7"/>
  <c r="X649" i="7"/>
  <c r="X469" i="7"/>
  <c r="X326" i="7"/>
  <c r="X491" i="7"/>
  <c r="X671" i="7"/>
  <c r="W470" i="7"/>
  <c r="W305" i="7"/>
  <c r="W140" i="7"/>
  <c r="W650" i="7"/>
  <c r="W652" i="7"/>
  <c r="W472" i="7"/>
  <c r="W307" i="7"/>
  <c r="W142" i="7"/>
  <c r="X172" i="7"/>
  <c r="X171" i="7"/>
  <c r="X422" i="7"/>
  <c r="X92" i="7"/>
  <c r="W154" i="8"/>
  <c r="X270" i="3"/>
  <c r="X105" i="3"/>
  <c r="W214" i="8" s="1"/>
  <c r="W153" i="8"/>
  <c r="X104" i="3"/>
  <c r="W213" i="8" s="1"/>
  <c r="X269" i="3"/>
  <c r="W172" i="8"/>
  <c r="X293" i="3"/>
  <c r="X128" i="3"/>
  <c r="W232" i="8" s="1"/>
  <c r="X257" i="7"/>
  <c r="X637" i="7"/>
  <c r="X457" i="7"/>
  <c r="X292" i="7"/>
  <c r="W143" i="8"/>
  <c r="X257" i="3"/>
  <c r="X92" i="3"/>
  <c r="W203" i="8" s="1"/>
  <c r="B162" i="8"/>
  <c r="B222" i="8" s="1"/>
  <c r="C626" i="7"/>
  <c r="C446" i="7"/>
  <c r="W156" i="8"/>
  <c r="X272" i="3"/>
  <c r="X107" i="3"/>
  <c r="W216" i="8" s="1"/>
  <c r="W155" i="8"/>
  <c r="X271" i="3"/>
  <c r="X106" i="3"/>
  <c r="W215" i="8" s="1"/>
  <c r="W171" i="8"/>
  <c r="X292" i="3"/>
  <c r="X127" i="3"/>
  <c r="W231" i="8" s="1"/>
  <c r="W142" i="8"/>
  <c r="X256" i="3"/>
  <c r="X91" i="3"/>
  <c r="W601" i="7"/>
  <c r="W421" i="7"/>
  <c r="W91" i="7"/>
  <c r="W256" i="7"/>
  <c r="L192" i="8"/>
  <c r="R193" i="8"/>
  <c r="R191" i="8"/>
  <c r="R194" i="8"/>
  <c r="R190" i="8"/>
  <c r="L189" i="8"/>
  <c r="C281" i="7"/>
  <c r="C281" i="3"/>
  <c r="X426" i="3" l="1"/>
  <c r="X405" i="3"/>
  <c r="W752" i="7"/>
  <c r="G774" i="7"/>
  <c r="K816" i="7"/>
  <c r="X108" i="7"/>
  <c r="X109" i="7"/>
  <c r="X126" i="7"/>
  <c r="E774" i="7"/>
  <c r="O774" i="7"/>
  <c r="U774" i="7"/>
  <c r="N774" i="7"/>
  <c r="P795" i="7"/>
  <c r="G816" i="7"/>
  <c r="G795" i="7"/>
  <c r="J795" i="7"/>
  <c r="I795" i="7"/>
  <c r="P816" i="7"/>
  <c r="V795" i="7"/>
  <c r="M816" i="7"/>
  <c r="X427" i="3"/>
  <c r="W753" i="7"/>
  <c r="O816" i="7"/>
  <c r="N795" i="7"/>
  <c r="J774" i="7"/>
  <c r="M774" i="7"/>
  <c r="I774" i="7"/>
  <c r="X406" i="3"/>
  <c r="W202" i="8"/>
  <c r="W248" i="8" s="1"/>
  <c r="E816" i="7"/>
  <c r="V774" i="7"/>
  <c r="V816" i="7"/>
  <c r="W816" i="7"/>
  <c r="I816" i="7"/>
  <c r="F774" i="7"/>
  <c r="N816" i="7"/>
  <c r="W795" i="7"/>
  <c r="U795" i="7"/>
  <c r="L774" i="7"/>
  <c r="W774" i="7"/>
  <c r="U816" i="7"/>
  <c r="L795" i="7"/>
  <c r="E795" i="7"/>
  <c r="F795" i="7"/>
  <c r="O795" i="7"/>
  <c r="P774" i="7"/>
  <c r="L816" i="7"/>
  <c r="F816" i="7"/>
  <c r="T795" i="7"/>
  <c r="H774" i="7"/>
  <c r="T816" i="7"/>
  <c r="H795" i="7"/>
  <c r="K774" i="7"/>
  <c r="T774" i="7"/>
  <c r="J816" i="7"/>
  <c r="H816" i="7"/>
  <c r="K795" i="7"/>
  <c r="M795" i="7"/>
  <c r="V252" i="8"/>
  <c r="V255" i="8" s="1"/>
  <c r="W228" i="8"/>
  <c r="W252" i="8" s="1"/>
  <c r="X114" i="7"/>
  <c r="X115" i="7"/>
  <c r="X635" i="7"/>
  <c r="X290" i="7"/>
  <c r="X455" i="7"/>
  <c r="X113" i="7"/>
  <c r="X110" i="7"/>
  <c r="X103" i="7"/>
  <c r="V244" i="8"/>
  <c r="F236" i="8"/>
  <c r="T236" i="8"/>
  <c r="G236" i="8"/>
  <c r="M236" i="8"/>
  <c r="O236" i="8"/>
  <c r="I236" i="8"/>
  <c r="N236" i="8"/>
  <c r="K236" i="8"/>
  <c r="H236" i="8"/>
  <c r="S236" i="8"/>
  <c r="D244" i="8"/>
  <c r="D252" i="8"/>
  <c r="D255" i="8" s="1"/>
  <c r="E236" i="8"/>
  <c r="L236" i="8"/>
  <c r="J236" i="8"/>
  <c r="U236" i="8"/>
  <c r="W253" i="8"/>
  <c r="X613" i="7"/>
  <c r="X268" i="7"/>
  <c r="X433" i="7"/>
  <c r="X289" i="7"/>
  <c r="X122" i="7"/>
  <c r="X435" i="7"/>
  <c r="X615" i="7"/>
  <c r="X270" i="7"/>
  <c r="W249" i="8"/>
  <c r="X128" i="7"/>
  <c r="X127" i="7"/>
  <c r="X129" i="7"/>
  <c r="X293" i="7"/>
  <c r="X638" i="7"/>
  <c r="X458" i="7"/>
  <c r="X124" i="7"/>
  <c r="X634" i="7"/>
  <c r="X454" i="7"/>
  <c r="X91" i="7"/>
  <c r="X256" i="7"/>
  <c r="X125" i="7"/>
  <c r="X421" i="7"/>
  <c r="X601" i="7"/>
  <c r="X105" i="7"/>
  <c r="X118" i="7"/>
  <c r="X650" i="7"/>
  <c r="X470" i="7"/>
  <c r="X305" i="7"/>
  <c r="X140" i="7"/>
  <c r="X142" i="7"/>
  <c r="X652" i="7"/>
  <c r="X472" i="7"/>
  <c r="X307" i="7"/>
  <c r="S191" i="8"/>
  <c r="M192" i="8"/>
  <c r="S190" i="8"/>
  <c r="M189" i="8"/>
  <c r="S193" i="8"/>
  <c r="S194" i="8"/>
  <c r="X752" i="7" l="1"/>
  <c r="X795" i="7"/>
  <c r="W244" i="8"/>
  <c r="X774" i="7"/>
  <c r="X816" i="7"/>
  <c r="X753" i="7"/>
  <c r="K252" i="8"/>
  <c r="K255" i="8" s="1"/>
  <c r="K244" i="8"/>
  <c r="M252" i="8"/>
  <c r="M255" i="8" s="1"/>
  <c r="M244" i="8"/>
  <c r="N244" i="8"/>
  <c r="N252" i="8"/>
  <c r="N255" i="8" s="1"/>
  <c r="G252" i="8"/>
  <c r="G255" i="8" s="1"/>
  <c r="G244" i="8"/>
  <c r="U252" i="8"/>
  <c r="U255" i="8" s="1"/>
  <c r="U244" i="8"/>
  <c r="J252" i="8"/>
  <c r="J255" i="8" s="1"/>
  <c r="J244" i="8"/>
  <c r="S252" i="8"/>
  <c r="S255" i="8" s="1"/>
  <c r="S244" i="8"/>
  <c r="I252" i="8"/>
  <c r="I255" i="8" s="1"/>
  <c r="I244" i="8"/>
  <c r="T252" i="8"/>
  <c r="T255" i="8" s="1"/>
  <c r="T244" i="8"/>
  <c r="E252" i="8"/>
  <c r="E255" i="8" s="1"/>
  <c r="E244" i="8"/>
  <c r="L244" i="8"/>
  <c r="L252" i="8"/>
  <c r="L255" i="8" s="1"/>
  <c r="H252" i="8"/>
  <c r="H255" i="8" s="1"/>
  <c r="H244" i="8"/>
  <c r="O244" i="8"/>
  <c r="O252" i="8"/>
  <c r="O255" i="8" s="1"/>
  <c r="F252" i="8"/>
  <c r="F255" i="8" s="1"/>
  <c r="F244" i="8"/>
  <c r="W255" i="8"/>
  <c r="T191" i="8"/>
  <c r="T194" i="8"/>
  <c r="N192" i="8"/>
  <c r="T193" i="8"/>
  <c r="T190" i="8"/>
  <c r="N189" i="8"/>
  <c r="U191" i="8" l="1"/>
  <c r="U193" i="8"/>
  <c r="U194" i="8"/>
  <c r="O189" i="8"/>
  <c r="U190" i="8"/>
  <c r="O192" i="8"/>
  <c r="V190" i="8" l="1"/>
  <c r="V194" i="8"/>
  <c r="V191" i="8"/>
  <c r="V193" i="8"/>
  <c r="P192" i="8"/>
  <c r="P189" i="8"/>
  <c r="W193" i="8" l="1"/>
  <c r="Q192" i="8"/>
  <c r="W191" i="8"/>
  <c r="Q189" i="8"/>
  <c r="W190" i="8"/>
  <c r="W194" i="8" l="1"/>
  <c r="R192" i="8"/>
  <c r="R189" i="8"/>
  <c r="S192" i="8" l="1"/>
  <c r="S189" i="8"/>
  <c r="T192" i="8" l="1"/>
  <c r="T189" i="8"/>
  <c r="U192" i="8" l="1"/>
  <c r="U189" i="8"/>
  <c r="C150" i="5"/>
  <c r="C167" i="4"/>
  <c r="C168" i="4"/>
  <c r="C169" i="4"/>
  <c r="C116" i="5"/>
  <c r="C113" i="4" l="1"/>
  <c r="C443" i="7"/>
  <c r="C149" i="5"/>
  <c r="C149" i="7"/>
  <c r="C118" i="5"/>
  <c r="C147" i="5"/>
  <c r="C148" i="5"/>
  <c r="C145" i="5"/>
  <c r="C146" i="5"/>
  <c r="C143" i="5"/>
  <c r="C154" i="7"/>
  <c r="C153" i="7"/>
  <c r="C120" i="5"/>
  <c r="C148" i="7"/>
  <c r="C147" i="7"/>
  <c r="C144" i="5"/>
  <c r="C150" i="7"/>
  <c r="C117" i="5"/>
  <c r="C152" i="7"/>
  <c r="C119" i="5"/>
  <c r="C146" i="7"/>
  <c r="C174" i="7"/>
  <c r="C173" i="7"/>
  <c r="C169" i="7"/>
  <c r="C168" i="7"/>
  <c r="C170" i="7"/>
  <c r="C172" i="7"/>
  <c r="C170" i="4"/>
  <c r="B165" i="8"/>
  <c r="B225" i="8" s="1"/>
  <c r="C450" i="7"/>
  <c r="C630" i="7"/>
  <c r="B160" i="8"/>
  <c r="B220" i="8" s="1"/>
  <c r="C623" i="7"/>
  <c r="B161" i="8"/>
  <c r="B221" i="8" s="1"/>
  <c r="C445" i="7"/>
  <c r="C625" i="7"/>
  <c r="B152" i="8"/>
  <c r="B212" i="8" s="1"/>
  <c r="C433" i="7"/>
  <c r="C613" i="7"/>
  <c r="C117" i="7"/>
  <c r="B163" i="8"/>
  <c r="B223" i="8" s="1"/>
  <c r="C627" i="7"/>
  <c r="C447" i="7"/>
  <c r="B146" i="8"/>
  <c r="B206" i="8" s="1"/>
  <c r="C425" i="7"/>
  <c r="C605" i="7"/>
  <c r="C119" i="7"/>
  <c r="B164" i="8"/>
  <c r="B224" i="8" s="1"/>
  <c r="C449" i="7"/>
  <c r="C629" i="7"/>
  <c r="B166" i="8"/>
  <c r="B226" i="8" s="1"/>
  <c r="C451" i="7"/>
  <c r="C631" i="7"/>
  <c r="V192" i="8"/>
  <c r="V189" i="8"/>
  <c r="B179" i="8"/>
  <c r="B239" i="8" s="1"/>
  <c r="C649" i="7"/>
  <c r="C469" i="7"/>
  <c r="B180" i="8"/>
  <c r="B240" i="8" s="1"/>
  <c r="C650" i="7"/>
  <c r="C470" i="7"/>
  <c r="B178" i="8"/>
  <c r="B238" i="8" s="1"/>
  <c r="C468" i="7"/>
  <c r="C648" i="7"/>
  <c r="B183" i="8"/>
  <c r="B243" i="8" s="1"/>
  <c r="C474" i="7"/>
  <c r="C654" i="7"/>
  <c r="B182" i="8"/>
  <c r="B242" i="8" s="1"/>
  <c r="C473" i="7"/>
  <c r="C653" i="7"/>
  <c r="B181" i="8"/>
  <c r="B241" i="8" s="1"/>
  <c r="C472" i="7"/>
  <c r="C652" i="7"/>
  <c r="C286" i="7"/>
  <c r="C285" i="7"/>
  <c r="C278" i="7"/>
  <c r="C309" i="7"/>
  <c r="C284" i="7"/>
  <c r="C120" i="7"/>
  <c r="C308" i="7"/>
  <c r="C280" i="7"/>
  <c r="C116" i="7"/>
  <c r="C304" i="7"/>
  <c r="C303" i="7"/>
  <c r="C305" i="7"/>
  <c r="C307" i="7"/>
  <c r="C282" i="7"/>
  <c r="C118" i="7"/>
  <c r="C268" i="7"/>
  <c r="C260" i="7"/>
  <c r="C278" i="3"/>
  <c r="C268" i="3"/>
  <c r="C282" i="3"/>
  <c r="C285" i="3"/>
  <c r="C309" i="3"/>
  <c r="C286" i="3"/>
  <c r="C284" i="3"/>
  <c r="C304" i="3"/>
  <c r="C260" i="3"/>
  <c r="C280" i="3"/>
  <c r="C116" i="3"/>
  <c r="C305" i="3"/>
  <c r="C307" i="3"/>
  <c r="C308" i="3"/>
  <c r="C303" i="3"/>
  <c r="W189" i="8" l="1"/>
  <c r="W192" i="8"/>
  <c r="X603" i="7" l="1"/>
  <c r="X423" i="7"/>
  <c r="X258" i="7"/>
  <c r="C93" i="5"/>
  <c r="L618" i="7"/>
  <c r="L438" i="7"/>
  <c r="L273" i="7"/>
  <c r="K438" i="7"/>
  <c r="K273" i="7"/>
  <c r="K618" i="7"/>
  <c r="J618" i="7"/>
  <c r="J438" i="7"/>
  <c r="J273" i="7"/>
  <c r="T273" i="7"/>
  <c r="T618" i="7"/>
  <c r="T438" i="7"/>
  <c r="W438" i="7"/>
  <c r="W273" i="7"/>
  <c r="W618" i="7"/>
  <c r="U618" i="7"/>
  <c r="U438" i="7"/>
  <c r="U273" i="7"/>
  <c r="P618" i="7"/>
  <c r="P438" i="7"/>
  <c r="P273" i="7"/>
  <c r="V618" i="7"/>
  <c r="V438" i="7"/>
  <c r="V273" i="7"/>
  <c r="H438" i="7"/>
  <c r="H273" i="7"/>
  <c r="H618" i="7"/>
  <c r="O618" i="7"/>
  <c r="O273" i="7"/>
  <c r="O438" i="7"/>
  <c r="E438" i="7"/>
  <c r="E273" i="7"/>
  <c r="E618" i="7"/>
  <c r="N618" i="7"/>
  <c r="N438" i="7"/>
  <c r="N273" i="7"/>
  <c r="F438" i="7"/>
  <c r="F618" i="7"/>
  <c r="F273" i="7"/>
  <c r="I618" i="7"/>
  <c r="I273" i="7"/>
  <c r="I438" i="7"/>
  <c r="G273" i="7"/>
  <c r="G618" i="7"/>
  <c r="G438" i="7"/>
  <c r="X618" i="7"/>
  <c r="X273" i="7"/>
  <c r="X438" i="7"/>
  <c r="M273" i="7"/>
  <c r="M618" i="7"/>
  <c r="M438" i="7"/>
  <c r="C94" i="5"/>
  <c r="C92" i="5"/>
  <c r="C90" i="5"/>
  <c r="C90" i="7"/>
  <c r="C91" i="5"/>
  <c r="C89" i="5"/>
  <c r="C89" i="7"/>
  <c r="C140" i="4"/>
  <c r="C139" i="4"/>
  <c r="B145" i="8"/>
  <c r="B205" i="8" s="1"/>
  <c r="C424" i="7"/>
  <c r="C604" i="7"/>
  <c r="B154" i="8"/>
  <c r="B214" i="8" s="1"/>
  <c r="B22" i="10"/>
  <c r="B34" i="10" s="1"/>
  <c r="C615" i="7"/>
  <c r="C435" i="7"/>
  <c r="B142" i="8"/>
  <c r="B202" i="8" s="1"/>
  <c r="C601" i="7"/>
  <c r="C421" i="7"/>
  <c r="B143" i="8"/>
  <c r="B203" i="8" s="1"/>
  <c r="B21" i="10"/>
  <c r="B33" i="10" s="1"/>
  <c r="C422" i="7"/>
  <c r="C602" i="7"/>
  <c r="B153" i="8"/>
  <c r="B213" i="8" s="1"/>
  <c r="C434" i="7"/>
  <c r="C614" i="7"/>
  <c r="B144" i="8"/>
  <c r="B204" i="8" s="1"/>
  <c r="C423" i="7"/>
  <c r="C603" i="7"/>
  <c r="C258" i="7"/>
  <c r="C259" i="7"/>
  <c r="C270" i="7"/>
  <c r="C269" i="7"/>
  <c r="C256" i="7"/>
  <c r="C257" i="7"/>
  <c r="C258" i="3"/>
  <c r="C256" i="3"/>
  <c r="B14" i="10"/>
  <c r="C257" i="3"/>
  <c r="C259" i="3"/>
  <c r="C269" i="3"/>
  <c r="B15" i="10"/>
  <c r="C270" i="3"/>
  <c r="E85" i="4"/>
  <c r="C70" i="4"/>
  <c r="C76" i="4"/>
  <c r="C77" i="4"/>
  <c r="C78" i="4"/>
  <c r="C79" i="4"/>
  <c r="C81" i="4"/>
  <c r="C83" i="4"/>
  <c r="C85" i="4"/>
  <c r="C86" i="4"/>
  <c r="C87" i="4"/>
  <c r="C88" i="4"/>
  <c r="C89" i="4"/>
  <c r="C90" i="4"/>
  <c r="C152" i="4"/>
  <c r="C153" i="4"/>
  <c r="C154" i="4"/>
  <c r="C155" i="4"/>
  <c r="C171" i="4"/>
  <c r="C172" i="4"/>
  <c r="C173" i="4"/>
  <c r="C174" i="4"/>
  <c r="C175" i="4"/>
  <c r="C176" i="4"/>
  <c r="C177" i="4"/>
  <c r="C189" i="4"/>
  <c r="C194" i="4"/>
  <c r="C199" i="4"/>
  <c r="C200" i="4"/>
  <c r="C208" i="4"/>
  <c r="C209" i="4"/>
  <c r="C210" i="4"/>
  <c r="C211" i="4"/>
  <c r="C212" i="4"/>
  <c r="C213" i="4"/>
  <c r="C214" i="4"/>
  <c r="C215" i="4"/>
  <c r="C216" i="4"/>
  <c r="C217" i="4"/>
  <c r="C218" i="4"/>
  <c r="C219" i="4"/>
  <c r="C220" i="4"/>
  <c r="C221" i="4"/>
  <c r="C61" i="4"/>
  <c r="C71" i="3"/>
  <c r="C74" i="3"/>
  <c r="C75" i="3"/>
  <c r="C76" i="3"/>
  <c r="C77" i="3"/>
  <c r="C78" i="3"/>
  <c r="C81" i="3"/>
  <c r="C83" i="3"/>
  <c r="C84" i="3"/>
  <c r="C86" i="3"/>
  <c r="C87" i="3"/>
  <c r="C88" i="3"/>
  <c r="C89" i="3"/>
  <c r="C90" i="3"/>
  <c r="C146" i="3"/>
  <c r="C147" i="3"/>
  <c r="C148" i="3"/>
  <c r="C149" i="3"/>
  <c r="C150" i="3"/>
  <c r="C151" i="3"/>
  <c r="C152" i="3"/>
  <c r="C153" i="3"/>
  <c r="C154" i="3"/>
  <c r="C155" i="3"/>
  <c r="C169" i="3"/>
  <c r="C174" i="3"/>
  <c r="C178" i="3"/>
  <c r="C179" i="3"/>
  <c r="C186" i="3"/>
  <c r="C187" i="3"/>
  <c r="C188" i="3"/>
  <c r="C189" i="3"/>
  <c r="C190" i="3"/>
  <c r="C191" i="3"/>
  <c r="C192" i="3"/>
  <c r="C193" i="3"/>
  <c r="C194" i="3"/>
  <c r="C195" i="3"/>
  <c r="C196" i="3"/>
  <c r="C197" i="3"/>
  <c r="C198" i="3"/>
  <c r="C199" i="3"/>
  <c r="C200" i="3"/>
  <c r="C201" i="3"/>
  <c r="C202" i="3"/>
  <c r="C203" i="3"/>
  <c r="C204" i="3"/>
  <c r="C205" i="3"/>
  <c r="C206" i="3"/>
  <c r="C208" i="3"/>
  <c r="C209" i="3"/>
  <c r="C210" i="3"/>
  <c r="C211" i="3"/>
  <c r="C301" i="3"/>
  <c r="C130" i="5"/>
  <c r="C170" i="3"/>
  <c r="C172" i="3"/>
  <c r="C193" i="4"/>
  <c r="C107" i="4"/>
  <c r="C106" i="4"/>
  <c r="C201" i="4"/>
  <c r="C103" i="5"/>
  <c r="B26" i="13"/>
  <c r="B25" i="13"/>
  <c r="B24" i="13"/>
  <c r="B23" i="13"/>
  <c r="F161" i="4"/>
  <c r="G161" i="4"/>
  <c r="H161" i="4"/>
  <c r="I161" i="4"/>
  <c r="J161" i="4"/>
  <c r="K161" i="4"/>
  <c r="L161" i="4"/>
  <c r="M161" i="4"/>
  <c r="N161" i="4"/>
  <c r="O161" i="4"/>
  <c r="P161" i="4"/>
  <c r="T161" i="4"/>
  <c r="U161" i="4"/>
  <c r="V161" i="4"/>
  <c r="W161" i="4"/>
  <c r="X161" i="4"/>
  <c r="E161" i="4"/>
  <c r="E160" i="4"/>
  <c r="C110" i="4" l="1"/>
  <c r="C109" i="4"/>
  <c r="C133" i="7"/>
  <c r="C133" i="5"/>
  <c r="C299" i="3"/>
  <c r="C135" i="5"/>
  <c r="C135" i="3"/>
  <c r="C135" i="7"/>
  <c r="C115" i="5"/>
  <c r="C112" i="7"/>
  <c r="C112" i="3"/>
  <c r="C112" i="5"/>
  <c r="C135" i="4"/>
  <c r="C134" i="4"/>
  <c r="C133" i="4"/>
  <c r="C131" i="3"/>
  <c r="C141" i="5"/>
  <c r="C142" i="5"/>
  <c r="C139" i="5"/>
  <c r="C140" i="5"/>
  <c r="C140" i="3"/>
  <c r="C140" i="7"/>
  <c r="C114" i="5"/>
  <c r="C109" i="5"/>
  <c r="C100" i="5"/>
  <c r="C137" i="5"/>
  <c r="C138" i="5"/>
  <c r="C101" i="5"/>
  <c r="C129" i="5"/>
  <c r="C134" i="5"/>
  <c r="C110" i="5"/>
  <c r="C113" i="5"/>
  <c r="C106" i="5"/>
  <c r="C121" i="5"/>
  <c r="C121" i="7"/>
  <c r="C131" i="5"/>
  <c r="C107" i="5"/>
  <c r="C122" i="5"/>
  <c r="C122" i="7"/>
  <c r="C98" i="5"/>
  <c r="C95" i="5"/>
  <c r="C104" i="7"/>
  <c r="C99" i="5"/>
  <c r="C97" i="5"/>
  <c r="C105" i="5"/>
  <c r="C104" i="5"/>
  <c r="C156" i="7"/>
  <c r="C123" i="5"/>
  <c r="C157" i="7"/>
  <c r="C124" i="5"/>
  <c r="C143" i="3"/>
  <c r="C108" i="5"/>
  <c r="C158" i="7"/>
  <c r="C125" i="5"/>
  <c r="C139" i="7"/>
  <c r="C136" i="5"/>
  <c r="C159" i="7"/>
  <c r="C126" i="5"/>
  <c r="C160" i="7"/>
  <c r="C127" i="5"/>
  <c r="C161" i="7"/>
  <c r="C128" i="5"/>
  <c r="C105" i="7"/>
  <c r="C102" i="5"/>
  <c r="C114" i="7"/>
  <c r="C114" i="4"/>
  <c r="C138" i="7"/>
  <c r="C138" i="4"/>
  <c r="C145" i="7"/>
  <c r="C115" i="7"/>
  <c r="B27" i="13"/>
  <c r="C144" i="4"/>
  <c r="C144" i="7"/>
  <c r="C156" i="3"/>
  <c r="C161" i="4"/>
  <c r="C92" i="7"/>
  <c r="C94" i="3"/>
  <c r="C160" i="4"/>
  <c r="C93" i="3"/>
  <c r="C159" i="4"/>
  <c r="C94" i="4"/>
  <c r="C91" i="7"/>
  <c r="C162" i="7"/>
  <c r="C162" i="4"/>
  <c r="C145" i="3"/>
  <c r="C92" i="3"/>
  <c r="C158" i="4"/>
  <c r="C93" i="4"/>
  <c r="C163" i="7"/>
  <c r="C163" i="4"/>
  <c r="C144" i="3"/>
  <c r="C157" i="4"/>
  <c r="C92" i="4"/>
  <c r="C95" i="7"/>
  <c r="C164" i="7"/>
  <c r="C164" i="4"/>
  <c r="C156" i="4"/>
  <c r="C91" i="4"/>
  <c r="B28" i="13"/>
  <c r="C97" i="7"/>
  <c r="C142" i="4"/>
  <c r="C142" i="7"/>
  <c r="C165" i="7"/>
  <c r="C165" i="4"/>
  <c r="C142" i="3"/>
  <c r="C93" i="7"/>
  <c r="C94" i="7"/>
  <c r="C141" i="4"/>
  <c r="C141" i="7"/>
  <c r="C143" i="7"/>
  <c r="C143" i="4"/>
  <c r="C166" i="7"/>
  <c r="C166" i="4"/>
  <c r="C157" i="3"/>
  <c r="C141" i="3"/>
  <c r="C95" i="4"/>
  <c r="C106" i="7"/>
  <c r="B155" i="8"/>
  <c r="B215" i="8" s="1"/>
  <c r="C616" i="7"/>
  <c r="C436" i="7"/>
  <c r="C123" i="7"/>
  <c r="B167" i="8"/>
  <c r="B227" i="8" s="1"/>
  <c r="C453" i="7"/>
  <c r="C633" i="7"/>
  <c r="B175" i="8"/>
  <c r="B235" i="8" s="1"/>
  <c r="C641" i="7"/>
  <c r="C461" i="7"/>
  <c r="B156" i="8"/>
  <c r="B216" i="8" s="1"/>
  <c r="B23" i="10"/>
  <c r="B35" i="10" s="1"/>
  <c r="C617" i="7"/>
  <c r="C437" i="7"/>
  <c r="B168" i="8"/>
  <c r="B228" i="8" s="1"/>
  <c r="C634" i="7"/>
  <c r="C454" i="7"/>
  <c r="B176" i="8"/>
  <c r="B236" i="8" s="1"/>
  <c r="C644" i="7"/>
  <c r="C464" i="7"/>
  <c r="C98" i="7"/>
  <c r="B147" i="8"/>
  <c r="B207" i="8" s="1"/>
  <c r="C608" i="7"/>
  <c r="C428" i="7"/>
  <c r="B169" i="8"/>
  <c r="B229" i="8" s="1"/>
  <c r="C635" i="7"/>
  <c r="C455" i="7"/>
  <c r="B177" i="8"/>
  <c r="B237" i="8" s="1"/>
  <c r="C646" i="7"/>
  <c r="C466" i="7"/>
  <c r="B157" i="8"/>
  <c r="B217" i="8" s="1"/>
  <c r="C618" i="7"/>
  <c r="C438" i="7"/>
  <c r="B148" i="8"/>
  <c r="B208" i="8" s="1"/>
  <c r="C609" i="7"/>
  <c r="C429" i="7"/>
  <c r="B158" i="8"/>
  <c r="B218" i="8" s="1"/>
  <c r="C439" i="7"/>
  <c r="C619" i="7"/>
  <c r="B170" i="8"/>
  <c r="B230" i="8" s="1"/>
  <c r="C636" i="7"/>
  <c r="C456" i="7"/>
  <c r="B149" i="8"/>
  <c r="B209" i="8" s="1"/>
  <c r="C610" i="7"/>
  <c r="C430" i="7"/>
  <c r="B171" i="8"/>
  <c r="B231" i="8" s="1"/>
  <c r="C457" i="7"/>
  <c r="C637" i="7"/>
  <c r="B174" i="8"/>
  <c r="B234" i="8" s="1"/>
  <c r="C460" i="7"/>
  <c r="C640" i="7"/>
  <c r="B150" i="8"/>
  <c r="B210" i="8" s="1"/>
  <c r="C431" i="7"/>
  <c r="C611" i="7"/>
  <c r="B172" i="8"/>
  <c r="B232" i="8" s="1"/>
  <c r="B24" i="10"/>
  <c r="B36" i="10" s="1"/>
  <c r="C458" i="7"/>
  <c r="C638" i="7"/>
  <c r="B159" i="8"/>
  <c r="B219" i="8" s="1"/>
  <c r="C440" i="7"/>
  <c r="C620" i="7"/>
  <c r="B151" i="8"/>
  <c r="B211" i="8" s="1"/>
  <c r="C432" i="7"/>
  <c r="C612" i="7"/>
  <c r="B173" i="8"/>
  <c r="B233" i="8" s="1"/>
  <c r="C459" i="7"/>
  <c r="C639" i="7"/>
  <c r="C577" i="7"/>
  <c r="C397" i="7"/>
  <c r="C578" i="7"/>
  <c r="C398" i="7"/>
  <c r="C63" i="7"/>
  <c r="C393" i="7"/>
  <c r="C573" i="7"/>
  <c r="C394" i="7"/>
  <c r="C574" i="7"/>
  <c r="C395" i="7"/>
  <c r="C575" i="7"/>
  <c r="C576" i="7"/>
  <c r="C396" i="7"/>
  <c r="B28" i="10"/>
  <c r="B27" i="10"/>
  <c r="C232" i="7"/>
  <c r="C68" i="7"/>
  <c r="C271" i="7"/>
  <c r="C107" i="7"/>
  <c r="C288" i="7"/>
  <c r="C124" i="7"/>
  <c r="C296" i="7"/>
  <c r="C134" i="7"/>
  <c r="C233" i="7"/>
  <c r="C69" i="7"/>
  <c r="C69" i="5"/>
  <c r="C272" i="7"/>
  <c r="C108" i="7"/>
  <c r="C289" i="7"/>
  <c r="C125" i="7"/>
  <c r="C299" i="7"/>
  <c r="C136" i="7"/>
  <c r="C99" i="7"/>
  <c r="C263" i="7"/>
  <c r="C273" i="7"/>
  <c r="C109" i="7"/>
  <c r="C290" i="7"/>
  <c r="C126" i="7"/>
  <c r="C301" i="7"/>
  <c r="C137" i="7"/>
  <c r="C264" i="7"/>
  <c r="C100" i="7"/>
  <c r="C274" i="7"/>
  <c r="C110" i="7"/>
  <c r="C291" i="7"/>
  <c r="C127" i="7"/>
  <c r="C228" i="7"/>
  <c r="C64" i="7"/>
  <c r="C101" i="7"/>
  <c r="C265" i="7"/>
  <c r="C275" i="7"/>
  <c r="C113" i="7"/>
  <c r="C292" i="7"/>
  <c r="C128" i="7"/>
  <c r="C229" i="7"/>
  <c r="C65" i="7"/>
  <c r="C102" i="7"/>
  <c r="C266" i="7"/>
  <c r="C293" i="7"/>
  <c r="C129" i="7"/>
  <c r="C230" i="7"/>
  <c r="C66" i="7"/>
  <c r="C267" i="7"/>
  <c r="C103" i="7"/>
  <c r="C294" i="7"/>
  <c r="C130" i="7"/>
  <c r="C231" i="7"/>
  <c r="C67" i="7"/>
  <c r="C295" i="7"/>
  <c r="C131" i="7"/>
  <c r="C66" i="5"/>
  <c r="C67" i="5"/>
  <c r="C63" i="5"/>
  <c r="C68" i="5"/>
  <c r="C295" i="3"/>
  <c r="C267" i="3"/>
  <c r="C296" i="3"/>
  <c r="S85" i="4"/>
  <c r="Q85" i="4"/>
  <c r="R85" i="4"/>
  <c r="C229" i="3"/>
  <c r="C64" i="5"/>
  <c r="C230" i="3"/>
  <c r="C65" i="5"/>
  <c r="C63" i="4"/>
  <c r="C228" i="3"/>
  <c r="C72" i="3"/>
  <c r="C232" i="3"/>
  <c r="C233" i="3"/>
  <c r="C66" i="4"/>
  <c r="C231" i="3"/>
  <c r="C271" i="3"/>
  <c r="B16" i="10"/>
  <c r="C272" i="3"/>
  <c r="C292" i="3"/>
  <c r="B17" i="10"/>
  <c r="C293" i="3"/>
  <c r="C273" i="3"/>
  <c r="C196" i="4"/>
  <c r="C274" i="3"/>
  <c r="C105" i="4"/>
  <c r="C264" i="3"/>
  <c r="C165" i="3"/>
  <c r="C291" i="3"/>
  <c r="C183" i="3"/>
  <c r="C265" i="3"/>
  <c r="C112" i="4"/>
  <c r="C275" i="3"/>
  <c r="C162" i="3"/>
  <c r="C294" i="3"/>
  <c r="C98" i="4"/>
  <c r="C263" i="3"/>
  <c r="C101" i="4"/>
  <c r="C266" i="3"/>
  <c r="C188" i="4"/>
  <c r="C288" i="3"/>
  <c r="C186" i="4"/>
  <c r="C290" i="3"/>
  <c r="C187" i="4"/>
  <c r="C289" i="3"/>
  <c r="C97" i="4"/>
  <c r="C181" i="4"/>
  <c r="C131" i="4"/>
  <c r="C180" i="4"/>
  <c r="C179" i="4"/>
  <c r="C136" i="4"/>
  <c r="C178" i="4"/>
  <c r="C137" i="4"/>
  <c r="C130" i="3"/>
  <c r="C133" i="3"/>
  <c r="C150" i="4"/>
  <c r="C148" i="4"/>
  <c r="C136" i="3"/>
  <c r="C134" i="3"/>
  <c r="C151" i="4"/>
  <c r="C149" i="4"/>
  <c r="C139" i="3"/>
  <c r="C147" i="4"/>
  <c r="C138" i="3"/>
  <c r="C117" i="4"/>
  <c r="C173" i="3"/>
  <c r="C91" i="3"/>
  <c r="C101" i="3"/>
  <c r="C137" i="3"/>
  <c r="C95" i="3"/>
  <c r="C61" i="3"/>
  <c r="C79" i="3"/>
  <c r="C182" i="3"/>
  <c r="C176" i="3"/>
  <c r="C168" i="3"/>
  <c r="C160" i="3"/>
  <c r="C192" i="4"/>
  <c r="C184" i="4"/>
  <c r="C161" i="3"/>
  <c r="C185" i="4"/>
  <c r="C65" i="4"/>
  <c r="C181" i="3"/>
  <c r="C175" i="3"/>
  <c r="C167" i="3"/>
  <c r="C159" i="3"/>
  <c r="C198" i="4"/>
  <c r="C191" i="4"/>
  <c r="C183" i="4"/>
  <c r="C180" i="3"/>
  <c r="C166" i="3"/>
  <c r="C158" i="3"/>
  <c r="C205" i="4"/>
  <c r="C197" i="4"/>
  <c r="C190" i="4"/>
  <c r="C182" i="4"/>
  <c r="C204" i="4"/>
  <c r="C164" i="3"/>
  <c r="C203" i="4"/>
  <c r="C185" i="3"/>
  <c r="C177" i="3"/>
  <c r="C171" i="3"/>
  <c r="C163" i="3"/>
  <c r="C202" i="4"/>
  <c r="C195" i="4"/>
  <c r="C184" i="3"/>
  <c r="C145" i="4"/>
  <c r="C115" i="4"/>
  <c r="C116" i="4"/>
  <c r="C125" i="4"/>
  <c r="C126" i="4"/>
  <c r="C120" i="4"/>
  <c r="C128" i="4"/>
  <c r="C74" i="4"/>
  <c r="C121" i="4"/>
  <c r="C129" i="4"/>
  <c r="C129" i="3"/>
  <c r="C70" i="3"/>
  <c r="C124" i="4"/>
  <c r="C71" i="4"/>
  <c r="C146" i="4"/>
  <c r="C73" i="3"/>
  <c r="C127" i="4"/>
  <c r="C118" i="4"/>
  <c r="C68" i="4"/>
  <c r="C119" i="4"/>
  <c r="C67" i="4"/>
  <c r="C99" i="4"/>
  <c r="C122" i="4"/>
  <c r="C130" i="4"/>
  <c r="C110" i="3"/>
  <c r="C100" i="4"/>
  <c r="C123" i="4"/>
  <c r="C102" i="3"/>
  <c r="C104" i="4"/>
  <c r="C64" i="4"/>
  <c r="C69" i="3"/>
  <c r="C69" i="4"/>
  <c r="C127" i="3"/>
  <c r="C103" i="4"/>
  <c r="C114" i="3"/>
  <c r="C109" i="3"/>
  <c r="C63" i="3"/>
  <c r="C128" i="3"/>
  <c r="C108" i="3"/>
  <c r="C105" i="3"/>
  <c r="C122" i="3"/>
  <c r="C102" i="4"/>
  <c r="C120" i="3"/>
  <c r="C115" i="3"/>
  <c r="C119" i="3"/>
  <c r="C126" i="3"/>
  <c r="C118" i="3"/>
  <c r="C100" i="3"/>
  <c r="C67" i="3"/>
  <c r="C68" i="3"/>
  <c r="C125" i="3"/>
  <c r="C117" i="3"/>
  <c r="C107" i="3"/>
  <c r="C99" i="3"/>
  <c r="C66" i="3"/>
  <c r="C124" i="3"/>
  <c r="C106" i="3"/>
  <c r="C98" i="3"/>
  <c r="C65" i="3"/>
  <c r="C123" i="3"/>
  <c r="C97" i="3"/>
  <c r="C64" i="3"/>
  <c r="C104" i="3"/>
  <c r="C121" i="3"/>
  <c r="C113" i="3"/>
  <c r="C103" i="3"/>
  <c r="D45" i="8" l="1"/>
  <c r="F63" i="8"/>
  <c r="F45" i="8"/>
  <c r="E63" i="8"/>
  <c r="E45" i="8"/>
  <c r="R595" i="7"/>
  <c r="R813" i="7" s="1"/>
  <c r="R250" i="7"/>
  <c r="R771" i="7" s="1"/>
  <c r="R84" i="3"/>
  <c r="R403" i="3" s="1"/>
  <c r="Q595" i="7"/>
  <c r="Q813" i="7" s="1"/>
  <c r="Q250" i="7"/>
  <c r="Q771" i="7" s="1"/>
  <c r="Q84" i="3"/>
  <c r="Q403" i="3" s="1"/>
  <c r="S595" i="7"/>
  <c r="S813" i="7" s="1"/>
  <c r="S250" i="7"/>
  <c r="S771" i="7" s="1"/>
  <c r="S84" i="3"/>
  <c r="S403" i="3" s="1"/>
  <c r="B30" i="10"/>
  <c r="B29" i="10"/>
  <c r="E158" i="4"/>
  <c r="X85" i="4"/>
  <c r="F85" i="4"/>
  <c r="G85" i="4"/>
  <c r="H85" i="4"/>
  <c r="I85" i="4"/>
  <c r="J85" i="4"/>
  <c r="K85" i="4"/>
  <c r="L85" i="4"/>
  <c r="M85" i="4"/>
  <c r="N85" i="4"/>
  <c r="O85" i="4"/>
  <c r="P85" i="4"/>
  <c r="T85" i="4"/>
  <c r="U85" i="4"/>
  <c r="V85" i="4"/>
  <c r="W85" i="4"/>
  <c r="I619" i="7" l="1"/>
  <c r="I439" i="7"/>
  <c r="I274" i="7"/>
  <c r="U274" i="7"/>
  <c r="U439" i="7"/>
  <c r="U619" i="7"/>
  <c r="J274" i="7"/>
  <c r="J619" i="7"/>
  <c r="J439" i="7"/>
  <c r="V424" i="7"/>
  <c r="V604" i="7"/>
  <c r="V259" i="7"/>
  <c r="U259" i="7"/>
  <c r="U424" i="7"/>
  <c r="U604" i="7"/>
  <c r="J424" i="7"/>
  <c r="J604" i="7"/>
  <c r="J259" i="7"/>
  <c r="H619" i="7"/>
  <c r="H439" i="7"/>
  <c r="H274" i="7"/>
  <c r="T424" i="7"/>
  <c r="T259" i="7"/>
  <c r="T604" i="7"/>
  <c r="I424" i="7"/>
  <c r="I259" i="7"/>
  <c r="I604" i="7"/>
  <c r="O619" i="7"/>
  <c r="O439" i="7"/>
  <c r="O274" i="7"/>
  <c r="G619" i="7"/>
  <c r="G439" i="7"/>
  <c r="G274" i="7"/>
  <c r="P424" i="7"/>
  <c r="P604" i="7"/>
  <c r="P259" i="7"/>
  <c r="H424" i="7"/>
  <c r="H794" i="7" s="1"/>
  <c r="H604" i="7"/>
  <c r="H259" i="7"/>
  <c r="T274" i="7"/>
  <c r="T439" i="7"/>
  <c r="T619" i="7"/>
  <c r="N619" i="7"/>
  <c r="N274" i="7"/>
  <c r="N439" i="7"/>
  <c r="F619" i="7"/>
  <c r="F439" i="7"/>
  <c r="F274" i="7"/>
  <c r="O259" i="7"/>
  <c r="O604" i="7"/>
  <c r="O815" i="7" s="1"/>
  <c r="O424" i="7"/>
  <c r="G604" i="7"/>
  <c r="G424" i="7"/>
  <c r="G259" i="7"/>
  <c r="X619" i="7"/>
  <c r="X439" i="7"/>
  <c r="X274" i="7"/>
  <c r="M619" i="7"/>
  <c r="M274" i="7"/>
  <c r="M439" i="7"/>
  <c r="E259" i="7"/>
  <c r="E424" i="7"/>
  <c r="E604" i="7"/>
  <c r="N259" i="7"/>
  <c r="N773" i="7" s="1"/>
  <c r="N604" i="7"/>
  <c r="N424" i="7"/>
  <c r="F604" i="7"/>
  <c r="F424" i="7"/>
  <c r="F259" i="7"/>
  <c r="P274" i="7"/>
  <c r="P439" i="7"/>
  <c r="P619" i="7"/>
  <c r="L274" i="7"/>
  <c r="L439" i="7"/>
  <c r="L619" i="7"/>
  <c r="X604" i="7"/>
  <c r="X259" i="7"/>
  <c r="X424" i="7"/>
  <c r="M259" i="7"/>
  <c r="M424" i="7"/>
  <c r="M794" i="7" s="1"/>
  <c r="M604" i="7"/>
  <c r="W439" i="7"/>
  <c r="W619" i="7"/>
  <c r="W274" i="7"/>
  <c r="V619" i="7"/>
  <c r="V439" i="7"/>
  <c r="V274" i="7"/>
  <c r="K274" i="7"/>
  <c r="K773" i="7" s="1"/>
  <c r="K619" i="7"/>
  <c r="K815" i="7" s="1"/>
  <c r="K439" i="7"/>
  <c r="K794" i="7" s="1"/>
  <c r="W259" i="7"/>
  <c r="W604" i="7"/>
  <c r="W424" i="7"/>
  <c r="L424" i="7"/>
  <c r="L259" i="7"/>
  <c r="L604" i="7"/>
  <c r="U595" i="7"/>
  <c r="U250" i="7"/>
  <c r="U84" i="3"/>
  <c r="J84" i="3"/>
  <c r="J595" i="7"/>
  <c r="J250" i="7"/>
  <c r="N84" i="3"/>
  <c r="N595" i="7"/>
  <c r="N250" i="7"/>
  <c r="T250" i="7"/>
  <c r="T595" i="7"/>
  <c r="T84" i="3"/>
  <c r="P250" i="7"/>
  <c r="P84" i="3"/>
  <c r="P595" i="7"/>
  <c r="H84" i="3"/>
  <c r="H595" i="7"/>
  <c r="H250" i="7"/>
  <c r="O250" i="7"/>
  <c r="O84" i="3"/>
  <c r="O595" i="7"/>
  <c r="G84" i="3"/>
  <c r="G595" i="7"/>
  <c r="G250" i="7"/>
  <c r="F84" i="3"/>
  <c r="F250" i="7"/>
  <c r="F595" i="7"/>
  <c r="E84" i="3"/>
  <c r="E250" i="7"/>
  <c r="M595" i="7"/>
  <c r="M84" i="3"/>
  <c r="M250" i="7"/>
  <c r="X250" i="7"/>
  <c r="X595" i="7"/>
  <c r="X84" i="3"/>
  <c r="I84" i="3"/>
  <c r="I595" i="7"/>
  <c r="I250" i="7"/>
  <c r="W595" i="7"/>
  <c r="W250" i="7"/>
  <c r="W84" i="3"/>
  <c r="L84" i="3"/>
  <c r="L595" i="7"/>
  <c r="L250" i="7"/>
  <c r="V250" i="7"/>
  <c r="V595" i="7"/>
  <c r="V84" i="3"/>
  <c r="K84" i="3"/>
  <c r="K250" i="7"/>
  <c r="K595" i="7"/>
  <c r="U794" i="7" l="1"/>
  <c r="F794" i="7"/>
  <c r="G815" i="7"/>
  <c r="T815" i="7"/>
  <c r="L794" i="7"/>
  <c r="U773" i="7"/>
  <c r="I794" i="7"/>
  <c r="J794" i="7"/>
  <c r="G773" i="7"/>
  <c r="H815" i="7"/>
  <c r="L815" i="7"/>
  <c r="X773" i="7"/>
  <c r="I815" i="7"/>
  <c r="I773" i="7"/>
  <c r="L773" i="7"/>
  <c r="M773" i="7"/>
  <c r="H773" i="7"/>
  <c r="T794" i="7"/>
  <c r="W794" i="7"/>
  <c r="W815" i="7"/>
  <c r="W773" i="7"/>
  <c r="T773" i="7"/>
  <c r="F773" i="7"/>
  <c r="G794" i="7"/>
  <c r="F815" i="7"/>
  <c r="J773" i="7"/>
  <c r="J815" i="7"/>
  <c r="X794" i="7"/>
  <c r="U815" i="7"/>
  <c r="O794" i="7"/>
  <c r="N794" i="7"/>
  <c r="X815" i="7"/>
  <c r="P773" i="7"/>
  <c r="V773" i="7"/>
  <c r="P815" i="7"/>
  <c r="V815" i="7"/>
  <c r="P794" i="7"/>
  <c r="V794" i="7"/>
  <c r="M815" i="7"/>
  <c r="N815" i="7"/>
  <c r="O773" i="7"/>
  <c r="E619" i="7"/>
  <c r="E815" i="7" s="1"/>
  <c r="E439" i="7"/>
  <c r="E794" i="7" s="1"/>
  <c r="E274" i="7"/>
  <c r="E773" i="7" s="1"/>
  <c r="F154" i="4"/>
  <c r="G154" i="4"/>
  <c r="H154" i="4"/>
  <c r="I154" i="4"/>
  <c r="J154" i="4"/>
  <c r="K154" i="4"/>
  <c r="L154" i="4"/>
  <c r="M154" i="4"/>
  <c r="N154" i="4"/>
  <c r="O154" i="4"/>
  <c r="P154" i="4"/>
  <c r="T154" i="4"/>
  <c r="U154" i="4"/>
  <c r="V154" i="4"/>
  <c r="W154" i="4"/>
  <c r="X154" i="4"/>
  <c r="E154" i="4"/>
  <c r="E77" i="4" l="1"/>
  <c r="F77" i="4"/>
  <c r="G77" i="4"/>
  <c r="E78" i="4"/>
  <c r="F78" i="4"/>
  <c r="G78" i="4"/>
  <c r="E81" i="4"/>
  <c r="F81" i="4"/>
  <c r="G81" i="4"/>
  <c r="E86" i="4"/>
  <c r="F86" i="4"/>
  <c r="G86" i="4"/>
  <c r="F588" i="7" l="1"/>
  <c r="F813" i="7" s="1"/>
  <c r="F408" i="7"/>
  <c r="F792" i="7" s="1"/>
  <c r="F243" i="7"/>
  <c r="F771" i="7" s="1"/>
  <c r="G588" i="7"/>
  <c r="G813" i="7" s="1"/>
  <c r="G408" i="7"/>
  <c r="G792" i="7" s="1"/>
  <c r="G243" i="7"/>
  <c r="G771" i="7" s="1"/>
  <c r="E588" i="7"/>
  <c r="E813" i="7" s="1"/>
  <c r="E408" i="7"/>
  <c r="E792" i="7" s="1"/>
  <c r="E243" i="7"/>
  <c r="E771" i="7" s="1"/>
  <c r="G79" i="3"/>
  <c r="G403" i="3" s="1"/>
  <c r="G79" i="7"/>
  <c r="G750" i="7" s="1"/>
  <c r="F79" i="3"/>
  <c r="F403" i="3" s="1"/>
  <c r="F79" i="7"/>
  <c r="F750" i="7" s="1"/>
  <c r="E79" i="3"/>
  <c r="E403" i="3" s="1"/>
  <c r="E79" i="7"/>
  <c r="E750" i="7" s="1"/>
  <c r="E393" i="7" l="1"/>
  <c r="E791" i="7" s="1"/>
  <c r="F228" i="3" l="1"/>
  <c r="F423" i="3" s="1"/>
  <c r="F393" i="7"/>
  <c r="F791" i="7" s="1"/>
  <c r="G228" i="3"/>
  <c r="G423" i="3" s="1"/>
  <c r="G393" i="7"/>
  <c r="G791" i="7" s="1"/>
  <c r="H228" i="3"/>
  <c r="H423" i="3" s="1"/>
  <c r="H393" i="7"/>
  <c r="H791" i="7" s="1"/>
  <c r="I228" i="3"/>
  <c r="I393" i="7"/>
  <c r="I791" i="7" s="1"/>
  <c r="K228" i="3"/>
  <c r="K423" i="3" s="1"/>
  <c r="K393" i="7"/>
  <c r="K791" i="7" s="1"/>
  <c r="J228" i="3"/>
  <c r="J423" i="3" s="1"/>
  <c r="J393" i="7"/>
  <c r="J791" i="7" s="1"/>
  <c r="I423" i="3" l="1"/>
  <c r="D44" i="8" s="1"/>
  <c r="L228" i="3"/>
  <c r="L423" i="3" s="1"/>
  <c r="L393" i="7"/>
  <c r="L791" i="7" s="1"/>
  <c r="D42" i="8" l="1"/>
  <c r="M228" i="3"/>
  <c r="M423" i="3" s="1"/>
  <c r="M393" i="7"/>
  <c r="M791" i="7" s="1"/>
  <c r="N228" i="3" l="1"/>
  <c r="N423" i="3" s="1"/>
  <c r="N393" i="7"/>
  <c r="N791" i="7" s="1"/>
  <c r="O393" i="7" l="1"/>
  <c r="O791" i="7" s="1"/>
  <c r="O228" i="3"/>
  <c r="O423" i="3" s="1"/>
  <c r="Q228" i="3" l="1"/>
  <c r="Q423" i="3" s="1"/>
  <c r="Q393" i="7"/>
  <c r="Q791" i="7" s="1"/>
  <c r="S228" i="3"/>
  <c r="S423" i="3" s="1"/>
  <c r="S393" i="7"/>
  <c r="S791" i="7" s="1"/>
  <c r="P393" i="7"/>
  <c r="P791" i="7" s="1"/>
  <c r="P228" i="3"/>
  <c r="P423" i="3" s="1"/>
  <c r="R393" i="7"/>
  <c r="R791" i="7" s="1"/>
  <c r="R228" i="3"/>
  <c r="R423" i="3" s="1"/>
  <c r="U228" i="3" l="1"/>
  <c r="U423" i="3" s="1"/>
  <c r="U393" i="7"/>
  <c r="U791" i="7" s="1"/>
  <c r="V228" i="3" l="1"/>
  <c r="V423" i="3" s="1"/>
  <c r="V393" i="7"/>
  <c r="V791" i="7" s="1"/>
  <c r="X393" i="7" l="1"/>
  <c r="X228" i="3"/>
  <c r="X423" i="3" s="1"/>
  <c r="W228" i="3"/>
  <c r="W423" i="3" s="1"/>
  <c r="W393" i="7"/>
  <c r="W791" i="7" s="1"/>
  <c r="T228" i="3"/>
  <c r="T423" i="3" s="1"/>
  <c r="T393" i="7"/>
  <c r="U81" i="4"/>
  <c r="V81" i="4"/>
  <c r="W81" i="4"/>
  <c r="K81" i="4"/>
  <c r="L81" i="4"/>
  <c r="M81" i="4"/>
  <c r="N81" i="4"/>
  <c r="O81" i="4"/>
  <c r="P81" i="4"/>
  <c r="U77" i="4"/>
  <c r="V77" i="4"/>
  <c r="W77" i="4"/>
  <c r="K77" i="4"/>
  <c r="L77" i="4"/>
  <c r="M77" i="4"/>
  <c r="N77" i="4"/>
  <c r="O77" i="4"/>
  <c r="P77" i="4"/>
  <c r="H77" i="4"/>
  <c r="I77" i="4"/>
  <c r="J77" i="4"/>
  <c r="H78" i="4"/>
  <c r="I78" i="4"/>
  <c r="J78" i="4"/>
  <c r="K78" i="4"/>
  <c r="L78" i="4"/>
  <c r="M78" i="4"/>
  <c r="N78" i="4"/>
  <c r="O78" i="4"/>
  <c r="P78" i="4"/>
  <c r="T78" i="4"/>
  <c r="U78" i="4"/>
  <c r="V78" i="4"/>
  <c r="W78" i="4"/>
  <c r="X78" i="4"/>
  <c r="H81" i="4"/>
  <c r="I81" i="4"/>
  <c r="X81" i="4"/>
  <c r="T81" i="4"/>
  <c r="J81" i="4"/>
  <c r="X77" i="4"/>
  <c r="T77" i="4"/>
  <c r="L408" i="7" l="1"/>
  <c r="L792" i="7" s="1"/>
  <c r="L243" i="7"/>
  <c r="L771" i="7" s="1"/>
  <c r="L588" i="7"/>
  <c r="L813" i="7" s="1"/>
  <c r="W408" i="7"/>
  <c r="W792" i="7" s="1"/>
  <c r="W588" i="7"/>
  <c r="W813" i="7" s="1"/>
  <c r="W243" i="7"/>
  <c r="W771" i="7" s="1"/>
  <c r="V588" i="7"/>
  <c r="V813" i="7" s="1"/>
  <c r="V408" i="7"/>
  <c r="V792" i="7" s="1"/>
  <c r="V243" i="7"/>
  <c r="V771" i="7" s="1"/>
  <c r="J588" i="7"/>
  <c r="J813" i="7" s="1"/>
  <c r="J408" i="7"/>
  <c r="J792" i="7" s="1"/>
  <c r="J243" i="7"/>
  <c r="J771" i="7" s="1"/>
  <c r="T243" i="7"/>
  <c r="T771" i="7" s="1"/>
  <c r="E60" i="8" s="1"/>
  <c r="T588" i="7"/>
  <c r="T813" i="7" s="1"/>
  <c r="E62" i="8" s="1"/>
  <c r="T408" i="7"/>
  <c r="T792" i="7" s="1"/>
  <c r="H588" i="7"/>
  <c r="H813" i="7" s="1"/>
  <c r="H408" i="7"/>
  <c r="H792" i="7" s="1"/>
  <c r="H243" i="7"/>
  <c r="H771" i="7" s="1"/>
  <c r="O243" i="7"/>
  <c r="O771" i="7" s="1"/>
  <c r="O588" i="7"/>
  <c r="O813" i="7" s="1"/>
  <c r="O408" i="7"/>
  <c r="O792" i="7" s="1"/>
  <c r="K588" i="7"/>
  <c r="K813" i="7" s="1"/>
  <c r="K408" i="7"/>
  <c r="K792" i="7" s="1"/>
  <c r="K243" i="7"/>
  <c r="K771" i="7" s="1"/>
  <c r="U408" i="7"/>
  <c r="U792" i="7" s="1"/>
  <c r="U243" i="7"/>
  <c r="U771" i="7" s="1"/>
  <c r="U588" i="7"/>
  <c r="U813" i="7" s="1"/>
  <c r="I588" i="7"/>
  <c r="I813" i="7" s="1"/>
  <c r="I243" i="7"/>
  <c r="I771" i="7" s="1"/>
  <c r="I408" i="7"/>
  <c r="I792" i="7" s="1"/>
  <c r="P588" i="7"/>
  <c r="P813" i="7" s="1"/>
  <c r="P408" i="7"/>
  <c r="P792" i="7" s="1"/>
  <c r="P243" i="7"/>
  <c r="P771" i="7" s="1"/>
  <c r="N408" i="7"/>
  <c r="N792" i="7" s="1"/>
  <c r="N243" i="7"/>
  <c r="N771" i="7" s="1"/>
  <c r="N588" i="7"/>
  <c r="N813" i="7" s="1"/>
  <c r="X408" i="7"/>
  <c r="X792" i="7" s="1"/>
  <c r="X243" i="7"/>
  <c r="X771" i="7" s="1"/>
  <c r="F60" i="8" s="1"/>
  <c r="X588" i="7"/>
  <c r="X813" i="7" s="1"/>
  <c r="F62" i="8" s="1"/>
  <c r="M588" i="7"/>
  <c r="M813" i="7" s="1"/>
  <c r="M408" i="7"/>
  <c r="M792" i="7" s="1"/>
  <c r="M243" i="7"/>
  <c r="M771" i="7" s="1"/>
  <c r="T791" i="7"/>
  <c r="X791" i="7"/>
  <c r="E44" i="8"/>
  <c r="E42" i="8"/>
  <c r="F44" i="8"/>
  <c r="F42" i="8"/>
  <c r="M79" i="3"/>
  <c r="M403" i="3" s="1"/>
  <c r="M79" i="7"/>
  <c r="M750" i="7" s="1"/>
  <c r="L79" i="3"/>
  <c r="L403" i="3" s="1"/>
  <c r="L79" i="7"/>
  <c r="L750" i="7" s="1"/>
  <c r="J79" i="3"/>
  <c r="J403" i="3" s="1"/>
  <c r="J79" i="7"/>
  <c r="J750" i="7" s="1"/>
  <c r="I79" i="3"/>
  <c r="I403" i="3" s="1"/>
  <c r="I79" i="7"/>
  <c r="I750" i="7" s="1"/>
  <c r="H79" i="3"/>
  <c r="H403" i="3" s="1"/>
  <c r="H79" i="7"/>
  <c r="H750" i="7" s="1"/>
  <c r="V79" i="3"/>
  <c r="V403" i="3" s="1"/>
  <c r="V79" i="7"/>
  <c r="V750" i="7" s="1"/>
  <c r="K79" i="3"/>
  <c r="K403" i="3" s="1"/>
  <c r="K79" i="7"/>
  <c r="K750" i="7" s="1"/>
  <c r="W79" i="7"/>
  <c r="W750" i="7" s="1"/>
  <c r="W79" i="3"/>
  <c r="W403" i="3" s="1"/>
  <c r="T79" i="3"/>
  <c r="T403" i="3" s="1"/>
  <c r="T79" i="7"/>
  <c r="P79" i="3"/>
  <c r="P403" i="3" s="1"/>
  <c r="P79" i="7"/>
  <c r="P750" i="7" s="1"/>
  <c r="U79" i="3"/>
  <c r="U403" i="3" s="1"/>
  <c r="U79" i="7"/>
  <c r="U750" i="7" s="1"/>
  <c r="X79" i="7"/>
  <c r="X79" i="3"/>
  <c r="X403" i="3" s="1"/>
  <c r="O79" i="3"/>
  <c r="O403" i="3" s="1"/>
  <c r="O79" i="7"/>
  <c r="O750" i="7" s="1"/>
  <c r="N79" i="3"/>
  <c r="N403" i="3" s="1"/>
  <c r="N79" i="7"/>
  <c r="N750" i="7" s="1"/>
  <c r="J204" i="4"/>
  <c r="K204" i="4"/>
  <c r="L204" i="4"/>
  <c r="M204" i="4"/>
  <c r="N204" i="4"/>
  <c r="O204" i="4"/>
  <c r="P204" i="4"/>
  <c r="T204" i="4"/>
  <c r="U204" i="4"/>
  <c r="V204" i="4"/>
  <c r="W204" i="4"/>
  <c r="X204" i="4"/>
  <c r="I204" i="4"/>
  <c r="H204" i="4"/>
  <c r="G204" i="4"/>
  <c r="F204" i="4"/>
  <c r="E204" i="4"/>
  <c r="E61" i="8" l="1"/>
  <c r="F61" i="8"/>
  <c r="X750" i="7"/>
  <c r="F59" i="8" s="1"/>
  <c r="T750" i="7"/>
  <c r="E59" i="8" s="1"/>
  <c r="E41" i="8"/>
  <c r="E43" i="8"/>
  <c r="F43" i="8"/>
  <c r="F41" i="8"/>
  <c r="D41" i="8"/>
  <c r="D43" i="8"/>
  <c r="F157" i="4"/>
  <c r="F158" i="4"/>
  <c r="F159" i="4"/>
  <c r="F160" i="4"/>
  <c r="F163" i="4"/>
  <c r="F156" i="4"/>
  <c r="F155" i="4"/>
  <c r="L165" i="4"/>
  <c r="M165" i="4"/>
  <c r="N165" i="4"/>
  <c r="O165" i="4"/>
  <c r="P165" i="4"/>
  <c r="T165" i="4"/>
  <c r="U165" i="4"/>
  <c r="V165" i="4"/>
  <c r="W165" i="4"/>
  <c r="X165" i="4"/>
  <c r="H86" i="4"/>
  <c r="I86" i="4"/>
  <c r="J86" i="4"/>
  <c r="K86" i="4"/>
  <c r="L86" i="4"/>
  <c r="M86" i="4"/>
  <c r="N86" i="4"/>
  <c r="O86" i="4"/>
  <c r="P86" i="4"/>
  <c r="T86" i="4"/>
  <c r="U86" i="4"/>
  <c r="V86" i="4"/>
  <c r="W86" i="4"/>
  <c r="X86" i="4"/>
  <c r="F493" i="7" l="1"/>
  <c r="F328" i="7"/>
  <c r="F673" i="7"/>
  <c r="L330" i="3"/>
  <c r="L429" i="3" s="1"/>
  <c r="L495" i="7"/>
  <c r="L797" i="7" s="1"/>
  <c r="L675" i="7"/>
  <c r="L818" i="7" s="1"/>
  <c r="U330" i="3"/>
  <c r="U429" i="3" s="1"/>
  <c r="U675" i="7"/>
  <c r="U818" i="7" s="1"/>
  <c r="U495" i="7"/>
  <c r="U797" i="7" s="1"/>
  <c r="T330" i="3"/>
  <c r="T429" i="3" s="1"/>
  <c r="T675" i="7"/>
  <c r="T818" i="7" s="1"/>
  <c r="T495" i="7"/>
  <c r="T797" i="7" s="1"/>
  <c r="V330" i="3"/>
  <c r="V429" i="3" s="1"/>
  <c r="V495" i="7"/>
  <c r="V797" i="7" s="1"/>
  <c r="V675" i="7"/>
  <c r="V818" i="7" s="1"/>
  <c r="P330" i="3"/>
  <c r="P429" i="3" s="1"/>
  <c r="P675" i="7"/>
  <c r="P818" i="7" s="1"/>
  <c r="P495" i="7"/>
  <c r="P797" i="7" s="1"/>
  <c r="W330" i="3"/>
  <c r="W429" i="3" s="1"/>
  <c r="W675" i="7"/>
  <c r="W818" i="7" s="1"/>
  <c r="W495" i="7"/>
  <c r="W797" i="7" s="1"/>
  <c r="O330" i="3"/>
  <c r="O429" i="3" s="1"/>
  <c r="O675" i="7"/>
  <c r="O818" i="7" s="1"/>
  <c r="O495" i="7"/>
  <c r="O797" i="7" s="1"/>
  <c r="N330" i="3"/>
  <c r="N429" i="3" s="1"/>
  <c r="N495" i="7"/>
  <c r="N797" i="7" s="1"/>
  <c r="N675" i="7"/>
  <c r="N818" i="7" s="1"/>
  <c r="X330" i="3"/>
  <c r="X429" i="3" s="1"/>
  <c r="X495" i="7"/>
  <c r="X797" i="7" s="1"/>
  <c r="X675" i="7"/>
  <c r="X818" i="7" s="1"/>
  <c r="M330" i="3"/>
  <c r="M429" i="3" s="1"/>
  <c r="M675" i="7"/>
  <c r="M818" i="7" s="1"/>
  <c r="M495" i="7"/>
  <c r="M797" i="7" s="1"/>
  <c r="W170" i="3"/>
  <c r="W170" i="7"/>
  <c r="L170" i="3"/>
  <c r="L170" i="7"/>
  <c r="V170" i="3"/>
  <c r="V170" i="7"/>
  <c r="U170" i="3"/>
  <c r="U170" i="7"/>
  <c r="T170" i="3"/>
  <c r="T170" i="7"/>
  <c r="P170" i="3"/>
  <c r="P170" i="7"/>
  <c r="N170" i="3"/>
  <c r="N170" i="7"/>
  <c r="O170" i="3"/>
  <c r="O170" i="7"/>
  <c r="X170" i="3"/>
  <c r="X170" i="7"/>
  <c r="M170" i="3"/>
  <c r="M170" i="7"/>
  <c r="F168" i="3"/>
  <c r="F168" i="7"/>
  <c r="W166" i="3"/>
  <c r="W166" i="7"/>
  <c r="L166" i="3"/>
  <c r="L166" i="7"/>
  <c r="T166" i="3"/>
  <c r="T166" i="7"/>
  <c r="F164" i="3"/>
  <c r="F164" i="7"/>
  <c r="V166" i="3"/>
  <c r="V166" i="7"/>
  <c r="U166" i="3"/>
  <c r="U166" i="7"/>
  <c r="P166" i="3"/>
  <c r="P166" i="7"/>
  <c r="O166" i="3"/>
  <c r="O166" i="7"/>
  <c r="N166" i="3"/>
  <c r="N166" i="7"/>
  <c r="X166" i="3"/>
  <c r="X166" i="7"/>
  <c r="M166" i="3"/>
  <c r="M166" i="7"/>
  <c r="W167" i="3"/>
  <c r="W167" i="7"/>
  <c r="L167" i="3"/>
  <c r="L167" i="7"/>
  <c r="V167" i="3"/>
  <c r="V167" i="7"/>
  <c r="F165" i="3"/>
  <c r="F165" i="7"/>
  <c r="U167" i="3"/>
  <c r="U167" i="7"/>
  <c r="P167" i="3"/>
  <c r="P167" i="7"/>
  <c r="O167" i="3"/>
  <c r="O167" i="7"/>
  <c r="T167" i="3"/>
  <c r="T167" i="7"/>
  <c r="N167" i="3"/>
  <c r="N167" i="7"/>
  <c r="X167" i="7"/>
  <c r="X167" i="3"/>
  <c r="M167" i="3"/>
  <c r="M167" i="7"/>
  <c r="W330" i="7"/>
  <c r="W776" i="7" s="1"/>
  <c r="L330" i="7"/>
  <c r="L776" i="7" s="1"/>
  <c r="O330" i="7"/>
  <c r="O776" i="7" s="1"/>
  <c r="V330" i="7"/>
  <c r="V776" i="7" s="1"/>
  <c r="U330" i="7"/>
  <c r="U776" i="7" s="1"/>
  <c r="T330" i="7"/>
  <c r="T776" i="7" s="1"/>
  <c r="P330" i="7"/>
  <c r="P776" i="7" s="1"/>
  <c r="N330" i="7"/>
  <c r="N776" i="7" s="1"/>
  <c r="X330" i="7"/>
  <c r="X776" i="7" s="1"/>
  <c r="M330" i="7"/>
  <c r="M776" i="7" s="1"/>
  <c r="G155" i="4"/>
  <c r="G156" i="4"/>
  <c r="G163" i="4"/>
  <c r="G160" i="4"/>
  <c r="G159" i="4"/>
  <c r="G158" i="4"/>
  <c r="G157" i="4"/>
  <c r="K149" i="2"/>
  <c r="J149" i="2"/>
  <c r="I149" i="2"/>
  <c r="H149" i="2"/>
  <c r="G149" i="2"/>
  <c r="F149" i="2"/>
  <c r="E149" i="2"/>
  <c r="K150" i="2"/>
  <c r="J150" i="2"/>
  <c r="I150" i="2"/>
  <c r="H150" i="2"/>
  <c r="G150" i="2"/>
  <c r="F150" i="2"/>
  <c r="E150" i="2"/>
  <c r="L150" i="2" s="1"/>
  <c r="M150" i="2" s="1"/>
  <c r="N150" i="2" s="1"/>
  <c r="O150" i="2" s="1"/>
  <c r="P150" i="2" s="1"/>
  <c r="Q150" i="2" s="1"/>
  <c r="R150" i="2" s="1"/>
  <c r="S150" i="2" s="1"/>
  <c r="T150" i="2" s="1"/>
  <c r="U150" i="2" s="1"/>
  <c r="V150" i="2" s="1"/>
  <c r="W150" i="2" s="1"/>
  <c r="X150" i="2" s="1"/>
  <c r="L149" i="2" l="1"/>
  <c r="M149" i="2" s="1"/>
  <c r="N149" i="2" s="1"/>
  <c r="O149" i="2" s="1"/>
  <c r="P149" i="2" s="1"/>
  <c r="Q149" i="2" s="1"/>
  <c r="R149" i="2" s="1"/>
  <c r="S149" i="2" s="1"/>
  <c r="T149" i="2" s="1"/>
  <c r="U149" i="2" s="1"/>
  <c r="V149" i="2" s="1"/>
  <c r="W149" i="2" s="1"/>
  <c r="X149" i="2" s="1"/>
  <c r="G673" i="7"/>
  <c r="G493" i="7"/>
  <c r="G328" i="7"/>
  <c r="F408" i="3"/>
  <c r="K156" i="5"/>
  <c r="J156" i="3"/>
  <c r="I156" i="3"/>
  <c r="J156" i="5"/>
  <c r="I161" i="7" s="1"/>
  <c r="E156" i="3"/>
  <c r="F156" i="5"/>
  <c r="G156" i="3"/>
  <c r="H156" i="5"/>
  <c r="K156" i="3"/>
  <c r="L156" i="5"/>
  <c r="F156" i="3"/>
  <c r="G156" i="5"/>
  <c r="F161" i="7" s="1"/>
  <c r="H156" i="3"/>
  <c r="I156" i="5"/>
  <c r="I155" i="3"/>
  <c r="J155" i="5"/>
  <c r="J155" i="3"/>
  <c r="K155" i="5"/>
  <c r="K155" i="3"/>
  <c r="L155" i="5"/>
  <c r="E155" i="3"/>
  <c r="F155" i="5"/>
  <c r="F155" i="3"/>
  <c r="G155" i="5"/>
  <c r="G155" i="3"/>
  <c r="H155" i="5"/>
  <c r="H155" i="3"/>
  <c r="I155" i="5"/>
  <c r="G168" i="3"/>
  <c r="G168" i="7"/>
  <c r="L154" i="5"/>
  <c r="K154" i="3"/>
  <c r="F154" i="3"/>
  <c r="G154" i="5"/>
  <c r="E154" i="3"/>
  <c r="F154" i="5"/>
  <c r="I154" i="5"/>
  <c r="H154" i="3"/>
  <c r="G154" i="3"/>
  <c r="H154" i="5"/>
  <c r="J154" i="5"/>
  <c r="I154" i="3"/>
  <c r="K154" i="5"/>
  <c r="J154" i="3"/>
  <c r="G164" i="3"/>
  <c r="G164" i="7"/>
  <c r="G165" i="3"/>
  <c r="G165" i="7"/>
  <c r="H148" i="3"/>
  <c r="I148" i="5"/>
  <c r="I147" i="3"/>
  <c r="I407" i="3" s="1"/>
  <c r="J147" i="5"/>
  <c r="I145" i="7" s="1"/>
  <c r="G148" i="3"/>
  <c r="H148" i="5"/>
  <c r="I148" i="3"/>
  <c r="J148" i="5"/>
  <c r="I146" i="7" s="1"/>
  <c r="J147" i="3"/>
  <c r="J407" i="3" s="1"/>
  <c r="K147" i="5"/>
  <c r="J145" i="7" s="1"/>
  <c r="F147" i="5"/>
  <c r="E147" i="3"/>
  <c r="E407" i="3" s="1"/>
  <c r="J148" i="3"/>
  <c r="K148" i="5"/>
  <c r="H147" i="3"/>
  <c r="H407" i="3" s="1"/>
  <c r="I147" i="5"/>
  <c r="H145" i="7" s="1"/>
  <c r="K147" i="3"/>
  <c r="K407" i="3" s="1"/>
  <c r="L147" i="5"/>
  <c r="K145" i="7" s="1"/>
  <c r="K148" i="3"/>
  <c r="L148" i="5"/>
  <c r="F148" i="5"/>
  <c r="E148" i="3"/>
  <c r="F147" i="3"/>
  <c r="F407" i="3" s="1"/>
  <c r="G147" i="5"/>
  <c r="F145" i="7" s="1"/>
  <c r="F148" i="3"/>
  <c r="G148" i="5"/>
  <c r="G147" i="3"/>
  <c r="G407" i="3" s="1"/>
  <c r="H147" i="5"/>
  <c r="G145" i="7" s="1"/>
  <c r="G152" i="3"/>
  <c r="H152" i="5"/>
  <c r="F152" i="3"/>
  <c r="G152" i="5"/>
  <c r="I152" i="5"/>
  <c r="H152" i="3"/>
  <c r="I153" i="3"/>
  <c r="J153" i="5"/>
  <c r="J152" i="3"/>
  <c r="K152" i="5"/>
  <c r="F153" i="3"/>
  <c r="G153" i="5"/>
  <c r="I152" i="3"/>
  <c r="J152" i="5"/>
  <c r="K152" i="3"/>
  <c r="L152" i="5"/>
  <c r="H153" i="5"/>
  <c r="G153" i="3"/>
  <c r="H153" i="3"/>
  <c r="I153" i="5"/>
  <c r="J153" i="3"/>
  <c r="K153" i="5"/>
  <c r="K153" i="3"/>
  <c r="L153" i="5"/>
  <c r="F153" i="5"/>
  <c r="E153" i="3"/>
  <c r="F152" i="5"/>
  <c r="E152" i="3"/>
  <c r="G151" i="3"/>
  <c r="H151" i="5"/>
  <c r="F151" i="5"/>
  <c r="E151" i="3"/>
  <c r="G151" i="5"/>
  <c r="F151" i="3"/>
  <c r="I151" i="3"/>
  <c r="J151" i="5"/>
  <c r="H151" i="3"/>
  <c r="I151" i="5"/>
  <c r="J151" i="3"/>
  <c r="K151" i="5"/>
  <c r="K151" i="3"/>
  <c r="L151" i="5"/>
  <c r="J177" i="5"/>
  <c r="I175" i="7" s="1"/>
  <c r="I177" i="3"/>
  <c r="I178" i="3"/>
  <c r="J178" i="5"/>
  <c r="I185" i="7" s="1"/>
  <c r="K177" i="5"/>
  <c r="J175" i="7" s="1"/>
  <c r="J177" i="3"/>
  <c r="H178" i="3"/>
  <c r="I178" i="5"/>
  <c r="H185" i="7" s="1"/>
  <c r="K178" i="5"/>
  <c r="J185" i="7" s="1"/>
  <c r="J178" i="3"/>
  <c r="L177" i="5"/>
  <c r="K175" i="7" s="1"/>
  <c r="K177" i="3"/>
  <c r="L178" i="5"/>
  <c r="K185" i="7" s="1"/>
  <c r="K178" i="3"/>
  <c r="E177" i="3"/>
  <c r="F177" i="5"/>
  <c r="E178" i="3"/>
  <c r="F178" i="5"/>
  <c r="F177" i="3"/>
  <c r="G177" i="5"/>
  <c r="F175" i="7" s="1"/>
  <c r="G178" i="5"/>
  <c r="F185" i="7" s="1"/>
  <c r="F178" i="3"/>
  <c r="G177" i="3"/>
  <c r="H177" i="5"/>
  <c r="G175" i="7" s="1"/>
  <c r="G178" i="3"/>
  <c r="H178" i="5"/>
  <c r="G185" i="7" s="1"/>
  <c r="I177" i="5"/>
  <c r="H175" i="7" s="1"/>
  <c r="H177" i="3"/>
  <c r="I315" i="3"/>
  <c r="J150" i="5"/>
  <c r="J314" i="3"/>
  <c r="K149" i="5"/>
  <c r="K314" i="3"/>
  <c r="L149" i="5"/>
  <c r="K315" i="3"/>
  <c r="L150" i="5"/>
  <c r="J315" i="3"/>
  <c r="K150" i="5"/>
  <c r="F149" i="5"/>
  <c r="E314" i="3"/>
  <c r="E149" i="3"/>
  <c r="L147" i="3"/>
  <c r="L407" i="3" s="1"/>
  <c r="H315" i="3"/>
  <c r="H150" i="3"/>
  <c r="I150" i="5"/>
  <c r="E315" i="3"/>
  <c r="E150" i="3"/>
  <c r="F150" i="5"/>
  <c r="G149" i="5"/>
  <c r="F314" i="3"/>
  <c r="F149" i="3"/>
  <c r="I314" i="3"/>
  <c r="J149" i="5"/>
  <c r="F315" i="3"/>
  <c r="F150" i="3"/>
  <c r="G150" i="5"/>
  <c r="H149" i="5"/>
  <c r="G314" i="3"/>
  <c r="G149" i="3"/>
  <c r="G315" i="3"/>
  <c r="G150" i="3"/>
  <c r="H150" i="5"/>
  <c r="I149" i="5"/>
  <c r="H314" i="3"/>
  <c r="H149" i="3"/>
  <c r="H157" i="4"/>
  <c r="H163" i="4"/>
  <c r="H158" i="4"/>
  <c r="H156" i="4"/>
  <c r="H159" i="4"/>
  <c r="H160" i="4"/>
  <c r="H155" i="4"/>
  <c r="M151" i="5" l="1"/>
  <c r="M147" i="5"/>
  <c r="M178" i="5"/>
  <c r="M152" i="5"/>
  <c r="N152" i="5" s="1"/>
  <c r="M150" i="5"/>
  <c r="N150" i="5" s="1"/>
  <c r="M177" i="5"/>
  <c r="N177" i="5" s="1"/>
  <c r="M155" i="5"/>
  <c r="M156" i="5"/>
  <c r="M149" i="5"/>
  <c r="M153" i="5"/>
  <c r="M148" i="5"/>
  <c r="N148" i="5" s="1"/>
  <c r="M154" i="5"/>
  <c r="J146" i="7"/>
  <c r="K146" i="7"/>
  <c r="F146" i="7"/>
  <c r="H146" i="7"/>
  <c r="G146" i="7"/>
  <c r="H673" i="7"/>
  <c r="H328" i="7"/>
  <c r="H493" i="7"/>
  <c r="H410" i="3"/>
  <c r="J410" i="3"/>
  <c r="F409" i="3"/>
  <c r="I430" i="3"/>
  <c r="I434" i="3" s="1"/>
  <c r="K410" i="3"/>
  <c r="G409" i="3"/>
  <c r="G430" i="3"/>
  <c r="G434" i="3" s="1"/>
  <c r="G438" i="3" s="1"/>
  <c r="F430" i="3"/>
  <c r="F434" i="3" s="1"/>
  <c r="F438" i="3" s="1"/>
  <c r="I410" i="3"/>
  <c r="F410" i="3"/>
  <c r="F413" i="3" s="1"/>
  <c r="F417" i="3" s="1"/>
  <c r="K430" i="3"/>
  <c r="K434" i="3" s="1"/>
  <c r="K438" i="3" s="1"/>
  <c r="G408" i="3"/>
  <c r="H409" i="3"/>
  <c r="H430" i="3"/>
  <c r="H434" i="3" s="1"/>
  <c r="H438" i="3" s="1"/>
  <c r="E430" i="3"/>
  <c r="E434" i="3" s="1"/>
  <c r="E438" i="3" s="1"/>
  <c r="E409" i="3"/>
  <c r="J430" i="3"/>
  <c r="J434" i="3" s="1"/>
  <c r="J438" i="3" s="1"/>
  <c r="G410" i="3"/>
  <c r="E410" i="3"/>
  <c r="I179" i="7"/>
  <c r="K179" i="7"/>
  <c r="F179" i="7"/>
  <c r="H161" i="7"/>
  <c r="E184" i="7"/>
  <c r="E185" i="7"/>
  <c r="E161" i="7"/>
  <c r="F183" i="7"/>
  <c r="F184" i="7"/>
  <c r="K183" i="7"/>
  <c r="K184" i="7"/>
  <c r="I183" i="7"/>
  <c r="I184" i="7"/>
  <c r="G183" i="7"/>
  <c r="G184" i="7"/>
  <c r="K161" i="7"/>
  <c r="J183" i="7"/>
  <c r="J184" i="7"/>
  <c r="J161" i="7"/>
  <c r="H183" i="7"/>
  <c r="H184" i="7"/>
  <c r="G161" i="7"/>
  <c r="G155" i="7"/>
  <c r="J155" i="7"/>
  <c r="E182" i="7"/>
  <c r="E183" i="7"/>
  <c r="H176" i="7"/>
  <c r="H182" i="7"/>
  <c r="G159" i="7"/>
  <c r="G160" i="7"/>
  <c r="K155" i="7"/>
  <c r="H159" i="7"/>
  <c r="H160" i="7"/>
  <c r="E159" i="7"/>
  <c r="E160" i="7"/>
  <c r="F176" i="7"/>
  <c r="F182" i="7"/>
  <c r="K176" i="7"/>
  <c r="K182" i="7"/>
  <c r="I176" i="7"/>
  <c r="I182" i="7"/>
  <c r="F159" i="7"/>
  <c r="F160" i="7"/>
  <c r="I159" i="7"/>
  <c r="I160" i="7"/>
  <c r="K159" i="7"/>
  <c r="K160" i="7"/>
  <c r="G176" i="7"/>
  <c r="G182" i="7"/>
  <c r="J176" i="7"/>
  <c r="J182" i="7"/>
  <c r="J159" i="7"/>
  <c r="J160" i="7"/>
  <c r="G157" i="7"/>
  <c r="G158" i="7"/>
  <c r="H157" i="7"/>
  <c r="H158" i="7"/>
  <c r="E157" i="7"/>
  <c r="E158" i="7"/>
  <c r="G179" i="7"/>
  <c r="F157" i="7"/>
  <c r="F158" i="7"/>
  <c r="I157" i="7"/>
  <c r="I158" i="7"/>
  <c r="H155" i="7"/>
  <c r="K157" i="7"/>
  <c r="K158" i="7"/>
  <c r="J157" i="7"/>
  <c r="J158" i="7"/>
  <c r="H179" i="7"/>
  <c r="E666" i="7"/>
  <c r="E486" i="7"/>
  <c r="E321" i="7"/>
  <c r="L155" i="3"/>
  <c r="L156" i="3"/>
  <c r="I155" i="7"/>
  <c r="F666" i="7"/>
  <c r="F486" i="7"/>
  <c r="F321" i="7"/>
  <c r="G321" i="7"/>
  <c r="G666" i="7"/>
  <c r="G486" i="7"/>
  <c r="H321" i="7"/>
  <c r="H666" i="7"/>
  <c r="H486" i="7"/>
  <c r="F155" i="7"/>
  <c r="H485" i="7"/>
  <c r="H320" i="7"/>
  <c r="H665" i="7"/>
  <c r="E665" i="7"/>
  <c r="E485" i="7"/>
  <c r="E320" i="7"/>
  <c r="G320" i="7"/>
  <c r="G665" i="7"/>
  <c r="G485" i="7"/>
  <c r="F320" i="7"/>
  <c r="F485" i="7"/>
  <c r="F665" i="7"/>
  <c r="H168" i="3"/>
  <c r="H168" i="7"/>
  <c r="H664" i="7"/>
  <c r="H484" i="7"/>
  <c r="H319" i="7"/>
  <c r="E319" i="7"/>
  <c r="E664" i="7"/>
  <c r="E484" i="7"/>
  <c r="J664" i="7"/>
  <c r="J484" i="7"/>
  <c r="J319" i="7"/>
  <c r="F664" i="7"/>
  <c r="F484" i="7"/>
  <c r="F319" i="7"/>
  <c r="K664" i="7"/>
  <c r="K484" i="7"/>
  <c r="K319" i="7"/>
  <c r="I664" i="7"/>
  <c r="I484" i="7"/>
  <c r="I319" i="7"/>
  <c r="L154" i="3"/>
  <c r="G664" i="7"/>
  <c r="G484" i="7"/>
  <c r="G319" i="7"/>
  <c r="H164" i="3"/>
  <c r="H164" i="7"/>
  <c r="E175" i="7"/>
  <c r="L176" i="7"/>
  <c r="E146" i="7"/>
  <c r="E145" i="7"/>
  <c r="L146" i="7"/>
  <c r="E176" i="7"/>
  <c r="L185" i="7"/>
  <c r="E155" i="7"/>
  <c r="H165" i="3"/>
  <c r="H165" i="7"/>
  <c r="F312" i="7"/>
  <c r="F775" i="7" s="1"/>
  <c r="F147" i="7"/>
  <c r="F657" i="7"/>
  <c r="F817" i="7" s="1"/>
  <c r="F477" i="7"/>
  <c r="F796" i="7" s="1"/>
  <c r="H657" i="7"/>
  <c r="H817" i="7" s="1"/>
  <c r="H477" i="7"/>
  <c r="H796" i="7" s="1"/>
  <c r="H312" i="7"/>
  <c r="H775" i="7" s="1"/>
  <c r="H147" i="7"/>
  <c r="I478" i="7"/>
  <c r="I313" i="7"/>
  <c r="I148" i="7"/>
  <c r="I658" i="7"/>
  <c r="G478" i="7"/>
  <c r="G313" i="7"/>
  <c r="G148" i="7"/>
  <c r="G658" i="7"/>
  <c r="E658" i="7"/>
  <c r="E478" i="7"/>
  <c r="E148" i="7"/>
  <c r="E313" i="7"/>
  <c r="G657" i="7"/>
  <c r="G817" i="7" s="1"/>
  <c r="G477" i="7"/>
  <c r="G796" i="7" s="1"/>
  <c r="G147" i="7"/>
  <c r="G312" i="7"/>
  <c r="G775" i="7" s="1"/>
  <c r="K658" i="7"/>
  <c r="K478" i="7"/>
  <c r="K313" i="7"/>
  <c r="K148" i="7"/>
  <c r="I147" i="7"/>
  <c r="I754" i="7" s="1"/>
  <c r="I657" i="7"/>
  <c r="I817" i="7" s="1"/>
  <c r="I477" i="7"/>
  <c r="I796" i="7" s="1"/>
  <c r="I312" i="7"/>
  <c r="I775" i="7" s="1"/>
  <c r="L153" i="3"/>
  <c r="L148" i="3"/>
  <c r="E657" i="7"/>
  <c r="E817" i="7" s="1"/>
  <c r="E477" i="7"/>
  <c r="E796" i="7" s="1"/>
  <c r="E147" i="7"/>
  <c r="E312" i="7"/>
  <c r="E775" i="7" s="1"/>
  <c r="F313" i="7"/>
  <c r="F148" i="7"/>
  <c r="F658" i="7"/>
  <c r="F478" i="7"/>
  <c r="K657" i="7"/>
  <c r="K817" i="7" s="1"/>
  <c r="K477" i="7"/>
  <c r="K796" i="7" s="1"/>
  <c r="K312" i="7"/>
  <c r="K775" i="7" s="1"/>
  <c r="K147" i="7"/>
  <c r="J657" i="7"/>
  <c r="J817" i="7" s="1"/>
  <c r="J477" i="7"/>
  <c r="J796" i="7" s="1"/>
  <c r="J312" i="7"/>
  <c r="J775" i="7" s="1"/>
  <c r="J147" i="7"/>
  <c r="H658" i="7"/>
  <c r="H478" i="7"/>
  <c r="H313" i="7"/>
  <c r="H148" i="7"/>
  <c r="J313" i="7"/>
  <c r="J148" i="7"/>
  <c r="J478" i="7"/>
  <c r="J658" i="7"/>
  <c r="J180" i="7"/>
  <c r="F180" i="7"/>
  <c r="H180" i="7"/>
  <c r="K180" i="7"/>
  <c r="E181" i="7"/>
  <c r="I180" i="7"/>
  <c r="G180" i="7"/>
  <c r="E180" i="7"/>
  <c r="K208" i="7"/>
  <c r="K759" i="7" s="1"/>
  <c r="K181" i="7"/>
  <c r="J154" i="7"/>
  <c r="J156" i="7"/>
  <c r="F154" i="7"/>
  <c r="F156" i="7"/>
  <c r="J208" i="7"/>
  <c r="J759" i="7" s="1"/>
  <c r="J181" i="7"/>
  <c r="G208" i="7"/>
  <c r="G759" i="7" s="1"/>
  <c r="G181" i="7"/>
  <c r="H208" i="7"/>
  <c r="H759" i="7" s="1"/>
  <c r="H181" i="7"/>
  <c r="K154" i="7"/>
  <c r="K156" i="7"/>
  <c r="I154" i="7"/>
  <c r="I156" i="7"/>
  <c r="F208" i="7"/>
  <c r="F759" i="7" s="1"/>
  <c r="F181" i="7"/>
  <c r="I208" i="7"/>
  <c r="I759" i="7" s="1"/>
  <c r="I181" i="7"/>
  <c r="H154" i="7"/>
  <c r="H156" i="7"/>
  <c r="E154" i="7"/>
  <c r="E156" i="7"/>
  <c r="G154" i="7"/>
  <c r="G156" i="7"/>
  <c r="J179" i="7"/>
  <c r="I663" i="7"/>
  <c r="I483" i="7"/>
  <c r="I318" i="7"/>
  <c r="I153" i="7"/>
  <c r="K663" i="7"/>
  <c r="K483" i="7"/>
  <c r="K318" i="7"/>
  <c r="K153" i="7"/>
  <c r="J663" i="7"/>
  <c r="J483" i="7"/>
  <c r="J318" i="7"/>
  <c r="J153" i="7"/>
  <c r="I662" i="7"/>
  <c r="I482" i="7"/>
  <c r="I317" i="7"/>
  <c r="I152" i="7"/>
  <c r="K317" i="7"/>
  <c r="K482" i="7"/>
  <c r="K662" i="7"/>
  <c r="K152" i="7"/>
  <c r="H317" i="7"/>
  <c r="H662" i="7"/>
  <c r="H482" i="7"/>
  <c r="H152" i="7"/>
  <c r="L177" i="3"/>
  <c r="L152" i="3"/>
  <c r="H663" i="7"/>
  <c r="H483" i="7"/>
  <c r="H318" i="7"/>
  <c r="H153" i="7"/>
  <c r="F663" i="7"/>
  <c r="F483" i="7"/>
  <c r="F318" i="7"/>
  <c r="F153" i="7"/>
  <c r="F317" i="7"/>
  <c r="F482" i="7"/>
  <c r="F662" i="7"/>
  <c r="F152" i="7"/>
  <c r="E662" i="7"/>
  <c r="E482" i="7"/>
  <c r="E317" i="7"/>
  <c r="E152" i="7"/>
  <c r="J317" i="7"/>
  <c r="J662" i="7"/>
  <c r="J482" i="7"/>
  <c r="J152" i="7"/>
  <c r="G482" i="7"/>
  <c r="G317" i="7"/>
  <c r="G662" i="7"/>
  <c r="G152" i="7"/>
  <c r="E318" i="7"/>
  <c r="E483" i="7"/>
  <c r="E663" i="7"/>
  <c r="E153" i="7"/>
  <c r="G663" i="7"/>
  <c r="G483" i="7"/>
  <c r="G318" i="7"/>
  <c r="G153" i="7"/>
  <c r="K661" i="7"/>
  <c r="K481" i="7"/>
  <c r="K316" i="7"/>
  <c r="K151" i="7"/>
  <c r="F316" i="7"/>
  <c r="F481" i="7"/>
  <c r="F661" i="7"/>
  <c r="F151" i="7"/>
  <c r="J661" i="7"/>
  <c r="J481" i="7"/>
  <c r="J316" i="7"/>
  <c r="J151" i="7"/>
  <c r="E316" i="7"/>
  <c r="E481" i="7"/>
  <c r="E661" i="7"/>
  <c r="E151" i="7"/>
  <c r="L178" i="3"/>
  <c r="L151" i="3"/>
  <c r="H661" i="7"/>
  <c r="H481" i="7"/>
  <c r="H316" i="7"/>
  <c r="H151" i="7"/>
  <c r="G661" i="7"/>
  <c r="G481" i="7"/>
  <c r="G316" i="7"/>
  <c r="G151" i="7"/>
  <c r="I661" i="7"/>
  <c r="I481" i="7"/>
  <c r="I316" i="7"/>
  <c r="I151" i="7"/>
  <c r="L175" i="7"/>
  <c r="E208" i="7"/>
  <c r="E759" i="7" s="1"/>
  <c r="E179" i="7"/>
  <c r="E207" i="7"/>
  <c r="E206" i="7"/>
  <c r="E758" i="7" s="1"/>
  <c r="J207" i="7"/>
  <c r="J206" i="7"/>
  <c r="J758" i="7" s="1"/>
  <c r="G207" i="7"/>
  <c r="G206" i="7"/>
  <c r="G758" i="7" s="1"/>
  <c r="F207" i="7"/>
  <c r="F206" i="7"/>
  <c r="F758" i="7" s="1"/>
  <c r="H207" i="7"/>
  <c r="H206" i="7"/>
  <c r="H758" i="7" s="1"/>
  <c r="K207" i="7"/>
  <c r="K206" i="7"/>
  <c r="K758" i="7" s="1"/>
  <c r="I207" i="7"/>
  <c r="I206" i="7"/>
  <c r="I758" i="7" s="1"/>
  <c r="J191" i="7"/>
  <c r="J201" i="7"/>
  <c r="K163" i="7"/>
  <c r="K174" i="7"/>
  <c r="G190" i="7"/>
  <c r="G200" i="7"/>
  <c r="E190" i="7"/>
  <c r="E200" i="7"/>
  <c r="H191" i="7"/>
  <c r="H201" i="7"/>
  <c r="F163" i="7"/>
  <c r="F174" i="7"/>
  <c r="F162" i="7"/>
  <c r="F173" i="7"/>
  <c r="I163" i="7"/>
  <c r="I174" i="7"/>
  <c r="E163" i="7"/>
  <c r="E174" i="7"/>
  <c r="G162" i="7"/>
  <c r="G173" i="7"/>
  <c r="K162" i="7"/>
  <c r="K173" i="7"/>
  <c r="J190" i="7"/>
  <c r="J200" i="7"/>
  <c r="I162" i="7"/>
  <c r="I173" i="7"/>
  <c r="E162" i="7"/>
  <c r="E173" i="7"/>
  <c r="F190" i="7"/>
  <c r="F200" i="7"/>
  <c r="I191" i="7"/>
  <c r="I201" i="7"/>
  <c r="H162" i="7"/>
  <c r="H173" i="7"/>
  <c r="K191" i="7"/>
  <c r="K201" i="7"/>
  <c r="J163" i="7"/>
  <c r="J174" i="7"/>
  <c r="H190" i="7"/>
  <c r="H200" i="7"/>
  <c r="K190" i="7"/>
  <c r="K200" i="7"/>
  <c r="I190" i="7"/>
  <c r="I200" i="7"/>
  <c r="G163" i="7"/>
  <c r="G174" i="7"/>
  <c r="F191" i="7"/>
  <c r="F201" i="7"/>
  <c r="H163" i="7"/>
  <c r="H174" i="7"/>
  <c r="J162" i="7"/>
  <c r="J173" i="7"/>
  <c r="G191" i="7"/>
  <c r="G201" i="7"/>
  <c r="E191" i="7"/>
  <c r="E201" i="7"/>
  <c r="F688" i="7"/>
  <c r="F508" i="7"/>
  <c r="F343" i="7"/>
  <c r="F178" i="7"/>
  <c r="K343" i="7"/>
  <c r="K178" i="7"/>
  <c r="K688" i="7"/>
  <c r="K508" i="7"/>
  <c r="J687" i="7"/>
  <c r="J507" i="7"/>
  <c r="J342" i="7"/>
  <c r="J177" i="7"/>
  <c r="H343" i="7"/>
  <c r="H178" i="7"/>
  <c r="H688" i="7"/>
  <c r="H508" i="7"/>
  <c r="F687" i="7"/>
  <c r="F507" i="7"/>
  <c r="F342" i="7"/>
  <c r="F177" i="7"/>
  <c r="I688" i="7"/>
  <c r="I508" i="7"/>
  <c r="I343" i="7"/>
  <c r="I178" i="7"/>
  <c r="E687" i="7"/>
  <c r="E507" i="7"/>
  <c r="E177" i="7"/>
  <c r="E342" i="7"/>
  <c r="H177" i="7"/>
  <c r="H687" i="7"/>
  <c r="H507" i="7"/>
  <c r="H342" i="7"/>
  <c r="K507" i="7"/>
  <c r="K342" i="7"/>
  <c r="K177" i="7"/>
  <c r="K687" i="7"/>
  <c r="G688" i="7"/>
  <c r="G508" i="7"/>
  <c r="G343" i="7"/>
  <c r="G178" i="7"/>
  <c r="E508" i="7"/>
  <c r="E178" i="7"/>
  <c r="E343" i="7"/>
  <c r="L208" i="7"/>
  <c r="L759" i="7" s="1"/>
  <c r="E688" i="7"/>
  <c r="G687" i="7"/>
  <c r="G507" i="7"/>
  <c r="G342" i="7"/>
  <c r="G177" i="7"/>
  <c r="J688" i="7"/>
  <c r="J508" i="7"/>
  <c r="J343" i="7"/>
  <c r="J178" i="7"/>
  <c r="I687" i="7"/>
  <c r="I507" i="7"/>
  <c r="I342" i="7"/>
  <c r="I177" i="7"/>
  <c r="G660" i="7"/>
  <c r="G480" i="7"/>
  <c r="G315" i="7"/>
  <c r="G150" i="7"/>
  <c r="I659" i="7"/>
  <c r="I479" i="7"/>
  <c r="I314" i="7"/>
  <c r="E659" i="7"/>
  <c r="E149" i="7"/>
  <c r="E479" i="7"/>
  <c r="E314" i="7"/>
  <c r="J660" i="7"/>
  <c r="J480" i="7"/>
  <c r="J315" i="7"/>
  <c r="H660" i="7"/>
  <c r="H480" i="7"/>
  <c r="H315" i="7"/>
  <c r="H150" i="7"/>
  <c r="J659" i="7"/>
  <c r="J479" i="7"/>
  <c r="J314" i="7"/>
  <c r="L173" i="7"/>
  <c r="G659" i="7"/>
  <c r="G479" i="7"/>
  <c r="G314" i="7"/>
  <c r="G149" i="7"/>
  <c r="K660" i="7"/>
  <c r="K480" i="7"/>
  <c r="K315" i="7"/>
  <c r="L314" i="3"/>
  <c r="M147" i="3"/>
  <c r="M407" i="3" s="1"/>
  <c r="I660" i="7"/>
  <c r="I480" i="7"/>
  <c r="I315" i="7"/>
  <c r="F660" i="7"/>
  <c r="F480" i="7"/>
  <c r="F315" i="7"/>
  <c r="F150" i="7"/>
  <c r="F659" i="7"/>
  <c r="F479" i="7"/>
  <c r="F314" i="7"/>
  <c r="F149" i="7"/>
  <c r="H659" i="7"/>
  <c r="H479" i="7"/>
  <c r="H314" i="7"/>
  <c r="H149" i="7"/>
  <c r="E660" i="7"/>
  <c r="E150" i="7"/>
  <c r="E480" i="7"/>
  <c r="E315" i="7"/>
  <c r="L315" i="3"/>
  <c r="K659" i="7"/>
  <c r="K479" i="7"/>
  <c r="K314" i="7"/>
  <c r="I155" i="4"/>
  <c r="I149" i="3" s="1"/>
  <c r="I156" i="4"/>
  <c r="I150" i="3" s="1"/>
  <c r="I160" i="4"/>
  <c r="I158" i="4"/>
  <c r="I163" i="4"/>
  <c r="I159" i="4"/>
  <c r="I157" i="4"/>
  <c r="D36" i="8" l="1"/>
  <c r="D40" i="8" s="1"/>
  <c r="I438" i="3"/>
  <c r="N149" i="5"/>
  <c r="O149" i="5" s="1"/>
  <c r="P149" i="5" s="1"/>
  <c r="N154" i="5"/>
  <c r="M484" i="7" s="1"/>
  <c r="N156" i="5"/>
  <c r="N178" i="5"/>
  <c r="O178" i="5" s="1"/>
  <c r="P178" i="5" s="1"/>
  <c r="N147" i="5"/>
  <c r="O147" i="5" s="1"/>
  <c r="O148" i="5"/>
  <c r="N155" i="5"/>
  <c r="O150" i="5"/>
  <c r="P150" i="5" s="1"/>
  <c r="O152" i="5"/>
  <c r="O177" i="5"/>
  <c r="N151" i="5"/>
  <c r="O151" i="5" s="1"/>
  <c r="N153" i="5"/>
  <c r="C126" i="8"/>
  <c r="C125" i="8"/>
  <c r="F799" i="7"/>
  <c r="F778" i="7"/>
  <c r="F820" i="7"/>
  <c r="K754" i="7"/>
  <c r="F754" i="7"/>
  <c r="J754" i="7"/>
  <c r="H754" i="7"/>
  <c r="G754" i="7"/>
  <c r="I673" i="7"/>
  <c r="I493" i="7"/>
  <c r="I328" i="7"/>
  <c r="H820" i="7"/>
  <c r="K820" i="7"/>
  <c r="I778" i="7"/>
  <c r="G778" i="7"/>
  <c r="K778" i="7"/>
  <c r="H778" i="7"/>
  <c r="I820" i="7"/>
  <c r="G820" i="7"/>
  <c r="F798" i="7"/>
  <c r="I409" i="3"/>
  <c r="G819" i="7"/>
  <c r="G413" i="3"/>
  <c r="G417" i="3" s="1"/>
  <c r="E413" i="3"/>
  <c r="E417" i="3" s="1"/>
  <c r="H408" i="3"/>
  <c r="H413" i="3" s="1"/>
  <c r="H417" i="3" s="1"/>
  <c r="L430" i="3"/>
  <c r="L434" i="3" s="1"/>
  <c r="L438" i="3" s="1"/>
  <c r="L410" i="3"/>
  <c r="I799" i="7"/>
  <c r="E820" i="7"/>
  <c r="H799" i="7"/>
  <c r="F755" i="7"/>
  <c r="H819" i="7"/>
  <c r="G755" i="7"/>
  <c r="G756" i="7"/>
  <c r="G798" i="7"/>
  <c r="E819" i="7"/>
  <c r="I757" i="7"/>
  <c r="G757" i="7"/>
  <c r="K799" i="7"/>
  <c r="J820" i="7"/>
  <c r="F819" i="7"/>
  <c r="H755" i="7"/>
  <c r="H756" i="7"/>
  <c r="G799" i="7"/>
  <c r="H777" i="7"/>
  <c r="H798" i="7"/>
  <c r="H757" i="7"/>
  <c r="E754" i="7"/>
  <c r="E777" i="7"/>
  <c r="E778" i="7"/>
  <c r="F757" i="7"/>
  <c r="J757" i="7"/>
  <c r="E755" i="7"/>
  <c r="F756" i="7"/>
  <c r="E798" i="7"/>
  <c r="K757" i="7"/>
  <c r="E757" i="7"/>
  <c r="J778" i="7"/>
  <c r="F777" i="7"/>
  <c r="G777" i="7"/>
  <c r="E756" i="7"/>
  <c r="E799" i="7"/>
  <c r="J799" i="7"/>
  <c r="L183" i="7"/>
  <c r="L184" i="7"/>
  <c r="L161" i="7"/>
  <c r="L159" i="7"/>
  <c r="L160" i="7"/>
  <c r="L179" i="7"/>
  <c r="L182" i="7"/>
  <c r="L157" i="7"/>
  <c r="L158" i="7"/>
  <c r="I321" i="7"/>
  <c r="I486" i="7"/>
  <c r="I666" i="7"/>
  <c r="M155" i="3"/>
  <c r="M156" i="3"/>
  <c r="M161" i="7"/>
  <c r="I485" i="7"/>
  <c r="I665" i="7"/>
  <c r="I320" i="7"/>
  <c r="I168" i="3"/>
  <c r="I168" i="7"/>
  <c r="L319" i="7"/>
  <c r="L484" i="7"/>
  <c r="L664" i="7"/>
  <c r="M154" i="3"/>
  <c r="I164" i="3"/>
  <c r="I164" i="7"/>
  <c r="M176" i="7"/>
  <c r="I165" i="3"/>
  <c r="I165" i="7"/>
  <c r="M145" i="7"/>
  <c r="L145" i="7"/>
  <c r="M153" i="3"/>
  <c r="M148" i="3"/>
  <c r="L658" i="7"/>
  <c r="L478" i="7"/>
  <c r="L313" i="7"/>
  <c r="L148" i="7"/>
  <c r="L657" i="7"/>
  <c r="L817" i="7" s="1"/>
  <c r="L147" i="7"/>
  <c r="L754" i="7" s="1"/>
  <c r="L477" i="7"/>
  <c r="L796" i="7" s="1"/>
  <c r="L312" i="7"/>
  <c r="L775" i="7" s="1"/>
  <c r="L181" i="7"/>
  <c r="L180" i="7"/>
  <c r="L155" i="7"/>
  <c r="L154" i="7"/>
  <c r="L156" i="7"/>
  <c r="L318" i="7"/>
  <c r="L483" i="7"/>
  <c r="L663" i="7"/>
  <c r="L153" i="7"/>
  <c r="M177" i="3"/>
  <c r="M152" i="3"/>
  <c r="L662" i="7"/>
  <c r="L482" i="7"/>
  <c r="L317" i="7"/>
  <c r="L152" i="7"/>
  <c r="M178" i="3"/>
  <c r="M151" i="3"/>
  <c r="L661" i="7"/>
  <c r="L481" i="7"/>
  <c r="L316" i="7"/>
  <c r="L151" i="7"/>
  <c r="I150" i="7"/>
  <c r="I149" i="7"/>
  <c r="L207" i="7"/>
  <c r="L206" i="7"/>
  <c r="L758" i="7" s="1"/>
  <c r="L163" i="7"/>
  <c r="L174" i="7"/>
  <c r="L191" i="7"/>
  <c r="L201" i="7"/>
  <c r="L190" i="7"/>
  <c r="L200" i="7"/>
  <c r="L162" i="7"/>
  <c r="L178" i="7"/>
  <c r="L343" i="7"/>
  <c r="L688" i="7"/>
  <c r="L508" i="7"/>
  <c r="L687" i="7"/>
  <c r="L342" i="7"/>
  <c r="L177" i="7"/>
  <c r="L507" i="7"/>
  <c r="M175" i="7"/>
  <c r="L659" i="7"/>
  <c r="L479" i="7"/>
  <c r="L314" i="7"/>
  <c r="L660" i="7"/>
  <c r="L480" i="7"/>
  <c r="L315" i="7"/>
  <c r="M315" i="3"/>
  <c r="M179" i="7"/>
  <c r="N147" i="3"/>
  <c r="N407" i="3" s="1"/>
  <c r="M314" i="3"/>
  <c r="J158" i="4"/>
  <c r="J163" i="4"/>
  <c r="J156" i="4"/>
  <c r="J157" i="4"/>
  <c r="J160" i="4"/>
  <c r="J159" i="4"/>
  <c r="J155" i="4"/>
  <c r="G781" i="7" l="1"/>
  <c r="G785" i="7" s="1"/>
  <c r="M314" i="7"/>
  <c r="M664" i="7"/>
  <c r="P152" i="5"/>
  <c r="Q152" i="5" s="1"/>
  <c r="R152" i="5" s="1"/>
  <c r="O156" i="5"/>
  <c r="O154" i="5"/>
  <c r="N664" i="7" s="1"/>
  <c r="P148" i="5"/>
  <c r="Q148" i="5" s="1"/>
  <c r="Q150" i="5"/>
  <c r="R150" i="5" s="1"/>
  <c r="M319" i="7"/>
  <c r="P151" i="5"/>
  <c r="Q151" i="5" s="1"/>
  <c r="O155" i="5"/>
  <c r="Q178" i="5"/>
  <c r="R178" i="5" s="1"/>
  <c r="P177" i="5"/>
  <c r="Q177" i="5" s="1"/>
  <c r="Q149" i="5"/>
  <c r="P147" i="5"/>
  <c r="Q147" i="5" s="1"/>
  <c r="O153" i="5"/>
  <c r="F802" i="7"/>
  <c r="F806" i="7" s="1"/>
  <c r="F781" i="7"/>
  <c r="F785" i="7" s="1"/>
  <c r="F823" i="7"/>
  <c r="F827" i="7" s="1"/>
  <c r="I777" i="7"/>
  <c r="I781" i="7" s="1"/>
  <c r="I785" i="7" s="1"/>
  <c r="M146" i="7"/>
  <c r="J673" i="7"/>
  <c r="J493" i="7"/>
  <c r="J328" i="7"/>
  <c r="H823" i="7"/>
  <c r="H827" i="7" s="1"/>
  <c r="G823" i="7"/>
  <c r="G827" i="7" s="1"/>
  <c r="H781" i="7"/>
  <c r="H785" i="7" s="1"/>
  <c r="M430" i="3"/>
  <c r="M434" i="3" s="1"/>
  <c r="M438" i="3" s="1"/>
  <c r="M410" i="3"/>
  <c r="M155" i="7"/>
  <c r="H802" i="7"/>
  <c r="H806" i="7" s="1"/>
  <c r="E823" i="7"/>
  <c r="E827" i="7" s="1"/>
  <c r="G760" i="7"/>
  <c r="G764" i="7" s="1"/>
  <c r="I408" i="3"/>
  <c r="I413" i="3" s="1"/>
  <c r="I417" i="3" s="1"/>
  <c r="G802" i="7"/>
  <c r="G806" i="7" s="1"/>
  <c r="I798" i="7"/>
  <c r="I802" i="7" s="1"/>
  <c r="I806" i="7" s="1"/>
  <c r="H760" i="7"/>
  <c r="H764" i="7" s="1"/>
  <c r="I819" i="7"/>
  <c r="I823" i="7" s="1"/>
  <c r="I827" i="7" s="1"/>
  <c r="E781" i="7"/>
  <c r="E785" i="7" s="1"/>
  <c r="L799" i="7"/>
  <c r="L778" i="7"/>
  <c r="L820" i="7"/>
  <c r="I756" i="7"/>
  <c r="F760" i="7"/>
  <c r="F764" i="7" s="1"/>
  <c r="E802" i="7"/>
  <c r="E806" i="7" s="1"/>
  <c r="L757" i="7"/>
  <c r="E760" i="7"/>
  <c r="E764" i="7" s="1"/>
  <c r="I755" i="7"/>
  <c r="M184" i="7"/>
  <c r="M185" i="7"/>
  <c r="M182" i="7"/>
  <c r="M183" i="7"/>
  <c r="M159" i="7"/>
  <c r="M160" i="7"/>
  <c r="M157" i="7"/>
  <c r="M158" i="7"/>
  <c r="J666" i="7"/>
  <c r="J486" i="7"/>
  <c r="J321" i="7"/>
  <c r="N155" i="3"/>
  <c r="N156" i="3"/>
  <c r="J665" i="7"/>
  <c r="J485" i="7"/>
  <c r="J320" i="7"/>
  <c r="J168" i="3"/>
  <c r="J168" i="7"/>
  <c r="N154" i="3"/>
  <c r="J164" i="3"/>
  <c r="J164" i="7"/>
  <c r="M147" i="7"/>
  <c r="J165" i="3"/>
  <c r="J165" i="7"/>
  <c r="M312" i="7"/>
  <c r="M775" i="7" s="1"/>
  <c r="M477" i="7"/>
  <c r="M796" i="7" s="1"/>
  <c r="M657" i="7"/>
  <c r="M817" i="7" s="1"/>
  <c r="N145" i="7"/>
  <c r="N153" i="3"/>
  <c r="N148" i="3"/>
  <c r="M658" i="7"/>
  <c r="M478" i="7"/>
  <c r="M313" i="7"/>
  <c r="M148" i="7"/>
  <c r="M662" i="7"/>
  <c r="N146" i="7"/>
  <c r="M180" i="7"/>
  <c r="M152" i="7"/>
  <c r="M154" i="7"/>
  <c r="M156" i="7"/>
  <c r="M317" i="7"/>
  <c r="M482" i="7"/>
  <c r="M208" i="7"/>
  <c r="M759" i="7" s="1"/>
  <c r="M181" i="7"/>
  <c r="N177" i="3"/>
  <c r="N152" i="3"/>
  <c r="M663" i="7"/>
  <c r="M483" i="7"/>
  <c r="M318" i="7"/>
  <c r="M153" i="7"/>
  <c r="N178" i="3"/>
  <c r="N151" i="3"/>
  <c r="M316" i="7"/>
  <c r="M661" i="7"/>
  <c r="M481" i="7"/>
  <c r="M151" i="7"/>
  <c r="J149" i="3"/>
  <c r="J149" i="7"/>
  <c r="J150" i="3"/>
  <c r="J150" i="7"/>
  <c r="M207" i="7"/>
  <c r="M206" i="7"/>
  <c r="M758" i="7" s="1"/>
  <c r="M659" i="7"/>
  <c r="N147" i="7"/>
  <c r="M479" i="7"/>
  <c r="M190" i="7"/>
  <c r="M200" i="7"/>
  <c r="M163" i="7"/>
  <c r="M174" i="7"/>
  <c r="M191" i="7"/>
  <c r="M201" i="7"/>
  <c r="N173" i="7"/>
  <c r="M162" i="7"/>
  <c r="M173" i="7"/>
  <c r="M688" i="7"/>
  <c r="M508" i="7"/>
  <c r="M343" i="7"/>
  <c r="M178" i="7"/>
  <c r="N175" i="7"/>
  <c r="M342" i="7"/>
  <c r="M687" i="7"/>
  <c r="M177" i="7"/>
  <c r="M507" i="7"/>
  <c r="O147" i="3"/>
  <c r="O407" i="3" s="1"/>
  <c r="N314" i="3"/>
  <c r="M660" i="7"/>
  <c r="M480" i="7"/>
  <c r="M315" i="7"/>
  <c r="N315" i="3"/>
  <c r="K155" i="4"/>
  <c r="K157" i="4"/>
  <c r="K156" i="4"/>
  <c r="K159" i="4"/>
  <c r="K163" i="4"/>
  <c r="K160" i="4"/>
  <c r="K158" i="4"/>
  <c r="P154" i="5" l="1"/>
  <c r="O484" i="7" s="1"/>
  <c r="S152" i="5"/>
  <c r="T152" i="5" s="1"/>
  <c r="R148" i="5"/>
  <c r="S148" i="5" s="1"/>
  <c r="R147" i="5"/>
  <c r="S178" i="5"/>
  <c r="T178" i="5" s="1"/>
  <c r="P156" i="5"/>
  <c r="Q156" i="5" s="1"/>
  <c r="R177" i="5"/>
  <c r="S177" i="5" s="1"/>
  <c r="R151" i="5"/>
  <c r="S151" i="5" s="1"/>
  <c r="T151" i="5" s="1"/>
  <c r="U151" i="5" s="1"/>
  <c r="V151" i="5" s="1"/>
  <c r="W151" i="5" s="1"/>
  <c r="X151" i="5" s="1"/>
  <c r="Y151" i="5" s="1"/>
  <c r="N484" i="7"/>
  <c r="S150" i="5"/>
  <c r="T150" i="5" s="1"/>
  <c r="U150" i="5" s="1"/>
  <c r="V150" i="5" s="1"/>
  <c r="W150" i="5" s="1"/>
  <c r="X150" i="5" s="1"/>
  <c r="Y150" i="5" s="1"/>
  <c r="P155" i="5"/>
  <c r="Q155" i="5" s="1"/>
  <c r="R155" i="5" s="1"/>
  <c r="S155" i="5" s="1"/>
  <c r="N319" i="7"/>
  <c r="P153" i="5"/>
  <c r="S147" i="5"/>
  <c r="T147" i="5" s="1"/>
  <c r="U147" i="5" s="1"/>
  <c r="V147" i="5" s="1"/>
  <c r="W147" i="5" s="1"/>
  <c r="X147" i="5" s="1"/>
  <c r="Y147" i="5" s="1"/>
  <c r="R149" i="5"/>
  <c r="C124" i="8"/>
  <c r="C123" i="8"/>
  <c r="L120" i="8" s="1"/>
  <c r="C132" i="8"/>
  <c r="C133" i="8"/>
  <c r="D35" i="8"/>
  <c r="D39" i="8" s="1"/>
  <c r="M754" i="7"/>
  <c r="N176" i="7"/>
  <c r="K673" i="7"/>
  <c r="K493" i="7"/>
  <c r="K328" i="7"/>
  <c r="N410" i="3"/>
  <c r="M778" i="7"/>
  <c r="J777" i="7"/>
  <c r="J781" i="7" s="1"/>
  <c r="J785" i="7" s="1"/>
  <c r="N430" i="3"/>
  <c r="N434" i="3" s="1"/>
  <c r="N438" i="3" s="1"/>
  <c r="I760" i="7"/>
  <c r="I764" i="7" s="1"/>
  <c r="J408" i="3"/>
  <c r="J409" i="3"/>
  <c r="J819" i="7"/>
  <c r="J823" i="7" s="1"/>
  <c r="J827" i="7" s="1"/>
  <c r="J755" i="7"/>
  <c r="N754" i="7"/>
  <c r="J798" i="7"/>
  <c r="J802" i="7" s="1"/>
  <c r="J806" i="7" s="1"/>
  <c r="M799" i="7"/>
  <c r="M820" i="7"/>
  <c r="J756" i="7"/>
  <c r="M757" i="7"/>
  <c r="N155" i="7"/>
  <c r="N184" i="7"/>
  <c r="N185" i="7"/>
  <c r="N162" i="7"/>
  <c r="N160" i="7"/>
  <c r="N161" i="7"/>
  <c r="N182" i="7"/>
  <c r="N183" i="7"/>
  <c r="N158" i="7"/>
  <c r="N159" i="7"/>
  <c r="O161" i="7"/>
  <c r="N157" i="7"/>
  <c r="K321" i="7"/>
  <c r="K666" i="7"/>
  <c r="K486" i="7"/>
  <c r="O155" i="3"/>
  <c r="O156" i="3"/>
  <c r="K665" i="7"/>
  <c r="K485" i="7"/>
  <c r="K320" i="7"/>
  <c r="K168" i="3"/>
  <c r="K168" i="7"/>
  <c r="O154" i="3"/>
  <c r="K164" i="3"/>
  <c r="K164" i="7"/>
  <c r="O185" i="7"/>
  <c r="K165" i="3"/>
  <c r="K165" i="7"/>
  <c r="N657" i="7"/>
  <c r="N817" i="7" s="1"/>
  <c r="N312" i="7"/>
  <c r="N775" i="7" s="1"/>
  <c r="N477" i="7"/>
  <c r="N796" i="7" s="1"/>
  <c r="N478" i="7"/>
  <c r="N313" i="7"/>
  <c r="N658" i="7"/>
  <c r="N148" i="7"/>
  <c r="O146" i="7"/>
  <c r="O153" i="3"/>
  <c r="O148" i="3"/>
  <c r="N662" i="7"/>
  <c r="O662" i="7"/>
  <c r="N180" i="7"/>
  <c r="N181" i="7"/>
  <c r="N317" i="7"/>
  <c r="N482" i="7"/>
  <c r="N152" i="7"/>
  <c r="N154" i="7"/>
  <c r="N156" i="7"/>
  <c r="N663" i="7"/>
  <c r="N483" i="7"/>
  <c r="N318" i="7"/>
  <c r="N153" i="7"/>
  <c r="O177" i="3"/>
  <c r="O152" i="3"/>
  <c r="O178" i="3"/>
  <c r="O151" i="3"/>
  <c r="N661" i="7"/>
  <c r="N481" i="7"/>
  <c r="N316" i="7"/>
  <c r="N151" i="7"/>
  <c r="N208" i="7"/>
  <c r="N759" i="7" s="1"/>
  <c r="N314" i="7"/>
  <c r="N179" i="7"/>
  <c r="K150" i="3"/>
  <c r="K150" i="7"/>
  <c r="K149" i="3"/>
  <c r="K149" i="7"/>
  <c r="O147" i="7"/>
  <c r="N479" i="7"/>
  <c r="N659" i="7"/>
  <c r="N207" i="7"/>
  <c r="N206" i="7"/>
  <c r="N758" i="7" s="1"/>
  <c r="N190" i="7"/>
  <c r="N200" i="7"/>
  <c r="O173" i="7"/>
  <c r="N191" i="7"/>
  <c r="N201" i="7"/>
  <c r="N163" i="7"/>
  <c r="N174" i="7"/>
  <c r="N688" i="7"/>
  <c r="N508" i="7"/>
  <c r="N343" i="7"/>
  <c r="N178" i="7"/>
  <c r="N342" i="7"/>
  <c r="N177" i="7"/>
  <c r="N687" i="7"/>
  <c r="N507" i="7"/>
  <c r="O175" i="7"/>
  <c r="O176" i="7"/>
  <c r="O315" i="3"/>
  <c r="N660" i="7"/>
  <c r="N480" i="7"/>
  <c r="N315" i="7"/>
  <c r="P147" i="3"/>
  <c r="P407" i="3" s="1"/>
  <c r="O314" i="3"/>
  <c r="L159" i="4"/>
  <c r="L156" i="4"/>
  <c r="L157" i="4"/>
  <c r="L158" i="4"/>
  <c r="L160" i="4"/>
  <c r="L163" i="4"/>
  <c r="L155" i="4"/>
  <c r="Q154" i="5" l="1"/>
  <c r="R154" i="5" s="1"/>
  <c r="S154" i="5" s="1"/>
  <c r="T154" i="5" s="1"/>
  <c r="U154" i="5" s="1"/>
  <c r="V154" i="5" s="1"/>
  <c r="W154" i="5" s="1"/>
  <c r="X154" i="5" s="1"/>
  <c r="Y154" i="5" s="1"/>
  <c r="O664" i="7"/>
  <c r="O319" i="7"/>
  <c r="O155" i="7"/>
  <c r="U152" i="5"/>
  <c r="V152" i="5" s="1"/>
  <c r="R156" i="5"/>
  <c r="S156" i="5" s="1"/>
  <c r="T156" i="5" s="1"/>
  <c r="U156" i="5" s="1"/>
  <c r="V156" i="5" s="1"/>
  <c r="W156" i="5" s="1"/>
  <c r="X156" i="5" s="1"/>
  <c r="Y156" i="5" s="1"/>
  <c r="T155" i="5"/>
  <c r="U155" i="5" s="1"/>
  <c r="V155" i="5" s="1"/>
  <c r="W155" i="5" s="1"/>
  <c r="X155" i="5" s="1"/>
  <c r="Y155" i="5" s="1"/>
  <c r="T177" i="5"/>
  <c r="U177" i="5" s="1"/>
  <c r="V177" i="5" s="1"/>
  <c r="W177" i="5" s="1"/>
  <c r="T148" i="5"/>
  <c r="U148" i="5" s="1"/>
  <c r="V148" i="5" s="1"/>
  <c r="W148" i="5" s="1"/>
  <c r="X148" i="5" s="1"/>
  <c r="Y148" i="5" s="1"/>
  <c r="U178" i="5"/>
  <c r="V178" i="5" s="1"/>
  <c r="S149" i="5"/>
  <c r="Q153" i="5"/>
  <c r="R153" i="5" s="1"/>
  <c r="C130" i="8"/>
  <c r="C131" i="8"/>
  <c r="K777" i="7"/>
  <c r="K781" i="7" s="1"/>
  <c r="K785" i="7" s="1"/>
  <c r="L328" i="7"/>
  <c r="L673" i="7"/>
  <c r="L493" i="7"/>
  <c r="K408" i="3"/>
  <c r="J760" i="7"/>
  <c r="J764" i="7" s="1"/>
  <c r="J413" i="3"/>
  <c r="J417" i="3" s="1"/>
  <c r="K409" i="3"/>
  <c r="O430" i="3"/>
  <c r="O434" i="3" s="1"/>
  <c r="O438" i="3" s="1"/>
  <c r="O410" i="3"/>
  <c r="N757" i="7"/>
  <c r="N820" i="7"/>
  <c r="K755" i="7"/>
  <c r="N778" i="7"/>
  <c r="O754" i="7"/>
  <c r="K756" i="7"/>
  <c r="N799" i="7"/>
  <c r="K798" i="7"/>
  <c r="K802" i="7" s="1"/>
  <c r="K806" i="7" s="1"/>
  <c r="K819" i="7"/>
  <c r="K823" i="7" s="1"/>
  <c r="K827" i="7" s="1"/>
  <c r="O183" i="7"/>
  <c r="O184" i="7"/>
  <c r="O162" i="7"/>
  <c r="P161" i="7"/>
  <c r="P185" i="7"/>
  <c r="O182" i="7"/>
  <c r="O159" i="7"/>
  <c r="O160" i="7"/>
  <c r="P158" i="7"/>
  <c r="O157" i="7"/>
  <c r="O158" i="7"/>
  <c r="L486" i="7"/>
  <c r="L666" i="7"/>
  <c r="L321" i="7"/>
  <c r="P155" i="3"/>
  <c r="P156" i="3"/>
  <c r="L485" i="7"/>
  <c r="L665" i="7"/>
  <c r="L320" i="7"/>
  <c r="L168" i="3"/>
  <c r="L168" i="7"/>
  <c r="P154" i="3"/>
  <c r="L164" i="3"/>
  <c r="L164" i="7"/>
  <c r="L165" i="7"/>
  <c r="L165" i="3"/>
  <c r="O145" i="7"/>
  <c r="O657" i="7"/>
  <c r="O817" i="7" s="1"/>
  <c r="O477" i="7"/>
  <c r="O796" i="7" s="1"/>
  <c r="O312" i="7"/>
  <c r="O775" i="7" s="1"/>
  <c r="P155" i="7"/>
  <c r="O317" i="7"/>
  <c r="O482" i="7"/>
  <c r="P146" i="7"/>
  <c r="O313" i="7"/>
  <c r="O478" i="7"/>
  <c r="O658" i="7"/>
  <c r="O148" i="7"/>
  <c r="P153" i="3"/>
  <c r="P148" i="3"/>
  <c r="O181" i="7"/>
  <c r="O180" i="7"/>
  <c r="O154" i="7"/>
  <c r="O156" i="7"/>
  <c r="O152" i="7"/>
  <c r="P177" i="3"/>
  <c r="P152" i="3"/>
  <c r="O318" i="7"/>
  <c r="O663" i="7"/>
  <c r="O483" i="7"/>
  <c r="O153" i="7"/>
  <c r="O661" i="7"/>
  <c r="O481" i="7"/>
  <c r="O316" i="7"/>
  <c r="O151" i="7"/>
  <c r="P178" i="3"/>
  <c r="P151" i="3"/>
  <c r="O659" i="7"/>
  <c r="O208" i="7"/>
  <c r="O759" i="7" s="1"/>
  <c r="O314" i="7"/>
  <c r="P147" i="7"/>
  <c r="O479" i="7"/>
  <c r="L150" i="3"/>
  <c r="L150" i="7"/>
  <c r="L149" i="3"/>
  <c r="L149" i="7"/>
  <c r="O207" i="7"/>
  <c r="O206" i="7"/>
  <c r="O758" i="7" s="1"/>
  <c r="O174" i="7"/>
  <c r="O179" i="7"/>
  <c r="O191" i="7"/>
  <c r="O201" i="7"/>
  <c r="O190" i="7"/>
  <c r="O200" i="7"/>
  <c r="O163" i="7"/>
  <c r="P162" i="7"/>
  <c r="P175" i="7"/>
  <c r="O688" i="7"/>
  <c r="O178" i="7"/>
  <c r="O508" i="7"/>
  <c r="O343" i="7"/>
  <c r="P176" i="7"/>
  <c r="O342" i="7"/>
  <c r="O177" i="7"/>
  <c r="O687" i="7"/>
  <c r="O507" i="7"/>
  <c r="Q147" i="3"/>
  <c r="Q407" i="3" s="1"/>
  <c r="P314" i="3"/>
  <c r="O660" i="7"/>
  <c r="O480" i="7"/>
  <c r="O315" i="7"/>
  <c r="P315" i="3"/>
  <c r="M155" i="4"/>
  <c r="M157" i="4"/>
  <c r="M163" i="4"/>
  <c r="M160" i="4"/>
  <c r="M156" i="4"/>
  <c r="M158" i="4"/>
  <c r="M159" i="4"/>
  <c r="Q484" i="7" l="1"/>
  <c r="Q319" i="7"/>
  <c r="Q664" i="7"/>
  <c r="P319" i="7"/>
  <c r="P664" i="7"/>
  <c r="P484" i="7"/>
  <c r="W152" i="5"/>
  <c r="X152" i="5" s="1"/>
  <c r="Y152" i="5" s="1"/>
  <c r="X177" i="5"/>
  <c r="Y177" i="5" s="1"/>
  <c r="S153" i="5"/>
  <c r="T153" i="5" s="1"/>
  <c r="T149" i="5"/>
  <c r="U149" i="5" s="1"/>
  <c r="V149" i="5" s="1"/>
  <c r="W149" i="5" s="1"/>
  <c r="X149" i="5" s="1"/>
  <c r="Y149" i="5" s="1"/>
  <c r="W178" i="5"/>
  <c r="X178" i="5" s="1"/>
  <c r="Y178" i="5" s="1"/>
  <c r="M673" i="7"/>
  <c r="M493" i="7"/>
  <c r="M328" i="7"/>
  <c r="K413" i="3"/>
  <c r="K417" i="3" s="1"/>
  <c r="P159" i="7"/>
  <c r="L408" i="3"/>
  <c r="K760" i="7"/>
  <c r="K764" i="7" s="1"/>
  <c r="O778" i="7"/>
  <c r="L409" i="3"/>
  <c r="P430" i="3"/>
  <c r="P434" i="3" s="1"/>
  <c r="P438" i="3" s="1"/>
  <c r="P410" i="3"/>
  <c r="L819" i="7"/>
  <c r="L823" i="7" s="1"/>
  <c r="L827" i="7" s="1"/>
  <c r="L798" i="7"/>
  <c r="L802" i="7" s="1"/>
  <c r="L806" i="7" s="1"/>
  <c r="O799" i="7"/>
  <c r="O820" i="7"/>
  <c r="L756" i="7"/>
  <c r="P754" i="7"/>
  <c r="L755" i="7"/>
  <c r="L777" i="7"/>
  <c r="L781" i="7" s="1"/>
  <c r="L785" i="7" s="1"/>
  <c r="O757" i="7"/>
  <c r="Q161" i="7"/>
  <c r="P157" i="7"/>
  <c r="P183" i="7"/>
  <c r="P184" i="7"/>
  <c r="P160" i="7"/>
  <c r="Q160" i="7"/>
  <c r="Q185" i="7"/>
  <c r="P182" i="7"/>
  <c r="Q155" i="3"/>
  <c r="Q156" i="3"/>
  <c r="M486" i="7"/>
  <c r="M321" i="7"/>
  <c r="M666" i="7"/>
  <c r="M665" i="7"/>
  <c r="M485" i="7"/>
  <c r="M320" i="7"/>
  <c r="M168" i="3"/>
  <c r="M168" i="7"/>
  <c r="R484" i="7"/>
  <c r="R664" i="7"/>
  <c r="R319" i="7"/>
  <c r="Q154" i="3"/>
  <c r="M164" i="3"/>
  <c r="M164" i="7"/>
  <c r="Q317" i="7"/>
  <c r="P317" i="7"/>
  <c r="P482" i="7"/>
  <c r="P662" i="7"/>
  <c r="M165" i="3"/>
  <c r="M165" i="7"/>
  <c r="P145" i="7"/>
  <c r="P657" i="7"/>
  <c r="P817" i="7" s="1"/>
  <c r="P312" i="7"/>
  <c r="P775" i="7" s="1"/>
  <c r="P477" i="7"/>
  <c r="P796" i="7" s="1"/>
  <c r="Q146" i="7"/>
  <c r="P658" i="7"/>
  <c r="P313" i="7"/>
  <c r="P478" i="7"/>
  <c r="P148" i="7"/>
  <c r="Q153" i="3"/>
  <c r="Q148" i="3"/>
  <c r="Q662" i="7"/>
  <c r="P180" i="7"/>
  <c r="P181" i="7"/>
  <c r="Q482" i="7"/>
  <c r="P152" i="7"/>
  <c r="P154" i="7"/>
  <c r="P156" i="7"/>
  <c r="Q177" i="3"/>
  <c r="Q152" i="3"/>
  <c r="P483" i="7"/>
  <c r="P663" i="7"/>
  <c r="P318" i="7"/>
  <c r="P153" i="7"/>
  <c r="P661" i="7"/>
  <c r="P316" i="7"/>
  <c r="P481" i="7"/>
  <c r="P151" i="7"/>
  <c r="Q178" i="3"/>
  <c r="Q151" i="3"/>
  <c r="P208" i="7"/>
  <c r="P759" i="7" s="1"/>
  <c r="P173" i="7"/>
  <c r="P179" i="7"/>
  <c r="P206" i="7"/>
  <c r="P758" i="7" s="1"/>
  <c r="P659" i="7"/>
  <c r="P314" i="7"/>
  <c r="P479" i="7"/>
  <c r="Q147" i="7"/>
  <c r="P315" i="7"/>
  <c r="M150" i="3"/>
  <c r="M150" i="7"/>
  <c r="M149" i="7"/>
  <c r="M149" i="3"/>
  <c r="P200" i="7"/>
  <c r="P207" i="7"/>
  <c r="P480" i="7"/>
  <c r="Q162" i="7"/>
  <c r="Q173" i="7"/>
  <c r="P163" i="7"/>
  <c r="P174" i="7"/>
  <c r="P191" i="7"/>
  <c r="P201" i="7"/>
  <c r="P660" i="7"/>
  <c r="Q163" i="7"/>
  <c r="Q174" i="7"/>
  <c r="Q175" i="7"/>
  <c r="P190" i="7"/>
  <c r="Q176" i="7"/>
  <c r="P687" i="7"/>
  <c r="P342" i="7"/>
  <c r="P507" i="7"/>
  <c r="P177" i="7"/>
  <c r="P688" i="7"/>
  <c r="P343" i="7"/>
  <c r="P178" i="7"/>
  <c r="P508" i="7"/>
  <c r="R147" i="3"/>
  <c r="R407" i="3" s="1"/>
  <c r="Q314" i="3"/>
  <c r="Q315" i="3"/>
  <c r="N163" i="4"/>
  <c r="N156" i="4"/>
  <c r="N157" i="4"/>
  <c r="N159" i="4"/>
  <c r="N158" i="4"/>
  <c r="N160" i="4"/>
  <c r="N155" i="4"/>
  <c r="U153" i="5" l="1"/>
  <c r="V153" i="5" s="1"/>
  <c r="W153" i="5" s="1"/>
  <c r="Q155" i="7"/>
  <c r="N673" i="7"/>
  <c r="N328" i="7"/>
  <c r="N493" i="7"/>
  <c r="Q159" i="7"/>
  <c r="Q158" i="7"/>
  <c r="Q157" i="7"/>
  <c r="M408" i="3"/>
  <c r="L413" i="3"/>
  <c r="L417" i="3" s="1"/>
  <c r="M755" i="7"/>
  <c r="M756" i="7"/>
  <c r="M819" i="7"/>
  <c r="M823" i="7" s="1"/>
  <c r="M827" i="7" s="1"/>
  <c r="M409" i="3"/>
  <c r="Q430" i="3"/>
  <c r="Q434" i="3" s="1"/>
  <c r="Q438" i="3" s="1"/>
  <c r="Q410" i="3"/>
  <c r="Q754" i="7"/>
  <c r="M777" i="7"/>
  <c r="M781" i="7" s="1"/>
  <c r="M785" i="7" s="1"/>
  <c r="P778" i="7"/>
  <c r="P820" i="7"/>
  <c r="M798" i="7"/>
  <c r="M802" i="7" s="1"/>
  <c r="M806" i="7" s="1"/>
  <c r="P757" i="7"/>
  <c r="P799" i="7"/>
  <c r="L760" i="7"/>
  <c r="L764" i="7" s="1"/>
  <c r="Q183" i="7"/>
  <c r="Q184" i="7"/>
  <c r="R159" i="7"/>
  <c r="R160" i="7"/>
  <c r="R185" i="7"/>
  <c r="Q182" i="7"/>
  <c r="R155" i="3"/>
  <c r="R156" i="3"/>
  <c r="N666" i="7"/>
  <c r="N486" i="7"/>
  <c r="N321" i="7"/>
  <c r="N665" i="7"/>
  <c r="N320" i="7"/>
  <c r="N485" i="7"/>
  <c r="N168" i="3"/>
  <c r="N168" i="7"/>
  <c r="R154" i="3"/>
  <c r="S319" i="7"/>
  <c r="S664" i="7"/>
  <c r="S484" i="7"/>
  <c r="N164" i="3"/>
  <c r="N164" i="7"/>
  <c r="N165" i="3"/>
  <c r="N165" i="7"/>
  <c r="Q145" i="7"/>
  <c r="Q657" i="7"/>
  <c r="Q817" i="7" s="1"/>
  <c r="Q477" i="7"/>
  <c r="Q796" i="7" s="1"/>
  <c r="Q312" i="7"/>
  <c r="Q775" i="7" s="1"/>
  <c r="R153" i="3"/>
  <c r="R148" i="3"/>
  <c r="Q478" i="7"/>
  <c r="Q313" i="7"/>
  <c r="Q658" i="7"/>
  <c r="Q148" i="7"/>
  <c r="R146" i="7"/>
  <c r="R482" i="7"/>
  <c r="Q180" i="7"/>
  <c r="R317" i="7"/>
  <c r="S482" i="7"/>
  <c r="Q181" i="7"/>
  <c r="R662" i="7"/>
  <c r="Q152" i="7"/>
  <c r="Q154" i="7"/>
  <c r="Q156" i="7"/>
  <c r="Q318" i="7"/>
  <c r="Q663" i="7"/>
  <c r="Q483" i="7"/>
  <c r="Q153" i="7"/>
  <c r="R177" i="3"/>
  <c r="R152" i="3"/>
  <c r="Q661" i="7"/>
  <c r="Q151" i="7"/>
  <c r="Q316" i="7"/>
  <c r="Q481" i="7"/>
  <c r="R178" i="3"/>
  <c r="R151" i="3"/>
  <c r="Q179" i="7"/>
  <c r="Q479" i="7"/>
  <c r="Q177" i="7"/>
  <c r="Q659" i="7"/>
  <c r="Q314" i="7"/>
  <c r="N150" i="3"/>
  <c r="N150" i="7"/>
  <c r="N149" i="7"/>
  <c r="N149" i="3"/>
  <c r="Q660" i="7"/>
  <c r="Q207" i="7"/>
  <c r="Q206" i="7"/>
  <c r="Q758" i="7" s="1"/>
  <c r="Q315" i="7"/>
  <c r="Q201" i="7"/>
  <c r="Q208" i="7"/>
  <c r="Q759" i="7" s="1"/>
  <c r="Q480" i="7"/>
  <c r="R163" i="7"/>
  <c r="R174" i="7"/>
  <c r="Q190" i="7"/>
  <c r="Q200" i="7"/>
  <c r="R162" i="7"/>
  <c r="R173" i="7"/>
  <c r="S162" i="7"/>
  <c r="R175" i="7"/>
  <c r="R176" i="7"/>
  <c r="Q191" i="7"/>
  <c r="Q507" i="7"/>
  <c r="Q342" i="7"/>
  <c r="Q687" i="7"/>
  <c r="Q688" i="7"/>
  <c r="Q508" i="7"/>
  <c r="Q343" i="7"/>
  <c r="Q178" i="7"/>
  <c r="R315" i="3"/>
  <c r="S147" i="3"/>
  <c r="S407" i="3" s="1"/>
  <c r="R314" i="3"/>
  <c r="O157" i="4"/>
  <c r="O155" i="4"/>
  <c r="O160" i="4"/>
  <c r="O156" i="4"/>
  <c r="O158" i="4"/>
  <c r="O159" i="4"/>
  <c r="O163" i="4"/>
  <c r="X153" i="5" l="1"/>
  <c r="Y153" i="5" s="1"/>
  <c r="R161" i="7"/>
  <c r="R155" i="7"/>
  <c r="O673" i="7"/>
  <c r="O328" i="7"/>
  <c r="O493" i="7"/>
  <c r="M413" i="3"/>
  <c r="M417" i="3" s="1"/>
  <c r="R158" i="7"/>
  <c r="R157" i="7"/>
  <c r="M760" i="7"/>
  <c r="M764" i="7" s="1"/>
  <c r="R430" i="3"/>
  <c r="R434" i="3" s="1"/>
  <c r="R438" i="3" s="1"/>
  <c r="R410" i="3"/>
  <c r="N409" i="3"/>
  <c r="N408" i="3"/>
  <c r="N756" i="7"/>
  <c r="Q778" i="7"/>
  <c r="Q799" i="7"/>
  <c r="N798" i="7"/>
  <c r="N802" i="7" s="1"/>
  <c r="N806" i="7" s="1"/>
  <c r="N777" i="7"/>
  <c r="N781" i="7" s="1"/>
  <c r="N785" i="7" s="1"/>
  <c r="Q820" i="7"/>
  <c r="N819" i="7"/>
  <c r="N823" i="7" s="1"/>
  <c r="N827" i="7" s="1"/>
  <c r="N755" i="7"/>
  <c r="Q757" i="7"/>
  <c r="R179" i="7"/>
  <c r="R183" i="7"/>
  <c r="R184" i="7"/>
  <c r="S185" i="7"/>
  <c r="R182" i="7"/>
  <c r="S159" i="7"/>
  <c r="S160" i="7"/>
  <c r="S157" i="7"/>
  <c r="O666" i="7"/>
  <c r="O486" i="7"/>
  <c r="O321" i="7"/>
  <c r="S155" i="3"/>
  <c r="S156" i="3"/>
  <c r="O320" i="7"/>
  <c r="O485" i="7"/>
  <c r="O665" i="7"/>
  <c r="O168" i="3"/>
  <c r="O168" i="7"/>
  <c r="T319" i="7"/>
  <c r="T664" i="7"/>
  <c r="T484" i="7"/>
  <c r="S154" i="3"/>
  <c r="O164" i="3"/>
  <c r="O164" i="7"/>
  <c r="R147" i="7"/>
  <c r="R754" i="7" s="1"/>
  <c r="O165" i="3"/>
  <c r="O165" i="7"/>
  <c r="R145" i="7"/>
  <c r="R657" i="7"/>
  <c r="R817" i="7" s="1"/>
  <c r="R477" i="7"/>
  <c r="R796" i="7" s="1"/>
  <c r="R312" i="7"/>
  <c r="R775" i="7" s="1"/>
  <c r="R658" i="7"/>
  <c r="R313" i="7"/>
  <c r="R478" i="7"/>
  <c r="R148" i="7"/>
  <c r="S153" i="3"/>
  <c r="S148" i="3"/>
  <c r="S662" i="7"/>
  <c r="S317" i="7"/>
  <c r="R152" i="7"/>
  <c r="R154" i="7"/>
  <c r="R156" i="7"/>
  <c r="R208" i="7"/>
  <c r="R759" i="7" s="1"/>
  <c r="R181" i="7"/>
  <c r="R206" i="7"/>
  <c r="R758" i="7" s="1"/>
  <c r="R180" i="7"/>
  <c r="R483" i="7"/>
  <c r="R663" i="7"/>
  <c r="R318" i="7"/>
  <c r="R153" i="7"/>
  <c r="S177" i="3"/>
  <c r="S152" i="3"/>
  <c r="R151" i="7"/>
  <c r="R481" i="7"/>
  <c r="R661" i="7"/>
  <c r="R316" i="7"/>
  <c r="S178" i="3"/>
  <c r="S151" i="3"/>
  <c r="R314" i="7"/>
  <c r="R343" i="7"/>
  <c r="R177" i="7"/>
  <c r="R659" i="7"/>
  <c r="R479" i="7"/>
  <c r="R508" i="7"/>
  <c r="O150" i="3"/>
  <c r="O150" i="7"/>
  <c r="O149" i="7"/>
  <c r="O149" i="3"/>
  <c r="R178" i="7"/>
  <c r="R660" i="7"/>
  <c r="R315" i="7"/>
  <c r="R480" i="7"/>
  <c r="S175" i="7"/>
  <c r="R207" i="7"/>
  <c r="S190" i="7"/>
  <c r="S200" i="7"/>
  <c r="T173" i="7"/>
  <c r="U173" i="7"/>
  <c r="R507" i="7"/>
  <c r="S163" i="7"/>
  <c r="S174" i="7"/>
  <c r="R687" i="7"/>
  <c r="R688" i="7"/>
  <c r="R201" i="7"/>
  <c r="R190" i="7"/>
  <c r="R200" i="7"/>
  <c r="S176" i="7"/>
  <c r="R191" i="7"/>
  <c r="R342" i="7"/>
  <c r="S315" i="3"/>
  <c r="T147" i="3"/>
  <c r="T407" i="3" s="1"/>
  <c r="S314" i="3"/>
  <c r="S149" i="3"/>
  <c r="R155" i="4"/>
  <c r="S155" i="4"/>
  <c r="Q155" i="4"/>
  <c r="R158" i="4"/>
  <c r="S158" i="4"/>
  <c r="Q158" i="4"/>
  <c r="S160" i="4"/>
  <c r="Q160" i="4"/>
  <c r="R160" i="4"/>
  <c r="R157" i="4"/>
  <c r="S157" i="4"/>
  <c r="Q157" i="4"/>
  <c r="S163" i="4"/>
  <c r="Q163" i="4"/>
  <c r="R163" i="4"/>
  <c r="R156" i="4"/>
  <c r="S156" i="4"/>
  <c r="Q156" i="4"/>
  <c r="S159" i="4"/>
  <c r="Q159" i="4"/>
  <c r="R159" i="4"/>
  <c r="P163" i="4"/>
  <c r="P156" i="4"/>
  <c r="P160" i="4"/>
  <c r="P155" i="4"/>
  <c r="P159" i="4"/>
  <c r="P158" i="4"/>
  <c r="P157" i="4"/>
  <c r="S161" i="7" l="1"/>
  <c r="S155" i="7"/>
  <c r="S493" i="7"/>
  <c r="S328" i="7"/>
  <c r="S673" i="7"/>
  <c r="R673" i="7"/>
  <c r="R328" i="7"/>
  <c r="R493" i="7"/>
  <c r="P493" i="7"/>
  <c r="P328" i="7"/>
  <c r="P673" i="7"/>
  <c r="Q673" i="7"/>
  <c r="Q493" i="7"/>
  <c r="Q328" i="7"/>
  <c r="S158" i="7"/>
  <c r="S321" i="7"/>
  <c r="O819" i="7"/>
  <c r="O823" i="7" s="1"/>
  <c r="O827" i="7" s="1"/>
  <c r="T161" i="7"/>
  <c r="N413" i="3"/>
  <c r="N417" i="3" s="1"/>
  <c r="N760" i="7"/>
  <c r="N764" i="7" s="1"/>
  <c r="S430" i="3"/>
  <c r="S434" i="3" s="1"/>
  <c r="S438" i="3" s="1"/>
  <c r="O409" i="3"/>
  <c r="S410" i="3"/>
  <c r="O408" i="3"/>
  <c r="O756" i="7"/>
  <c r="R799" i="7"/>
  <c r="O798" i="7"/>
  <c r="O802" i="7" s="1"/>
  <c r="O806" i="7" s="1"/>
  <c r="O755" i="7"/>
  <c r="O777" i="7"/>
  <c r="O781" i="7" s="1"/>
  <c r="O785" i="7" s="1"/>
  <c r="R757" i="7"/>
  <c r="R820" i="7"/>
  <c r="R778" i="7"/>
  <c r="S179" i="7"/>
  <c r="T162" i="7"/>
  <c r="S183" i="7"/>
  <c r="S184" i="7"/>
  <c r="T159" i="7"/>
  <c r="T160" i="7"/>
  <c r="T185" i="7"/>
  <c r="S182" i="7"/>
  <c r="T157" i="7"/>
  <c r="T158" i="7"/>
  <c r="S486" i="7"/>
  <c r="T155" i="3"/>
  <c r="T156" i="3"/>
  <c r="Q666" i="7"/>
  <c r="Q486" i="7"/>
  <c r="Q321" i="7"/>
  <c r="P486" i="7"/>
  <c r="P321" i="7"/>
  <c r="P666" i="7"/>
  <c r="S666" i="7"/>
  <c r="R666" i="7"/>
  <c r="R486" i="7"/>
  <c r="R321" i="7"/>
  <c r="Q320" i="7"/>
  <c r="Q665" i="7"/>
  <c r="Q485" i="7"/>
  <c r="R320" i="7"/>
  <c r="R485" i="7"/>
  <c r="R665" i="7"/>
  <c r="P485" i="7"/>
  <c r="P665" i="7"/>
  <c r="P320" i="7"/>
  <c r="S485" i="7"/>
  <c r="S665" i="7"/>
  <c r="S320" i="7"/>
  <c r="Q168" i="3"/>
  <c r="Q168" i="7"/>
  <c r="R168" i="3"/>
  <c r="R168" i="7"/>
  <c r="P168" i="3"/>
  <c r="P168" i="7"/>
  <c r="S168" i="7"/>
  <c r="S168" i="3"/>
  <c r="T154" i="3"/>
  <c r="U319" i="7"/>
  <c r="U484" i="7"/>
  <c r="U664" i="7"/>
  <c r="Q164" i="3"/>
  <c r="Q164" i="7"/>
  <c r="R164" i="3"/>
  <c r="R164" i="7"/>
  <c r="P164" i="3"/>
  <c r="P164" i="7"/>
  <c r="S164" i="3"/>
  <c r="S164" i="7"/>
  <c r="S147" i="7"/>
  <c r="S165" i="7"/>
  <c r="S165" i="3"/>
  <c r="R165" i="3"/>
  <c r="R165" i="7"/>
  <c r="P165" i="3"/>
  <c r="P165" i="7"/>
  <c r="Q165" i="3"/>
  <c r="Q165" i="7"/>
  <c r="T145" i="7"/>
  <c r="T477" i="7"/>
  <c r="T796" i="7" s="1"/>
  <c r="T312" i="7"/>
  <c r="T775" i="7" s="1"/>
  <c r="T657" i="7"/>
  <c r="T817" i="7" s="1"/>
  <c r="T146" i="7"/>
  <c r="S146" i="7"/>
  <c r="S145" i="7"/>
  <c r="S657" i="7"/>
  <c r="S817" i="7" s="1"/>
  <c r="S312" i="7"/>
  <c r="S775" i="7" s="1"/>
  <c r="S477" i="7"/>
  <c r="S796" i="7" s="1"/>
  <c r="S658" i="7"/>
  <c r="S478" i="7"/>
  <c r="S313" i="7"/>
  <c r="S148" i="7"/>
  <c r="T153" i="3"/>
  <c r="T148" i="3"/>
  <c r="S180" i="7"/>
  <c r="S181" i="7"/>
  <c r="T662" i="7"/>
  <c r="T317" i="7"/>
  <c r="T482" i="7"/>
  <c r="S154" i="7"/>
  <c r="S156" i="7"/>
  <c r="S152" i="7"/>
  <c r="T177" i="3"/>
  <c r="T152" i="3"/>
  <c r="S318" i="7"/>
  <c r="S483" i="7"/>
  <c r="S663" i="7"/>
  <c r="S153" i="7"/>
  <c r="T178" i="3"/>
  <c r="T151" i="3"/>
  <c r="S661" i="7"/>
  <c r="S481" i="7"/>
  <c r="S316" i="7"/>
  <c r="S151" i="7"/>
  <c r="S177" i="7"/>
  <c r="S173" i="7"/>
  <c r="S479" i="7"/>
  <c r="S659" i="7"/>
  <c r="S149" i="7"/>
  <c r="S314" i="7"/>
  <c r="S342" i="7"/>
  <c r="S507" i="7"/>
  <c r="S315" i="7"/>
  <c r="S480" i="7"/>
  <c r="S150" i="7"/>
  <c r="S687" i="7"/>
  <c r="S660" i="7"/>
  <c r="T148" i="7"/>
  <c r="R150" i="3"/>
  <c r="R150" i="7"/>
  <c r="P150" i="3"/>
  <c r="P150" i="7"/>
  <c r="S150" i="3"/>
  <c r="S409" i="3" s="1"/>
  <c r="Q150" i="3"/>
  <c r="Q150" i="7"/>
  <c r="Q149" i="7"/>
  <c r="Q149" i="3"/>
  <c r="P149" i="3"/>
  <c r="P149" i="7"/>
  <c r="R149" i="7"/>
  <c r="R149" i="3"/>
  <c r="S178" i="7"/>
  <c r="S207" i="7"/>
  <c r="S206" i="7"/>
  <c r="S758" i="7" s="1"/>
  <c r="T175" i="7"/>
  <c r="S201" i="7"/>
  <c r="S208" i="7"/>
  <c r="S759" i="7" s="1"/>
  <c r="V173" i="7"/>
  <c r="T190" i="7"/>
  <c r="T200" i="7"/>
  <c r="T163" i="7"/>
  <c r="T174" i="7"/>
  <c r="S191" i="7"/>
  <c r="S688" i="7"/>
  <c r="T176" i="7"/>
  <c r="S508" i="7"/>
  <c r="S343" i="7"/>
  <c r="U147" i="3"/>
  <c r="U407" i="3" s="1"/>
  <c r="T314" i="3"/>
  <c r="T315" i="3"/>
  <c r="T158" i="4"/>
  <c r="T160" i="4"/>
  <c r="T159" i="4"/>
  <c r="T156" i="4"/>
  <c r="T150" i="3" s="1"/>
  <c r="T157" i="4"/>
  <c r="T155" i="4"/>
  <c r="T163" i="4"/>
  <c r="S408" i="3" l="1"/>
  <c r="S413" i="3" s="1"/>
  <c r="S417" i="3" s="1"/>
  <c r="Q777" i="7"/>
  <c r="Q781" i="7" s="1"/>
  <c r="Q785" i="7" s="1"/>
  <c r="T155" i="7"/>
  <c r="T673" i="7"/>
  <c r="T493" i="7"/>
  <c r="T328" i="7"/>
  <c r="R819" i="7"/>
  <c r="R823" i="7" s="1"/>
  <c r="R827" i="7" s="1"/>
  <c r="U159" i="7"/>
  <c r="R408" i="3"/>
  <c r="O413" i="3"/>
  <c r="O417" i="3" s="1"/>
  <c r="P798" i="7"/>
  <c r="P802" i="7" s="1"/>
  <c r="P806" i="7" s="1"/>
  <c r="R409" i="3"/>
  <c r="R777" i="7"/>
  <c r="R781" i="7" s="1"/>
  <c r="R785" i="7" s="1"/>
  <c r="O760" i="7"/>
  <c r="O764" i="7" s="1"/>
  <c r="S777" i="7"/>
  <c r="S819" i="7"/>
  <c r="Q756" i="7"/>
  <c r="Q408" i="3"/>
  <c r="P409" i="3"/>
  <c r="P408" i="3"/>
  <c r="Q409" i="3"/>
  <c r="T430" i="3"/>
  <c r="T434" i="3" s="1"/>
  <c r="T438" i="3" s="1"/>
  <c r="T410" i="3"/>
  <c r="S754" i="7"/>
  <c r="P819" i="7"/>
  <c r="P823" i="7" s="1"/>
  <c r="P827" i="7" s="1"/>
  <c r="S755" i="7"/>
  <c r="R798" i="7"/>
  <c r="R802" i="7" s="1"/>
  <c r="R806" i="7" s="1"/>
  <c r="P756" i="7"/>
  <c r="P755" i="7"/>
  <c r="S799" i="7"/>
  <c r="P777" i="7"/>
  <c r="P781" i="7" s="1"/>
  <c r="P785" i="7" s="1"/>
  <c r="S778" i="7"/>
  <c r="R755" i="7"/>
  <c r="S756" i="7"/>
  <c r="S820" i="7"/>
  <c r="S798" i="7"/>
  <c r="Q755" i="7"/>
  <c r="R756" i="7"/>
  <c r="Q798" i="7"/>
  <c r="Q802" i="7" s="1"/>
  <c r="Q806" i="7" s="1"/>
  <c r="S757" i="7"/>
  <c r="Q819" i="7"/>
  <c r="Q823" i="7" s="1"/>
  <c r="Q827" i="7" s="1"/>
  <c r="V185" i="7"/>
  <c r="T184" i="7"/>
  <c r="U161" i="7"/>
  <c r="U162" i="7"/>
  <c r="T182" i="7"/>
  <c r="T183" i="7"/>
  <c r="U160" i="7"/>
  <c r="U157" i="7"/>
  <c r="U158" i="7"/>
  <c r="T666" i="7"/>
  <c r="U155" i="3"/>
  <c r="U156" i="3"/>
  <c r="T486" i="7"/>
  <c r="T321" i="7"/>
  <c r="T485" i="7"/>
  <c r="T665" i="7"/>
  <c r="T320" i="7"/>
  <c r="T168" i="3"/>
  <c r="T168" i="7"/>
  <c r="V319" i="7"/>
  <c r="V664" i="7"/>
  <c r="V484" i="7"/>
  <c r="U154" i="3"/>
  <c r="T164" i="3"/>
  <c r="T164" i="7"/>
  <c r="T658" i="7"/>
  <c r="U146" i="7"/>
  <c r="T313" i="7"/>
  <c r="T478" i="7"/>
  <c r="T165" i="7"/>
  <c r="T165" i="3"/>
  <c r="U145" i="7"/>
  <c r="U312" i="7"/>
  <c r="U775" i="7" s="1"/>
  <c r="U657" i="7"/>
  <c r="U817" i="7" s="1"/>
  <c r="U477" i="7"/>
  <c r="U796" i="7" s="1"/>
  <c r="T151" i="7"/>
  <c r="T314" i="7"/>
  <c r="T147" i="7"/>
  <c r="T754" i="7" s="1"/>
  <c r="U153" i="3"/>
  <c r="U148" i="3"/>
  <c r="V146" i="7"/>
  <c r="U155" i="7"/>
  <c r="U317" i="7"/>
  <c r="U662" i="7"/>
  <c r="U482" i="7"/>
  <c r="T342" i="7"/>
  <c r="T180" i="7"/>
  <c r="T154" i="7"/>
  <c r="T156" i="7"/>
  <c r="T152" i="7"/>
  <c r="T178" i="7"/>
  <c r="T181" i="7"/>
  <c r="T316" i="7"/>
  <c r="T481" i="7"/>
  <c r="U661" i="7"/>
  <c r="T661" i="7"/>
  <c r="T318" i="7"/>
  <c r="T483" i="7"/>
  <c r="T663" i="7"/>
  <c r="T153" i="7"/>
  <c r="U177" i="3"/>
  <c r="U152" i="3"/>
  <c r="U178" i="3"/>
  <c r="U151" i="3"/>
  <c r="U176" i="7"/>
  <c r="U175" i="7"/>
  <c r="T179" i="7"/>
  <c r="T149" i="7"/>
  <c r="T479" i="7"/>
  <c r="T659" i="7"/>
  <c r="T480" i="7"/>
  <c r="T507" i="7"/>
  <c r="T660" i="7"/>
  <c r="T150" i="7"/>
  <c r="T177" i="7"/>
  <c r="T315" i="7"/>
  <c r="T149" i="3"/>
  <c r="T409" i="3" s="1"/>
  <c r="T207" i="7"/>
  <c r="T206" i="7"/>
  <c r="T758" i="7" s="1"/>
  <c r="T687" i="7"/>
  <c r="U206" i="7"/>
  <c r="U758" i="7" s="1"/>
  <c r="T201" i="7"/>
  <c r="T208" i="7"/>
  <c r="T759" i="7" s="1"/>
  <c r="U174" i="7"/>
  <c r="W173" i="7"/>
  <c r="U190" i="7"/>
  <c r="U200" i="7"/>
  <c r="T191" i="7"/>
  <c r="T508" i="7"/>
  <c r="T688" i="7"/>
  <c r="T343" i="7"/>
  <c r="U207" i="7"/>
  <c r="U163" i="7"/>
  <c r="U315" i="3"/>
  <c r="V147" i="3"/>
  <c r="V407" i="3" s="1"/>
  <c r="U314" i="3"/>
  <c r="U149" i="3"/>
  <c r="U163" i="4"/>
  <c r="U156" i="4"/>
  <c r="U155" i="4"/>
  <c r="U159" i="4"/>
  <c r="U160" i="4"/>
  <c r="U157" i="4"/>
  <c r="U158" i="4"/>
  <c r="D125" i="8" l="1"/>
  <c r="D126" i="8"/>
  <c r="U486" i="7"/>
  <c r="U673" i="7"/>
  <c r="U493" i="7"/>
  <c r="U328" i="7"/>
  <c r="R413" i="3"/>
  <c r="R417" i="3" s="1"/>
  <c r="Q760" i="7"/>
  <c r="Q764" i="7" s="1"/>
  <c r="S781" i="7"/>
  <c r="S785" i="7" s="1"/>
  <c r="S823" i="7"/>
  <c r="S827" i="7" s="1"/>
  <c r="S802" i="7"/>
  <c r="S806" i="7" s="1"/>
  <c r="Q413" i="3"/>
  <c r="Q417" i="3" s="1"/>
  <c r="P413" i="3"/>
  <c r="P417" i="3" s="1"/>
  <c r="S760" i="7"/>
  <c r="S764" i="7" s="1"/>
  <c r="T408" i="3"/>
  <c r="T413" i="3" s="1"/>
  <c r="T417" i="3" s="1"/>
  <c r="U410" i="3"/>
  <c r="U430" i="3"/>
  <c r="U434" i="3" s="1"/>
  <c r="U438" i="3" s="1"/>
  <c r="T755" i="7"/>
  <c r="P760" i="7"/>
  <c r="P764" i="7" s="1"/>
  <c r="T820" i="7"/>
  <c r="T799" i="7"/>
  <c r="R760" i="7"/>
  <c r="R764" i="7" s="1"/>
  <c r="T819" i="7"/>
  <c r="T778" i="7"/>
  <c r="T798" i="7"/>
  <c r="T777" i="7"/>
  <c r="T756" i="7"/>
  <c r="T757" i="7"/>
  <c r="U182" i="7"/>
  <c r="U185" i="7"/>
  <c r="V161" i="7"/>
  <c r="V162" i="7"/>
  <c r="V183" i="7"/>
  <c r="V184" i="7"/>
  <c r="U183" i="7"/>
  <c r="U184" i="7"/>
  <c r="V159" i="7"/>
  <c r="V160" i="7"/>
  <c r="W185" i="7"/>
  <c r="V182" i="7"/>
  <c r="V157" i="7"/>
  <c r="V158" i="7"/>
  <c r="V155" i="3"/>
  <c r="V156" i="3"/>
  <c r="U666" i="7"/>
  <c r="U321" i="7"/>
  <c r="U320" i="7"/>
  <c r="U665" i="7"/>
  <c r="U485" i="7"/>
  <c r="U168" i="3"/>
  <c r="U168" i="7"/>
  <c r="V154" i="3"/>
  <c r="W484" i="7"/>
  <c r="W664" i="7"/>
  <c r="W319" i="7"/>
  <c r="U164" i="3"/>
  <c r="U164" i="7"/>
  <c r="U313" i="7"/>
  <c r="U478" i="7"/>
  <c r="U658" i="7"/>
  <c r="U165" i="7"/>
  <c r="U165" i="3"/>
  <c r="W145" i="7"/>
  <c r="W477" i="7"/>
  <c r="W796" i="7" s="1"/>
  <c r="W657" i="7"/>
  <c r="W817" i="7" s="1"/>
  <c r="W312" i="7"/>
  <c r="W775" i="7" s="1"/>
  <c r="V145" i="7"/>
  <c r="V657" i="7"/>
  <c r="V817" i="7" s="1"/>
  <c r="V312" i="7"/>
  <c r="V775" i="7" s="1"/>
  <c r="V477" i="7"/>
  <c r="V796" i="7" s="1"/>
  <c r="U479" i="7"/>
  <c r="U147" i="7"/>
  <c r="U754" i="7" s="1"/>
  <c r="U148" i="7"/>
  <c r="V658" i="7"/>
  <c r="V478" i="7"/>
  <c r="V313" i="7"/>
  <c r="V148" i="7"/>
  <c r="V153" i="3"/>
  <c r="V148" i="3"/>
  <c r="W146" i="7"/>
  <c r="V482" i="7"/>
  <c r="V662" i="7"/>
  <c r="V317" i="7"/>
  <c r="U151" i="7"/>
  <c r="U315" i="7"/>
  <c r="U179" i="7"/>
  <c r="U181" i="7"/>
  <c r="U687" i="7"/>
  <c r="U180" i="7"/>
  <c r="U154" i="7"/>
  <c r="U156" i="7"/>
  <c r="U660" i="7"/>
  <c r="U152" i="7"/>
  <c r="U481" i="7"/>
  <c r="U342" i="7"/>
  <c r="U316" i="7"/>
  <c r="U483" i="7"/>
  <c r="U663" i="7"/>
  <c r="U318" i="7"/>
  <c r="U153" i="7"/>
  <c r="V177" i="3"/>
  <c r="V152" i="3"/>
  <c r="U480" i="7"/>
  <c r="U150" i="7"/>
  <c r="V178" i="3"/>
  <c r="V151" i="3"/>
  <c r="U314" i="7"/>
  <c r="U659" i="7"/>
  <c r="U507" i="7"/>
  <c r="V176" i="7"/>
  <c r="U149" i="7"/>
  <c r="V175" i="7"/>
  <c r="U177" i="7"/>
  <c r="U178" i="7"/>
  <c r="U150" i="3"/>
  <c r="U409" i="3" s="1"/>
  <c r="V315" i="7"/>
  <c r="V480" i="7"/>
  <c r="V206" i="7"/>
  <c r="V758" i="7" s="1"/>
  <c r="U201" i="7"/>
  <c r="U208" i="7"/>
  <c r="U759" i="7" s="1"/>
  <c r="V660" i="7"/>
  <c r="V190" i="7"/>
  <c r="V200" i="7"/>
  <c r="X173" i="7"/>
  <c r="V163" i="7"/>
  <c r="V174" i="7"/>
  <c r="W163" i="7"/>
  <c r="U191" i="7"/>
  <c r="U343" i="7"/>
  <c r="U508" i="7"/>
  <c r="U688" i="7"/>
  <c r="V207" i="7"/>
  <c r="V315" i="3"/>
  <c r="W147" i="3"/>
  <c r="W407" i="3" s="1"/>
  <c r="V314" i="3"/>
  <c r="V149" i="3"/>
  <c r="V159" i="4"/>
  <c r="V160" i="4"/>
  <c r="V156" i="4"/>
  <c r="V158" i="4"/>
  <c r="V157" i="4"/>
  <c r="V155" i="4"/>
  <c r="V163" i="4"/>
  <c r="D124" i="8" l="1"/>
  <c r="D123" i="8"/>
  <c r="V155" i="7"/>
  <c r="V328" i="7"/>
  <c r="V673" i="7"/>
  <c r="V493" i="7"/>
  <c r="V321" i="7"/>
  <c r="V430" i="3"/>
  <c r="V434" i="3" s="1"/>
  <c r="V438" i="3" s="1"/>
  <c r="V410" i="3"/>
  <c r="T760" i="7"/>
  <c r="T764" i="7" s="1"/>
  <c r="T823" i="7"/>
  <c r="T827" i="7" s="1"/>
  <c r="T802" i="7"/>
  <c r="T806" i="7" s="1"/>
  <c r="U408" i="3"/>
  <c r="U413" i="3" s="1"/>
  <c r="U417" i="3" s="1"/>
  <c r="U819" i="7"/>
  <c r="U777" i="7"/>
  <c r="U757" i="7"/>
  <c r="U820" i="7"/>
  <c r="U778" i="7"/>
  <c r="T781" i="7"/>
  <c r="T785" i="7" s="1"/>
  <c r="U798" i="7"/>
  <c r="U756" i="7"/>
  <c r="U799" i="7"/>
  <c r="U755" i="7"/>
  <c r="W161" i="7"/>
  <c r="W162" i="7"/>
  <c r="W183" i="7"/>
  <c r="W184" i="7"/>
  <c r="W159" i="7"/>
  <c r="W160" i="7"/>
  <c r="W182" i="7"/>
  <c r="W157" i="7"/>
  <c r="W158" i="7"/>
  <c r="V486" i="7"/>
  <c r="V666" i="7"/>
  <c r="X163" i="7"/>
  <c r="W155" i="3"/>
  <c r="W156" i="3"/>
  <c r="V485" i="7"/>
  <c r="V665" i="7"/>
  <c r="V320" i="7"/>
  <c r="V168" i="3"/>
  <c r="V168" i="7"/>
  <c r="X484" i="7"/>
  <c r="X664" i="7"/>
  <c r="X319" i="7"/>
  <c r="X156" i="3"/>
  <c r="W154" i="3"/>
  <c r="V164" i="3"/>
  <c r="V164" i="7"/>
  <c r="V165" i="7"/>
  <c r="V165" i="3"/>
  <c r="V151" i="7"/>
  <c r="X145" i="7"/>
  <c r="X477" i="7"/>
  <c r="X796" i="7" s="1"/>
  <c r="X657" i="7"/>
  <c r="X817" i="7" s="1"/>
  <c r="X312" i="7"/>
  <c r="X775" i="7" s="1"/>
  <c r="V659" i="7"/>
  <c r="V147" i="7"/>
  <c r="V754" i="7" s="1"/>
  <c r="X146" i="7"/>
  <c r="W658" i="7"/>
  <c r="W478" i="7"/>
  <c r="W313" i="7"/>
  <c r="W148" i="7"/>
  <c r="W153" i="3"/>
  <c r="W148" i="3"/>
  <c r="W155" i="7"/>
  <c r="W482" i="7"/>
  <c r="W317" i="7"/>
  <c r="W662" i="7"/>
  <c r="V181" i="7"/>
  <c r="W175" i="7"/>
  <c r="V180" i="7"/>
  <c r="V154" i="7"/>
  <c r="V156" i="7"/>
  <c r="W176" i="7"/>
  <c r="V179" i="7"/>
  <c r="V150" i="7"/>
  <c r="V152" i="7"/>
  <c r="V316" i="7"/>
  <c r="V661" i="7"/>
  <c r="V481" i="7"/>
  <c r="W156" i="7"/>
  <c r="V663" i="7"/>
  <c r="V483" i="7"/>
  <c r="V318" i="7"/>
  <c r="V153" i="7"/>
  <c r="W177" i="3"/>
  <c r="W152" i="3"/>
  <c r="W178" i="3"/>
  <c r="W151" i="3"/>
  <c r="V149" i="7"/>
  <c r="V479" i="7"/>
  <c r="V314" i="7"/>
  <c r="V177" i="7"/>
  <c r="V342" i="7"/>
  <c r="V507" i="7"/>
  <c r="V687" i="7"/>
  <c r="V178" i="7"/>
  <c r="W480" i="7"/>
  <c r="W660" i="7"/>
  <c r="V150" i="3"/>
  <c r="V409" i="3" s="1"/>
  <c r="W206" i="7"/>
  <c r="W758" i="7" s="1"/>
  <c r="X179" i="7"/>
  <c r="W174" i="7"/>
  <c r="W179" i="7"/>
  <c r="V201" i="7"/>
  <c r="V208" i="7"/>
  <c r="V759" i="7" s="1"/>
  <c r="W315" i="7"/>
  <c r="X174" i="7"/>
  <c r="W190" i="7"/>
  <c r="W200" i="7"/>
  <c r="W207" i="7"/>
  <c r="V191" i="7"/>
  <c r="V688" i="7"/>
  <c r="V508" i="7"/>
  <c r="V343" i="7"/>
  <c r="X147" i="3"/>
  <c r="X407" i="3" s="1"/>
  <c r="W314" i="3"/>
  <c r="W149" i="3"/>
  <c r="W315" i="3"/>
  <c r="W163" i="4"/>
  <c r="W160" i="4"/>
  <c r="W158" i="4"/>
  <c r="W156" i="4"/>
  <c r="W486" i="7" s="1"/>
  <c r="W155" i="4"/>
  <c r="W157" i="4"/>
  <c r="W159" i="4"/>
  <c r="D132" i="8" l="1"/>
  <c r="D133" i="8"/>
  <c r="D130" i="8"/>
  <c r="D131" i="8"/>
  <c r="E49" i="8"/>
  <c r="W673" i="7"/>
  <c r="W328" i="7"/>
  <c r="W493" i="7"/>
  <c r="V755" i="7"/>
  <c r="U823" i="7"/>
  <c r="U827" i="7" s="1"/>
  <c r="U781" i="7"/>
  <c r="U785" i="7" s="1"/>
  <c r="W410" i="3"/>
  <c r="W430" i="3"/>
  <c r="W434" i="3" s="1"/>
  <c r="W438" i="3" s="1"/>
  <c r="V408" i="3"/>
  <c r="V413" i="3" s="1"/>
  <c r="V417" i="3" s="1"/>
  <c r="V777" i="7"/>
  <c r="V757" i="7"/>
  <c r="U802" i="7"/>
  <c r="U806" i="7" s="1"/>
  <c r="U760" i="7"/>
  <c r="U764" i="7" s="1"/>
  <c r="V798" i="7"/>
  <c r="V756" i="7"/>
  <c r="V820" i="7"/>
  <c r="V819" i="7"/>
  <c r="V799" i="7"/>
  <c r="V778" i="7"/>
  <c r="X184" i="7"/>
  <c r="X185" i="7"/>
  <c r="X161" i="7"/>
  <c r="X162" i="7"/>
  <c r="X182" i="7"/>
  <c r="X183" i="7"/>
  <c r="X159" i="7"/>
  <c r="X160" i="7"/>
  <c r="X157" i="7"/>
  <c r="X158" i="7"/>
  <c r="W666" i="7"/>
  <c r="W321" i="7"/>
  <c r="W320" i="7"/>
  <c r="W665" i="7"/>
  <c r="W485" i="7"/>
  <c r="X154" i="3"/>
  <c r="X155" i="3"/>
  <c r="W168" i="3"/>
  <c r="W168" i="7"/>
  <c r="W164" i="3"/>
  <c r="W164" i="7"/>
  <c r="W165" i="3"/>
  <c r="W165" i="7"/>
  <c r="W151" i="7"/>
  <c r="W314" i="7"/>
  <c r="W147" i="7"/>
  <c r="W754" i="7" s="1"/>
  <c r="X153" i="3"/>
  <c r="X148" i="3"/>
  <c r="X658" i="7"/>
  <c r="X478" i="7"/>
  <c r="X313" i="7"/>
  <c r="X148" i="7"/>
  <c r="W180" i="7"/>
  <c r="X155" i="7"/>
  <c r="X317" i="7"/>
  <c r="X482" i="7"/>
  <c r="X662" i="7"/>
  <c r="W181" i="7"/>
  <c r="W342" i="7"/>
  <c r="W687" i="7"/>
  <c r="X176" i="7"/>
  <c r="W177" i="7"/>
  <c r="W507" i="7"/>
  <c r="W150" i="7"/>
  <c r="X153" i="7"/>
  <c r="W154" i="7"/>
  <c r="W152" i="7"/>
  <c r="W481" i="7"/>
  <c r="W316" i="7"/>
  <c r="W661" i="7"/>
  <c r="X177" i="3"/>
  <c r="X152" i="3"/>
  <c r="W663" i="7"/>
  <c r="W483" i="7"/>
  <c r="W318" i="7"/>
  <c r="W153" i="7"/>
  <c r="X178" i="3"/>
  <c r="X151" i="3"/>
  <c r="W479" i="7"/>
  <c r="W149" i="7"/>
  <c r="W659" i="7"/>
  <c r="W178" i="7"/>
  <c r="W150" i="3"/>
  <c r="W409" i="3" s="1"/>
  <c r="X315" i="7"/>
  <c r="X206" i="7"/>
  <c r="X758" i="7" s="1"/>
  <c r="X660" i="7"/>
  <c r="X480" i="7"/>
  <c r="W201" i="7"/>
  <c r="W208" i="7"/>
  <c r="W759" i="7" s="1"/>
  <c r="X190" i="7"/>
  <c r="X200" i="7"/>
  <c r="X207" i="7"/>
  <c r="W191" i="7"/>
  <c r="W688" i="7"/>
  <c r="W508" i="7"/>
  <c r="W343" i="7"/>
  <c r="X315" i="3"/>
  <c r="X314" i="3"/>
  <c r="X156" i="4"/>
  <c r="X486" i="7" s="1"/>
  <c r="X163" i="4"/>
  <c r="X159" i="4"/>
  <c r="X157" i="4"/>
  <c r="X158" i="4"/>
  <c r="X155" i="4"/>
  <c r="X160" i="4"/>
  <c r="L49" i="8" l="1"/>
  <c r="K46" i="8"/>
  <c r="X493" i="7"/>
  <c r="X673" i="7"/>
  <c r="X328" i="7"/>
  <c r="V760" i="7"/>
  <c r="V764" i="7" s="1"/>
  <c r="X430" i="3"/>
  <c r="X434" i="3" s="1"/>
  <c r="X438" i="3" s="1"/>
  <c r="W408" i="3"/>
  <c r="W413" i="3" s="1"/>
  <c r="W417" i="3" s="1"/>
  <c r="V781" i="7"/>
  <c r="V785" i="7" s="1"/>
  <c r="W798" i="7"/>
  <c r="X410" i="3"/>
  <c r="W819" i="7"/>
  <c r="W756" i="7"/>
  <c r="V802" i="7"/>
  <c r="V806" i="7" s="1"/>
  <c r="W799" i="7"/>
  <c r="W757" i="7"/>
  <c r="V823" i="7"/>
  <c r="V827" i="7" s="1"/>
  <c r="W777" i="7"/>
  <c r="W820" i="7"/>
  <c r="W778" i="7"/>
  <c r="W755" i="7"/>
  <c r="X666" i="7"/>
  <c r="X321" i="7"/>
  <c r="X665" i="7"/>
  <c r="X485" i="7"/>
  <c r="X320" i="7"/>
  <c r="X168" i="3"/>
  <c r="X168" i="7"/>
  <c r="X164" i="3"/>
  <c r="X164" i="7"/>
  <c r="X165" i="3"/>
  <c r="X165" i="7"/>
  <c r="X151" i="7"/>
  <c r="X177" i="7"/>
  <c r="X175" i="7"/>
  <c r="X659" i="7"/>
  <c r="X147" i="7"/>
  <c r="X754" i="7" s="1"/>
  <c r="X342" i="7"/>
  <c r="X507" i="7"/>
  <c r="X687" i="7"/>
  <c r="X180" i="7"/>
  <c r="X181" i="7"/>
  <c r="X154" i="7"/>
  <c r="X156" i="7"/>
  <c r="X663" i="7"/>
  <c r="X152" i="7"/>
  <c r="X316" i="7"/>
  <c r="X661" i="7"/>
  <c r="X481" i="7"/>
  <c r="X150" i="7"/>
  <c r="X318" i="7"/>
  <c r="X483" i="7"/>
  <c r="X479" i="7"/>
  <c r="X149" i="7"/>
  <c r="X314" i="7"/>
  <c r="X178" i="7"/>
  <c r="X150" i="3"/>
  <c r="X149" i="3"/>
  <c r="X201" i="7"/>
  <c r="X208" i="7"/>
  <c r="X759" i="7" s="1"/>
  <c r="X191" i="7"/>
  <c r="X343" i="7"/>
  <c r="X688" i="7"/>
  <c r="X508" i="7"/>
  <c r="E126" i="8" l="1"/>
  <c r="E125" i="8"/>
  <c r="W802" i="7"/>
  <c r="W806" i="7" s="1"/>
  <c r="W823" i="7"/>
  <c r="W827" i="7" s="1"/>
  <c r="X408" i="3"/>
  <c r="X409" i="3"/>
  <c r="X820" i="7"/>
  <c r="X798" i="7"/>
  <c r="W760" i="7"/>
  <c r="W764" i="7" s="1"/>
  <c r="X819" i="7"/>
  <c r="W781" i="7"/>
  <c r="W785" i="7" s="1"/>
  <c r="X757" i="7"/>
  <c r="X755" i="7"/>
  <c r="X777" i="7"/>
  <c r="X799" i="7"/>
  <c r="X756" i="7"/>
  <c r="X778" i="7"/>
  <c r="K188" i="8"/>
  <c r="K195" i="8" s="1"/>
  <c r="K184" i="8"/>
  <c r="X823" i="7" l="1"/>
  <c r="X827" i="7" s="1"/>
  <c r="X413" i="3"/>
  <c r="X417" i="3" s="1"/>
  <c r="X802" i="7"/>
  <c r="X806" i="7" s="1"/>
  <c r="X760" i="7"/>
  <c r="X764" i="7" s="1"/>
  <c r="X781" i="7"/>
  <c r="X785" i="7" s="1"/>
  <c r="L184" i="8"/>
  <c r="L188" i="8"/>
  <c r="L195" i="8" s="1"/>
  <c r="E130" i="8" l="1"/>
  <c r="E131" i="8"/>
  <c r="E133" i="8"/>
  <c r="E132" i="8"/>
  <c r="E124" i="8"/>
  <c r="E123" i="8"/>
  <c r="M188" i="8"/>
  <c r="M195" i="8" s="1"/>
  <c r="M184" i="8"/>
  <c r="N188" i="8" l="1"/>
  <c r="N195" i="8" s="1"/>
  <c r="N184" i="8"/>
  <c r="O188" i="8" l="1"/>
  <c r="O195" i="8" s="1"/>
  <c r="O184" i="8"/>
  <c r="P188" i="8" l="1"/>
  <c r="P195" i="8" s="1"/>
  <c r="P184" i="8"/>
  <c r="Q188" i="8" l="1"/>
  <c r="Q195" i="8" s="1"/>
  <c r="Q184" i="8"/>
  <c r="R188" i="8" l="1"/>
  <c r="R195" i="8" s="1"/>
  <c r="R184" i="8"/>
  <c r="E36" i="8"/>
  <c r="E40" i="8" s="1"/>
  <c r="E35" i="8"/>
  <c r="L48" i="8" l="1"/>
  <c r="E39" i="8"/>
  <c r="E51" i="8"/>
  <c r="E57" i="8"/>
  <c r="E52" i="8"/>
  <c r="E58" i="8"/>
  <c r="E55" i="8"/>
  <c r="E50" i="8"/>
  <c r="E56" i="8"/>
  <c r="S188" i="8"/>
  <c r="S195" i="8" s="1"/>
  <c r="S184" i="8"/>
  <c r="T188" i="8" l="1"/>
  <c r="T195" i="8" s="1"/>
  <c r="T184" i="8"/>
  <c r="U188" i="8" l="1"/>
  <c r="U195" i="8" s="1"/>
  <c r="U184" i="8"/>
  <c r="V188" i="8" l="1"/>
  <c r="V195" i="8" s="1"/>
  <c r="V184" i="8"/>
  <c r="F55" i="8"/>
  <c r="F36" i="8"/>
  <c r="F40" i="8" s="1"/>
  <c r="F35" i="8"/>
  <c r="K34" i="8" l="1"/>
  <c r="F39" i="8"/>
  <c r="F52" i="8"/>
  <c r="F58" i="8"/>
  <c r="F50" i="8"/>
  <c r="F56" i="8"/>
  <c r="F49" i="8"/>
  <c r="F51" i="8"/>
  <c r="F57" i="8"/>
  <c r="W188" i="8"/>
  <c r="W195" i="8" s="1"/>
  <c r="W184" i="8"/>
  <c r="C207"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Julia Zigann</author>
  </authors>
  <commentList>
    <comment ref="C63" authorId="0" shapeId="0" xr:uid="{6E0367DD-BE52-4F64-80F4-CB67900250EA}">
      <text>
        <r>
          <rPr>
            <b/>
            <sz val="9"/>
            <color indexed="81"/>
            <rFont val="Segoe UI"/>
            <family val="2"/>
          </rPr>
          <t>Julia Zigann:</t>
        </r>
        <r>
          <rPr>
            <sz val="9"/>
            <color indexed="81"/>
            <rFont val="Segoe UI"/>
            <family val="2"/>
          </rPr>
          <t xml:space="preserve">
Weitere Eingaben sind im Tabellenblatt "Strommix &amp; BHKW" notwendig</t>
        </r>
      </text>
    </comment>
    <comment ref="C64" authorId="0" shapeId="0" xr:uid="{DD071798-9F19-4324-8326-9D26C4E03F29}">
      <text>
        <r>
          <rPr>
            <b/>
            <sz val="9"/>
            <color indexed="81"/>
            <rFont val="Segoe UI"/>
            <family val="2"/>
          </rPr>
          <t>Julia Zigann:</t>
        </r>
        <r>
          <rPr>
            <sz val="9"/>
            <color indexed="81"/>
            <rFont val="Segoe UI"/>
            <family val="2"/>
          </rPr>
          <t xml:space="preserve">
Weitere Eingaben sind im Tabellenblatt "Strommix &amp; BHKW" notwendig</t>
        </r>
      </text>
    </comment>
    <comment ref="C65" authorId="0" shapeId="0" xr:uid="{AE444082-31B1-4F62-A189-82D0BA4EF25D}">
      <text>
        <r>
          <rPr>
            <b/>
            <sz val="9"/>
            <color indexed="81"/>
            <rFont val="Segoe UI"/>
            <family val="2"/>
          </rPr>
          <t>Julia Zigann:</t>
        </r>
        <r>
          <rPr>
            <sz val="9"/>
            <color indexed="81"/>
            <rFont val="Segoe UI"/>
            <family val="2"/>
          </rPr>
          <t xml:space="preserve">
Weitere Eingaben sind im Tabellenblatt "Strommix &amp; BHKW" notwendig</t>
        </r>
      </text>
    </comment>
    <comment ref="C66" authorId="0" shapeId="0" xr:uid="{A1A45490-FF72-47A2-AE21-9472B687877D}">
      <text>
        <r>
          <rPr>
            <b/>
            <sz val="9"/>
            <color indexed="81"/>
            <rFont val="Segoe UI"/>
            <family val="2"/>
          </rPr>
          <t>Julia Zigann:</t>
        </r>
        <r>
          <rPr>
            <sz val="9"/>
            <color indexed="81"/>
            <rFont val="Segoe UI"/>
            <family val="2"/>
          </rPr>
          <t xml:space="preserve">
Weitere Eingaben sind im Tabellenblatt "Strommix &amp; BHKW" notwendig</t>
        </r>
      </text>
    </comment>
    <comment ref="C67" authorId="0" shapeId="0" xr:uid="{E48FE8F7-744A-45D4-AFDF-F7534442EFF6}">
      <text>
        <r>
          <rPr>
            <b/>
            <sz val="9"/>
            <color indexed="81"/>
            <rFont val="Segoe UI"/>
            <family val="2"/>
          </rPr>
          <t>Julia Zigann:</t>
        </r>
        <r>
          <rPr>
            <sz val="9"/>
            <color indexed="81"/>
            <rFont val="Segoe UI"/>
            <family val="2"/>
          </rPr>
          <t xml:space="preserve">
Weitere Eingaben sind im Tabellenblatt "Strommix &amp; BHKW" notwendig</t>
        </r>
      </text>
    </comment>
    <comment ref="C68" authorId="0" shapeId="0" xr:uid="{13FDA7CC-55A3-45EB-80F2-6707C6C02D37}">
      <text>
        <r>
          <rPr>
            <b/>
            <sz val="9"/>
            <color indexed="81"/>
            <rFont val="Segoe UI"/>
            <family val="2"/>
          </rPr>
          <t>Julia Zigann:</t>
        </r>
        <r>
          <rPr>
            <sz val="9"/>
            <color indexed="81"/>
            <rFont val="Segoe UI"/>
            <family val="2"/>
          </rPr>
          <t xml:space="preserve">
Weitere Eingaben sind im Tabellenblatt "Strommix &amp; BHKW" notwendig</t>
        </r>
      </text>
    </comment>
    <comment ref="C75" authorId="0" shapeId="0" xr:uid="{DEF1AEDE-7B2C-443D-9E8B-325C9DE4E10A}">
      <text>
        <r>
          <rPr>
            <b/>
            <sz val="9"/>
            <color indexed="81"/>
            <rFont val="Segoe UI"/>
            <family val="2"/>
          </rPr>
          <t>Julia Zigann:</t>
        </r>
        <r>
          <rPr>
            <sz val="9"/>
            <color indexed="81"/>
            <rFont val="Segoe UI"/>
            <family val="2"/>
          </rPr>
          <t xml:space="preserve">
Weitere Eingaben sind im Tabellenblatt "Emissionsfaktoren" notwendig</t>
        </r>
      </text>
    </comment>
    <comment ref="C85" authorId="0" shapeId="0" xr:uid="{7B072779-E249-4BAA-BC5B-E6E4AC944DD1}">
      <text>
        <r>
          <rPr>
            <b/>
            <sz val="9"/>
            <color indexed="81"/>
            <rFont val="Segoe UI"/>
            <family val="2"/>
          </rPr>
          <t>Julia Zigann:</t>
        </r>
        <r>
          <rPr>
            <sz val="9"/>
            <color indexed="81"/>
            <rFont val="Segoe UI"/>
            <family val="2"/>
          </rPr>
          <t xml:space="preserve">
Weitere Eingaben sind im Tabellenblatt "Emissionsfaktoren" notwendig</t>
        </r>
      </text>
    </comment>
    <comment ref="C91" authorId="0" shapeId="0" xr:uid="{145A3EFC-C235-4BCB-91C3-550B78958994}">
      <text>
        <r>
          <rPr>
            <b/>
            <sz val="9"/>
            <color indexed="81"/>
            <rFont val="Segoe UI"/>
            <family val="2"/>
          </rPr>
          <t>Julia Zigann:</t>
        </r>
        <r>
          <rPr>
            <sz val="9"/>
            <color indexed="81"/>
            <rFont val="Segoe UI"/>
            <family val="2"/>
          </rPr>
          <t xml:space="preserve">
Werte können auch im Tabellenblatt "Umrechnen" eingetragen werden</t>
        </r>
      </text>
    </comment>
    <comment ref="C92" authorId="0" shapeId="0" xr:uid="{9287D8ED-D1CD-4573-BF2D-4C2C0D09B613}">
      <text>
        <r>
          <rPr>
            <b/>
            <sz val="9"/>
            <color indexed="81"/>
            <rFont val="Segoe UI"/>
            <family val="2"/>
          </rPr>
          <t>Julia Zigann:</t>
        </r>
        <r>
          <rPr>
            <sz val="9"/>
            <color indexed="81"/>
            <rFont val="Segoe UI"/>
            <family val="2"/>
          </rPr>
          <t xml:space="preserve">
Werte können auch im Tabellenblatt "Umrechnen" eingetragen werden</t>
        </r>
      </text>
    </comment>
    <comment ref="C104" authorId="0" shapeId="0" xr:uid="{E7F20228-58CD-4378-AB43-E261025D0DF2}">
      <text>
        <r>
          <rPr>
            <b/>
            <sz val="9"/>
            <color indexed="81"/>
            <rFont val="Segoe UI"/>
            <family val="2"/>
          </rPr>
          <t>Julia Zigann:</t>
        </r>
        <r>
          <rPr>
            <sz val="9"/>
            <color indexed="81"/>
            <rFont val="Segoe UI"/>
            <family val="2"/>
          </rPr>
          <t xml:space="preserve">
Werte können auch im Tabellenblatt "Umrechnen" eingetragen werden</t>
        </r>
      </text>
    </comment>
    <comment ref="C105" authorId="0" shapeId="0" xr:uid="{3605DBA3-0B67-421F-A126-4C144083A8F7}">
      <text>
        <r>
          <rPr>
            <b/>
            <sz val="9"/>
            <color indexed="81"/>
            <rFont val="Segoe UI"/>
            <family val="2"/>
          </rPr>
          <t>Julia Zigann:</t>
        </r>
        <r>
          <rPr>
            <sz val="9"/>
            <color indexed="81"/>
            <rFont val="Segoe UI"/>
            <family val="2"/>
          </rPr>
          <t xml:space="preserve">
Werte können auch im Tabellenblatt "Umrechnen" eingetragen werden</t>
        </r>
      </text>
    </comment>
    <comment ref="C106" authorId="0" shapeId="0" xr:uid="{4883F613-D0F0-40CF-8D2D-FAE5D798DDC2}">
      <text>
        <r>
          <rPr>
            <b/>
            <sz val="9"/>
            <color indexed="81"/>
            <rFont val="Segoe UI"/>
            <family val="2"/>
          </rPr>
          <t>Julia Zigann:</t>
        </r>
        <r>
          <rPr>
            <sz val="9"/>
            <color indexed="81"/>
            <rFont val="Segoe UI"/>
            <family val="2"/>
          </rPr>
          <t xml:space="preserve">
Werte können auch im Tabellenblatt "Umrechnen" eingetragen werden</t>
        </r>
      </text>
    </comment>
    <comment ref="C107" authorId="0" shapeId="0" xr:uid="{07B24AB0-A6C4-4D81-8DB0-2BF0A6793C5C}">
      <text>
        <r>
          <rPr>
            <b/>
            <sz val="9"/>
            <color indexed="81"/>
            <rFont val="Segoe UI"/>
            <family val="2"/>
          </rPr>
          <t>Julia Zigann:</t>
        </r>
        <r>
          <rPr>
            <sz val="9"/>
            <color indexed="81"/>
            <rFont val="Segoe UI"/>
            <family val="2"/>
          </rPr>
          <t xml:space="preserve">
Werte können auch im Tabellenblatt "Umrechnen" eingetragen werden</t>
        </r>
      </text>
    </comment>
    <comment ref="C127" authorId="0" shapeId="0" xr:uid="{AF12FCAB-4A0B-46D2-A5F8-C655FFA8C085}">
      <text>
        <r>
          <rPr>
            <b/>
            <sz val="9"/>
            <color indexed="81"/>
            <rFont val="Segoe UI"/>
            <family val="2"/>
          </rPr>
          <t>Julia Zigann:</t>
        </r>
        <r>
          <rPr>
            <sz val="9"/>
            <color indexed="81"/>
            <rFont val="Segoe UI"/>
            <family val="2"/>
          </rPr>
          <t xml:space="preserve">
Werte können auch im Tabellenblatt "Umrechnen" eingetragen werden</t>
        </r>
      </text>
    </comment>
    <comment ref="C128" authorId="0" shapeId="0" xr:uid="{5B303908-9B76-4A40-8096-9697167D1B1D}">
      <text>
        <r>
          <rPr>
            <b/>
            <sz val="9"/>
            <color indexed="81"/>
            <rFont val="Segoe UI"/>
            <family val="2"/>
          </rPr>
          <t>Julia Zigann:</t>
        </r>
        <r>
          <rPr>
            <sz val="9"/>
            <color indexed="81"/>
            <rFont val="Segoe UI"/>
            <family val="2"/>
          </rPr>
          <t xml:space="preserve">
Werte können auch im Tabellenblatt "Umrechnen" eingetragen werden</t>
        </r>
      </text>
    </comment>
    <comment ref="C149" authorId="0" shapeId="0" xr:uid="{6B093FB1-8CB7-4E0D-8A95-5618766CA4A5}">
      <text>
        <r>
          <rPr>
            <b/>
            <sz val="9"/>
            <color indexed="81"/>
            <rFont val="Segoe UI"/>
            <family val="2"/>
          </rPr>
          <t>Julia Zigann:</t>
        </r>
        <r>
          <rPr>
            <sz val="9"/>
            <color indexed="81"/>
            <rFont val="Segoe UI"/>
            <family val="2"/>
          </rPr>
          <t xml:space="preserve">
Werte können auch im Tabellenblatt "Umrechnen" eingetragen werden</t>
        </r>
      </text>
    </comment>
    <comment ref="C150" authorId="0" shapeId="0" xr:uid="{1E9790DA-E1E7-4C79-A592-77E01331631E}">
      <text>
        <r>
          <rPr>
            <b/>
            <sz val="9"/>
            <color indexed="81"/>
            <rFont val="Segoe UI"/>
            <family val="2"/>
          </rPr>
          <t>Julia Zigann:</t>
        </r>
        <r>
          <rPr>
            <sz val="9"/>
            <color indexed="81"/>
            <rFont val="Segoe UI"/>
            <family val="2"/>
          </rPr>
          <t xml:space="preserve">
Werte können auch im Tabellenblatt "Umrechnen" eingetragen werden</t>
        </r>
      </text>
    </comment>
    <comment ref="C208" authorId="0" shapeId="0" xr:uid="{D6458ACD-E8DE-4CA2-9C3D-FA5840676785}">
      <text>
        <r>
          <rPr>
            <b/>
            <sz val="9"/>
            <color indexed="81"/>
            <rFont val="Segoe UI"/>
            <family val="2"/>
          </rPr>
          <t>Julia Zigann:</t>
        </r>
        <r>
          <rPr>
            <sz val="9"/>
            <color indexed="81"/>
            <rFont val="Segoe UI"/>
            <family val="2"/>
          </rPr>
          <t xml:space="preserve">
Kompensation &gt;0 (bspw. -1); sollten Kriterien von Standards einhalten (bspw. Zusätzlichkeit, Permanenz, keine Doppelzählungen, Berechnung, Monitoring und Verifizierung inkl. Referenzszenario)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Julia Zigann</author>
  </authors>
  <commentList>
    <comment ref="C226" authorId="0" shapeId="0" xr:uid="{6B2D9461-9AEA-4893-93E4-2B9D11DB7B31}">
      <text>
        <r>
          <rPr>
            <b/>
            <sz val="9"/>
            <color indexed="81"/>
            <rFont val="Segoe UI"/>
            <family val="2"/>
          </rPr>
          <t>Julia Zigann:</t>
        </r>
        <r>
          <rPr>
            <sz val="9"/>
            <color indexed="81"/>
            <rFont val="Segoe UI"/>
            <family val="2"/>
          </rPr>
          <t xml:space="preserve">
Achtung Formel ab 2022 (s. Hinweis Tabellenblatt individueller Strommix)</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Julia Zigann</author>
  </authors>
  <commentList>
    <comment ref="C391" authorId="0" shapeId="0" xr:uid="{2C7FB46E-DF05-40E6-AB3C-375AB7EF7753}">
      <text>
        <r>
          <rPr>
            <b/>
            <sz val="9"/>
            <color indexed="81"/>
            <rFont val="Segoe UI"/>
            <family val="2"/>
          </rPr>
          <t>Julia Zigann:</t>
        </r>
        <r>
          <rPr>
            <sz val="9"/>
            <color indexed="81"/>
            <rFont val="Segoe UI"/>
            <family val="2"/>
          </rPr>
          <t xml:space="preserve">
Achtung Formel ab 2022 (Zukunftsszenarien). s. Hinweis Tabellenblatt Strommix</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Hans Hertle</author>
    <author>Benjamin Gugel</author>
  </authors>
  <commentList>
    <comment ref="D166" authorId="0" shapeId="0" xr:uid="{69A3502E-92C9-43EE-A975-33F914B0F003}">
      <text>
        <r>
          <rPr>
            <b/>
            <sz val="8"/>
            <color indexed="81"/>
            <rFont val="Tahoma"/>
            <family val="2"/>
          </rPr>
          <t>ifeu:</t>
        </r>
        <r>
          <rPr>
            <sz val="8"/>
            <color indexed="81"/>
            <rFont val="Tahoma"/>
            <family val="2"/>
          </rPr>
          <t xml:space="preserve">
Gesamter Brennstoffinput (Erdgas unterer Heizwert!)</t>
        </r>
      </text>
    </comment>
    <comment ref="E166" authorId="0" shapeId="0" xr:uid="{FED134BA-A726-4475-A70B-6206F48C6B47}">
      <text>
        <r>
          <rPr>
            <b/>
            <sz val="8"/>
            <color indexed="81"/>
            <rFont val="Tahoma"/>
            <family val="2"/>
          </rPr>
          <t>ifeu:</t>
        </r>
        <r>
          <rPr>
            <sz val="8"/>
            <color indexed="81"/>
            <rFont val="Tahoma"/>
            <family val="2"/>
          </rPr>
          <t xml:space="preserve">
Gesamter Brennstoffinput (Erdgas unterer Heizwert!)</t>
        </r>
      </text>
    </comment>
    <comment ref="F166" authorId="0" shapeId="0" xr:uid="{01C81339-C387-4901-A09D-77D92F86C5B9}">
      <text>
        <r>
          <rPr>
            <b/>
            <sz val="8"/>
            <color indexed="81"/>
            <rFont val="Tahoma"/>
            <family val="2"/>
          </rPr>
          <t>ifeu:</t>
        </r>
        <r>
          <rPr>
            <sz val="8"/>
            <color indexed="81"/>
            <rFont val="Tahoma"/>
            <family val="2"/>
          </rPr>
          <t xml:space="preserve">
Gesamter Brennstoffinput (Erdgas unterer Heizwert!)</t>
        </r>
      </text>
    </comment>
    <comment ref="G166" authorId="0" shapeId="0" xr:uid="{482DAA37-C3AB-4A86-B76E-3EF273A89691}">
      <text>
        <r>
          <rPr>
            <b/>
            <sz val="8"/>
            <color indexed="81"/>
            <rFont val="Tahoma"/>
            <family val="2"/>
          </rPr>
          <t>ifeu:</t>
        </r>
        <r>
          <rPr>
            <sz val="8"/>
            <color indexed="81"/>
            <rFont val="Tahoma"/>
            <family val="2"/>
          </rPr>
          <t xml:space="preserve">
Gesamter Brennstoffinput (Erdgas unterer Heizwert!)</t>
        </r>
      </text>
    </comment>
    <comment ref="H166" authorId="0" shapeId="0" xr:uid="{4E56C57E-AE2D-4878-9062-71BD5E8A06A9}">
      <text>
        <r>
          <rPr>
            <b/>
            <sz val="8"/>
            <color indexed="81"/>
            <rFont val="Tahoma"/>
            <family val="2"/>
          </rPr>
          <t>ifeu:</t>
        </r>
        <r>
          <rPr>
            <sz val="8"/>
            <color indexed="81"/>
            <rFont val="Tahoma"/>
            <family val="2"/>
          </rPr>
          <t xml:space="preserve">
Gesamter Brennstoffinput (Erdgas unterer Heizwert!)</t>
        </r>
      </text>
    </comment>
    <comment ref="I166" authorId="0" shapeId="0" xr:uid="{74EA72EA-01CB-4B07-9C4D-1F837A4C8DF2}">
      <text>
        <r>
          <rPr>
            <b/>
            <sz val="8"/>
            <color indexed="81"/>
            <rFont val="Tahoma"/>
            <family val="2"/>
          </rPr>
          <t>ifeu:</t>
        </r>
        <r>
          <rPr>
            <sz val="8"/>
            <color indexed="81"/>
            <rFont val="Tahoma"/>
            <family val="2"/>
          </rPr>
          <t xml:space="preserve">
Gesamter Brennstoffinput (Erdgas unterer Heizwert!)</t>
        </r>
      </text>
    </comment>
    <comment ref="J166" authorId="0" shapeId="0" xr:uid="{2B8820E7-7F62-4622-A321-6494D17C0195}">
      <text>
        <r>
          <rPr>
            <b/>
            <sz val="8"/>
            <color indexed="81"/>
            <rFont val="Tahoma"/>
            <family val="2"/>
          </rPr>
          <t>ifeu:</t>
        </r>
        <r>
          <rPr>
            <sz val="8"/>
            <color indexed="81"/>
            <rFont val="Tahoma"/>
            <family val="2"/>
          </rPr>
          <t xml:space="preserve">
Gesamter Brennstoffinput (Erdgas unterer Heizwert!)</t>
        </r>
      </text>
    </comment>
    <comment ref="K166" authorId="0" shapeId="0" xr:uid="{CC422050-3340-4230-9233-29E38C928CDF}">
      <text>
        <r>
          <rPr>
            <b/>
            <sz val="8"/>
            <color indexed="81"/>
            <rFont val="Tahoma"/>
            <family val="2"/>
          </rPr>
          <t>ifeu:</t>
        </r>
        <r>
          <rPr>
            <sz val="8"/>
            <color indexed="81"/>
            <rFont val="Tahoma"/>
            <family val="2"/>
          </rPr>
          <t xml:space="preserve">
Gesamter Brennstoffinput (Erdgas unterer Heizwert!)</t>
        </r>
      </text>
    </comment>
    <comment ref="L166" authorId="0" shapeId="0" xr:uid="{CC87D8E2-DEB0-4B96-9F93-39C7A721CE07}">
      <text>
        <r>
          <rPr>
            <b/>
            <sz val="8"/>
            <color indexed="81"/>
            <rFont val="Tahoma"/>
            <family val="2"/>
          </rPr>
          <t>ifeu:</t>
        </r>
        <r>
          <rPr>
            <sz val="8"/>
            <color indexed="81"/>
            <rFont val="Tahoma"/>
            <family val="2"/>
          </rPr>
          <t xml:space="preserve">
Gesamter Brennstoffinput (Erdgas unterer Heizwert!)</t>
        </r>
      </text>
    </comment>
    <comment ref="M166" authorId="0" shapeId="0" xr:uid="{FF619258-667E-44D9-B116-C3A66879F9A3}">
      <text>
        <r>
          <rPr>
            <b/>
            <sz val="8"/>
            <color indexed="81"/>
            <rFont val="Tahoma"/>
            <family val="2"/>
          </rPr>
          <t>ifeu:</t>
        </r>
        <r>
          <rPr>
            <sz val="8"/>
            <color indexed="81"/>
            <rFont val="Tahoma"/>
            <family val="2"/>
          </rPr>
          <t xml:space="preserve">
Gesamter Brennstoffinput (Erdgas unterer Heizwert!)</t>
        </r>
      </text>
    </comment>
    <comment ref="N166" authorId="0" shapeId="0" xr:uid="{49C500B8-56D0-4E19-9F47-6AB451BE6F3F}">
      <text>
        <r>
          <rPr>
            <b/>
            <sz val="8"/>
            <color indexed="81"/>
            <rFont val="Tahoma"/>
            <family val="2"/>
          </rPr>
          <t>ifeu:</t>
        </r>
        <r>
          <rPr>
            <sz val="8"/>
            <color indexed="81"/>
            <rFont val="Tahoma"/>
            <family val="2"/>
          </rPr>
          <t xml:space="preserve">
Gesamter Brennstoffinput (Erdgas unterer Heizwert!)</t>
        </r>
      </text>
    </comment>
    <comment ref="O166" authorId="0" shapeId="0" xr:uid="{D28A9EC3-B7FA-42B4-AA43-6FE54208A1F3}">
      <text>
        <r>
          <rPr>
            <b/>
            <sz val="8"/>
            <color indexed="81"/>
            <rFont val="Tahoma"/>
            <family val="2"/>
          </rPr>
          <t>ifeu:</t>
        </r>
        <r>
          <rPr>
            <sz val="8"/>
            <color indexed="81"/>
            <rFont val="Tahoma"/>
            <family val="2"/>
          </rPr>
          <t xml:space="preserve">
Gesamter Brennstoffinput (Erdgas unterer Heizwert!)</t>
        </r>
      </text>
    </comment>
    <comment ref="P166" authorId="0" shapeId="0" xr:uid="{B2A39BCF-91CF-4A5E-8A6F-8D97DD329388}">
      <text>
        <r>
          <rPr>
            <b/>
            <sz val="8"/>
            <color indexed="81"/>
            <rFont val="Tahoma"/>
            <family val="2"/>
          </rPr>
          <t>ifeu:</t>
        </r>
        <r>
          <rPr>
            <sz val="8"/>
            <color indexed="81"/>
            <rFont val="Tahoma"/>
            <family val="2"/>
          </rPr>
          <t xml:space="preserve">
Gesamter Brennstoffinput (Erdgas unterer Heizwert!)</t>
        </r>
      </text>
    </comment>
    <comment ref="Q166" authorId="0" shapeId="0" xr:uid="{493A8811-8C42-4971-B9CF-106CB80C0DD0}">
      <text>
        <r>
          <rPr>
            <b/>
            <sz val="8"/>
            <color indexed="81"/>
            <rFont val="Tahoma"/>
            <family val="2"/>
          </rPr>
          <t>ifeu:</t>
        </r>
        <r>
          <rPr>
            <sz val="8"/>
            <color indexed="81"/>
            <rFont val="Tahoma"/>
            <family val="2"/>
          </rPr>
          <t xml:space="preserve">
Gesamter Brennstoffinput (Erdgas unterer Heizwert!)</t>
        </r>
      </text>
    </comment>
    <comment ref="R166" authorId="0" shapeId="0" xr:uid="{0CE2BE06-12A9-42BF-8423-AFEC396C27A8}">
      <text>
        <r>
          <rPr>
            <b/>
            <sz val="8"/>
            <color indexed="81"/>
            <rFont val="Tahoma"/>
            <family val="2"/>
          </rPr>
          <t>ifeu:</t>
        </r>
        <r>
          <rPr>
            <sz val="8"/>
            <color indexed="81"/>
            <rFont val="Tahoma"/>
            <family val="2"/>
          </rPr>
          <t xml:space="preserve">
Gesamter Brennstoffinput (Erdgas unterer Heizwert!)</t>
        </r>
      </text>
    </comment>
    <comment ref="S166" authorId="0" shapeId="0" xr:uid="{7459070D-0248-443F-ACA8-6E9524E9AE25}">
      <text>
        <r>
          <rPr>
            <b/>
            <sz val="8"/>
            <color indexed="81"/>
            <rFont val="Tahoma"/>
            <family val="2"/>
          </rPr>
          <t>ifeu:</t>
        </r>
        <r>
          <rPr>
            <sz val="8"/>
            <color indexed="81"/>
            <rFont val="Tahoma"/>
            <family val="2"/>
          </rPr>
          <t xml:space="preserve">
Gesamter Brennstoffinput (Erdgas unterer Heizwert!)</t>
        </r>
      </text>
    </comment>
    <comment ref="T166" authorId="0" shapeId="0" xr:uid="{4018A2FF-6219-435B-9E66-A31C549DC8AE}">
      <text>
        <r>
          <rPr>
            <b/>
            <sz val="8"/>
            <color indexed="81"/>
            <rFont val="Tahoma"/>
            <family val="2"/>
          </rPr>
          <t>ifeu:</t>
        </r>
        <r>
          <rPr>
            <sz val="8"/>
            <color indexed="81"/>
            <rFont val="Tahoma"/>
            <family val="2"/>
          </rPr>
          <t xml:space="preserve">
Gesamter Brennstoffinput (Erdgas unterer Heizwert!)</t>
        </r>
      </text>
    </comment>
    <comment ref="U166" authorId="0" shapeId="0" xr:uid="{47FF419C-79BB-4DBD-A92F-C7AE24C831FF}">
      <text>
        <r>
          <rPr>
            <b/>
            <sz val="8"/>
            <color indexed="81"/>
            <rFont val="Tahoma"/>
            <family val="2"/>
          </rPr>
          <t>ifeu:</t>
        </r>
        <r>
          <rPr>
            <sz val="8"/>
            <color indexed="81"/>
            <rFont val="Tahoma"/>
            <family val="2"/>
          </rPr>
          <t xml:space="preserve">
Gesamter Brennstoffinput (Erdgas unterer Heizwert!)</t>
        </r>
      </text>
    </comment>
    <comment ref="V166" authorId="0" shapeId="0" xr:uid="{3AC98096-34EF-43DF-8E3C-CE888BBE2FE2}">
      <text>
        <r>
          <rPr>
            <b/>
            <sz val="8"/>
            <color indexed="81"/>
            <rFont val="Tahoma"/>
            <family val="2"/>
          </rPr>
          <t>ifeu:</t>
        </r>
        <r>
          <rPr>
            <sz val="8"/>
            <color indexed="81"/>
            <rFont val="Tahoma"/>
            <family val="2"/>
          </rPr>
          <t xml:space="preserve">
Gesamter Brennstoffinput (Erdgas unterer Heizwert!)</t>
        </r>
      </text>
    </comment>
    <comment ref="W166" authorId="0" shapeId="0" xr:uid="{015C5D84-F23F-4E09-B406-77B8051E823B}">
      <text>
        <r>
          <rPr>
            <b/>
            <sz val="8"/>
            <color indexed="81"/>
            <rFont val="Tahoma"/>
            <family val="2"/>
          </rPr>
          <t>ifeu:</t>
        </r>
        <r>
          <rPr>
            <sz val="8"/>
            <color indexed="81"/>
            <rFont val="Tahoma"/>
            <family val="2"/>
          </rPr>
          <t xml:space="preserve">
Gesamter Brennstoffinput (Erdgas unterer Heizwert!)</t>
        </r>
      </text>
    </comment>
    <comment ref="D170" authorId="0" shapeId="0" xr:uid="{949D9AB2-0FCE-43F7-8F78-38F18A7B7885}">
      <text>
        <r>
          <rPr>
            <b/>
            <sz val="8"/>
            <color indexed="81"/>
            <rFont val="Tahoma"/>
            <family val="2"/>
          </rPr>
          <t>ifeu:</t>
        </r>
        <r>
          <rPr>
            <sz val="8"/>
            <color indexed="81"/>
            <rFont val="Tahoma"/>
            <family val="2"/>
          </rPr>
          <t xml:space="preserve">
Gesamter nutzbarer (= verkaufter) Wärmeoutput</t>
        </r>
      </text>
    </comment>
    <comment ref="E170" authorId="0" shapeId="0" xr:uid="{2BF88E6A-14A5-4BF3-9C20-D39913D45FC0}">
      <text>
        <r>
          <rPr>
            <b/>
            <sz val="8"/>
            <color indexed="81"/>
            <rFont val="Tahoma"/>
            <family val="2"/>
          </rPr>
          <t>ifeu:</t>
        </r>
        <r>
          <rPr>
            <sz val="8"/>
            <color indexed="81"/>
            <rFont val="Tahoma"/>
            <family val="2"/>
          </rPr>
          <t xml:space="preserve">
Gesamter nutzbarer (= verkaufter) Wärmeoutput</t>
        </r>
      </text>
    </comment>
    <comment ref="F170" authorId="0" shapeId="0" xr:uid="{A09185D9-F1AF-4FD7-A54C-FA2BB00A92D6}">
      <text>
        <r>
          <rPr>
            <b/>
            <sz val="8"/>
            <color indexed="81"/>
            <rFont val="Tahoma"/>
            <family val="2"/>
          </rPr>
          <t>ifeu:</t>
        </r>
        <r>
          <rPr>
            <sz val="8"/>
            <color indexed="81"/>
            <rFont val="Tahoma"/>
            <family val="2"/>
          </rPr>
          <t xml:space="preserve">
Gesamter nutzbarer (= verkaufter) Wärmeoutput</t>
        </r>
      </text>
    </comment>
    <comment ref="G170" authorId="0" shapeId="0" xr:uid="{11426870-CFB4-4182-81CC-563EC4C5C06D}">
      <text>
        <r>
          <rPr>
            <b/>
            <sz val="8"/>
            <color indexed="81"/>
            <rFont val="Tahoma"/>
            <family val="2"/>
          </rPr>
          <t>ifeu:</t>
        </r>
        <r>
          <rPr>
            <sz val="8"/>
            <color indexed="81"/>
            <rFont val="Tahoma"/>
            <family val="2"/>
          </rPr>
          <t xml:space="preserve">
Gesamter nutzbarer (= verkaufter) Wärmeoutput</t>
        </r>
      </text>
    </comment>
    <comment ref="H170" authorId="0" shapeId="0" xr:uid="{F74F8F0B-31B1-4D40-B45A-9AEAC75CD576}">
      <text>
        <r>
          <rPr>
            <b/>
            <sz val="8"/>
            <color indexed="81"/>
            <rFont val="Tahoma"/>
            <family val="2"/>
          </rPr>
          <t>ifeu:</t>
        </r>
        <r>
          <rPr>
            <sz val="8"/>
            <color indexed="81"/>
            <rFont val="Tahoma"/>
            <family val="2"/>
          </rPr>
          <t xml:space="preserve">
Gesamter nutzbarer (= verkaufter) Wärmeoutput</t>
        </r>
      </text>
    </comment>
    <comment ref="I170" authorId="0" shapeId="0" xr:uid="{931C3D8C-F521-49FB-B2F3-343C3C39F8FF}">
      <text>
        <r>
          <rPr>
            <b/>
            <sz val="8"/>
            <color indexed="81"/>
            <rFont val="Tahoma"/>
            <family val="2"/>
          </rPr>
          <t>ifeu:</t>
        </r>
        <r>
          <rPr>
            <sz val="8"/>
            <color indexed="81"/>
            <rFont val="Tahoma"/>
            <family val="2"/>
          </rPr>
          <t xml:space="preserve">
Gesamter nutzbarer (= verkaufter) Wärmeoutput</t>
        </r>
      </text>
    </comment>
    <comment ref="J170" authorId="0" shapeId="0" xr:uid="{09F2C7D9-80E9-4D3D-8781-5ACBD991589D}">
      <text>
        <r>
          <rPr>
            <b/>
            <sz val="8"/>
            <color indexed="81"/>
            <rFont val="Tahoma"/>
            <family val="2"/>
          </rPr>
          <t>ifeu:</t>
        </r>
        <r>
          <rPr>
            <sz val="8"/>
            <color indexed="81"/>
            <rFont val="Tahoma"/>
            <family val="2"/>
          </rPr>
          <t xml:space="preserve">
Gesamter nutzbarer (= verkaufter) Wärmeoutput</t>
        </r>
      </text>
    </comment>
    <comment ref="K170" authorId="0" shapeId="0" xr:uid="{BF7795A0-E92A-4ED7-BA91-C64F2E9EB335}">
      <text>
        <r>
          <rPr>
            <b/>
            <sz val="8"/>
            <color indexed="81"/>
            <rFont val="Tahoma"/>
            <family val="2"/>
          </rPr>
          <t>ifeu:</t>
        </r>
        <r>
          <rPr>
            <sz val="8"/>
            <color indexed="81"/>
            <rFont val="Tahoma"/>
            <family val="2"/>
          </rPr>
          <t xml:space="preserve">
Gesamter nutzbarer (= verkaufter) Wärmeoutput</t>
        </r>
      </text>
    </comment>
    <comment ref="L170" authorId="0" shapeId="0" xr:uid="{6F4B261B-F624-4731-AC13-0DC7914006E6}">
      <text>
        <r>
          <rPr>
            <b/>
            <sz val="8"/>
            <color indexed="81"/>
            <rFont val="Tahoma"/>
            <family val="2"/>
          </rPr>
          <t>ifeu:</t>
        </r>
        <r>
          <rPr>
            <sz val="8"/>
            <color indexed="81"/>
            <rFont val="Tahoma"/>
            <family val="2"/>
          </rPr>
          <t xml:space="preserve">
Gesamter nutzbarer (= verkaufter) Wärmeoutput</t>
        </r>
      </text>
    </comment>
    <comment ref="M170" authorId="0" shapeId="0" xr:uid="{8653BA86-69D8-4A9B-9207-F484FF99293E}">
      <text>
        <r>
          <rPr>
            <b/>
            <sz val="8"/>
            <color indexed="81"/>
            <rFont val="Tahoma"/>
            <family val="2"/>
          </rPr>
          <t>ifeu:</t>
        </r>
        <r>
          <rPr>
            <sz val="8"/>
            <color indexed="81"/>
            <rFont val="Tahoma"/>
            <family val="2"/>
          </rPr>
          <t xml:space="preserve">
Gesamter nutzbarer (= verkaufter) Wärmeoutput</t>
        </r>
      </text>
    </comment>
    <comment ref="N170" authorId="0" shapeId="0" xr:uid="{C6C85333-2650-45ED-A048-B377880B9531}">
      <text>
        <r>
          <rPr>
            <b/>
            <sz val="8"/>
            <color indexed="81"/>
            <rFont val="Tahoma"/>
            <family val="2"/>
          </rPr>
          <t>ifeu:</t>
        </r>
        <r>
          <rPr>
            <sz val="8"/>
            <color indexed="81"/>
            <rFont val="Tahoma"/>
            <family val="2"/>
          </rPr>
          <t xml:space="preserve">
Gesamter nutzbarer (= verkaufter) Wärmeoutput</t>
        </r>
      </text>
    </comment>
    <comment ref="O170" authorId="0" shapeId="0" xr:uid="{4D63BBDD-53A4-4C76-B26F-8345905EA6D3}">
      <text>
        <r>
          <rPr>
            <b/>
            <sz val="8"/>
            <color indexed="81"/>
            <rFont val="Tahoma"/>
            <family val="2"/>
          </rPr>
          <t>ifeu:</t>
        </r>
        <r>
          <rPr>
            <sz val="8"/>
            <color indexed="81"/>
            <rFont val="Tahoma"/>
            <family val="2"/>
          </rPr>
          <t xml:space="preserve">
Gesamter nutzbarer (= verkaufter) Wärmeoutput</t>
        </r>
      </text>
    </comment>
    <comment ref="P170" authorId="0" shapeId="0" xr:uid="{3A2C4561-0C8C-4099-B841-4B25E1CFD602}">
      <text>
        <r>
          <rPr>
            <b/>
            <sz val="8"/>
            <color indexed="81"/>
            <rFont val="Tahoma"/>
            <family val="2"/>
          </rPr>
          <t>ifeu:</t>
        </r>
        <r>
          <rPr>
            <sz val="8"/>
            <color indexed="81"/>
            <rFont val="Tahoma"/>
            <family val="2"/>
          </rPr>
          <t xml:space="preserve">
Gesamter nutzbarer (= verkaufter) Wärmeoutput</t>
        </r>
      </text>
    </comment>
    <comment ref="Q170" authorId="0" shapeId="0" xr:uid="{4E970453-C68C-4CFB-BDE7-A2D95013F763}">
      <text>
        <r>
          <rPr>
            <b/>
            <sz val="8"/>
            <color indexed="81"/>
            <rFont val="Tahoma"/>
            <family val="2"/>
          </rPr>
          <t>ifeu:</t>
        </r>
        <r>
          <rPr>
            <sz val="8"/>
            <color indexed="81"/>
            <rFont val="Tahoma"/>
            <family val="2"/>
          </rPr>
          <t xml:space="preserve">
Gesamter nutzbarer (= verkaufter) Wärmeoutput</t>
        </r>
      </text>
    </comment>
    <comment ref="R170" authorId="0" shapeId="0" xr:uid="{25C952DB-4397-434E-9939-A03C5E137D0D}">
      <text>
        <r>
          <rPr>
            <b/>
            <sz val="8"/>
            <color indexed="81"/>
            <rFont val="Tahoma"/>
            <family val="2"/>
          </rPr>
          <t>ifeu:</t>
        </r>
        <r>
          <rPr>
            <sz val="8"/>
            <color indexed="81"/>
            <rFont val="Tahoma"/>
            <family val="2"/>
          </rPr>
          <t xml:space="preserve">
Gesamter nutzbarer (= verkaufter) Wärmeoutput</t>
        </r>
      </text>
    </comment>
    <comment ref="S170" authorId="0" shapeId="0" xr:uid="{EF830356-ABFE-4B93-AD36-B1C0C046B1E7}">
      <text>
        <r>
          <rPr>
            <b/>
            <sz val="8"/>
            <color indexed="81"/>
            <rFont val="Tahoma"/>
            <family val="2"/>
          </rPr>
          <t>ifeu:</t>
        </r>
        <r>
          <rPr>
            <sz val="8"/>
            <color indexed="81"/>
            <rFont val="Tahoma"/>
            <family val="2"/>
          </rPr>
          <t xml:space="preserve">
Gesamter nutzbarer (= verkaufter) Wärmeoutput</t>
        </r>
      </text>
    </comment>
    <comment ref="T170" authorId="0" shapeId="0" xr:uid="{E5AAF618-B468-4289-A056-55B4FA2F0611}">
      <text>
        <r>
          <rPr>
            <b/>
            <sz val="8"/>
            <color indexed="81"/>
            <rFont val="Tahoma"/>
            <family val="2"/>
          </rPr>
          <t>ifeu:</t>
        </r>
        <r>
          <rPr>
            <sz val="8"/>
            <color indexed="81"/>
            <rFont val="Tahoma"/>
            <family val="2"/>
          </rPr>
          <t xml:space="preserve">
Gesamter nutzbarer (= verkaufter) Wärmeoutput</t>
        </r>
      </text>
    </comment>
    <comment ref="U170" authorId="0" shapeId="0" xr:uid="{AE9E0CF0-FBCD-4965-B3D2-C123E4D9E1B1}">
      <text>
        <r>
          <rPr>
            <b/>
            <sz val="8"/>
            <color indexed="81"/>
            <rFont val="Tahoma"/>
            <family val="2"/>
          </rPr>
          <t>ifeu:</t>
        </r>
        <r>
          <rPr>
            <sz val="8"/>
            <color indexed="81"/>
            <rFont val="Tahoma"/>
            <family val="2"/>
          </rPr>
          <t xml:space="preserve">
Gesamter nutzbarer (= verkaufter) Wärmeoutput</t>
        </r>
      </text>
    </comment>
    <comment ref="V170" authorId="0" shapeId="0" xr:uid="{904455A2-6240-483C-BAF5-B76C59692338}">
      <text>
        <r>
          <rPr>
            <b/>
            <sz val="8"/>
            <color indexed="81"/>
            <rFont val="Tahoma"/>
            <family val="2"/>
          </rPr>
          <t>ifeu:</t>
        </r>
        <r>
          <rPr>
            <sz val="8"/>
            <color indexed="81"/>
            <rFont val="Tahoma"/>
            <family val="2"/>
          </rPr>
          <t xml:space="preserve">
Gesamter nutzbarer (= verkaufter) Wärmeoutput</t>
        </r>
      </text>
    </comment>
    <comment ref="W170" authorId="0" shapeId="0" xr:uid="{E1F2FD58-D919-4FFE-92E5-791DF44A6A11}">
      <text>
        <r>
          <rPr>
            <b/>
            <sz val="8"/>
            <color indexed="81"/>
            <rFont val="Tahoma"/>
            <family val="2"/>
          </rPr>
          <t>ifeu:</t>
        </r>
        <r>
          <rPr>
            <sz val="8"/>
            <color indexed="81"/>
            <rFont val="Tahoma"/>
            <family val="2"/>
          </rPr>
          <t xml:space="preserve">
Gesamter nutzbarer (= verkaufter) Wärmeoutput</t>
        </r>
      </text>
    </comment>
    <comment ref="D171" authorId="0" shapeId="0" xr:uid="{CBFA4E4A-8E01-481E-BD14-8E612C2086FE}">
      <text>
        <r>
          <rPr>
            <b/>
            <sz val="8"/>
            <color indexed="81"/>
            <rFont val="Tahoma"/>
            <family val="2"/>
          </rPr>
          <t>ifeu:</t>
        </r>
        <r>
          <rPr>
            <sz val="8"/>
            <color indexed="81"/>
            <rFont val="Tahoma"/>
            <family val="2"/>
          </rPr>
          <t xml:space="preserve">
Gesamte nutzbare Stromerzeugung (Eigenstrom bereits abgezogen) </t>
        </r>
      </text>
    </comment>
    <comment ref="E171" authorId="0" shapeId="0" xr:uid="{A1ABC381-5909-4120-8C12-072B05084F8A}">
      <text>
        <r>
          <rPr>
            <b/>
            <sz val="8"/>
            <color indexed="81"/>
            <rFont val="Tahoma"/>
            <family val="2"/>
          </rPr>
          <t>ifeu:</t>
        </r>
        <r>
          <rPr>
            <sz val="8"/>
            <color indexed="81"/>
            <rFont val="Tahoma"/>
            <family val="2"/>
          </rPr>
          <t xml:space="preserve">
Gesamte nutzbare Stromerzeugung (Eigenstrom bereits abgezogen) </t>
        </r>
      </text>
    </comment>
    <comment ref="F171" authorId="0" shapeId="0" xr:uid="{99AE3B59-5112-4FE9-9217-E95FA98C18DE}">
      <text>
        <r>
          <rPr>
            <b/>
            <sz val="8"/>
            <color indexed="81"/>
            <rFont val="Tahoma"/>
            <family val="2"/>
          </rPr>
          <t>ifeu:</t>
        </r>
        <r>
          <rPr>
            <sz val="8"/>
            <color indexed="81"/>
            <rFont val="Tahoma"/>
            <family val="2"/>
          </rPr>
          <t xml:space="preserve">
Gesamte nutzbare Stromerzeugung (Eigenstrom bereits abgezogen) </t>
        </r>
      </text>
    </comment>
    <comment ref="G171" authorId="0" shapeId="0" xr:uid="{32F50F4C-239E-4761-94D6-B8064E45613F}">
      <text>
        <r>
          <rPr>
            <b/>
            <sz val="8"/>
            <color indexed="81"/>
            <rFont val="Tahoma"/>
            <family val="2"/>
          </rPr>
          <t>ifeu:</t>
        </r>
        <r>
          <rPr>
            <sz val="8"/>
            <color indexed="81"/>
            <rFont val="Tahoma"/>
            <family val="2"/>
          </rPr>
          <t xml:space="preserve">
Gesamte nutzbare Stromerzeugung (Eigenstrom bereits abgezogen) </t>
        </r>
      </text>
    </comment>
    <comment ref="H171" authorId="0" shapeId="0" xr:uid="{23DB29BB-2C42-4330-8537-B2C37B710F33}">
      <text>
        <r>
          <rPr>
            <b/>
            <sz val="8"/>
            <color indexed="81"/>
            <rFont val="Tahoma"/>
            <family val="2"/>
          </rPr>
          <t>ifeu:</t>
        </r>
        <r>
          <rPr>
            <sz val="8"/>
            <color indexed="81"/>
            <rFont val="Tahoma"/>
            <family val="2"/>
          </rPr>
          <t xml:space="preserve">
Gesamte nutzbare Stromerzeugung (Eigenstrom bereits abgezogen) </t>
        </r>
      </text>
    </comment>
    <comment ref="I171" authorId="0" shapeId="0" xr:uid="{C96374D0-5578-4584-99AC-4F249492BFE2}">
      <text>
        <r>
          <rPr>
            <b/>
            <sz val="8"/>
            <color indexed="81"/>
            <rFont val="Tahoma"/>
            <family val="2"/>
          </rPr>
          <t>ifeu:</t>
        </r>
        <r>
          <rPr>
            <sz val="8"/>
            <color indexed="81"/>
            <rFont val="Tahoma"/>
            <family val="2"/>
          </rPr>
          <t xml:space="preserve">
Gesamte nutzbare Stromerzeugung (Eigenstrom bereits abgezogen) </t>
        </r>
      </text>
    </comment>
    <comment ref="J171" authorId="0" shapeId="0" xr:uid="{064AE2AC-CE54-4AB7-951C-063F0C0CC7BB}">
      <text>
        <r>
          <rPr>
            <b/>
            <sz val="8"/>
            <color indexed="81"/>
            <rFont val="Tahoma"/>
            <family val="2"/>
          </rPr>
          <t>ifeu:</t>
        </r>
        <r>
          <rPr>
            <sz val="8"/>
            <color indexed="81"/>
            <rFont val="Tahoma"/>
            <family val="2"/>
          </rPr>
          <t xml:space="preserve">
Gesamte nutzbare Stromerzeugung (Eigenstrom bereits abgezogen) </t>
        </r>
      </text>
    </comment>
    <comment ref="K171" authorId="0" shapeId="0" xr:uid="{F13D2826-B378-4E54-9C3B-4E201A71F244}">
      <text>
        <r>
          <rPr>
            <b/>
            <sz val="8"/>
            <color indexed="81"/>
            <rFont val="Tahoma"/>
            <family val="2"/>
          </rPr>
          <t>ifeu:</t>
        </r>
        <r>
          <rPr>
            <sz val="8"/>
            <color indexed="81"/>
            <rFont val="Tahoma"/>
            <family val="2"/>
          </rPr>
          <t xml:space="preserve">
Gesamte nutzbare Stromerzeugung (Eigenstrom bereits abgezogen) </t>
        </r>
      </text>
    </comment>
    <comment ref="L171" authorId="0" shapeId="0" xr:uid="{26E0C6D1-B44B-40FD-967E-74AD01E7E50D}">
      <text>
        <r>
          <rPr>
            <b/>
            <sz val="8"/>
            <color indexed="81"/>
            <rFont val="Tahoma"/>
            <family val="2"/>
          </rPr>
          <t>ifeu:</t>
        </r>
        <r>
          <rPr>
            <sz val="8"/>
            <color indexed="81"/>
            <rFont val="Tahoma"/>
            <family val="2"/>
          </rPr>
          <t xml:space="preserve">
Gesamte nutzbare Stromerzeugung (Eigenstrom bereits abgezogen) </t>
        </r>
      </text>
    </comment>
    <comment ref="M171" authorId="0" shapeId="0" xr:uid="{E49FF1F9-19AF-4AA5-9A8C-7238CDED0BEC}">
      <text>
        <r>
          <rPr>
            <b/>
            <sz val="8"/>
            <color indexed="81"/>
            <rFont val="Tahoma"/>
            <family val="2"/>
          </rPr>
          <t>ifeu:</t>
        </r>
        <r>
          <rPr>
            <sz val="8"/>
            <color indexed="81"/>
            <rFont val="Tahoma"/>
            <family val="2"/>
          </rPr>
          <t xml:space="preserve">
Gesamte nutzbare Stromerzeugung (Eigenstrom bereits abgezogen) </t>
        </r>
      </text>
    </comment>
    <comment ref="N171" authorId="0" shapeId="0" xr:uid="{DD89E50B-8B8C-42BD-82DF-F89CB8B170CE}">
      <text>
        <r>
          <rPr>
            <b/>
            <sz val="8"/>
            <color indexed="81"/>
            <rFont val="Tahoma"/>
            <family val="2"/>
          </rPr>
          <t>ifeu:</t>
        </r>
        <r>
          <rPr>
            <sz val="8"/>
            <color indexed="81"/>
            <rFont val="Tahoma"/>
            <family val="2"/>
          </rPr>
          <t xml:space="preserve">
Gesamte nutzbare Stromerzeugung (Eigenstrom bereits abgezogen) </t>
        </r>
      </text>
    </comment>
    <comment ref="O171" authorId="0" shapeId="0" xr:uid="{C729C005-D3B5-4DCC-8E3A-D10B5D397356}">
      <text>
        <r>
          <rPr>
            <b/>
            <sz val="8"/>
            <color indexed="81"/>
            <rFont val="Tahoma"/>
            <family val="2"/>
          </rPr>
          <t>ifeu:</t>
        </r>
        <r>
          <rPr>
            <sz val="8"/>
            <color indexed="81"/>
            <rFont val="Tahoma"/>
            <family val="2"/>
          </rPr>
          <t xml:space="preserve">
Gesamte nutzbare Stromerzeugung (Eigenstrom bereits abgezogen) </t>
        </r>
      </text>
    </comment>
    <comment ref="P171" authorId="0" shapeId="0" xr:uid="{75F6C3E2-9674-486B-92E7-101172ECAC00}">
      <text>
        <r>
          <rPr>
            <b/>
            <sz val="8"/>
            <color indexed="81"/>
            <rFont val="Tahoma"/>
            <family val="2"/>
          </rPr>
          <t>ifeu:</t>
        </r>
        <r>
          <rPr>
            <sz val="8"/>
            <color indexed="81"/>
            <rFont val="Tahoma"/>
            <family val="2"/>
          </rPr>
          <t xml:space="preserve">
Gesamte nutzbare Stromerzeugung (Eigenstrom bereits abgezogen) </t>
        </r>
      </text>
    </comment>
    <comment ref="Q171" authorId="0" shapeId="0" xr:uid="{05122341-7FE0-4CFC-9494-BAFABF5BB4FD}">
      <text>
        <r>
          <rPr>
            <b/>
            <sz val="8"/>
            <color indexed="81"/>
            <rFont val="Tahoma"/>
            <family val="2"/>
          </rPr>
          <t>ifeu:</t>
        </r>
        <r>
          <rPr>
            <sz val="8"/>
            <color indexed="81"/>
            <rFont val="Tahoma"/>
            <family val="2"/>
          </rPr>
          <t xml:space="preserve">
Gesamte nutzbare Stromerzeugung (Eigenstrom bereits abgezogen) </t>
        </r>
      </text>
    </comment>
    <comment ref="R171" authorId="0" shapeId="0" xr:uid="{CBF6CC85-3AE3-4E9C-93A0-CC302777A387}">
      <text>
        <r>
          <rPr>
            <b/>
            <sz val="8"/>
            <color indexed="81"/>
            <rFont val="Tahoma"/>
            <family val="2"/>
          </rPr>
          <t>ifeu:</t>
        </r>
        <r>
          <rPr>
            <sz val="8"/>
            <color indexed="81"/>
            <rFont val="Tahoma"/>
            <family val="2"/>
          </rPr>
          <t xml:space="preserve">
Gesamte nutzbare Stromerzeugung (Eigenstrom bereits abgezogen) </t>
        </r>
      </text>
    </comment>
    <comment ref="S171" authorId="0" shapeId="0" xr:uid="{909FFA30-A1E2-4E7B-AABB-0DC56D9559AA}">
      <text>
        <r>
          <rPr>
            <b/>
            <sz val="8"/>
            <color indexed="81"/>
            <rFont val="Tahoma"/>
            <family val="2"/>
          </rPr>
          <t>ifeu:</t>
        </r>
        <r>
          <rPr>
            <sz val="8"/>
            <color indexed="81"/>
            <rFont val="Tahoma"/>
            <family val="2"/>
          </rPr>
          <t xml:space="preserve">
Gesamte nutzbare Stromerzeugung (Eigenstrom bereits abgezogen) </t>
        </r>
      </text>
    </comment>
    <comment ref="T171" authorId="0" shapeId="0" xr:uid="{4DE5EC3B-F643-4474-83AA-BFC336B9A369}">
      <text>
        <r>
          <rPr>
            <b/>
            <sz val="8"/>
            <color indexed="81"/>
            <rFont val="Tahoma"/>
            <family val="2"/>
          </rPr>
          <t>ifeu:</t>
        </r>
        <r>
          <rPr>
            <sz val="8"/>
            <color indexed="81"/>
            <rFont val="Tahoma"/>
            <family val="2"/>
          </rPr>
          <t xml:space="preserve">
Gesamte nutzbare Stromerzeugung (Eigenstrom bereits abgezogen) </t>
        </r>
      </text>
    </comment>
    <comment ref="U171" authorId="0" shapeId="0" xr:uid="{B59C64FC-23A3-45B8-B87A-F91C95257A3D}">
      <text>
        <r>
          <rPr>
            <b/>
            <sz val="8"/>
            <color indexed="81"/>
            <rFont val="Tahoma"/>
            <family val="2"/>
          </rPr>
          <t>ifeu:</t>
        </r>
        <r>
          <rPr>
            <sz val="8"/>
            <color indexed="81"/>
            <rFont val="Tahoma"/>
            <family val="2"/>
          </rPr>
          <t xml:space="preserve">
Gesamte nutzbare Stromerzeugung (Eigenstrom bereits abgezogen) </t>
        </r>
      </text>
    </comment>
    <comment ref="V171" authorId="0" shapeId="0" xr:uid="{99A5CFF9-F5C7-4197-913F-908ECA1C3675}">
      <text>
        <r>
          <rPr>
            <b/>
            <sz val="8"/>
            <color indexed="81"/>
            <rFont val="Tahoma"/>
            <family val="2"/>
          </rPr>
          <t>ifeu:</t>
        </r>
        <r>
          <rPr>
            <sz val="8"/>
            <color indexed="81"/>
            <rFont val="Tahoma"/>
            <family val="2"/>
          </rPr>
          <t xml:space="preserve">
Gesamte nutzbare Stromerzeugung (Eigenstrom bereits abgezogen) </t>
        </r>
      </text>
    </comment>
    <comment ref="W171" authorId="0" shapeId="0" xr:uid="{AD951F02-60AD-4811-B8A9-11CCA31125E5}">
      <text>
        <r>
          <rPr>
            <b/>
            <sz val="8"/>
            <color indexed="81"/>
            <rFont val="Tahoma"/>
            <family val="2"/>
          </rPr>
          <t>ifeu:</t>
        </r>
        <r>
          <rPr>
            <sz val="8"/>
            <color indexed="81"/>
            <rFont val="Tahoma"/>
            <family val="2"/>
          </rPr>
          <t xml:space="preserve">
Gesamte nutzbare Stromerzeugung (Eigenstrom bereits abgezogen) </t>
        </r>
      </text>
    </comment>
    <comment ref="D172" authorId="0" shapeId="0" xr:uid="{4445C9D9-BB64-49F6-B055-4D1C2C1655C5}">
      <text>
        <r>
          <rPr>
            <b/>
            <sz val="8"/>
            <color indexed="81"/>
            <rFont val="Tahoma"/>
            <family val="2"/>
          </rPr>
          <t>ifeu:</t>
        </r>
        <r>
          <rPr>
            <sz val="8"/>
            <color indexed="81"/>
            <rFont val="Tahoma"/>
            <family val="2"/>
          </rPr>
          <t xml:space="preserve">
Resultierende Wärmeverluste des (B)HKWs</t>
        </r>
      </text>
    </comment>
    <comment ref="E172" authorId="0" shapeId="0" xr:uid="{353B7206-AB86-433A-B2F7-AF5D24112060}">
      <text>
        <r>
          <rPr>
            <b/>
            <sz val="8"/>
            <color indexed="81"/>
            <rFont val="Tahoma"/>
            <family val="2"/>
          </rPr>
          <t>ifeu:</t>
        </r>
        <r>
          <rPr>
            <sz val="8"/>
            <color indexed="81"/>
            <rFont val="Tahoma"/>
            <family val="2"/>
          </rPr>
          <t xml:space="preserve">
Resultierende Wärmeverluste des (B)HKWs</t>
        </r>
      </text>
    </comment>
    <comment ref="F172" authorId="0" shapeId="0" xr:uid="{FDFEA80B-D628-4B34-BDCA-6EC72A64B2C1}">
      <text>
        <r>
          <rPr>
            <b/>
            <sz val="8"/>
            <color indexed="81"/>
            <rFont val="Tahoma"/>
            <family val="2"/>
          </rPr>
          <t>ifeu:</t>
        </r>
        <r>
          <rPr>
            <sz val="8"/>
            <color indexed="81"/>
            <rFont val="Tahoma"/>
            <family val="2"/>
          </rPr>
          <t xml:space="preserve">
Resultierende Wärmeverluste des (B)HKWs</t>
        </r>
      </text>
    </comment>
    <comment ref="G172" authorId="0" shapeId="0" xr:uid="{A18566D2-5DE6-4D8A-AB4C-B7A00AF587C7}">
      <text>
        <r>
          <rPr>
            <b/>
            <sz val="8"/>
            <color indexed="81"/>
            <rFont val="Tahoma"/>
            <family val="2"/>
          </rPr>
          <t>ifeu:</t>
        </r>
        <r>
          <rPr>
            <sz val="8"/>
            <color indexed="81"/>
            <rFont val="Tahoma"/>
            <family val="2"/>
          </rPr>
          <t xml:space="preserve">
Resultierende Wärmeverluste des (B)HKWs</t>
        </r>
      </text>
    </comment>
    <comment ref="H172" authorId="0" shapeId="0" xr:uid="{F8EFB081-1177-46DB-8A1D-595AD48A4067}">
      <text>
        <r>
          <rPr>
            <b/>
            <sz val="8"/>
            <color indexed="81"/>
            <rFont val="Tahoma"/>
            <family val="2"/>
          </rPr>
          <t>ifeu:</t>
        </r>
        <r>
          <rPr>
            <sz val="8"/>
            <color indexed="81"/>
            <rFont val="Tahoma"/>
            <family val="2"/>
          </rPr>
          <t xml:space="preserve">
Resultierende Wärmeverluste des (B)HKWs</t>
        </r>
      </text>
    </comment>
    <comment ref="I172" authorId="0" shapeId="0" xr:uid="{10B572CE-EE27-4DFF-B5E6-03BE470F8F98}">
      <text>
        <r>
          <rPr>
            <b/>
            <sz val="8"/>
            <color indexed="81"/>
            <rFont val="Tahoma"/>
            <family val="2"/>
          </rPr>
          <t>ifeu:</t>
        </r>
        <r>
          <rPr>
            <sz val="8"/>
            <color indexed="81"/>
            <rFont val="Tahoma"/>
            <family val="2"/>
          </rPr>
          <t xml:space="preserve">
Resultierende Wärmeverluste des (B)HKWs</t>
        </r>
      </text>
    </comment>
    <comment ref="J172" authorId="0" shapeId="0" xr:uid="{B02BDF49-4274-480C-A10B-153DB5F13978}">
      <text>
        <r>
          <rPr>
            <b/>
            <sz val="8"/>
            <color indexed="81"/>
            <rFont val="Tahoma"/>
            <family val="2"/>
          </rPr>
          <t>ifeu:</t>
        </r>
        <r>
          <rPr>
            <sz val="8"/>
            <color indexed="81"/>
            <rFont val="Tahoma"/>
            <family val="2"/>
          </rPr>
          <t xml:space="preserve">
Resultierende Wärmeverluste des (B)HKWs</t>
        </r>
      </text>
    </comment>
    <comment ref="K172" authorId="0" shapeId="0" xr:uid="{67E209F3-266F-4099-B0BE-38B94BE8E74A}">
      <text>
        <r>
          <rPr>
            <b/>
            <sz val="8"/>
            <color indexed="81"/>
            <rFont val="Tahoma"/>
            <family val="2"/>
          </rPr>
          <t>ifeu:</t>
        </r>
        <r>
          <rPr>
            <sz val="8"/>
            <color indexed="81"/>
            <rFont val="Tahoma"/>
            <family val="2"/>
          </rPr>
          <t xml:space="preserve">
Resultierende Wärmeverluste des (B)HKWs</t>
        </r>
      </text>
    </comment>
    <comment ref="L172" authorId="0" shapeId="0" xr:uid="{4F3CB052-8BEB-4758-95E4-C73DC6494674}">
      <text>
        <r>
          <rPr>
            <b/>
            <sz val="8"/>
            <color indexed="81"/>
            <rFont val="Tahoma"/>
            <family val="2"/>
          </rPr>
          <t>ifeu:</t>
        </r>
        <r>
          <rPr>
            <sz val="8"/>
            <color indexed="81"/>
            <rFont val="Tahoma"/>
            <family val="2"/>
          </rPr>
          <t xml:space="preserve">
Resultierende Wärmeverluste des (B)HKWs</t>
        </r>
      </text>
    </comment>
    <comment ref="M172" authorId="0" shapeId="0" xr:uid="{8579B6B4-6540-4F4D-934D-9206E2E5E435}">
      <text>
        <r>
          <rPr>
            <b/>
            <sz val="8"/>
            <color indexed="81"/>
            <rFont val="Tahoma"/>
            <family val="2"/>
          </rPr>
          <t>ifeu:</t>
        </r>
        <r>
          <rPr>
            <sz val="8"/>
            <color indexed="81"/>
            <rFont val="Tahoma"/>
            <family val="2"/>
          </rPr>
          <t xml:space="preserve">
Resultierende Wärmeverluste des (B)HKWs</t>
        </r>
      </text>
    </comment>
    <comment ref="N172" authorId="0" shapeId="0" xr:uid="{1C1ECC67-8503-4FDC-B404-6E18FEEF6AE8}">
      <text>
        <r>
          <rPr>
            <b/>
            <sz val="8"/>
            <color indexed="81"/>
            <rFont val="Tahoma"/>
            <family val="2"/>
          </rPr>
          <t>ifeu:</t>
        </r>
        <r>
          <rPr>
            <sz val="8"/>
            <color indexed="81"/>
            <rFont val="Tahoma"/>
            <family val="2"/>
          </rPr>
          <t xml:space="preserve">
Resultierende Wärmeverluste des (B)HKWs</t>
        </r>
      </text>
    </comment>
    <comment ref="O172" authorId="0" shapeId="0" xr:uid="{02E15952-31D2-46D8-B5E6-F37B3DAAAC99}">
      <text>
        <r>
          <rPr>
            <b/>
            <sz val="8"/>
            <color indexed="81"/>
            <rFont val="Tahoma"/>
            <family val="2"/>
          </rPr>
          <t>ifeu:</t>
        </r>
        <r>
          <rPr>
            <sz val="8"/>
            <color indexed="81"/>
            <rFont val="Tahoma"/>
            <family val="2"/>
          </rPr>
          <t xml:space="preserve">
Resultierende Wärmeverluste des (B)HKWs</t>
        </r>
      </text>
    </comment>
    <comment ref="P172" authorId="0" shapeId="0" xr:uid="{19606577-B386-4CAA-A4FD-A33FA19D044F}">
      <text>
        <r>
          <rPr>
            <b/>
            <sz val="8"/>
            <color indexed="81"/>
            <rFont val="Tahoma"/>
            <family val="2"/>
          </rPr>
          <t>ifeu:</t>
        </r>
        <r>
          <rPr>
            <sz val="8"/>
            <color indexed="81"/>
            <rFont val="Tahoma"/>
            <family val="2"/>
          </rPr>
          <t xml:space="preserve">
Resultierende Wärmeverluste des (B)HKWs</t>
        </r>
      </text>
    </comment>
    <comment ref="Q172" authorId="0" shapeId="0" xr:uid="{CE967B67-0FE0-4C85-A9EB-E8540996FF31}">
      <text>
        <r>
          <rPr>
            <b/>
            <sz val="8"/>
            <color indexed="81"/>
            <rFont val="Tahoma"/>
            <family val="2"/>
          </rPr>
          <t>ifeu:</t>
        </r>
        <r>
          <rPr>
            <sz val="8"/>
            <color indexed="81"/>
            <rFont val="Tahoma"/>
            <family val="2"/>
          </rPr>
          <t xml:space="preserve">
Resultierende Wärmeverluste des (B)HKWs</t>
        </r>
      </text>
    </comment>
    <comment ref="R172" authorId="0" shapeId="0" xr:uid="{428A172F-6F63-4E16-B4D5-1E412AE243B1}">
      <text>
        <r>
          <rPr>
            <b/>
            <sz val="8"/>
            <color indexed="81"/>
            <rFont val="Tahoma"/>
            <family val="2"/>
          </rPr>
          <t>ifeu:</t>
        </r>
        <r>
          <rPr>
            <sz val="8"/>
            <color indexed="81"/>
            <rFont val="Tahoma"/>
            <family val="2"/>
          </rPr>
          <t xml:space="preserve">
Resultierende Wärmeverluste des (B)HKWs</t>
        </r>
      </text>
    </comment>
    <comment ref="S172" authorId="0" shapeId="0" xr:uid="{D3820015-31CB-44FD-9C9F-BF0567647A33}">
      <text>
        <r>
          <rPr>
            <b/>
            <sz val="8"/>
            <color indexed="81"/>
            <rFont val="Tahoma"/>
            <family val="2"/>
          </rPr>
          <t>ifeu:</t>
        </r>
        <r>
          <rPr>
            <sz val="8"/>
            <color indexed="81"/>
            <rFont val="Tahoma"/>
            <family val="2"/>
          </rPr>
          <t xml:space="preserve">
Resultierende Wärmeverluste des (B)HKWs</t>
        </r>
      </text>
    </comment>
    <comment ref="T172" authorId="0" shapeId="0" xr:uid="{33A70BBE-BC18-444E-A30C-854F8E530A42}">
      <text>
        <r>
          <rPr>
            <b/>
            <sz val="8"/>
            <color indexed="81"/>
            <rFont val="Tahoma"/>
            <family val="2"/>
          </rPr>
          <t>ifeu:</t>
        </r>
        <r>
          <rPr>
            <sz val="8"/>
            <color indexed="81"/>
            <rFont val="Tahoma"/>
            <family val="2"/>
          </rPr>
          <t xml:space="preserve">
Resultierende Wärmeverluste des (B)HKWs</t>
        </r>
      </text>
    </comment>
    <comment ref="U172" authorId="0" shapeId="0" xr:uid="{2E556D9B-784F-4D32-BAA4-8A348352D4C2}">
      <text>
        <r>
          <rPr>
            <b/>
            <sz val="8"/>
            <color indexed="81"/>
            <rFont val="Tahoma"/>
            <family val="2"/>
          </rPr>
          <t>ifeu:</t>
        </r>
        <r>
          <rPr>
            <sz val="8"/>
            <color indexed="81"/>
            <rFont val="Tahoma"/>
            <family val="2"/>
          </rPr>
          <t xml:space="preserve">
Resultierende Wärmeverluste des (B)HKWs</t>
        </r>
      </text>
    </comment>
    <comment ref="V172" authorId="0" shapeId="0" xr:uid="{B0E4371D-C1D9-4614-9A2F-354AA69FAE5E}">
      <text>
        <r>
          <rPr>
            <b/>
            <sz val="8"/>
            <color indexed="81"/>
            <rFont val="Tahoma"/>
            <family val="2"/>
          </rPr>
          <t>ifeu:</t>
        </r>
        <r>
          <rPr>
            <sz val="8"/>
            <color indexed="81"/>
            <rFont val="Tahoma"/>
            <family val="2"/>
          </rPr>
          <t xml:space="preserve">
Resultierende Wärmeverluste des (B)HKWs</t>
        </r>
      </text>
    </comment>
    <comment ref="W172" authorId="0" shapeId="0" xr:uid="{E70C9943-0A26-4F47-BA54-DBEBA1B2E807}">
      <text>
        <r>
          <rPr>
            <b/>
            <sz val="8"/>
            <color indexed="81"/>
            <rFont val="Tahoma"/>
            <family val="2"/>
          </rPr>
          <t>ifeu:</t>
        </r>
        <r>
          <rPr>
            <sz val="8"/>
            <color indexed="81"/>
            <rFont val="Tahoma"/>
            <family val="2"/>
          </rPr>
          <t xml:space="preserve">
Resultierende Wärmeverluste des (B)HKWs</t>
        </r>
      </text>
    </comment>
    <comment ref="D173" authorId="0" shapeId="0" xr:uid="{37E8D626-0B23-4034-BC0E-7579A7728386}">
      <text>
        <r>
          <rPr>
            <b/>
            <sz val="8"/>
            <color indexed="81"/>
            <rFont val="Tahoma"/>
            <family val="2"/>
          </rPr>
          <t>ifeu:</t>
        </r>
        <r>
          <rPr>
            <sz val="8"/>
            <color indexed="81"/>
            <rFont val="Tahoma"/>
            <family val="2"/>
          </rPr>
          <t xml:space="preserve">
Gesamter nutzbarer (= verkaufter) Wärmeoutput</t>
        </r>
      </text>
    </comment>
    <comment ref="E173" authorId="0" shapeId="0" xr:uid="{FE40F1D6-1248-4605-A61E-1E214FC5C387}">
      <text>
        <r>
          <rPr>
            <b/>
            <sz val="8"/>
            <color indexed="81"/>
            <rFont val="Tahoma"/>
            <family val="2"/>
          </rPr>
          <t>ifeu:</t>
        </r>
        <r>
          <rPr>
            <sz val="8"/>
            <color indexed="81"/>
            <rFont val="Tahoma"/>
            <family val="2"/>
          </rPr>
          <t xml:space="preserve">
Gesamter nutzbarer (= verkaufter) Wärmeoutput</t>
        </r>
      </text>
    </comment>
    <comment ref="F173" authorId="0" shapeId="0" xr:uid="{E83FAC69-81FC-46CE-81A5-3630211A08B5}">
      <text>
        <r>
          <rPr>
            <b/>
            <sz val="8"/>
            <color indexed="81"/>
            <rFont val="Tahoma"/>
            <family val="2"/>
          </rPr>
          <t>ifeu:</t>
        </r>
        <r>
          <rPr>
            <sz val="8"/>
            <color indexed="81"/>
            <rFont val="Tahoma"/>
            <family val="2"/>
          </rPr>
          <t xml:space="preserve">
Gesamter nutzbarer (= verkaufter) Wärmeoutput</t>
        </r>
      </text>
    </comment>
    <comment ref="G173" authorId="0" shapeId="0" xr:uid="{11D0F244-15EB-476B-A96B-E7D141506C39}">
      <text>
        <r>
          <rPr>
            <b/>
            <sz val="8"/>
            <color indexed="81"/>
            <rFont val="Tahoma"/>
            <family val="2"/>
          </rPr>
          <t>ifeu:</t>
        </r>
        <r>
          <rPr>
            <sz val="8"/>
            <color indexed="81"/>
            <rFont val="Tahoma"/>
            <family val="2"/>
          </rPr>
          <t xml:space="preserve">
Gesamter nutzbarer (= verkaufter) Wärmeoutput</t>
        </r>
      </text>
    </comment>
    <comment ref="H173" authorId="0" shapeId="0" xr:uid="{66B381E8-2067-4973-B65B-AC1A7AA41519}">
      <text>
        <r>
          <rPr>
            <b/>
            <sz val="8"/>
            <color indexed="81"/>
            <rFont val="Tahoma"/>
            <family val="2"/>
          </rPr>
          <t>ifeu:</t>
        </r>
        <r>
          <rPr>
            <sz val="8"/>
            <color indexed="81"/>
            <rFont val="Tahoma"/>
            <family val="2"/>
          </rPr>
          <t xml:space="preserve">
Gesamter nutzbarer (= verkaufter) Wärmeoutput</t>
        </r>
      </text>
    </comment>
    <comment ref="I173" authorId="0" shapeId="0" xr:uid="{B814DB4C-F1F8-4795-8D1D-B23A76BF8464}">
      <text>
        <r>
          <rPr>
            <b/>
            <sz val="8"/>
            <color indexed="81"/>
            <rFont val="Tahoma"/>
            <family val="2"/>
          </rPr>
          <t>ifeu:</t>
        </r>
        <r>
          <rPr>
            <sz val="8"/>
            <color indexed="81"/>
            <rFont val="Tahoma"/>
            <family val="2"/>
          </rPr>
          <t xml:space="preserve">
Gesamter nutzbarer (= verkaufter) Wärmeoutput</t>
        </r>
      </text>
    </comment>
    <comment ref="J173" authorId="0" shapeId="0" xr:uid="{FC9A8497-B6C2-4093-848F-2E7219E66E17}">
      <text>
        <r>
          <rPr>
            <b/>
            <sz val="8"/>
            <color indexed="81"/>
            <rFont val="Tahoma"/>
            <family val="2"/>
          </rPr>
          <t>ifeu:</t>
        </r>
        <r>
          <rPr>
            <sz val="8"/>
            <color indexed="81"/>
            <rFont val="Tahoma"/>
            <family val="2"/>
          </rPr>
          <t xml:space="preserve">
Gesamter nutzbarer (= verkaufter) Wärmeoutput</t>
        </r>
      </text>
    </comment>
    <comment ref="K173" authorId="0" shapeId="0" xr:uid="{A0DBCFAA-3BEE-41A3-BC13-39AD83763A82}">
      <text>
        <r>
          <rPr>
            <b/>
            <sz val="8"/>
            <color indexed="81"/>
            <rFont val="Tahoma"/>
            <family val="2"/>
          </rPr>
          <t>ifeu:</t>
        </r>
        <r>
          <rPr>
            <sz val="8"/>
            <color indexed="81"/>
            <rFont val="Tahoma"/>
            <family val="2"/>
          </rPr>
          <t xml:space="preserve">
Gesamter nutzbarer (= verkaufter) Wärmeoutput</t>
        </r>
      </text>
    </comment>
    <comment ref="L173" authorId="0" shapeId="0" xr:uid="{0A79BE25-84C6-4238-9716-AF6CC4B8FEE6}">
      <text>
        <r>
          <rPr>
            <b/>
            <sz val="8"/>
            <color indexed="81"/>
            <rFont val="Tahoma"/>
            <family val="2"/>
          </rPr>
          <t>ifeu:</t>
        </r>
        <r>
          <rPr>
            <sz val="8"/>
            <color indexed="81"/>
            <rFont val="Tahoma"/>
            <family val="2"/>
          </rPr>
          <t xml:space="preserve">
Gesamter nutzbarer (= verkaufter) Wärmeoutput</t>
        </r>
      </text>
    </comment>
    <comment ref="M173" authorId="0" shapeId="0" xr:uid="{F3E24C71-A357-4F33-9DF7-2F2675D6FBDA}">
      <text>
        <r>
          <rPr>
            <b/>
            <sz val="8"/>
            <color indexed="81"/>
            <rFont val="Tahoma"/>
            <family val="2"/>
          </rPr>
          <t>ifeu:</t>
        </r>
        <r>
          <rPr>
            <sz val="8"/>
            <color indexed="81"/>
            <rFont val="Tahoma"/>
            <family val="2"/>
          </rPr>
          <t xml:space="preserve">
Gesamter nutzbarer (= verkaufter) Wärmeoutput</t>
        </r>
      </text>
    </comment>
    <comment ref="N173" authorId="0" shapeId="0" xr:uid="{B578EBE0-02B7-4518-9213-3A466414DB8D}">
      <text>
        <r>
          <rPr>
            <b/>
            <sz val="8"/>
            <color indexed="81"/>
            <rFont val="Tahoma"/>
            <family val="2"/>
          </rPr>
          <t>ifeu:</t>
        </r>
        <r>
          <rPr>
            <sz val="8"/>
            <color indexed="81"/>
            <rFont val="Tahoma"/>
            <family val="2"/>
          </rPr>
          <t xml:space="preserve">
Gesamter nutzbarer (= verkaufter) Wärmeoutput</t>
        </r>
      </text>
    </comment>
    <comment ref="O173" authorId="0" shapeId="0" xr:uid="{C95D6748-27AE-4251-95AD-72D1D9570C76}">
      <text>
        <r>
          <rPr>
            <b/>
            <sz val="8"/>
            <color indexed="81"/>
            <rFont val="Tahoma"/>
            <family val="2"/>
          </rPr>
          <t>ifeu:</t>
        </r>
        <r>
          <rPr>
            <sz val="8"/>
            <color indexed="81"/>
            <rFont val="Tahoma"/>
            <family val="2"/>
          </rPr>
          <t xml:space="preserve">
Gesamter nutzbarer (= verkaufter) Wärmeoutput</t>
        </r>
      </text>
    </comment>
    <comment ref="P173" authorId="0" shapeId="0" xr:uid="{4E80F961-5E29-481F-A54D-856EB0CBB395}">
      <text>
        <r>
          <rPr>
            <b/>
            <sz val="8"/>
            <color indexed="81"/>
            <rFont val="Tahoma"/>
            <family val="2"/>
          </rPr>
          <t>ifeu:</t>
        </r>
        <r>
          <rPr>
            <sz val="8"/>
            <color indexed="81"/>
            <rFont val="Tahoma"/>
            <family val="2"/>
          </rPr>
          <t xml:space="preserve">
Gesamter nutzbarer (= verkaufter) Wärmeoutput</t>
        </r>
      </text>
    </comment>
    <comment ref="Q173" authorId="0" shapeId="0" xr:uid="{D634F3AE-DA17-459A-883B-C93FB2D212C6}">
      <text>
        <r>
          <rPr>
            <b/>
            <sz val="8"/>
            <color indexed="81"/>
            <rFont val="Tahoma"/>
            <family val="2"/>
          </rPr>
          <t>ifeu:</t>
        </r>
        <r>
          <rPr>
            <sz val="8"/>
            <color indexed="81"/>
            <rFont val="Tahoma"/>
            <family val="2"/>
          </rPr>
          <t xml:space="preserve">
Gesamter nutzbarer (= verkaufter) Wärmeoutput</t>
        </r>
      </text>
    </comment>
    <comment ref="R173" authorId="0" shapeId="0" xr:uid="{B48C220D-436B-411E-A908-E7F9F3362BAB}">
      <text>
        <r>
          <rPr>
            <b/>
            <sz val="8"/>
            <color indexed="81"/>
            <rFont val="Tahoma"/>
            <family val="2"/>
          </rPr>
          <t>ifeu:</t>
        </r>
        <r>
          <rPr>
            <sz val="8"/>
            <color indexed="81"/>
            <rFont val="Tahoma"/>
            <family val="2"/>
          </rPr>
          <t xml:space="preserve">
Gesamter nutzbarer (= verkaufter) Wärmeoutput</t>
        </r>
      </text>
    </comment>
    <comment ref="S173" authorId="0" shapeId="0" xr:uid="{0EC622A7-B11D-44B1-B027-3C66F7A7D6B6}">
      <text>
        <r>
          <rPr>
            <b/>
            <sz val="8"/>
            <color indexed="81"/>
            <rFont val="Tahoma"/>
            <family val="2"/>
          </rPr>
          <t>ifeu:</t>
        </r>
        <r>
          <rPr>
            <sz val="8"/>
            <color indexed="81"/>
            <rFont val="Tahoma"/>
            <family val="2"/>
          </rPr>
          <t xml:space="preserve">
Gesamter nutzbarer (= verkaufter) Wärmeoutput</t>
        </r>
      </text>
    </comment>
    <comment ref="T173" authorId="0" shapeId="0" xr:uid="{ADF6D6AE-FD27-462F-9D80-EBDA3F1A26E4}">
      <text>
        <r>
          <rPr>
            <b/>
            <sz val="8"/>
            <color indexed="81"/>
            <rFont val="Tahoma"/>
            <family val="2"/>
          </rPr>
          <t>ifeu:</t>
        </r>
        <r>
          <rPr>
            <sz val="8"/>
            <color indexed="81"/>
            <rFont val="Tahoma"/>
            <family val="2"/>
          </rPr>
          <t xml:space="preserve">
Gesamter nutzbarer (= verkaufter) Wärmeoutput</t>
        </r>
      </text>
    </comment>
    <comment ref="U173" authorId="0" shapeId="0" xr:uid="{5AC7FAD2-ED8A-4D6E-9D36-3F83647561AF}">
      <text>
        <r>
          <rPr>
            <b/>
            <sz val="8"/>
            <color indexed="81"/>
            <rFont val="Tahoma"/>
            <family val="2"/>
          </rPr>
          <t>ifeu:</t>
        </r>
        <r>
          <rPr>
            <sz val="8"/>
            <color indexed="81"/>
            <rFont val="Tahoma"/>
            <family val="2"/>
          </rPr>
          <t xml:space="preserve">
Gesamter nutzbarer (= verkaufter) Wärmeoutput</t>
        </r>
      </text>
    </comment>
    <comment ref="V173" authorId="0" shapeId="0" xr:uid="{2B99F856-FD78-4DCE-86CC-ACA1FB924184}">
      <text>
        <r>
          <rPr>
            <b/>
            <sz val="8"/>
            <color indexed="81"/>
            <rFont val="Tahoma"/>
            <family val="2"/>
          </rPr>
          <t>ifeu:</t>
        </r>
        <r>
          <rPr>
            <sz val="8"/>
            <color indexed="81"/>
            <rFont val="Tahoma"/>
            <family val="2"/>
          </rPr>
          <t xml:space="preserve">
Gesamter nutzbarer (= verkaufter) Wärmeoutput</t>
        </r>
      </text>
    </comment>
    <comment ref="W173" authorId="0" shapeId="0" xr:uid="{9CE52612-422D-47B5-9907-5FBC4010FDDE}">
      <text>
        <r>
          <rPr>
            <b/>
            <sz val="8"/>
            <color indexed="81"/>
            <rFont val="Tahoma"/>
            <family val="2"/>
          </rPr>
          <t>ifeu:</t>
        </r>
        <r>
          <rPr>
            <sz val="8"/>
            <color indexed="81"/>
            <rFont val="Tahoma"/>
            <family val="2"/>
          </rPr>
          <t xml:space="preserve">
Gesamter nutzbarer (= verkaufter) Wärmeoutput</t>
        </r>
      </text>
    </comment>
    <comment ref="D174" authorId="0" shapeId="0" xr:uid="{1459A6B4-B27C-491F-ACF2-2ECF011B56B4}">
      <text>
        <r>
          <rPr>
            <b/>
            <sz val="8"/>
            <color indexed="81"/>
            <rFont val="Tahoma"/>
            <family val="2"/>
          </rPr>
          <t>ifeu:</t>
        </r>
        <r>
          <rPr>
            <sz val="8"/>
            <color indexed="81"/>
            <rFont val="Tahoma"/>
            <family val="2"/>
          </rPr>
          <t xml:space="preserve">
Gesamte nutzbare Stromerzeugung (Eigenstrom bereits abgezogen) </t>
        </r>
      </text>
    </comment>
    <comment ref="E174" authorId="0" shapeId="0" xr:uid="{AE4124BC-F0C3-4507-9580-516F481F1216}">
      <text>
        <r>
          <rPr>
            <b/>
            <sz val="8"/>
            <color indexed="81"/>
            <rFont val="Tahoma"/>
            <family val="2"/>
          </rPr>
          <t>ifeu:</t>
        </r>
        <r>
          <rPr>
            <sz val="8"/>
            <color indexed="81"/>
            <rFont val="Tahoma"/>
            <family val="2"/>
          </rPr>
          <t xml:space="preserve">
Gesamte nutzbare Stromerzeugung (Eigenstrom bereits abgezogen) </t>
        </r>
      </text>
    </comment>
    <comment ref="F174" authorId="0" shapeId="0" xr:uid="{E234FB3A-FF2C-4410-A1EB-C01902EB08A1}">
      <text>
        <r>
          <rPr>
            <b/>
            <sz val="8"/>
            <color indexed="81"/>
            <rFont val="Tahoma"/>
            <family val="2"/>
          </rPr>
          <t>ifeu:</t>
        </r>
        <r>
          <rPr>
            <sz val="8"/>
            <color indexed="81"/>
            <rFont val="Tahoma"/>
            <family val="2"/>
          </rPr>
          <t xml:space="preserve">
Gesamte nutzbare Stromerzeugung (Eigenstrom bereits abgezogen) </t>
        </r>
      </text>
    </comment>
    <comment ref="G174" authorId="0" shapeId="0" xr:uid="{C6E173CC-088F-4895-B447-D36D7C04FE1A}">
      <text>
        <r>
          <rPr>
            <b/>
            <sz val="8"/>
            <color indexed="81"/>
            <rFont val="Tahoma"/>
            <family val="2"/>
          </rPr>
          <t>ifeu:</t>
        </r>
        <r>
          <rPr>
            <sz val="8"/>
            <color indexed="81"/>
            <rFont val="Tahoma"/>
            <family val="2"/>
          </rPr>
          <t xml:space="preserve">
Gesamte nutzbare Stromerzeugung (Eigenstrom bereits abgezogen) </t>
        </r>
      </text>
    </comment>
    <comment ref="H174" authorId="0" shapeId="0" xr:uid="{A7646A07-E9D8-435D-8CC7-988619A354CD}">
      <text>
        <r>
          <rPr>
            <b/>
            <sz val="8"/>
            <color indexed="81"/>
            <rFont val="Tahoma"/>
            <family val="2"/>
          </rPr>
          <t>ifeu:</t>
        </r>
        <r>
          <rPr>
            <sz val="8"/>
            <color indexed="81"/>
            <rFont val="Tahoma"/>
            <family val="2"/>
          </rPr>
          <t xml:space="preserve">
Gesamte nutzbare Stromerzeugung (Eigenstrom bereits abgezogen) </t>
        </r>
      </text>
    </comment>
    <comment ref="I174" authorId="0" shapeId="0" xr:uid="{99A58547-D1C7-407D-87A3-9A34E639297C}">
      <text>
        <r>
          <rPr>
            <b/>
            <sz val="8"/>
            <color indexed="81"/>
            <rFont val="Tahoma"/>
            <family val="2"/>
          </rPr>
          <t>ifeu:</t>
        </r>
        <r>
          <rPr>
            <sz val="8"/>
            <color indexed="81"/>
            <rFont val="Tahoma"/>
            <family val="2"/>
          </rPr>
          <t xml:space="preserve">
Gesamte nutzbare Stromerzeugung (Eigenstrom bereits abgezogen) </t>
        </r>
      </text>
    </comment>
    <comment ref="J174" authorId="0" shapeId="0" xr:uid="{A68DF344-F718-4379-B4BB-2582C71F5B27}">
      <text>
        <r>
          <rPr>
            <b/>
            <sz val="8"/>
            <color indexed="81"/>
            <rFont val="Tahoma"/>
            <family val="2"/>
          </rPr>
          <t>ifeu:</t>
        </r>
        <r>
          <rPr>
            <sz val="8"/>
            <color indexed="81"/>
            <rFont val="Tahoma"/>
            <family val="2"/>
          </rPr>
          <t xml:space="preserve">
Gesamte nutzbare Stromerzeugung (Eigenstrom bereits abgezogen) </t>
        </r>
      </text>
    </comment>
    <comment ref="K174" authorId="0" shapeId="0" xr:uid="{FC428AF1-9FB8-459D-A586-6A7B3D7AED44}">
      <text>
        <r>
          <rPr>
            <b/>
            <sz val="8"/>
            <color indexed="81"/>
            <rFont val="Tahoma"/>
            <family val="2"/>
          </rPr>
          <t>ifeu:</t>
        </r>
        <r>
          <rPr>
            <sz val="8"/>
            <color indexed="81"/>
            <rFont val="Tahoma"/>
            <family val="2"/>
          </rPr>
          <t xml:space="preserve">
Gesamte nutzbare Stromerzeugung (Eigenstrom bereits abgezogen) </t>
        </r>
      </text>
    </comment>
    <comment ref="L174" authorId="0" shapeId="0" xr:uid="{6A621338-B27E-4763-BA32-777FE85B8CEA}">
      <text>
        <r>
          <rPr>
            <b/>
            <sz val="8"/>
            <color indexed="81"/>
            <rFont val="Tahoma"/>
            <family val="2"/>
          </rPr>
          <t>ifeu:</t>
        </r>
        <r>
          <rPr>
            <sz val="8"/>
            <color indexed="81"/>
            <rFont val="Tahoma"/>
            <family val="2"/>
          </rPr>
          <t xml:space="preserve">
Gesamte nutzbare Stromerzeugung (Eigenstrom bereits abgezogen) </t>
        </r>
      </text>
    </comment>
    <comment ref="M174" authorId="0" shapeId="0" xr:uid="{E659A8E1-2832-4283-BCE7-B06D65BE31A2}">
      <text>
        <r>
          <rPr>
            <b/>
            <sz val="8"/>
            <color indexed="81"/>
            <rFont val="Tahoma"/>
            <family val="2"/>
          </rPr>
          <t>ifeu:</t>
        </r>
        <r>
          <rPr>
            <sz val="8"/>
            <color indexed="81"/>
            <rFont val="Tahoma"/>
            <family val="2"/>
          </rPr>
          <t xml:space="preserve">
Gesamte nutzbare Stromerzeugung (Eigenstrom bereits abgezogen) </t>
        </r>
      </text>
    </comment>
    <comment ref="N174" authorId="0" shapeId="0" xr:uid="{C6649972-28B7-4DF6-88C4-BD6E52CAED33}">
      <text>
        <r>
          <rPr>
            <b/>
            <sz val="8"/>
            <color indexed="81"/>
            <rFont val="Tahoma"/>
            <family val="2"/>
          </rPr>
          <t>ifeu:</t>
        </r>
        <r>
          <rPr>
            <sz val="8"/>
            <color indexed="81"/>
            <rFont val="Tahoma"/>
            <family val="2"/>
          </rPr>
          <t xml:space="preserve">
Gesamte nutzbare Stromerzeugung (Eigenstrom bereits abgezogen) </t>
        </r>
      </text>
    </comment>
    <comment ref="O174" authorId="0" shapeId="0" xr:uid="{6A29DBDC-DADD-4AE0-8D6B-3A375B1F0969}">
      <text>
        <r>
          <rPr>
            <b/>
            <sz val="8"/>
            <color indexed="81"/>
            <rFont val="Tahoma"/>
            <family val="2"/>
          </rPr>
          <t>ifeu:</t>
        </r>
        <r>
          <rPr>
            <sz val="8"/>
            <color indexed="81"/>
            <rFont val="Tahoma"/>
            <family val="2"/>
          </rPr>
          <t xml:space="preserve">
Gesamte nutzbare Stromerzeugung (Eigenstrom bereits abgezogen) </t>
        </r>
      </text>
    </comment>
    <comment ref="P174" authorId="0" shapeId="0" xr:uid="{898AC12F-49CC-4CA1-9F82-036719345F84}">
      <text>
        <r>
          <rPr>
            <b/>
            <sz val="8"/>
            <color indexed="81"/>
            <rFont val="Tahoma"/>
            <family val="2"/>
          </rPr>
          <t>ifeu:</t>
        </r>
        <r>
          <rPr>
            <sz val="8"/>
            <color indexed="81"/>
            <rFont val="Tahoma"/>
            <family val="2"/>
          </rPr>
          <t xml:space="preserve">
Gesamte nutzbare Stromerzeugung (Eigenstrom bereits abgezogen) </t>
        </r>
      </text>
    </comment>
    <comment ref="Q174" authorId="0" shapeId="0" xr:uid="{0FCC0F34-61A7-438F-A5D9-8BB08F425E63}">
      <text>
        <r>
          <rPr>
            <b/>
            <sz val="8"/>
            <color indexed="81"/>
            <rFont val="Tahoma"/>
            <family val="2"/>
          </rPr>
          <t>ifeu:</t>
        </r>
        <r>
          <rPr>
            <sz val="8"/>
            <color indexed="81"/>
            <rFont val="Tahoma"/>
            <family val="2"/>
          </rPr>
          <t xml:space="preserve">
Gesamte nutzbare Stromerzeugung (Eigenstrom bereits abgezogen) </t>
        </r>
      </text>
    </comment>
    <comment ref="R174" authorId="0" shapeId="0" xr:uid="{DBD39E86-AB98-4F9E-81CD-CC5F3F6805A4}">
      <text>
        <r>
          <rPr>
            <b/>
            <sz val="8"/>
            <color indexed="81"/>
            <rFont val="Tahoma"/>
            <family val="2"/>
          </rPr>
          <t>ifeu:</t>
        </r>
        <r>
          <rPr>
            <sz val="8"/>
            <color indexed="81"/>
            <rFont val="Tahoma"/>
            <family val="2"/>
          </rPr>
          <t xml:space="preserve">
Gesamte nutzbare Stromerzeugung (Eigenstrom bereits abgezogen) </t>
        </r>
      </text>
    </comment>
    <comment ref="S174" authorId="0" shapeId="0" xr:uid="{A42C8DEE-D1F9-43F2-A9AC-A4E5399CC76B}">
      <text>
        <r>
          <rPr>
            <b/>
            <sz val="8"/>
            <color indexed="81"/>
            <rFont val="Tahoma"/>
            <family val="2"/>
          </rPr>
          <t>ifeu:</t>
        </r>
        <r>
          <rPr>
            <sz val="8"/>
            <color indexed="81"/>
            <rFont val="Tahoma"/>
            <family val="2"/>
          </rPr>
          <t xml:space="preserve">
Gesamte nutzbare Stromerzeugung (Eigenstrom bereits abgezogen) </t>
        </r>
      </text>
    </comment>
    <comment ref="T174" authorId="0" shapeId="0" xr:uid="{66A68379-A325-499D-856B-D25DB261B4F8}">
      <text>
        <r>
          <rPr>
            <b/>
            <sz val="8"/>
            <color indexed="81"/>
            <rFont val="Tahoma"/>
            <family val="2"/>
          </rPr>
          <t>ifeu:</t>
        </r>
        <r>
          <rPr>
            <sz val="8"/>
            <color indexed="81"/>
            <rFont val="Tahoma"/>
            <family val="2"/>
          </rPr>
          <t xml:space="preserve">
Gesamte nutzbare Stromerzeugung (Eigenstrom bereits abgezogen) </t>
        </r>
      </text>
    </comment>
    <comment ref="U174" authorId="0" shapeId="0" xr:uid="{192F9B07-F140-49C6-9EE9-FD60CEB2D42F}">
      <text>
        <r>
          <rPr>
            <b/>
            <sz val="8"/>
            <color indexed="81"/>
            <rFont val="Tahoma"/>
            <family val="2"/>
          </rPr>
          <t>ifeu:</t>
        </r>
        <r>
          <rPr>
            <sz val="8"/>
            <color indexed="81"/>
            <rFont val="Tahoma"/>
            <family val="2"/>
          </rPr>
          <t xml:space="preserve">
Gesamte nutzbare Stromerzeugung (Eigenstrom bereits abgezogen) </t>
        </r>
      </text>
    </comment>
    <comment ref="V174" authorId="0" shapeId="0" xr:uid="{9D4DCF08-E107-4C8D-9EE5-8F87E99DB7F1}">
      <text>
        <r>
          <rPr>
            <b/>
            <sz val="8"/>
            <color indexed="81"/>
            <rFont val="Tahoma"/>
            <family val="2"/>
          </rPr>
          <t>ifeu:</t>
        </r>
        <r>
          <rPr>
            <sz val="8"/>
            <color indexed="81"/>
            <rFont val="Tahoma"/>
            <family val="2"/>
          </rPr>
          <t xml:space="preserve">
Gesamte nutzbare Stromerzeugung (Eigenstrom bereits abgezogen) </t>
        </r>
      </text>
    </comment>
    <comment ref="W174" authorId="0" shapeId="0" xr:uid="{CB3699AA-4632-4F19-A538-F1A636F74FC3}">
      <text>
        <r>
          <rPr>
            <b/>
            <sz val="8"/>
            <color indexed="81"/>
            <rFont val="Tahoma"/>
            <family val="2"/>
          </rPr>
          <t>ifeu:</t>
        </r>
        <r>
          <rPr>
            <sz val="8"/>
            <color indexed="81"/>
            <rFont val="Tahoma"/>
            <family val="2"/>
          </rPr>
          <t xml:space="preserve">
Gesamte nutzbare Stromerzeugung (Eigenstrom bereits abgezogen) </t>
        </r>
      </text>
    </comment>
    <comment ref="D193" authorId="1" shapeId="0" xr:uid="{9DB35AAD-5338-4052-9233-5B34D926BD7A}">
      <text>
        <r>
          <rPr>
            <b/>
            <sz val="9"/>
            <color indexed="81"/>
            <rFont val="Tahoma"/>
            <family val="2"/>
          </rPr>
          <t xml:space="preserve">ifeu: </t>
        </r>
        <r>
          <rPr>
            <sz val="9"/>
            <color indexed="81"/>
            <rFont val="Tahoma"/>
            <family val="2"/>
          </rPr>
          <t xml:space="preserve">Wählbar nach mittlerem Temperaturniveau nach Carnot
0,21 entsprechend Hertle, 2016, Emissionsfaktor Fernwärme der SWH in Heidelberg
</t>
        </r>
      </text>
    </comment>
    <comment ref="E193" authorId="1" shapeId="0" xr:uid="{E91CC509-5511-4BA1-AA47-6C2E2D13D0B4}">
      <text>
        <r>
          <rPr>
            <b/>
            <sz val="9"/>
            <color indexed="81"/>
            <rFont val="Tahoma"/>
            <family val="2"/>
          </rPr>
          <t xml:space="preserve">ifeu: </t>
        </r>
        <r>
          <rPr>
            <sz val="9"/>
            <color indexed="81"/>
            <rFont val="Tahoma"/>
            <family val="2"/>
          </rPr>
          <t xml:space="preserve">Wählbar nach mittlerem Temperaturniveau nach Carnot
0,21 entsprechend Hertle, 2016, Emissionsfaktor Fernwärme der SWH in Heidelberg
</t>
        </r>
      </text>
    </comment>
    <comment ref="F193" authorId="1" shapeId="0" xr:uid="{B1519005-3422-435B-B884-5D94768B2849}">
      <text>
        <r>
          <rPr>
            <b/>
            <sz val="9"/>
            <color indexed="81"/>
            <rFont val="Tahoma"/>
            <family val="2"/>
          </rPr>
          <t xml:space="preserve">ifeu: </t>
        </r>
        <r>
          <rPr>
            <sz val="9"/>
            <color indexed="81"/>
            <rFont val="Tahoma"/>
            <family val="2"/>
          </rPr>
          <t xml:space="preserve">Wählbar nach mittlerem Temperaturniveau nach Carnot
0,21 entsprechend Hertle, 2016, Emissionsfaktor Fernwärme der SWH in Heidelberg
</t>
        </r>
      </text>
    </comment>
    <comment ref="G193" authorId="1" shapeId="0" xr:uid="{E2E59633-398F-469E-850D-6644BA82CA4C}">
      <text>
        <r>
          <rPr>
            <b/>
            <sz val="9"/>
            <color indexed="81"/>
            <rFont val="Tahoma"/>
            <family val="2"/>
          </rPr>
          <t xml:space="preserve">ifeu: </t>
        </r>
        <r>
          <rPr>
            <sz val="9"/>
            <color indexed="81"/>
            <rFont val="Tahoma"/>
            <family val="2"/>
          </rPr>
          <t xml:space="preserve">Wählbar nach mittlerem Temperaturniveau nach Carnot
0,21 entsprechend Hertle, 2016, Emissionsfaktor Fernwärme der SWH in Heidelberg
</t>
        </r>
      </text>
    </comment>
    <comment ref="H193" authorId="1" shapeId="0" xr:uid="{6A02BC40-5D26-4888-85C6-51A4928C6DD4}">
      <text>
        <r>
          <rPr>
            <b/>
            <sz val="9"/>
            <color indexed="81"/>
            <rFont val="Tahoma"/>
            <family val="2"/>
          </rPr>
          <t xml:space="preserve">ifeu: </t>
        </r>
        <r>
          <rPr>
            <sz val="9"/>
            <color indexed="81"/>
            <rFont val="Tahoma"/>
            <family val="2"/>
          </rPr>
          <t xml:space="preserve">Wählbar nach mittlerem Temperaturniveau nach Carnot
0,21 entsprechend Hertle, 2016, Emissionsfaktor Fernwärme der SWH in Heidelberg
</t>
        </r>
      </text>
    </comment>
    <comment ref="I193" authorId="1" shapeId="0" xr:uid="{3804EABD-CF67-4839-BB3F-EAD5C471B21E}">
      <text>
        <r>
          <rPr>
            <b/>
            <sz val="9"/>
            <color indexed="81"/>
            <rFont val="Tahoma"/>
            <family val="2"/>
          </rPr>
          <t xml:space="preserve">ifeu: </t>
        </r>
        <r>
          <rPr>
            <sz val="9"/>
            <color indexed="81"/>
            <rFont val="Tahoma"/>
            <family val="2"/>
          </rPr>
          <t xml:space="preserve">Wählbar nach mittlerem Temperaturniveau nach Carnot
0,21 entsprechend Hertle, 2016, Emissionsfaktor Fernwärme der SWH in Heidelberg
</t>
        </r>
      </text>
    </comment>
    <comment ref="J193" authorId="1" shapeId="0" xr:uid="{48764FC3-1AD1-49A9-BD9B-B463DEFB7C45}">
      <text>
        <r>
          <rPr>
            <b/>
            <sz val="9"/>
            <color indexed="81"/>
            <rFont val="Tahoma"/>
            <family val="2"/>
          </rPr>
          <t xml:space="preserve">ifeu: </t>
        </r>
        <r>
          <rPr>
            <sz val="9"/>
            <color indexed="81"/>
            <rFont val="Tahoma"/>
            <family val="2"/>
          </rPr>
          <t xml:space="preserve">Wählbar nach mittlerem Temperaturniveau nach Carnot
0,21 entsprechend Hertle, 2016, Emissionsfaktor Fernwärme der SWH in Heidelberg
</t>
        </r>
      </text>
    </comment>
    <comment ref="K193" authorId="1" shapeId="0" xr:uid="{81ECAD51-4477-4C86-9CC1-316F525D8C90}">
      <text>
        <r>
          <rPr>
            <b/>
            <sz val="9"/>
            <color indexed="81"/>
            <rFont val="Tahoma"/>
            <family val="2"/>
          </rPr>
          <t xml:space="preserve">ifeu: </t>
        </r>
        <r>
          <rPr>
            <sz val="9"/>
            <color indexed="81"/>
            <rFont val="Tahoma"/>
            <family val="2"/>
          </rPr>
          <t xml:space="preserve">Wählbar nach mittlerem Temperaturniveau nach Carnot
0,21 entsprechend Hertle, 2016, Emissionsfaktor Fernwärme der SWH in Heidelberg
</t>
        </r>
      </text>
    </comment>
    <comment ref="L193" authorId="1" shapeId="0" xr:uid="{2C221AA9-9752-42AB-B699-4F25D71C1165}">
      <text>
        <r>
          <rPr>
            <b/>
            <sz val="9"/>
            <color indexed="81"/>
            <rFont val="Tahoma"/>
            <family val="2"/>
          </rPr>
          <t xml:space="preserve">ifeu: </t>
        </r>
        <r>
          <rPr>
            <sz val="9"/>
            <color indexed="81"/>
            <rFont val="Tahoma"/>
            <family val="2"/>
          </rPr>
          <t xml:space="preserve">Wählbar nach mittlerem Temperaturniveau nach Carnot
0,21 entsprechend Hertle, 2016, Emissionsfaktor Fernwärme der SWH in Heidelberg
</t>
        </r>
      </text>
    </comment>
    <comment ref="M193" authorId="1" shapeId="0" xr:uid="{970521BE-AD4A-4ECA-9802-D8844D7ED985}">
      <text>
        <r>
          <rPr>
            <b/>
            <sz val="9"/>
            <color indexed="81"/>
            <rFont val="Tahoma"/>
            <family val="2"/>
          </rPr>
          <t xml:space="preserve">ifeu: </t>
        </r>
        <r>
          <rPr>
            <sz val="9"/>
            <color indexed="81"/>
            <rFont val="Tahoma"/>
            <family val="2"/>
          </rPr>
          <t xml:space="preserve">Wählbar nach mittlerem Temperaturniveau nach Carnot
0,21 entsprechend Hertle, 2016, Emissionsfaktor Fernwärme der SWH in Heidelberg
</t>
        </r>
      </text>
    </comment>
    <comment ref="N193" authorId="1" shapeId="0" xr:uid="{663CF0C3-D289-4064-B09E-953AFC841AFC}">
      <text>
        <r>
          <rPr>
            <b/>
            <sz val="9"/>
            <color indexed="81"/>
            <rFont val="Tahoma"/>
            <family val="2"/>
          </rPr>
          <t xml:space="preserve">ifeu: </t>
        </r>
        <r>
          <rPr>
            <sz val="9"/>
            <color indexed="81"/>
            <rFont val="Tahoma"/>
            <family val="2"/>
          </rPr>
          <t xml:space="preserve">Wählbar nach mittlerem Temperaturniveau nach Carnot
0,21 entsprechend Hertle, 2016, Emissionsfaktor Fernwärme der SWH in Heidelberg
</t>
        </r>
      </text>
    </comment>
    <comment ref="O193" authorId="1" shapeId="0" xr:uid="{31384FBD-EF5B-4471-A470-2E7BE085EF75}">
      <text>
        <r>
          <rPr>
            <b/>
            <sz val="9"/>
            <color indexed="81"/>
            <rFont val="Tahoma"/>
            <family val="2"/>
          </rPr>
          <t xml:space="preserve">ifeu: </t>
        </r>
        <r>
          <rPr>
            <sz val="9"/>
            <color indexed="81"/>
            <rFont val="Tahoma"/>
            <family val="2"/>
          </rPr>
          <t xml:space="preserve">Wählbar nach mittlerem Temperaturniveau nach Carnot
0,21 entsprechend Hertle, 2016, Emissionsfaktor Fernwärme der SWH in Heidelberg
</t>
        </r>
      </text>
    </comment>
    <comment ref="P193" authorId="1" shapeId="0" xr:uid="{9127C464-B7C5-4C90-B1C7-47C488E14ACF}">
      <text>
        <r>
          <rPr>
            <b/>
            <sz val="9"/>
            <color indexed="81"/>
            <rFont val="Tahoma"/>
            <family val="2"/>
          </rPr>
          <t xml:space="preserve">ifeu: </t>
        </r>
        <r>
          <rPr>
            <sz val="9"/>
            <color indexed="81"/>
            <rFont val="Tahoma"/>
            <family val="2"/>
          </rPr>
          <t xml:space="preserve">Wählbar nach mittlerem Temperaturniveau nach Carnot
0,21 entsprechend Hertle, 2016, Emissionsfaktor Fernwärme der SWH in Heidelberg
</t>
        </r>
      </text>
    </comment>
    <comment ref="Q193" authorId="1" shapeId="0" xr:uid="{54A1434C-9543-4ACE-8B1B-7CFA838E8E17}">
      <text>
        <r>
          <rPr>
            <b/>
            <sz val="9"/>
            <color indexed="81"/>
            <rFont val="Tahoma"/>
            <family val="2"/>
          </rPr>
          <t xml:space="preserve">ifeu: </t>
        </r>
        <r>
          <rPr>
            <sz val="9"/>
            <color indexed="81"/>
            <rFont val="Tahoma"/>
            <family val="2"/>
          </rPr>
          <t xml:space="preserve">Wählbar nach mittlerem Temperaturniveau nach Carnot
0,21 entsprechend Hertle, 2016, Emissionsfaktor Fernwärme der SWH in Heidelberg
</t>
        </r>
      </text>
    </comment>
    <comment ref="R193" authorId="1" shapeId="0" xr:uid="{F843FA3F-D406-4EB5-8078-9A83E9E74023}">
      <text>
        <r>
          <rPr>
            <b/>
            <sz val="9"/>
            <color indexed="81"/>
            <rFont val="Tahoma"/>
            <family val="2"/>
          </rPr>
          <t xml:space="preserve">ifeu: </t>
        </r>
        <r>
          <rPr>
            <sz val="9"/>
            <color indexed="81"/>
            <rFont val="Tahoma"/>
            <family val="2"/>
          </rPr>
          <t xml:space="preserve">Wählbar nach mittlerem Temperaturniveau nach Carnot
0,21 entsprechend Hertle, 2016, Emissionsfaktor Fernwärme der SWH in Heidelberg
</t>
        </r>
      </text>
    </comment>
    <comment ref="S193" authorId="1" shapeId="0" xr:uid="{3F7330CF-5B18-4EDE-A61A-41AA26FC9BF7}">
      <text>
        <r>
          <rPr>
            <b/>
            <sz val="9"/>
            <color indexed="81"/>
            <rFont val="Tahoma"/>
            <family val="2"/>
          </rPr>
          <t xml:space="preserve">ifeu: </t>
        </r>
        <r>
          <rPr>
            <sz val="9"/>
            <color indexed="81"/>
            <rFont val="Tahoma"/>
            <family val="2"/>
          </rPr>
          <t xml:space="preserve">Wählbar nach mittlerem Temperaturniveau nach Carnot
0,21 entsprechend Hertle, 2016, Emissionsfaktor Fernwärme der SWH in Heidelberg
</t>
        </r>
      </text>
    </comment>
    <comment ref="T193" authorId="1" shapeId="0" xr:uid="{FF665A40-C023-406D-BC6D-1A0DBC5ADB9A}">
      <text>
        <r>
          <rPr>
            <b/>
            <sz val="9"/>
            <color indexed="81"/>
            <rFont val="Tahoma"/>
            <family val="2"/>
          </rPr>
          <t xml:space="preserve">ifeu: </t>
        </r>
        <r>
          <rPr>
            <sz val="9"/>
            <color indexed="81"/>
            <rFont val="Tahoma"/>
            <family val="2"/>
          </rPr>
          <t xml:space="preserve">Wählbar nach mittlerem Temperaturniveau nach Carnot
0,21 entsprechend Hertle, 2016, Emissionsfaktor Fernwärme der SWH in Heidelberg
</t>
        </r>
      </text>
    </comment>
    <comment ref="U193" authorId="1" shapeId="0" xr:uid="{60621122-FB5E-48BD-8B43-730C94D08272}">
      <text>
        <r>
          <rPr>
            <b/>
            <sz val="9"/>
            <color indexed="81"/>
            <rFont val="Tahoma"/>
            <family val="2"/>
          </rPr>
          <t xml:space="preserve">ifeu: </t>
        </r>
        <r>
          <rPr>
            <sz val="9"/>
            <color indexed="81"/>
            <rFont val="Tahoma"/>
            <family val="2"/>
          </rPr>
          <t xml:space="preserve">Wählbar nach mittlerem Temperaturniveau nach Carnot
0,21 entsprechend Hertle, 2016, Emissionsfaktor Fernwärme der SWH in Heidelberg
</t>
        </r>
      </text>
    </comment>
    <comment ref="V193" authorId="1" shapeId="0" xr:uid="{ACE7B08C-3A0F-424F-BA13-D912C52D4D98}">
      <text>
        <r>
          <rPr>
            <b/>
            <sz val="9"/>
            <color indexed="81"/>
            <rFont val="Tahoma"/>
            <family val="2"/>
          </rPr>
          <t xml:space="preserve">ifeu: </t>
        </r>
        <r>
          <rPr>
            <sz val="9"/>
            <color indexed="81"/>
            <rFont val="Tahoma"/>
            <family val="2"/>
          </rPr>
          <t xml:space="preserve">Wählbar nach mittlerem Temperaturniveau nach Carnot
0,21 entsprechend Hertle, 2016, Emissionsfaktor Fernwärme der SWH in Heidelberg
</t>
        </r>
      </text>
    </comment>
    <comment ref="W193" authorId="1" shapeId="0" xr:uid="{2AAA1307-5FBC-465A-9453-D11D16CA4308}">
      <text>
        <r>
          <rPr>
            <b/>
            <sz val="9"/>
            <color indexed="81"/>
            <rFont val="Tahoma"/>
            <family val="2"/>
          </rPr>
          <t xml:space="preserve">ifeu: </t>
        </r>
        <r>
          <rPr>
            <sz val="9"/>
            <color indexed="81"/>
            <rFont val="Tahoma"/>
            <family val="2"/>
          </rPr>
          <t xml:space="preserve">Wählbar nach mittlerem Temperaturniveau nach Carnot
0,21 entsprechend Hertle, 2016, Emissionsfaktor Fernwärme der SWH in Heidelberg
</t>
        </r>
      </text>
    </comment>
    <comment ref="D195" authorId="0" shapeId="0" xr:uid="{09618528-236D-48FB-89F3-4A84B010B0E7}">
      <text>
        <r>
          <rPr>
            <b/>
            <sz val="8"/>
            <color indexed="81"/>
            <rFont val="Tahoma"/>
            <family val="2"/>
          </rPr>
          <t>ifeu:</t>
        </r>
        <r>
          <rPr>
            <sz val="8"/>
            <color indexed="81"/>
            <rFont val="Tahoma"/>
            <family val="2"/>
          </rPr>
          <t xml:space="preserve">
Exergieanteil Strom bezogen auf gesamten Exergiegehalt </t>
        </r>
      </text>
    </comment>
    <comment ref="E195" authorId="0" shapeId="0" xr:uid="{E919F757-C92A-487E-9DAB-F449537E5FEC}">
      <text>
        <r>
          <rPr>
            <b/>
            <sz val="8"/>
            <color indexed="81"/>
            <rFont val="Tahoma"/>
            <family val="2"/>
          </rPr>
          <t>ifeu:</t>
        </r>
        <r>
          <rPr>
            <sz val="8"/>
            <color indexed="81"/>
            <rFont val="Tahoma"/>
            <family val="2"/>
          </rPr>
          <t xml:space="preserve">
Exergieanteil Strom bezogen auf gesamten Exergiegehalt </t>
        </r>
      </text>
    </comment>
    <comment ref="F195" authorId="0" shapeId="0" xr:uid="{185F2A9A-B342-40BE-BB67-5139339848CD}">
      <text>
        <r>
          <rPr>
            <b/>
            <sz val="8"/>
            <color indexed="81"/>
            <rFont val="Tahoma"/>
            <family val="2"/>
          </rPr>
          <t>ifeu:</t>
        </r>
        <r>
          <rPr>
            <sz val="8"/>
            <color indexed="81"/>
            <rFont val="Tahoma"/>
            <family val="2"/>
          </rPr>
          <t xml:space="preserve">
Exergieanteil Strom bezogen auf gesamten Exergiegehalt </t>
        </r>
      </text>
    </comment>
    <comment ref="G195" authorId="0" shapeId="0" xr:uid="{FE358305-0832-4F76-9246-5D75E8B48B0B}">
      <text>
        <r>
          <rPr>
            <b/>
            <sz val="8"/>
            <color indexed="81"/>
            <rFont val="Tahoma"/>
            <family val="2"/>
          </rPr>
          <t>ifeu:</t>
        </r>
        <r>
          <rPr>
            <sz val="8"/>
            <color indexed="81"/>
            <rFont val="Tahoma"/>
            <family val="2"/>
          </rPr>
          <t xml:space="preserve">
Exergieanteil Strom bezogen auf gesamten Exergiegehalt </t>
        </r>
      </text>
    </comment>
    <comment ref="H195" authorId="0" shapeId="0" xr:uid="{EC64B172-4026-494B-9DD6-41909A8AC89A}">
      <text>
        <r>
          <rPr>
            <b/>
            <sz val="8"/>
            <color indexed="81"/>
            <rFont val="Tahoma"/>
            <family val="2"/>
          </rPr>
          <t>ifeu:</t>
        </r>
        <r>
          <rPr>
            <sz val="8"/>
            <color indexed="81"/>
            <rFont val="Tahoma"/>
            <family val="2"/>
          </rPr>
          <t xml:space="preserve">
Exergieanteil Strom bezogen auf gesamten Exergiegehalt </t>
        </r>
      </text>
    </comment>
    <comment ref="I195" authorId="0" shapeId="0" xr:uid="{B959ACAE-CA48-4836-8991-FA0F22D8D728}">
      <text>
        <r>
          <rPr>
            <b/>
            <sz val="8"/>
            <color indexed="81"/>
            <rFont val="Tahoma"/>
            <family val="2"/>
          </rPr>
          <t>ifeu:</t>
        </r>
        <r>
          <rPr>
            <sz val="8"/>
            <color indexed="81"/>
            <rFont val="Tahoma"/>
            <family val="2"/>
          </rPr>
          <t xml:space="preserve">
Exergieanteil Strom bezogen auf gesamten Exergiegehalt </t>
        </r>
      </text>
    </comment>
    <comment ref="J195" authorId="0" shapeId="0" xr:uid="{5D734D66-68A5-4485-945C-2A78C770BBB8}">
      <text>
        <r>
          <rPr>
            <b/>
            <sz val="8"/>
            <color indexed="81"/>
            <rFont val="Tahoma"/>
            <family val="2"/>
          </rPr>
          <t>ifeu:</t>
        </r>
        <r>
          <rPr>
            <sz val="8"/>
            <color indexed="81"/>
            <rFont val="Tahoma"/>
            <family val="2"/>
          </rPr>
          <t xml:space="preserve">
Exergieanteil Strom bezogen auf gesamten Exergiegehalt </t>
        </r>
      </text>
    </comment>
    <comment ref="K195" authorId="0" shapeId="0" xr:uid="{23EDBC73-E0F2-48C7-A68D-6144239061B0}">
      <text>
        <r>
          <rPr>
            <b/>
            <sz val="8"/>
            <color indexed="81"/>
            <rFont val="Tahoma"/>
            <family val="2"/>
          </rPr>
          <t>ifeu:</t>
        </r>
        <r>
          <rPr>
            <sz val="8"/>
            <color indexed="81"/>
            <rFont val="Tahoma"/>
            <family val="2"/>
          </rPr>
          <t xml:space="preserve">
Exergieanteil Strom bezogen auf gesamten Exergiegehalt </t>
        </r>
      </text>
    </comment>
    <comment ref="L195" authorId="0" shapeId="0" xr:uid="{5E1612D6-74FE-49FF-8D6A-B2CC7B1A99C1}">
      <text>
        <r>
          <rPr>
            <b/>
            <sz val="8"/>
            <color indexed="81"/>
            <rFont val="Tahoma"/>
            <family val="2"/>
          </rPr>
          <t>ifeu:</t>
        </r>
        <r>
          <rPr>
            <sz val="8"/>
            <color indexed="81"/>
            <rFont val="Tahoma"/>
            <family val="2"/>
          </rPr>
          <t xml:space="preserve">
Exergieanteil Strom bezogen auf gesamten Exergiegehalt </t>
        </r>
      </text>
    </comment>
    <comment ref="M195" authorId="0" shapeId="0" xr:uid="{D69F8497-B60F-4A22-A0FC-357B30F15085}">
      <text>
        <r>
          <rPr>
            <b/>
            <sz val="8"/>
            <color indexed="81"/>
            <rFont val="Tahoma"/>
            <family val="2"/>
          </rPr>
          <t>ifeu:</t>
        </r>
        <r>
          <rPr>
            <sz val="8"/>
            <color indexed="81"/>
            <rFont val="Tahoma"/>
            <family val="2"/>
          </rPr>
          <t xml:space="preserve">
Exergieanteil Strom bezogen auf gesamten Exergiegehalt </t>
        </r>
      </text>
    </comment>
    <comment ref="N195" authorId="0" shapeId="0" xr:uid="{927BBFC8-F13B-4A72-A828-E1524351212E}">
      <text>
        <r>
          <rPr>
            <b/>
            <sz val="8"/>
            <color indexed="81"/>
            <rFont val="Tahoma"/>
            <family val="2"/>
          </rPr>
          <t>ifeu:</t>
        </r>
        <r>
          <rPr>
            <sz val="8"/>
            <color indexed="81"/>
            <rFont val="Tahoma"/>
            <family val="2"/>
          </rPr>
          <t xml:space="preserve">
Exergieanteil Strom bezogen auf gesamten Exergiegehalt </t>
        </r>
      </text>
    </comment>
    <comment ref="O195" authorId="0" shapeId="0" xr:uid="{10E9BD44-D902-4C60-8B9C-F6EEBBC1AF96}">
      <text>
        <r>
          <rPr>
            <b/>
            <sz val="8"/>
            <color indexed="81"/>
            <rFont val="Tahoma"/>
            <family val="2"/>
          </rPr>
          <t>ifeu:</t>
        </r>
        <r>
          <rPr>
            <sz val="8"/>
            <color indexed="81"/>
            <rFont val="Tahoma"/>
            <family val="2"/>
          </rPr>
          <t xml:space="preserve">
Exergieanteil Strom bezogen auf gesamten Exergiegehalt </t>
        </r>
      </text>
    </comment>
    <comment ref="P195" authorId="0" shapeId="0" xr:uid="{B3B47121-929A-474E-91C5-A515F297C807}">
      <text>
        <r>
          <rPr>
            <b/>
            <sz val="8"/>
            <color indexed="81"/>
            <rFont val="Tahoma"/>
            <family val="2"/>
          </rPr>
          <t>ifeu:</t>
        </r>
        <r>
          <rPr>
            <sz val="8"/>
            <color indexed="81"/>
            <rFont val="Tahoma"/>
            <family val="2"/>
          </rPr>
          <t xml:space="preserve">
Exergieanteil Strom bezogen auf gesamten Exergiegehalt </t>
        </r>
      </text>
    </comment>
    <comment ref="Q195" authorId="0" shapeId="0" xr:uid="{279E9E4F-B59A-4AAC-93C6-B048D286486D}">
      <text>
        <r>
          <rPr>
            <b/>
            <sz val="8"/>
            <color indexed="81"/>
            <rFont val="Tahoma"/>
            <family val="2"/>
          </rPr>
          <t>ifeu:</t>
        </r>
        <r>
          <rPr>
            <sz val="8"/>
            <color indexed="81"/>
            <rFont val="Tahoma"/>
            <family val="2"/>
          </rPr>
          <t xml:space="preserve">
Exergieanteil Strom bezogen auf gesamten Exergiegehalt </t>
        </r>
      </text>
    </comment>
    <comment ref="R195" authorId="0" shapeId="0" xr:uid="{4B1AEEE0-71B1-46B3-9398-CF1FA897B062}">
      <text>
        <r>
          <rPr>
            <b/>
            <sz val="8"/>
            <color indexed="81"/>
            <rFont val="Tahoma"/>
            <family val="2"/>
          </rPr>
          <t>ifeu:</t>
        </r>
        <r>
          <rPr>
            <sz val="8"/>
            <color indexed="81"/>
            <rFont val="Tahoma"/>
            <family val="2"/>
          </rPr>
          <t xml:space="preserve">
Exergieanteil Strom bezogen auf gesamten Exergiegehalt </t>
        </r>
      </text>
    </comment>
    <comment ref="S195" authorId="0" shapeId="0" xr:uid="{FC186D55-398E-4461-B0AE-493C32317F99}">
      <text>
        <r>
          <rPr>
            <b/>
            <sz val="8"/>
            <color indexed="81"/>
            <rFont val="Tahoma"/>
            <family val="2"/>
          </rPr>
          <t>ifeu:</t>
        </r>
        <r>
          <rPr>
            <sz val="8"/>
            <color indexed="81"/>
            <rFont val="Tahoma"/>
            <family val="2"/>
          </rPr>
          <t xml:space="preserve">
Exergieanteil Strom bezogen auf gesamten Exergiegehalt </t>
        </r>
      </text>
    </comment>
    <comment ref="T195" authorId="0" shapeId="0" xr:uid="{CDBA9A65-17B0-48C2-855A-9CF22D98A2FD}">
      <text>
        <r>
          <rPr>
            <b/>
            <sz val="8"/>
            <color indexed="81"/>
            <rFont val="Tahoma"/>
            <family val="2"/>
          </rPr>
          <t>ifeu:</t>
        </r>
        <r>
          <rPr>
            <sz val="8"/>
            <color indexed="81"/>
            <rFont val="Tahoma"/>
            <family val="2"/>
          </rPr>
          <t xml:space="preserve">
Exergieanteil Strom bezogen auf gesamten Exergiegehalt </t>
        </r>
      </text>
    </comment>
    <comment ref="U195" authorId="0" shapeId="0" xr:uid="{19F517EE-6EAA-4630-8E4E-9C0388F6A4B2}">
      <text>
        <r>
          <rPr>
            <b/>
            <sz val="8"/>
            <color indexed="81"/>
            <rFont val="Tahoma"/>
            <family val="2"/>
          </rPr>
          <t>ifeu:</t>
        </r>
        <r>
          <rPr>
            <sz val="8"/>
            <color indexed="81"/>
            <rFont val="Tahoma"/>
            <family val="2"/>
          </rPr>
          <t xml:space="preserve">
Exergieanteil Strom bezogen auf gesamten Exergiegehalt </t>
        </r>
      </text>
    </comment>
    <comment ref="V195" authorId="0" shapeId="0" xr:uid="{8CE5ECF6-48E9-4C4B-A3B0-8E4D85A09162}">
      <text>
        <r>
          <rPr>
            <b/>
            <sz val="8"/>
            <color indexed="81"/>
            <rFont val="Tahoma"/>
            <family val="2"/>
          </rPr>
          <t>ifeu:</t>
        </r>
        <r>
          <rPr>
            <sz val="8"/>
            <color indexed="81"/>
            <rFont val="Tahoma"/>
            <family val="2"/>
          </rPr>
          <t xml:space="preserve">
Exergieanteil Strom bezogen auf gesamten Exergiegehalt </t>
        </r>
      </text>
    </comment>
    <comment ref="W195" authorId="0" shapeId="0" xr:uid="{521E5D96-61CF-49E3-8922-2411DC0ED2AF}">
      <text>
        <r>
          <rPr>
            <b/>
            <sz val="8"/>
            <color indexed="81"/>
            <rFont val="Tahoma"/>
            <family val="2"/>
          </rPr>
          <t>ifeu:</t>
        </r>
        <r>
          <rPr>
            <sz val="8"/>
            <color indexed="81"/>
            <rFont val="Tahoma"/>
            <family val="2"/>
          </rPr>
          <t xml:space="preserve">
Exergieanteil Strom bezogen auf gesamten Exergiegehalt </t>
        </r>
      </text>
    </comment>
    <comment ref="D199" authorId="0" shapeId="0" xr:uid="{74DA1C40-D46F-4E8B-8312-4545D08BF453}">
      <text>
        <r>
          <rPr>
            <b/>
            <sz val="8"/>
            <color indexed="81"/>
            <rFont val="Tahoma"/>
            <family val="2"/>
          </rPr>
          <t>ifeu:</t>
        </r>
        <r>
          <rPr>
            <sz val="8"/>
            <color indexed="81"/>
            <rFont val="Tahoma"/>
            <family val="2"/>
          </rPr>
          <t xml:space="preserve">
Gesamtemissionen mal Exergieanteil</t>
        </r>
      </text>
    </comment>
    <comment ref="E199" authorId="0" shapeId="0" xr:uid="{F2B9BF56-D455-4C95-82F4-FFF60826D871}">
      <text>
        <r>
          <rPr>
            <b/>
            <sz val="8"/>
            <color indexed="81"/>
            <rFont val="Tahoma"/>
            <family val="2"/>
          </rPr>
          <t>ifeu:</t>
        </r>
        <r>
          <rPr>
            <sz val="8"/>
            <color indexed="81"/>
            <rFont val="Tahoma"/>
            <family val="2"/>
          </rPr>
          <t xml:space="preserve">
Gesamtemissionen mal Exergieanteil</t>
        </r>
      </text>
    </comment>
    <comment ref="F199" authorId="0" shapeId="0" xr:uid="{AFD61E17-641C-4EFF-AB9A-5F7D3E99CD07}">
      <text>
        <r>
          <rPr>
            <b/>
            <sz val="8"/>
            <color indexed="81"/>
            <rFont val="Tahoma"/>
            <family val="2"/>
          </rPr>
          <t>ifeu:</t>
        </r>
        <r>
          <rPr>
            <sz val="8"/>
            <color indexed="81"/>
            <rFont val="Tahoma"/>
            <family val="2"/>
          </rPr>
          <t xml:space="preserve">
Gesamtemissionen mal Exergieanteil</t>
        </r>
      </text>
    </comment>
    <comment ref="G199" authorId="0" shapeId="0" xr:uid="{4762579F-EBBA-4AD0-A781-4ED8D20D1E7D}">
      <text>
        <r>
          <rPr>
            <b/>
            <sz val="8"/>
            <color indexed="81"/>
            <rFont val="Tahoma"/>
            <family val="2"/>
          </rPr>
          <t>ifeu:</t>
        </r>
        <r>
          <rPr>
            <sz val="8"/>
            <color indexed="81"/>
            <rFont val="Tahoma"/>
            <family val="2"/>
          </rPr>
          <t xml:space="preserve">
Gesamtemissionen mal Exergieanteil</t>
        </r>
      </text>
    </comment>
    <comment ref="H199" authorId="0" shapeId="0" xr:uid="{E91C75A6-C999-4DAA-B114-C7933E928B4A}">
      <text>
        <r>
          <rPr>
            <b/>
            <sz val="8"/>
            <color indexed="81"/>
            <rFont val="Tahoma"/>
            <family val="2"/>
          </rPr>
          <t>ifeu:</t>
        </r>
        <r>
          <rPr>
            <sz val="8"/>
            <color indexed="81"/>
            <rFont val="Tahoma"/>
            <family val="2"/>
          </rPr>
          <t xml:space="preserve">
Gesamtemissionen mal Exergieanteil</t>
        </r>
      </text>
    </comment>
    <comment ref="I199" authorId="0" shapeId="0" xr:uid="{5AF15AC7-EFAB-4E15-A0B5-4EBD2ECE3432}">
      <text>
        <r>
          <rPr>
            <b/>
            <sz val="8"/>
            <color indexed="81"/>
            <rFont val="Tahoma"/>
            <family val="2"/>
          </rPr>
          <t>ifeu:</t>
        </r>
        <r>
          <rPr>
            <sz val="8"/>
            <color indexed="81"/>
            <rFont val="Tahoma"/>
            <family val="2"/>
          </rPr>
          <t xml:space="preserve">
Gesamtemissionen mal Exergieanteil</t>
        </r>
      </text>
    </comment>
    <comment ref="J199" authorId="0" shapeId="0" xr:uid="{A47B442F-2B2A-4E77-87B3-5C6D192395F1}">
      <text>
        <r>
          <rPr>
            <b/>
            <sz val="8"/>
            <color indexed="81"/>
            <rFont val="Tahoma"/>
            <family val="2"/>
          </rPr>
          <t>ifeu:</t>
        </r>
        <r>
          <rPr>
            <sz val="8"/>
            <color indexed="81"/>
            <rFont val="Tahoma"/>
            <family val="2"/>
          </rPr>
          <t xml:space="preserve">
Gesamtemissionen mal Exergieanteil</t>
        </r>
      </text>
    </comment>
    <comment ref="K199" authorId="0" shapeId="0" xr:uid="{FB83E81A-4C10-4133-A945-E45784BE6228}">
      <text>
        <r>
          <rPr>
            <b/>
            <sz val="8"/>
            <color indexed="81"/>
            <rFont val="Tahoma"/>
            <family val="2"/>
          </rPr>
          <t>ifeu:</t>
        </r>
        <r>
          <rPr>
            <sz val="8"/>
            <color indexed="81"/>
            <rFont val="Tahoma"/>
            <family val="2"/>
          </rPr>
          <t xml:space="preserve">
Gesamtemissionen mal Exergieanteil</t>
        </r>
      </text>
    </comment>
    <comment ref="L199" authorId="0" shapeId="0" xr:uid="{DE51951F-A096-4C99-8F5C-C65B6B806F5F}">
      <text>
        <r>
          <rPr>
            <b/>
            <sz val="8"/>
            <color indexed="81"/>
            <rFont val="Tahoma"/>
            <family val="2"/>
          </rPr>
          <t>ifeu:</t>
        </r>
        <r>
          <rPr>
            <sz val="8"/>
            <color indexed="81"/>
            <rFont val="Tahoma"/>
            <family val="2"/>
          </rPr>
          <t xml:space="preserve">
Gesamtemissionen mal Exergieanteil</t>
        </r>
      </text>
    </comment>
    <comment ref="M199" authorId="0" shapeId="0" xr:uid="{5A6ADFDE-5582-4A69-8AFB-E5D7714E9088}">
      <text>
        <r>
          <rPr>
            <b/>
            <sz val="8"/>
            <color indexed="81"/>
            <rFont val="Tahoma"/>
            <family val="2"/>
          </rPr>
          <t>ifeu:</t>
        </r>
        <r>
          <rPr>
            <sz val="8"/>
            <color indexed="81"/>
            <rFont val="Tahoma"/>
            <family val="2"/>
          </rPr>
          <t xml:space="preserve">
Gesamtemissionen mal Exergieanteil</t>
        </r>
      </text>
    </comment>
    <comment ref="N199" authorId="0" shapeId="0" xr:uid="{49DFBA9B-91AC-4877-8041-2157D38AF28A}">
      <text>
        <r>
          <rPr>
            <b/>
            <sz val="8"/>
            <color indexed="81"/>
            <rFont val="Tahoma"/>
            <family val="2"/>
          </rPr>
          <t>ifeu:</t>
        </r>
        <r>
          <rPr>
            <sz val="8"/>
            <color indexed="81"/>
            <rFont val="Tahoma"/>
            <family val="2"/>
          </rPr>
          <t xml:space="preserve">
Gesamtemissionen mal Exergieanteil</t>
        </r>
      </text>
    </comment>
    <comment ref="O199" authorId="0" shapeId="0" xr:uid="{045F0D1F-7EDB-4D83-BF7A-F5BD10C73B2B}">
      <text>
        <r>
          <rPr>
            <b/>
            <sz val="8"/>
            <color indexed="81"/>
            <rFont val="Tahoma"/>
            <family val="2"/>
          </rPr>
          <t>ifeu:</t>
        </r>
        <r>
          <rPr>
            <sz val="8"/>
            <color indexed="81"/>
            <rFont val="Tahoma"/>
            <family val="2"/>
          </rPr>
          <t xml:space="preserve">
Gesamtemissionen mal Exergieanteil</t>
        </r>
      </text>
    </comment>
    <comment ref="P199" authorId="0" shapeId="0" xr:uid="{2B1638C2-5801-4A63-A7FC-FF301A35927E}">
      <text>
        <r>
          <rPr>
            <b/>
            <sz val="8"/>
            <color indexed="81"/>
            <rFont val="Tahoma"/>
            <family val="2"/>
          </rPr>
          <t>ifeu:</t>
        </r>
        <r>
          <rPr>
            <sz val="8"/>
            <color indexed="81"/>
            <rFont val="Tahoma"/>
            <family val="2"/>
          </rPr>
          <t xml:space="preserve">
Gesamtemissionen mal Exergieanteil</t>
        </r>
      </text>
    </comment>
    <comment ref="Q199" authorId="0" shapeId="0" xr:uid="{E9030916-B90D-4B7B-B7CA-1D251AC885A2}">
      <text>
        <r>
          <rPr>
            <b/>
            <sz val="8"/>
            <color indexed="81"/>
            <rFont val="Tahoma"/>
            <family val="2"/>
          </rPr>
          <t>ifeu:</t>
        </r>
        <r>
          <rPr>
            <sz val="8"/>
            <color indexed="81"/>
            <rFont val="Tahoma"/>
            <family val="2"/>
          </rPr>
          <t xml:space="preserve">
Gesamtemissionen mal Exergieanteil</t>
        </r>
      </text>
    </comment>
    <comment ref="R199" authorId="0" shapeId="0" xr:uid="{79864653-0850-4D66-88DD-6D0DCC3B5C78}">
      <text>
        <r>
          <rPr>
            <b/>
            <sz val="8"/>
            <color indexed="81"/>
            <rFont val="Tahoma"/>
            <family val="2"/>
          </rPr>
          <t>ifeu:</t>
        </r>
        <r>
          <rPr>
            <sz val="8"/>
            <color indexed="81"/>
            <rFont val="Tahoma"/>
            <family val="2"/>
          </rPr>
          <t xml:space="preserve">
Gesamtemissionen mal Exergieanteil</t>
        </r>
      </text>
    </comment>
    <comment ref="S199" authorId="0" shapeId="0" xr:uid="{2F6D4E46-CC4E-4902-A13C-64CA45119972}">
      <text>
        <r>
          <rPr>
            <b/>
            <sz val="8"/>
            <color indexed="81"/>
            <rFont val="Tahoma"/>
            <family val="2"/>
          </rPr>
          <t>ifeu:</t>
        </r>
        <r>
          <rPr>
            <sz val="8"/>
            <color indexed="81"/>
            <rFont val="Tahoma"/>
            <family val="2"/>
          </rPr>
          <t xml:space="preserve">
Gesamtemissionen mal Exergieanteil</t>
        </r>
      </text>
    </comment>
    <comment ref="T199" authorId="0" shapeId="0" xr:uid="{363B8B82-F96B-468D-92D3-58ED0E6AFE4A}">
      <text>
        <r>
          <rPr>
            <b/>
            <sz val="8"/>
            <color indexed="81"/>
            <rFont val="Tahoma"/>
            <family val="2"/>
          </rPr>
          <t>ifeu:</t>
        </r>
        <r>
          <rPr>
            <sz val="8"/>
            <color indexed="81"/>
            <rFont val="Tahoma"/>
            <family val="2"/>
          </rPr>
          <t xml:space="preserve">
Gesamtemissionen mal Exergieanteil</t>
        </r>
      </text>
    </comment>
    <comment ref="U199" authorId="0" shapeId="0" xr:uid="{23EA45A6-1466-45DE-8F98-47492F9AD108}">
      <text>
        <r>
          <rPr>
            <b/>
            <sz val="8"/>
            <color indexed="81"/>
            <rFont val="Tahoma"/>
            <family val="2"/>
          </rPr>
          <t>ifeu:</t>
        </r>
        <r>
          <rPr>
            <sz val="8"/>
            <color indexed="81"/>
            <rFont val="Tahoma"/>
            <family val="2"/>
          </rPr>
          <t xml:space="preserve">
Gesamtemissionen mal Exergieanteil</t>
        </r>
      </text>
    </comment>
    <comment ref="V199" authorId="0" shapeId="0" xr:uid="{F4EDABAF-2AA2-455B-A244-17ADBC4F7927}">
      <text>
        <r>
          <rPr>
            <b/>
            <sz val="8"/>
            <color indexed="81"/>
            <rFont val="Tahoma"/>
            <family val="2"/>
          </rPr>
          <t>ifeu:</t>
        </r>
        <r>
          <rPr>
            <sz val="8"/>
            <color indexed="81"/>
            <rFont val="Tahoma"/>
            <family val="2"/>
          </rPr>
          <t xml:space="preserve">
Gesamtemissionen mal Exergieanteil</t>
        </r>
      </text>
    </comment>
    <comment ref="W199" authorId="0" shapeId="0" xr:uid="{3922F743-E46C-4F94-8F3E-9346C55A068C}">
      <text>
        <r>
          <rPr>
            <b/>
            <sz val="8"/>
            <color indexed="81"/>
            <rFont val="Tahoma"/>
            <family val="2"/>
          </rPr>
          <t>ifeu:</t>
        </r>
        <r>
          <rPr>
            <sz val="8"/>
            <color indexed="81"/>
            <rFont val="Tahoma"/>
            <family val="2"/>
          </rPr>
          <t xml:space="preserve">
Gesamtemissionen mal Exergieanteil</t>
        </r>
      </text>
    </comment>
    <comment ref="D200" authorId="0" shapeId="0" xr:uid="{8820EB6A-5824-40AA-9F15-0AB967BFB40A}">
      <text>
        <r>
          <rPr>
            <b/>
            <sz val="8"/>
            <color indexed="81"/>
            <rFont val="Tahoma"/>
            <family val="2"/>
          </rPr>
          <t>ifeu:</t>
        </r>
        <r>
          <rPr>
            <sz val="8"/>
            <color indexed="81"/>
            <rFont val="Tahoma"/>
            <family val="2"/>
          </rPr>
          <t xml:space="preserve">
Gesamtemissionen mal Exergieanteil</t>
        </r>
      </text>
    </comment>
    <comment ref="E200" authorId="0" shapeId="0" xr:uid="{57672158-039B-4283-84A2-65D4FA979BD2}">
      <text>
        <r>
          <rPr>
            <b/>
            <sz val="8"/>
            <color indexed="81"/>
            <rFont val="Tahoma"/>
            <family val="2"/>
          </rPr>
          <t>ifeu:</t>
        </r>
        <r>
          <rPr>
            <sz val="8"/>
            <color indexed="81"/>
            <rFont val="Tahoma"/>
            <family val="2"/>
          </rPr>
          <t xml:space="preserve">
Gesamtemissionen mal Exergieanteil</t>
        </r>
      </text>
    </comment>
    <comment ref="F200" authorId="0" shapeId="0" xr:uid="{AF7F1CF5-23EC-4A44-B1D2-C13CFA28ACDE}">
      <text>
        <r>
          <rPr>
            <b/>
            <sz val="8"/>
            <color indexed="81"/>
            <rFont val="Tahoma"/>
            <family val="2"/>
          </rPr>
          <t>ifeu:</t>
        </r>
        <r>
          <rPr>
            <sz val="8"/>
            <color indexed="81"/>
            <rFont val="Tahoma"/>
            <family val="2"/>
          </rPr>
          <t xml:space="preserve">
Gesamtemissionen mal Exergieanteil</t>
        </r>
      </text>
    </comment>
    <comment ref="G200" authorId="0" shapeId="0" xr:uid="{89EEB0D4-C626-4ED7-8552-B1CD284AAC34}">
      <text>
        <r>
          <rPr>
            <b/>
            <sz val="8"/>
            <color indexed="81"/>
            <rFont val="Tahoma"/>
            <family val="2"/>
          </rPr>
          <t>ifeu:</t>
        </r>
        <r>
          <rPr>
            <sz val="8"/>
            <color indexed="81"/>
            <rFont val="Tahoma"/>
            <family val="2"/>
          </rPr>
          <t xml:space="preserve">
Gesamtemissionen mal Exergieanteil</t>
        </r>
      </text>
    </comment>
    <comment ref="H200" authorId="0" shapeId="0" xr:uid="{9A03AD1F-3B17-4129-912F-A40EF80B4887}">
      <text>
        <r>
          <rPr>
            <b/>
            <sz val="8"/>
            <color indexed="81"/>
            <rFont val="Tahoma"/>
            <family val="2"/>
          </rPr>
          <t>ifeu:</t>
        </r>
        <r>
          <rPr>
            <sz val="8"/>
            <color indexed="81"/>
            <rFont val="Tahoma"/>
            <family val="2"/>
          </rPr>
          <t xml:space="preserve">
Gesamtemissionen mal Exergieanteil</t>
        </r>
      </text>
    </comment>
    <comment ref="I200" authorId="0" shapeId="0" xr:uid="{7FD8BB7D-1E4C-4B73-B06B-DB1A3B2DB77A}">
      <text>
        <r>
          <rPr>
            <b/>
            <sz val="8"/>
            <color indexed="81"/>
            <rFont val="Tahoma"/>
            <family val="2"/>
          </rPr>
          <t>ifeu:</t>
        </r>
        <r>
          <rPr>
            <sz val="8"/>
            <color indexed="81"/>
            <rFont val="Tahoma"/>
            <family val="2"/>
          </rPr>
          <t xml:space="preserve">
Gesamtemissionen mal Exergieanteil</t>
        </r>
      </text>
    </comment>
    <comment ref="J200" authorId="0" shapeId="0" xr:uid="{1DCC40CC-9CA7-4E0E-BD6F-1B5E3095E7B2}">
      <text>
        <r>
          <rPr>
            <b/>
            <sz val="8"/>
            <color indexed="81"/>
            <rFont val="Tahoma"/>
            <family val="2"/>
          </rPr>
          <t>ifeu:</t>
        </r>
        <r>
          <rPr>
            <sz val="8"/>
            <color indexed="81"/>
            <rFont val="Tahoma"/>
            <family val="2"/>
          </rPr>
          <t xml:space="preserve">
Gesamtemissionen mal Exergieanteil</t>
        </r>
      </text>
    </comment>
    <comment ref="K200" authorId="0" shapeId="0" xr:uid="{CF090F7F-0B51-4472-8BC0-3585B9F1B7C8}">
      <text>
        <r>
          <rPr>
            <b/>
            <sz val="8"/>
            <color indexed="81"/>
            <rFont val="Tahoma"/>
            <family val="2"/>
          </rPr>
          <t>ifeu:</t>
        </r>
        <r>
          <rPr>
            <sz val="8"/>
            <color indexed="81"/>
            <rFont val="Tahoma"/>
            <family val="2"/>
          </rPr>
          <t xml:space="preserve">
Gesamtemissionen mal Exergieanteil</t>
        </r>
      </text>
    </comment>
    <comment ref="L200" authorId="0" shapeId="0" xr:uid="{BE5F1AFB-4A81-4C87-B099-42A9DC5329AF}">
      <text>
        <r>
          <rPr>
            <b/>
            <sz val="8"/>
            <color indexed="81"/>
            <rFont val="Tahoma"/>
            <family val="2"/>
          </rPr>
          <t>ifeu:</t>
        </r>
        <r>
          <rPr>
            <sz val="8"/>
            <color indexed="81"/>
            <rFont val="Tahoma"/>
            <family val="2"/>
          </rPr>
          <t xml:space="preserve">
Gesamtemissionen mal Exergieanteil</t>
        </r>
      </text>
    </comment>
    <comment ref="M200" authorId="0" shapeId="0" xr:uid="{A14EB85F-CC3A-4A30-A16B-6B68DAD3DD6F}">
      <text>
        <r>
          <rPr>
            <b/>
            <sz val="8"/>
            <color indexed="81"/>
            <rFont val="Tahoma"/>
            <family val="2"/>
          </rPr>
          <t>ifeu:</t>
        </r>
        <r>
          <rPr>
            <sz val="8"/>
            <color indexed="81"/>
            <rFont val="Tahoma"/>
            <family val="2"/>
          </rPr>
          <t xml:space="preserve">
Gesamtemissionen mal Exergieanteil</t>
        </r>
      </text>
    </comment>
    <comment ref="N200" authorId="0" shapeId="0" xr:uid="{D946010C-4CA9-4672-A76B-383F47DE7679}">
      <text>
        <r>
          <rPr>
            <b/>
            <sz val="8"/>
            <color indexed="81"/>
            <rFont val="Tahoma"/>
            <family val="2"/>
          </rPr>
          <t>ifeu:</t>
        </r>
        <r>
          <rPr>
            <sz val="8"/>
            <color indexed="81"/>
            <rFont val="Tahoma"/>
            <family val="2"/>
          </rPr>
          <t xml:space="preserve">
Gesamtemissionen mal Exergieanteil</t>
        </r>
      </text>
    </comment>
    <comment ref="O200" authorId="0" shapeId="0" xr:uid="{27C8004F-F199-4C44-A9EB-58D01353220B}">
      <text>
        <r>
          <rPr>
            <b/>
            <sz val="8"/>
            <color indexed="81"/>
            <rFont val="Tahoma"/>
            <family val="2"/>
          </rPr>
          <t>ifeu:</t>
        </r>
        <r>
          <rPr>
            <sz val="8"/>
            <color indexed="81"/>
            <rFont val="Tahoma"/>
            <family val="2"/>
          </rPr>
          <t xml:space="preserve">
Gesamtemissionen mal Exergieanteil</t>
        </r>
      </text>
    </comment>
    <comment ref="P200" authorId="0" shapeId="0" xr:uid="{418C3AAB-4E4B-4D6E-9A15-38EA64AEDBD0}">
      <text>
        <r>
          <rPr>
            <b/>
            <sz val="8"/>
            <color indexed="81"/>
            <rFont val="Tahoma"/>
            <family val="2"/>
          </rPr>
          <t>ifeu:</t>
        </r>
        <r>
          <rPr>
            <sz val="8"/>
            <color indexed="81"/>
            <rFont val="Tahoma"/>
            <family val="2"/>
          </rPr>
          <t xml:space="preserve">
Gesamtemissionen mal Exergieanteil</t>
        </r>
      </text>
    </comment>
    <comment ref="Q200" authorId="0" shapeId="0" xr:uid="{475E53D9-5E09-4789-B804-473AB06E62B7}">
      <text>
        <r>
          <rPr>
            <b/>
            <sz val="8"/>
            <color indexed="81"/>
            <rFont val="Tahoma"/>
            <family val="2"/>
          </rPr>
          <t>ifeu:</t>
        </r>
        <r>
          <rPr>
            <sz val="8"/>
            <color indexed="81"/>
            <rFont val="Tahoma"/>
            <family val="2"/>
          </rPr>
          <t xml:space="preserve">
Gesamtemissionen mal Exergieanteil</t>
        </r>
      </text>
    </comment>
    <comment ref="R200" authorId="0" shapeId="0" xr:uid="{9B014A12-FBC5-4752-A6CB-362FF316734B}">
      <text>
        <r>
          <rPr>
            <b/>
            <sz val="8"/>
            <color indexed="81"/>
            <rFont val="Tahoma"/>
            <family val="2"/>
          </rPr>
          <t>ifeu:</t>
        </r>
        <r>
          <rPr>
            <sz val="8"/>
            <color indexed="81"/>
            <rFont val="Tahoma"/>
            <family val="2"/>
          </rPr>
          <t xml:space="preserve">
Gesamtemissionen mal Exergieanteil</t>
        </r>
      </text>
    </comment>
    <comment ref="S200" authorId="0" shapeId="0" xr:uid="{C34DD3F4-5F55-42E2-B89B-96B44E4F46EC}">
      <text>
        <r>
          <rPr>
            <b/>
            <sz val="8"/>
            <color indexed="81"/>
            <rFont val="Tahoma"/>
            <family val="2"/>
          </rPr>
          <t>ifeu:</t>
        </r>
        <r>
          <rPr>
            <sz val="8"/>
            <color indexed="81"/>
            <rFont val="Tahoma"/>
            <family val="2"/>
          </rPr>
          <t xml:space="preserve">
Gesamtemissionen mal Exergieanteil</t>
        </r>
      </text>
    </comment>
    <comment ref="T200" authorId="0" shapeId="0" xr:uid="{ED5C8E0A-7155-4711-9DCF-D92445F007E3}">
      <text>
        <r>
          <rPr>
            <b/>
            <sz val="8"/>
            <color indexed="81"/>
            <rFont val="Tahoma"/>
            <family val="2"/>
          </rPr>
          <t>ifeu:</t>
        </r>
        <r>
          <rPr>
            <sz val="8"/>
            <color indexed="81"/>
            <rFont val="Tahoma"/>
            <family val="2"/>
          </rPr>
          <t xml:space="preserve">
Gesamtemissionen mal Exergieanteil</t>
        </r>
      </text>
    </comment>
    <comment ref="U200" authorId="0" shapeId="0" xr:uid="{1ECEECD5-3832-436A-8321-CD37F9AE4654}">
      <text>
        <r>
          <rPr>
            <b/>
            <sz val="8"/>
            <color indexed="81"/>
            <rFont val="Tahoma"/>
            <family val="2"/>
          </rPr>
          <t>ifeu:</t>
        </r>
        <r>
          <rPr>
            <sz val="8"/>
            <color indexed="81"/>
            <rFont val="Tahoma"/>
            <family val="2"/>
          </rPr>
          <t xml:space="preserve">
Gesamtemissionen mal Exergieanteil</t>
        </r>
      </text>
    </comment>
    <comment ref="V200" authorId="0" shapeId="0" xr:uid="{F59DC5FD-8D6A-4CF9-93FE-FD6F57821AC2}">
      <text>
        <r>
          <rPr>
            <b/>
            <sz val="8"/>
            <color indexed="81"/>
            <rFont val="Tahoma"/>
            <family val="2"/>
          </rPr>
          <t>ifeu:</t>
        </r>
        <r>
          <rPr>
            <sz val="8"/>
            <color indexed="81"/>
            <rFont val="Tahoma"/>
            <family val="2"/>
          </rPr>
          <t xml:space="preserve">
Gesamtemissionen mal Exergieanteil</t>
        </r>
      </text>
    </comment>
    <comment ref="W200" authorId="0" shapeId="0" xr:uid="{AAE29916-A3AF-4853-9FCA-B1CB5F1CD2B0}">
      <text>
        <r>
          <rPr>
            <b/>
            <sz val="8"/>
            <color indexed="81"/>
            <rFont val="Tahoma"/>
            <family val="2"/>
          </rPr>
          <t>ifeu:</t>
        </r>
        <r>
          <rPr>
            <sz val="8"/>
            <color indexed="81"/>
            <rFont val="Tahoma"/>
            <family val="2"/>
          </rPr>
          <t xml:space="preserve">
Gesamtemissionen mal Exergieanteil</t>
        </r>
      </text>
    </comment>
  </commentList>
</comments>
</file>

<file path=xl/sharedStrings.xml><?xml version="1.0" encoding="utf-8"?>
<sst xmlns="http://schemas.openxmlformats.org/spreadsheetml/2006/main" count="3597" uniqueCount="599">
  <si>
    <t>Navigation</t>
  </si>
  <si>
    <t>Name der Institution:</t>
  </si>
  <si>
    <t>Einheit</t>
  </si>
  <si>
    <t>2015</t>
  </si>
  <si>
    <t>2016</t>
  </si>
  <si>
    <t>2017</t>
  </si>
  <si>
    <t>2018</t>
  </si>
  <si>
    <t>2019</t>
  </si>
  <si>
    <t>2020</t>
  </si>
  <si>
    <t>2021</t>
  </si>
  <si>
    <t>2022</t>
  </si>
  <si>
    <t>2023</t>
  </si>
  <si>
    <t>2024</t>
  </si>
  <si>
    <t>2025</t>
  </si>
  <si>
    <t>2026</t>
  </si>
  <si>
    <t>2030</t>
  </si>
  <si>
    <t>2035</t>
  </si>
  <si>
    <t>2040</t>
  </si>
  <si>
    <t>2045</t>
  </si>
  <si>
    <t>2050</t>
  </si>
  <si>
    <t>l</t>
  </si>
  <si>
    <t>Recyclingpapier</t>
  </si>
  <si>
    <t>Anzahl A3 Blatt</t>
  </si>
  <si>
    <t>Frischfaserpapier</t>
  </si>
  <si>
    <t>Anzahl A4 Blatt</t>
  </si>
  <si>
    <t>Zentrale Drucker MD (Firma Schön), Zentrale Drucker SDL (Firma Delta): Nur Mitarbeitendenabrechnungen ohne Studis, ISFORT Bestellungen; ohne StuRa bis 2020</t>
  </si>
  <si>
    <t>Anzahl A5 Blatt</t>
  </si>
  <si>
    <t>Legende</t>
  </si>
  <si>
    <t>Handlungsfeld</t>
  </si>
  <si>
    <r>
      <t>kg CO</t>
    </r>
    <r>
      <rPr>
        <vertAlign val="subscript"/>
        <sz val="11"/>
        <color theme="1"/>
        <rFont val="Calibri"/>
        <family val="2"/>
        <scheme val="minor"/>
      </rPr>
      <t>2</t>
    </r>
    <r>
      <rPr>
        <sz val="11"/>
        <color theme="1"/>
        <rFont val="Calibri"/>
        <family val="2"/>
        <scheme val="minor"/>
      </rPr>
      <t>-Äq./MWh</t>
    </r>
  </si>
  <si>
    <t xml:space="preserve">GEMIS V. 5.1 </t>
  </si>
  <si>
    <t>Elektrischer Strom (Ökostrom)</t>
  </si>
  <si>
    <t>GEMIS V. 5.1</t>
  </si>
  <si>
    <t>Elektrischer Strom (PV-Eigennutzung)</t>
  </si>
  <si>
    <t>Wärme (Erdgas)</t>
  </si>
  <si>
    <t>Wärme (Holzhackschnitzel)</t>
  </si>
  <si>
    <t>Abwasser</t>
  </si>
  <si>
    <t xml:space="preserve"> </t>
  </si>
  <si>
    <t>Trinkwasser</t>
  </si>
  <si>
    <t>Emissionsfaktoren</t>
  </si>
  <si>
    <t>Quelle</t>
  </si>
  <si>
    <t>Bemerkung</t>
  </si>
  <si>
    <t>ID</t>
  </si>
  <si>
    <t>Ergebnis</t>
  </si>
  <si>
    <t>Bei Bedarf</t>
  </si>
  <si>
    <t>km</t>
  </si>
  <si>
    <t>MWh</t>
  </si>
  <si>
    <t>Pkm</t>
  </si>
  <si>
    <t>kg</t>
  </si>
  <si>
    <t>Bemerkungen</t>
  </si>
  <si>
    <t xml:space="preserve">Emissionsfaktoren </t>
  </si>
  <si>
    <t>Wärme (individueller Emissionsfaktor)</t>
  </si>
  <si>
    <t>Kältemittel (R22)</t>
  </si>
  <si>
    <t>Kältemittel (R134A)</t>
  </si>
  <si>
    <t>Kältemittel (R404A)</t>
  </si>
  <si>
    <t>Kältemittel (R410A)</t>
  </si>
  <si>
    <t>Altholz</t>
  </si>
  <si>
    <t>Altglas</t>
  </si>
  <si>
    <t>Restmüll</t>
  </si>
  <si>
    <t>Sperrmüll</t>
  </si>
  <si>
    <t>Bioabfall (Verbrennung)</t>
  </si>
  <si>
    <t>Bioabfall, Grünschnitt (Kompostierung)</t>
  </si>
  <si>
    <t>DEFRA 2015, 2016, 2017, 2018, 2019, 2020, 2021, 2022: Waste disposal, https://www.gov.uk/government/collections/government-conversion-factors-for-company-reporting</t>
  </si>
  <si>
    <t>Beamer</t>
  </si>
  <si>
    <t>Docking-Station</t>
  </si>
  <si>
    <t>Toner</t>
  </si>
  <si>
    <t>Notebook/Laptop</t>
  </si>
  <si>
    <t>Toilettenpapier (Recycling)</t>
  </si>
  <si>
    <t>Papierhandtücher (Recycling)</t>
  </si>
  <si>
    <t>Wärme (Heizöl)</t>
  </si>
  <si>
    <t>Pendeln</t>
  </si>
  <si>
    <t>DR</t>
  </si>
  <si>
    <t>Kompensation</t>
  </si>
  <si>
    <t>Kies</t>
  </si>
  <si>
    <t>Sand</t>
  </si>
  <si>
    <t>Beton</t>
  </si>
  <si>
    <t>Branntkalk</t>
  </si>
  <si>
    <t>Gips</t>
  </si>
  <si>
    <t>Steinwolle</t>
  </si>
  <si>
    <t>Zement (Portland)</t>
  </si>
  <si>
    <t>Stahl-mix</t>
  </si>
  <si>
    <t>Stahl-Elektro</t>
  </si>
  <si>
    <t>Kalksandstein</t>
  </si>
  <si>
    <t>Mineralwolle</t>
  </si>
  <si>
    <t>Glaswolle</t>
  </si>
  <si>
    <t>Gipsplatte</t>
  </si>
  <si>
    <t>"Steinde-Erden\CaO-fein-DE-Jahr" (2015, 2020, 2030, 2050)</t>
  </si>
  <si>
    <t>"Steine-Erden\Gipsplatte-DE-Jahr" (2010)</t>
  </si>
  <si>
    <t>Glas (flach)</t>
  </si>
  <si>
    <t>"Steine-Erden\Gips-DE-Jahr" (2010)</t>
  </si>
  <si>
    <t>"Steine-Erden\Glas-flach-DE-Jahr" (2015, 2020, 2030, 2050)</t>
  </si>
  <si>
    <t>Gussasphalt</t>
  </si>
  <si>
    <t>"Steine-Erden\Gussasphalt-DE-Jahr" (2010)</t>
  </si>
  <si>
    <t>"Steine-Erden\Porenbetonstein-DE-Jahr" (2000)</t>
  </si>
  <si>
    <t>"Steine-Erden\Steinwolle-DE-Jahr" (2015, 2020, 2030, 2050)</t>
  </si>
  <si>
    <t>Porenbetonstein</t>
  </si>
  <si>
    <t>Tonziegel (fürs Dach)</t>
  </si>
  <si>
    <t>"Steine-Erden\Zement-DE-Jahr" (2015, 2020, 2030, 2050)</t>
  </si>
  <si>
    <t>"Steine-Erden\Tonziegel-DE-Jahr" (2000)</t>
  </si>
  <si>
    <t>"Steine-Erden\Kalksandstein-DE-Jahr" (2000)</t>
  </si>
  <si>
    <t>"Xtra-Abbau\Kies-DE-Jahr" (2015, 2020, 2030, 2050)</t>
  </si>
  <si>
    <t>"Xtra-Abbau\Sand-DE-Jahr" (2015, 2020, 2030, 2050)</t>
  </si>
  <si>
    <t>Kupferdraht</t>
  </si>
  <si>
    <t>Kupferrohr</t>
  </si>
  <si>
    <t>"Metall\Kupfer-Draht-EU-Jahr" (2005)</t>
  </si>
  <si>
    <t>"Metall\Kupfer-Rohr-EU-Jahr" (2005)</t>
  </si>
  <si>
    <t>Stahl-Blech</t>
  </si>
  <si>
    <t>Stahl-Blech verzinkt</t>
  </si>
  <si>
    <t>"Metall\Stahl-Blech-EU-Jahr" (2010, 2020, 2030)</t>
  </si>
  <si>
    <t>"Metall\Stahl-Blech-verzinkt-EU-Jahr" (2015, 2020, 2030, 2050)</t>
  </si>
  <si>
    <t>"Metall\Stahl-Elektro-EU-Jahr" (2015, 2020, 2030, 2050)</t>
  </si>
  <si>
    <t>"Metall\Stahl-mix-EU-Jahr" (2015, 2020, 2030, 2050)</t>
  </si>
  <si>
    <t>"Steine-Erden\Beton-EU-Jahr" (2015, 2020, 2030, 2050)</t>
  </si>
  <si>
    <t>"Glaswolle" (2004)</t>
  </si>
  <si>
    <t>Holzfaserdämmpatte (flexibe Matte)</t>
  </si>
  <si>
    <t>Ökobaudat</t>
  </si>
  <si>
    <r>
      <t>kg CO</t>
    </r>
    <r>
      <rPr>
        <vertAlign val="subscript"/>
        <sz val="11"/>
        <color theme="1"/>
        <rFont val="Calibri"/>
        <family val="2"/>
        <scheme val="minor"/>
      </rPr>
      <t>2</t>
    </r>
    <r>
      <rPr>
        <sz val="11"/>
        <color theme="1"/>
        <rFont val="Calibri"/>
        <family val="2"/>
        <scheme val="minor"/>
      </rPr>
      <t>-Äq./MWh</t>
    </r>
  </si>
  <si>
    <t>Konstruktionsvollholz</t>
  </si>
  <si>
    <t>Spanplatte</t>
  </si>
  <si>
    <t>"Spanplatte" (2004)</t>
  </si>
  <si>
    <t>Plastik- und Verpackungsabfall</t>
  </si>
  <si>
    <t>Papierabfall</t>
  </si>
  <si>
    <t>E-Großgeräte (Abfall)</t>
  </si>
  <si>
    <t>Metalle (Abfall)</t>
  </si>
  <si>
    <t>"Konstruktionsvollholz (Durchschnitt DE)" (2023, [A1-3]+A[5], GWP total, Dichte=492,92kg/m³)</t>
  </si>
  <si>
    <t>"Holzfaserdämmstoff flexible Matte (Durchschnitt DE)" (2023, [A1-3]+A[5], GWP total)</t>
  </si>
  <si>
    <t>Perlit</t>
  </si>
  <si>
    <t>"Perlite 0-3" (2022, A1-A3, GWP total)</t>
  </si>
  <si>
    <t>Stahlbeton Fertigteil Decke (20cm Dicke)</t>
  </si>
  <si>
    <t>"Betonfertigteil Decke, Dicke 20cm (de)" (2022, A1-A3, GWP total)</t>
  </si>
  <si>
    <t>Stahlbeton Fertigteil Wand (12cm Dicke)</t>
  </si>
  <si>
    <t>"Betonfertigteil Wand, Dicke 12cm (de)" (2022, A1-A3, GWP total)</t>
  </si>
  <si>
    <t xml:space="preserve">Stahlbeton Fertigteil Treppe (1,1 m Breite, 9 Stufen a 16 cm) </t>
  </si>
  <si>
    <t>"Betonfertigteil Treppe (1,1 m Breite, 9 Stufen a 16 cm) (de)" (2022, A1-A3, GWP total)</t>
  </si>
  <si>
    <t>"Mineralwolle (Innenausbau-Dämmung) (de)" (2022, A1-A3, GWP total)</t>
  </si>
  <si>
    <t>Mauerziegel (ungefüllt)</t>
  </si>
  <si>
    <t>"Mauerziegel (ungefüllt) (de)" (2021, A1-A3, GWP total)</t>
  </si>
  <si>
    <t>Desktop-PC mit Monitor</t>
  </si>
  <si>
    <t>Wärme (Holzpellets, 50kW/größere Zentralheizung)</t>
  </si>
  <si>
    <t>"Holz-Pellett-Holzwirtsch.-Heizung-10kW-DE-Jahr" (2015, 2020, 2030, 2050)</t>
  </si>
  <si>
    <t>"Öl-Heizung-DE-Jahr" (2015, 2020, 2030, 2050)</t>
  </si>
  <si>
    <t>Erdgas</t>
  </si>
  <si>
    <t>"Holz-Pellett-Holzwirtsch.-Heizung-50kW-DE-Jahr" (2015)</t>
  </si>
  <si>
    <t xml:space="preserve">Berücksichtigung einer Jahresarbeitszahl (JAZ) von 4 </t>
  </si>
  <si>
    <t>Tabellenblatt Stommix</t>
  </si>
  <si>
    <t>"Gas-Heizung-DE-[Jahr]-car" (Jahre: 2015, 2020, 2030)</t>
  </si>
  <si>
    <t>"Solar-PV-multi-Rahmen-mit-Rack-DE-[Jahr]" (Jahre: 2015, 2020, 2030 und 2050)</t>
  </si>
  <si>
    <t>Datensatz, Hinweise</t>
  </si>
  <si>
    <t>"Organic: garden waste" (Composting)</t>
  </si>
  <si>
    <t>"Organic: food and drink waste" (Combustion)</t>
  </si>
  <si>
    <t>"Paper and board: mixed" (Combustion)</t>
  </si>
  <si>
    <t>"Muncipal Waste" (Combustion)</t>
  </si>
  <si>
    <t>"Wood" (Combustion)</t>
  </si>
  <si>
    <t>"Glass" (Combustion)</t>
  </si>
  <si>
    <t>"Metal: mixed cans" (Combustion)</t>
  </si>
  <si>
    <t>"WEEE - mixed" (Combustion)</t>
  </si>
  <si>
    <t>"Plastics: average plastics" (Combustion)</t>
  </si>
  <si>
    <t>Bauschutt</t>
  </si>
  <si>
    <t>"Tyres" (Closed-loop)</t>
  </si>
  <si>
    <t>"Average construction" (Closed-loop)</t>
  </si>
  <si>
    <t>Outgesourcte Leistungen des Rechenzentrums</t>
  </si>
  <si>
    <r>
      <t>kg CO</t>
    </r>
    <r>
      <rPr>
        <vertAlign val="subscript"/>
        <sz val="11"/>
        <color theme="1"/>
        <rFont val="Calibri"/>
        <family val="2"/>
        <scheme val="minor"/>
      </rPr>
      <t>2</t>
    </r>
    <r>
      <rPr>
        <sz val="11"/>
        <color theme="1"/>
        <rFont val="Calibri"/>
        <family val="2"/>
        <scheme val="minor"/>
      </rPr>
      <t>-Äq./kg</t>
    </r>
  </si>
  <si>
    <r>
      <t>kg CO</t>
    </r>
    <r>
      <rPr>
        <vertAlign val="subscript"/>
        <sz val="11"/>
        <color theme="1"/>
        <rFont val="Calibri"/>
        <family val="2"/>
        <scheme val="minor"/>
      </rPr>
      <t>2</t>
    </r>
    <r>
      <rPr>
        <sz val="11"/>
        <color theme="1"/>
        <rFont val="Calibri"/>
        <family val="2"/>
        <scheme val="minor"/>
      </rPr>
      <t>-Äq./Pkm</t>
    </r>
  </si>
  <si>
    <r>
      <t>kg CO</t>
    </r>
    <r>
      <rPr>
        <vertAlign val="subscript"/>
        <sz val="11"/>
        <color theme="1"/>
        <rFont val="Calibri"/>
        <family val="2"/>
        <scheme val="minor"/>
      </rPr>
      <t>2</t>
    </r>
    <r>
      <rPr>
        <sz val="11"/>
        <color theme="1"/>
        <rFont val="Calibri"/>
        <family val="2"/>
        <scheme val="minor"/>
      </rPr>
      <t>-Äq./l</t>
    </r>
  </si>
  <si>
    <r>
      <t>kg CO</t>
    </r>
    <r>
      <rPr>
        <vertAlign val="subscript"/>
        <sz val="11"/>
        <color theme="1"/>
        <rFont val="Calibri"/>
        <family val="2"/>
        <scheme val="minor"/>
      </rPr>
      <t>2</t>
    </r>
    <r>
      <rPr>
        <sz val="11"/>
        <color theme="1"/>
        <rFont val="Calibri"/>
        <family val="2"/>
        <scheme val="minor"/>
      </rPr>
      <t>-Äq./t</t>
    </r>
  </si>
  <si>
    <r>
      <t>kg CO</t>
    </r>
    <r>
      <rPr>
        <vertAlign val="subscript"/>
        <sz val="11"/>
        <color theme="1"/>
        <rFont val="Calibri"/>
        <family val="2"/>
        <scheme val="minor"/>
      </rPr>
      <t>2</t>
    </r>
    <r>
      <rPr>
        <sz val="11"/>
        <color theme="1"/>
        <rFont val="Calibri"/>
        <family val="2"/>
        <scheme val="minor"/>
      </rPr>
      <t>-Äq./Stk</t>
    </r>
  </si>
  <si>
    <r>
      <t>kg CO</t>
    </r>
    <r>
      <rPr>
        <vertAlign val="subscript"/>
        <sz val="11"/>
        <color theme="1"/>
        <rFont val="Calibri"/>
        <family val="2"/>
        <scheme val="minor"/>
      </rPr>
      <t>2</t>
    </r>
    <r>
      <rPr>
        <sz val="11"/>
        <color theme="1"/>
        <rFont val="Calibri"/>
        <family val="2"/>
        <scheme val="minor"/>
      </rPr>
      <t>-Äq./m³</t>
    </r>
  </si>
  <si>
    <r>
      <t>kg CO</t>
    </r>
    <r>
      <rPr>
        <vertAlign val="subscript"/>
        <sz val="11"/>
        <color theme="1"/>
        <rFont val="Calibri"/>
        <family val="2"/>
        <scheme val="minor"/>
      </rPr>
      <t>2</t>
    </r>
    <r>
      <rPr>
        <sz val="11"/>
        <color theme="1"/>
        <rFont val="Calibri"/>
        <family val="2"/>
        <scheme val="minor"/>
      </rPr>
      <t>-Äq./m²</t>
    </r>
  </si>
  <si>
    <t>Formel: EF(Strom)*30W/1000</t>
  </si>
  <si>
    <r>
      <t>kg CO</t>
    </r>
    <r>
      <rPr>
        <vertAlign val="subscript"/>
        <sz val="11"/>
        <color theme="1"/>
        <rFont val="Calibri"/>
        <family val="2"/>
        <scheme val="minor"/>
      </rPr>
      <t>2</t>
    </r>
    <r>
      <rPr>
        <sz val="11"/>
        <color theme="1"/>
        <rFont val="Calibri"/>
        <family val="2"/>
        <scheme val="minor"/>
      </rPr>
      <t>-Äq./GByte</t>
    </r>
  </si>
  <si>
    <t>UBA 2020: Ökologische Bewertung von Verkehrsarten - Ergebnisse für Fahrzeugherstellung, -wartung und -entsorgung (Tabelle 73)</t>
  </si>
  <si>
    <t>"Fahrrad"</t>
  </si>
  <si>
    <t>Wärme (Holzpellets, 10kW/kleinere Zentralheizung)</t>
  </si>
  <si>
    <t>Datengüte</t>
  </si>
  <si>
    <t>Faktor</t>
  </si>
  <si>
    <t>Primärdaten und Hochrechnung</t>
  </si>
  <si>
    <t>Regionale Primärdaten</t>
  </si>
  <si>
    <t>Regionale Kennwerte und Statistiken</t>
  </si>
  <si>
    <t>Bundesweite Kennzahlen</t>
  </si>
  <si>
    <t>&gt; 80</t>
  </si>
  <si>
    <t>&gt; 65-80</t>
  </si>
  <si>
    <t>&gt; 50-65</t>
  </si>
  <si>
    <t>Bis 50</t>
  </si>
  <si>
    <t>A - gut belastbar</t>
  </si>
  <si>
    <t>B - belastbar</t>
  </si>
  <si>
    <t>C - relativ belastbar</t>
  </si>
  <si>
    <t>D - bedingt belastbar</t>
  </si>
  <si>
    <t>Anteilige Datengüte (%)</t>
  </si>
  <si>
    <t>Datengüte des Endergebnisses</t>
  </si>
  <si>
    <t>Dell 2021 LCA von Dockingstations: https://www.dell.com/de-de/dt/corporate/social-impact/advancing-sustainability/climate-action/product-carbon-footprints.htm#tab0=5</t>
  </si>
  <si>
    <t>Mittelwert aus WD19TBS, WD19S, WD19DCS</t>
  </si>
  <si>
    <t>t</t>
  </si>
  <si>
    <t>GByte</t>
  </si>
  <si>
    <t>Stk</t>
  </si>
  <si>
    <t>m³</t>
  </si>
  <si>
    <t>m²</t>
  </si>
  <si>
    <t>Laserdrucker</t>
  </si>
  <si>
    <t>"market for printer laser colour printer laser colour cutoff u GLO" (ReCiPe Midpoint (H))</t>
  </si>
  <si>
    <t>Ecoinvent V. 3.5 cut</t>
  </si>
  <si>
    <t>"market for toner module, laser printer, colour / toner module, laser printer, colour / cutoff, U - GLO" (ReCiPe Midpoint (H))</t>
  </si>
  <si>
    <t>Lexmark 2016 S. 8: https://csr.lexmark.com/pdfs/2.23.16/101.1_Lexmark_EPD_CS820DE.pdf</t>
  </si>
  <si>
    <t>Lexmark 2019, S. 9: https://csr.lexmark.com/env-epd_7_2464496062.pdf</t>
  </si>
  <si>
    <t>Lexmark multi-functional laser printer CS820DE "GWP Printer" (Produktion)</t>
  </si>
  <si>
    <t>Lexmark multi-functional laser printer CS421DN "GWP Printer" (Produktion)</t>
  </si>
  <si>
    <t>Lexmark multi-functional laser printer CX820DTE "GWP Printer" (Produktion)</t>
  </si>
  <si>
    <t>Multifunktionsdrucker klein (31 x 44 x 42 cm)</t>
  </si>
  <si>
    <t>Multifunktionsdrucker mittel (54 x 56 x 52 cm)</t>
  </si>
  <si>
    <t>Multifunktionsdrucker groß (114 x 65 x 59 cm)</t>
  </si>
  <si>
    <r>
      <t>t CO</t>
    </r>
    <r>
      <rPr>
        <vertAlign val="subscript"/>
        <sz val="11"/>
        <color theme="1"/>
        <rFont val="Calibri"/>
        <family val="2"/>
        <scheme val="minor"/>
      </rPr>
      <t>2</t>
    </r>
    <r>
      <rPr>
        <sz val="11"/>
        <color theme="1"/>
        <rFont val="Calibri"/>
        <family val="2"/>
        <scheme val="minor"/>
      </rPr>
      <t>-Äq.</t>
    </r>
  </si>
  <si>
    <t xml:space="preserve">Jahresarbeitszahl (JAZ): </t>
  </si>
  <si>
    <t>Fuhrpark</t>
  </si>
  <si>
    <t>Elektrischer Strom</t>
  </si>
  <si>
    <t>Wärme</t>
  </si>
  <si>
    <t>Kälte</t>
  </si>
  <si>
    <t>Abfall</t>
  </si>
  <si>
    <t>Bezogene Waren und Dienstleistungen (EDV, Papier etc.)</t>
  </si>
  <si>
    <t>Bezogene Kapitalgüter (u. A. Bau)</t>
  </si>
  <si>
    <t>Wasser (Frisch-/ Abwasser)</t>
  </si>
  <si>
    <t>Exkursionen</t>
  </si>
  <si>
    <t>An- und Abreise von Gästen</t>
  </si>
  <si>
    <t>Studierendenreisen (Outgoing)</t>
  </si>
  <si>
    <t>Studierendenreisen (Incoming)</t>
  </si>
  <si>
    <t>Gesamtemissionen pro Person</t>
  </si>
  <si>
    <t>Gesamtemissionen pro m²</t>
  </si>
  <si>
    <r>
      <t>t CO</t>
    </r>
    <r>
      <rPr>
        <vertAlign val="subscript"/>
        <sz val="11"/>
        <color theme="1"/>
        <rFont val="Calibri"/>
        <family val="2"/>
        <scheme val="minor"/>
      </rPr>
      <t>2</t>
    </r>
    <r>
      <rPr>
        <sz val="11"/>
        <color theme="1"/>
        <rFont val="Calibri"/>
        <family val="2"/>
        <scheme val="minor"/>
      </rPr>
      <t>-Äq./Person</t>
    </r>
  </si>
  <si>
    <r>
      <t>t CO</t>
    </r>
    <r>
      <rPr>
        <vertAlign val="subscript"/>
        <sz val="11"/>
        <color theme="1"/>
        <rFont val="Calibri"/>
        <family val="2"/>
        <scheme val="minor"/>
      </rPr>
      <t>2</t>
    </r>
    <r>
      <rPr>
        <sz val="11"/>
        <color theme="1"/>
        <rFont val="Calibri"/>
        <family val="2"/>
        <scheme val="minor"/>
      </rPr>
      <t>-Äq./m²</t>
    </r>
  </si>
  <si>
    <t>Personen</t>
  </si>
  <si>
    <t>l/100km</t>
  </si>
  <si>
    <t>Diesel:</t>
  </si>
  <si>
    <t>Benzin:</t>
  </si>
  <si>
    <t>Annahme: Bj. 2009-2015, Mittelklasse, https://www.quarks.de/umwelt/klimawandel/co2-rechner-fuer-auto-flugzeug-und-co/</t>
  </si>
  <si>
    <t>Einheiten umrechnen</t>
  </si>
  <si>
    <t>2027</t>
  </si>
  <si>
    <t>2028</t>
  </si>
  <si>
    <t>2029</t>
  </si>
  <si>
    <t>1. Grunddaten</t>
  </si>
  <si>
    <t>Werte können auch im Tabellenblatt "Umrechnen" eingetragen werden</t>
  </si>
  <si>
    <t>Weitere Eingaben sind im Tabellenblatt "Emissionsfaktoren" notwendig</t>
  </si>
  <si>
    <t>Wärme (individuelle Wärmepumpe)</t>
  </si>
  <si>
    <t>Weitere Eingaben sind im Tabellenblatt "Strommix &amp; BHKW" notwendig</t>
  </si>
  <si>
    <t>Gruppe</t>
  </si>
  <si>
    <t>Elektrischer Strom (Bundesmix KS80)</t>
  </si>
  <si>
    <t>Nichts eintragen</t>
  </si>
  <si>
    <t>Bis 2029: Bundesmix "el-mix-DE-[Jahr]" (Jahre: 2015-2021), Ab 2030 "el-mix-de-[Jahr] (KS80)" (Jahre: 2030,2050)</t>
  </si>
  <si>
    <t>Bundesmix "el-mix-DE-[Jahr]" (Jahre: 2015-2021, 2030 (LSB))</t>
  </si>
  <si>
    <t>Wird im Tabellenblatt "Umrechnen" berechnet und im Tabellenblatt "Emissionen" addiert.</t>
  </si>
  <si>
    <t>Die Bereitstellung von Wärme mittels Holzhackschnitzel in der Hausverteilung: "Holz-Stücke-Heizung-DE-[Jahr]" (Jahre: 2015, 2020 und 2030)</t>
  </si>
  <si>
    <t>Elektrischer Strom (Bundesmix)</t>
  </si>
  <si>
    <t>Methodik:</t>
  </si>
  <si>
    <t>Sonder-Emissionsfaktoren</t>
  </si>
  <si>
    <t>für Windkraft: "Wind-KW-DE-[Jahr]_Binnenland" (Jahre: 2010, 2020 und 2030)</t>
  </si>
  <si>
    <t>Elektrischer Strom (Windkraft)</t>
  </si>
  <si>
    <t>kg CO2-Äq./MWh</t>
  </si>
  <si>
    <t>Name:</t>
  </si>
  <si>
    <t>Emissionen</t>
  </si>
  <si>
    <t xml:space="preserve">Name: </t>
  </si>
  <si>
    <t>4. Eigenes Klimaschutzszenario</t>
  </si>
  <si>
    <t>Literverbrauch Diesel</t>
  </si>
  <si>
    <t>Literverbrauch Benzin</t>
  </si>
  <si>
    <t>Kilometer Diesel</t>
  </si>
  <si>
    <t>Kilometer Benzin</t>
  </si>
  <si>
    <t>KliMax - Auswertung</t>
  </si>
  <si>
    <t>Ergebnis (umgerechnet)</t>
  </si>
  <si>
    <t>Referenzszenario - Emissionen</t>
  </si>
  <si>
    <t>Verkehrsmittel der Gruppen</t>
  </si>
  <si>
    <t>Zusammenfassung der Gruppen</t>
  </si>
  <si>
    <t>Wert nicht vorhanden</t>
  </si>
  <si>
    <t xml:space="preserve">Bemerkungen </t>
  </si>
  <si>
    <t>s. Tabellenblatt "Strommix &amp; BHKW"</t>
  </si>
  <si>
    <t>Verbrauch</t>
  </si>
  <si>
    <t>Datengüte (Ergebnis)</t>
  </si>
  <si>
    <t>Datengüte (Faktor)</t>
  </si>
  <si>
    <t>Auswertung</t>
  </si>
  <si>
    <t>Bezogenen Kapitalgüter mit negativem GWP total</t>
  </si>
  <si>
    <t>Startjahr der Zukunftsszenarien</t>
  </si>
  <si>
    <t>DR = Dienstreisen (ohne Fuhrpark)</t>
  </si>
  <si>
    <t xml:space="preserve">  </t>
  </si>
  <si>
    <t xml:space="preserve">   </t>
  </si>
  <si>
    <t xml:space="preserve">    </t>
  </si>
  <si>
    <t xml:space="preserve">     </t>
  </si>
  <si>
    <t xml:space="preserve">      </t>
  </si>
  <si>
    <t xml:space="preserve">       </t>
  </si>
  <si>
    <t xml:space="preserve">        </t>
  </si>
  <si>
    <t>Energieträger</t>
  </si>
  <si>
    <r>
      <t>kg CO</t>
    </r>
    <r>
      <rPr>
        <vertAlign val="subscript"/>
        <sz val="11"/>
        <color indexed="8"/>
        <rFont val="Calibri"/>
        <family val="2"/>
      </rPr>
      <t>2</t>
    </r>
    <r>
      <rPr>
        <sz val="11"/>
        <color theme="1"/>
        <rFont val="Calibri"/>
        <family val="2"/>
        <scheme val="minor"/>
      </rPr>
      <t>-Äq./MWh</t>
    </r>
  </si>
  <si>
    <t>Steinkohle</t>
  </si>
  <si>
    <t>"Kohle-Brikett-Heizung-DE-Jahr (Endenergie)" (2015, 2020)</t>
  </si>
  <si>
    <t>Braunkohle</t>
  </si>
  <si>
    <t>"Braunkohle-Brikett-Heizung-DE-Gebiet-Jahr (Endenergie)" (Gebiet: Mittelwert aus rheinisch/Lausitz) (2015, 2020)</t>
  </si>
  <si>
    <t>Heizöl</t>
  </si>
  <si>
    <t>"Öl-Heizung-DE-Jahr (Endenergie)" (2015, 2020, 2030, 2050)</t>
  </si>
  <si>
    <t>Bis 2019: " Müll-HKW-DT-DE-2015-th/car", ab 2020: "Müll-KW-DT-DE-Jahr (Endenergie 100%)" (2020, 2030)</t>
  </si>
  <si>
    <t>Biogas</t>
  </si>
  <si>
    <t>Bis 2019: "Biogas-Gülle-BHKW-GM 500-DE-2010/brutto", ab 2020: "Biogas-Gülle-BHKW 500-OxKat-Jahr/brutto" (2020, 2030)</t>
  </si>
  <si>
    <t>Biomasse</t>
  </si>
  <si>
    <t>"Holz-Pellett-Holzwirtsch.-Heizung-10kW-DE-Jahr (Endenergie)" (2015, 2020, 2030, 2050)</t>
  </si>
  <si>
    <t>Flüssiggas</t>
  </si>
  <si>
    <t>"Flüssiggas (LPG)-Heizung-DE-Jahr (Endenergie)" (2015, 2020, 2030, 2050)</t>
  </si>
  <si>
    <t>Elektrischer Strom (BHKW)</t>
  </si>
  <si>
    <t>Wärme (BHKW)</t>
  </si>
  <si>
    <t>Sonstige konventionelle Energieträger</t>
  </si>
  <si>
    <t>Sonstige erneuerbare Energieträger</t>
  </si>
  <si>
    <t>1. Individueller Strommix</t>
  </si>
  <si>
    <t>2.1 Carnot-Methode</t>
  </si>
  <si>
    <t>2.2 Finnische Methode</t>
  </si>
  <si>
    <t>Einrichtungen mit unterschiedlichen Stromtarifen</t>
  </si>
  <si>
    <t>Name der Einrichtung</t>
  </si>
  <si>
    <t>Tarif</t>
  </si>
  <si>
    <t>Einrichtung 1</t>
  </si>
  <si>
    <t>Einrichtung 2</t>
  </si>
  <si>
    <t>Einrichtung 3</t>
  </si>
  <si>
    <t>Einrichtung 4</t>
  </si>
  <si>
    <t>Einrichtung 5</t>
  </si>
  <si>
    <t>Einrichtung 6</t>
  </si>
  <si>
    <t>Stromerzeugung</t>
  </si>
  <si>
    <t>Kernkraft</t>
  </si>
  <si>
    <t>Kohle</t>
  </si>
  <si>
    <t>Sonstige fossile Energieträger</t>
  </si>
  <si>
    <t>Erneuerbare Energien</t>
  </si>
  <si>
    <t>Erechneter Emissionsfaktor</t>
  </si>
  <si>
    <t>Kontrolle (100%)</t>
  </si>
  <si>
    <t>Berechnungsgrundlagen für die Emissionsfaktoren von Kohle, Erdgas und sonstige fossile Energieträger</t>
  </si>
  <si>
    <t>Ergebnis Emissionsfaktoren in kg CO2-Äq./MWh</t>
  </si>
  <si>
    <t>Quelle: Gemis V. 5.1 "El-mix-DE-Jahr" (2010, 2011, 2012, 2013, 2014, 2015, 2026, 2017, 2018, 2019, 2020, 2021, 2030 (LSB))</t>
  </si>
  <si>
    <t>Lieferant</t>
  </si>
  <si>
    <t>Kohle-KW-DT-DE-2005</t>
  </si>
  <si>
    <t>Kohle-KW-DT-DE-2010</t>
  </si>
  <si>
    <t>Kohle-KW-DT-DE-Import-2005</t>
  </si>
  <si>
    <t>Kohle-KW-DT-DE-Import-2015</t>
  </si>
  <si>
    <t>Braunkohle-KW-DT-DE-2005-rheinisch</t>
  </si>
  <si>
    <t>Braunkohle-KW-DT-DE-2010-rheinisch</t>
  </si>
  <si>
    <t>Braunkohle-KW-DT-DE-2005-ostdeutsch</t>
  </si>
  <si>
    <t>Braunkohle-KW-DT-DE-2010-Lausitz</t>
  </si>
  <si>
    <t>Gas-KW-GuD-DE-2005</t>
  </si>
  <si>
    <t>Gas-KW-GuD-DE-2015</t>
  </si>
  <si>
    <t>Gas-KW-GuD-DE-2020</t>
  </si>
  <si>
    <t>Gichtgas-KW-GT-DE-2015</t>
  </si>
  <si>
    <t>Öl-schwer-KW-DT-DE-2005</t>
  </si>
  <si>
    <t>Müll-KW-DT-DE-2000</t>
  </si>
  <si>
    <t>Müll-KW-DT-DE-2010</t>
  </si>
  <si>
    <t>Müll-KW-DT-DE-2020</t>
  </si>
  <si>
    <t>Emissionsfaktoren in kg/TJ</t>
  </si>
  <si>
    <t xml:space="preserve">Quelle: Gemis V. 5.1 </t>
  </si>
  <si>
    <t>Datensatzname (Gemis V. 5.1)</t>
  </si>
  <si>
    <t>Einordnung</t>
  </si>
  <si>
    <t>2. Institutionseigenes BHKW</t>
  </si>
  <si>
    <t>Eingabe</t>
  </si>
  <si>
    <t>Input Grunddaten</t>
  </si>
  <si>
    <t>Energieträger Input (Hu)</t>
  </si>
  <si>
    <t>[MWh/a]</t>
  </si>
  <si>
    <t>Output Wärme</t>
  </si>
  <si>
    <t>Output Strom netto</t>
  </si>
  <si>
    <t>Verluste</t>
  </si>
  <si>
    <t>Netzeinspeisung Wärme</t>
  </si>
  <si>
    <t>Netzeinspeisung Strom</t>
  </si>
  <si>
    <t>Eigenverbrauch Wärme</t>
  </si>
  <si>
    <t>Eigenverbrauch Strom</t>
  </si>
  <si>
    <t>Wahl Wärmenetz</t>
  </si>
  <si>
    <t>Emissionsfaktor Input</t>
  </si>
  <si>
    <t>[kg / MWh]</t>
  </si>
  <si>
    <t xml:space="preserve">Exergiefaktoren Wärmenetze </t>
  </si>
  <si>
    <t>Dampf</t>
  </si>
  <si>
    <t>Dampfnetz</t>
  </si>
  <si>
    <t>Heißwasser</t>
  </si>
  <si>
    <t xml:space="preserve">Heißwasser z.B. 130°C zu 70°C gleitend </t>
  </si>
  <si>
    <t>Warmwasser</t>
  </si>
  <si>
    <t xml:space="preserve">Warmwasser z.B. 90°C zu 60°C </t>
  </si>
  <si>
    <t>Niedertemperatur</t>
  </si>
  <si>
    <t xml:space="preserve">Warmwasser z.B. 70°C zu 50°C </t>
  </si>
  <si>
    <t>Schritt 1: Allokation CO2 der Anlage</t>
  </si>
  <si>
    <t>Emissionen Input</t>
  </si>
  <si>
    <t>[t/a]</t>
  </si>
  <si>
    <t>Exergiefaktor Strom</t>
  </si>
  <si>
    <t>[1]</t>
  </si>
  <si>
    <t>Exergiefaktor Wärme</t>
  </si>
  <si>
    <t>Strom Exergie Anteil</t>
  </si>
  <si>
    <t>[%]</t>
  </si>
  <si>
    <t>Wärme Exergie Anteil</t>
  </si>
  <si>
    <t>Schritt 2: Strom-Wärme Emissionen</t>
  </si>
  <si>
    <t xml:space="preserve">Strom Emissionen </t>
  </si>
  <si>
    <t xml:space="preserve">Wärme Emissionen </t>
  </si>
  <si>
    <t>Schritt 3: Ermittlung Faktoren Anlage</t>
  </si>
  <si>
    <t>Ergebnisse</t>
  </si>
  <si>
    <r>
      <t>EXERGIE spez. CO</t>
    </r>
    <r>
      <rPr>
        <sz val="8"/>
        <rFont val="Calibri"/>
        <family val="2"/>
      </rPr>
      <t>2</t>
    </r>
    <r>
      <rPr>
        <sz val="12"/>
        <rFont val="Calibri"/>
        <family val="2"/>
      </rPr>
      <t xml:space="preserve"> - Faktor Wärme</t>
    </r>
    <r>
      <rPr>
        <vertAlign val="subscript"/>
        <sz val="12"/>
        <rFont val="Calibri"/>
        <family val="2"/>
      </rPr>
      <t xml:space="preserve"> SE</t>
    </r>
  </si>
  <si>
    <t>[t / MWh]</t>
  </si>
  <si>
    <t>Verluste Wärmenetz</t>
  </si>
  <si>
    <r>
      <t>EXERGIE spez. CO</t>
    </r>
    <r>
      <rPr>
        <b/>
        <sz val="8"/>
        <rFont val="Calibri"/>
        <family val="2"/>
      </rPr>
      <t>2</t>
    </r>
    <r>
      <rPr>
        <b/>
        <sz val="12"/>
        <rFont val="Calibri"/>
        <family val="2"/>
      </rPr>
      <t xml:space="preserve"> - Faktor Wärme </t>
    </r>
  </si>
  <si>
    <r>
      <t>EXERGIE spez. CO</t>
    </r>
    <r>
      <rPr>
        <b/>
        <sz val="8"/>
        <rFont val="Calibri"/>
        <family val="2"/>
      </rPr>
      <t>2</t>
    </r>
    <r>
      <rPr>
        <b/>
        <sz val="12"/>
        <rFont val="Calibri"/>
        <family val="2"/>
      </rPr>
      <t xml:space="preserve"> - Faktor Strom</t>
    </r>
  </si>
  <si>
    <t xml:space="preserve">Annahmen </t>
  </si>
  <si>
    <t>Wirkungsgrad (für alle)</t>
  </si>
  <si>
    <t>Annahme: Prof. Kati Jagnow</t>
  </si>
  <si>
    <t>ς (&lt; 500 kW)</t>
  </si>
  <si>
    <t>Quelle: Arbeitsgemeinschaft für sparsamen und umweltfreundlichen Energieverbrauch e.V. (2005): BHKW Kenndaten 2005. Abb. 2-2. Wert für: 500 kW</t>
  </si>
  <si>
    <t>ς (500 - 1.000 kW)</t>
  </si>
  <si>
    <t>Quelle: Arbeitsgemeinschaft für sparsamen und umweltfreundlichen Energieverbrauch e.V. (2005): BHKW Kenndaten 2005. Abb. 2-2. Wert für 1.000 kW</t>
  </si>
  <si>
    <t>ς (1.000 - 2.000 kW)</t>
  </si>
  <si>
    <t>Quelle: Arbeitsgemeinschaft für sparsamen und umweltfreundlichen Energieverbrauch e.V. (2005): BHKW Kenndaten 2005. Abb. 2-2. Wert für 2.000 kW</t>
  </si>
  <si>
    <t>BHKW &lt; 500 kW</t>
  </si>
  <si>
    <t>Verbrauch Erdgas BHKW</t>
  </si>
  <si>
    <t xml:space="preserve">Emissionen Erdgas </t>
  </si>
  <si>
    <t>Emissionen Stromsektor</t>
  </si>
  <si>
    <t>Emissionen Wärmesektor</t>
  </si>
  <si>
    <t>BHKW 500 - 1.000 kW</t>
  </si>
  <si>
    <t>Emissionen Erdgas</t>
  </si>
  <si>
    <t>BHKW 1.000 - 2.000 kW</t>
  </si>
  <si>
    <t>Zukunft (keine Werte eintragen)</t>
  </si>
  <si>
    <t>Bearbeiter:in:</t>
  </si>
  <si>
    <t>Nächste Aktualisierung:</t>
  </si>
  <si>
    <t>Dateneingabe</t>
  </si>
  <si>
    <t>Referenzszenario Verbräuche</t>
  </si>
  <si>
    <t>Beispiel: Umstellung der Landesliegenschaften auf Windkraft</t>
  </si>
  <si>
    <t>Kennwerte</t>
  </si>
  <si>
    <t>Umweltbundesamt (2019: Ist Atomstrom wirklich CO2-frei?. Abrufbar unter: https://www.umweltbundesamt.de/service/uba-fragen/ist-atomstrom-wirklich-co2-frei (da GEMIS 5.1 ein EF=0 angibt)</t>
  </si>
  <si>
    <t>Kalkuliert mit dem Bundesstrommix ID 1</t>
  </si>
  <si>
    <t>Wärme (Sole-Wasser-Wärmepumpe; Bundesstrommix)</t>
  </si>
  <si>
    <t>Kalkuliert mit dem Bundesstrommix ID 1 (veränderbar), Jahresarbeitszahl (JAZ) (in Spalte W "Refz-Verbräuche" eingeben)</t>
  </si>
  <si>
    <t>Wärme (Solarthermie)</t>
  </si>
  <si>
    <t>Fkm</t>
  </si>
  <si>
    <t>"Reisebus" (Bezugsjahre: 2016, 2017, 2018, 2019, 2021), ab 2022 "Linienbus, Fernverkehr"</t>
  </si>
  <si>
    <t>"Linienbus" (Bezugsjahre: 2016, 2017, 2018, 2019, 2021), ab 2022 "Linienbus, Nahverkehr"</t>
  </si>
  <si>
    <t>"Eisenbahn, Nahverkehr" (Bezugsjahre: 2016, 2017, 2018, 2019, 2021, 2022)</t>
  </si>
  <si>
    <t xml:space="preserve">"Eisenbahn, Fernverkehr" (Bezugsjahre: 2016, 2017, 2018, 2019, 2021, 2022) </t>
  </si>
  <si>
    <t>"SolarKollektor-Flach-DE-Jahr" (2015, 2020, 2030, 2050)</t>
  </si>
  <si>
    <t>Wärme (Fernwärme Mix)</t>
  </si>
  <si>
    <t>Wärme (Fernwärme Abfall)</t>
  </si>
  <si>
    <t>"Fernwärme - überwiegend Abfall KWK"</t>
  </si>
  <si>
    <t>Wärme (Sole-Wasser-Wärmepumpe; Ökostrom)</t>
  </si>
  <si>
    <t>Kalkuliert mit Ökostrom ID 10</t>
  </si>
  <si>
    <t>Berücksichtigung einer Jahresarbeitszahl (JAZ) von 4</t>
  </si>
  <si>
    <t>UBA 2020: Ökologische Bewertung von Verkehrsarten - Ergebnisse für Fahrzeugherstellung, -wartung und -entsorgung (Tabelle 73); UBA (2024): Vergleich der durchschnittlichen Emissionen einzelner Verkehrsmittel im Personenverkehr in Deutschland gemäß TREMOD 6.51. https://www.umweltbundesamt.de/themen/verkehr/emissionsdaten#verkehrsmittelvergleich</t>
  </si>
  <si>
    <t>"Fahrrad" + "E-Bike"</t>
  </si>
  <si>
    <t>"Motorisierte Zweiräder" Mittelwert aus Autobahnen, Außerortsstraßen und Innerortsstraßen</t>
  </si>
  <si>
    <t>Sektor</t>
  </si>
  <si>
    <t>Mobilität außerhalb des Betriebs</t>
  </si>
  <si>
    <t>Klimaschutzszenario</t>
  </si>
  <si>
    <t>Energie und Mobilität der Institution (Bundesmix)</t>
  </si>
  <si>
    <t>Energie und Mobilität der Institution (Regiomix)</t>
  </si>
  <si>
    <t>Referenzszenario</t>
  </si>
  <si>
    <t>Scope 1 und 2 (Bundesmix)</t>
  </si>
  <si>
    <t>Scope 1 und 2 (Bundesmix KS80)</t>
  </si>
  <si>
    <t>Scope 1 und 2 (Regiomix)</t>
  </si>
  <si>
    <t>Scope 1 und 2  (Regiomix)</t>
  </si>
  <si>
    <t>Systemgrenzen</t>
  </si>
  <si>
    <t>Energie, Kälte und Mobilität der Institution (Bundesmix)</t>
  </si>
  <si>
    <t>Energie, Kälte und Mobilität der Institution (Bundesmix KS80)</t>
  </si>
  <si>
    <t>Energie, Kälte und Mobilität der Institution (Regiomix)</t>
  </si>
  <si>
    <t xml:space="preserve"> Energie, Kälte und Fuhrpark</t>
  </si>
  <si>
    <t>Gesamt (Regiomix)</t>
  </si>
  <si>
    <t>Gesamt (Bundesmix)</t>
  </si>
  <si>
    <t>Gesamt (Bundemix KS80)</t>
  </si>
  <si>
    <t>2.1 Referenzszenario Bundesmix</t>
  </si>
  <si>
    <t>2.2 Referenzszenario Regiomix</t>
  </si>
  <si>
    <t>2. Ergebnisse Klimaschutzszenarien</t>
  </si>
  <si>
    <t>2. Ergebnisse Referenzszenarien</t>
  </si>
  <si>
    <t>2.1 Klimasschutzzenario Bundesmix</t>
  </si>
  <si>
    <t>2.2 Klimaschutzszenario Bundesmix (KS80)</t>
  </si>
  <si>
    <t>2.3 Klimaschutzszenario Regiomix</t>
  </si>
  <si>
    <t>2.4 Eigenes Klimaschutzszenario</t>
  </si>
  <si>
    <t>Datengüte der Endenergie</t>
  </si>
  <si>
    <t>Anteil der Mobilität an den Gesamtemissionen (Bundesmix)</t>
  </si>
  <si>
    <t>Gesamte Mobilität</t>
  </si>
  <si>
    <t>Anteil der "Mobilität der Institution" an den Gesamtemissionen (Bundesmix)</t>
  </si>
  <si>
    <t>Anteil der Mobilität an den Gesamtemissionen (Regiomix)</t>
  </si>
  <si>
    <t>Anteil der "Mobilität der Institution" an den Gesamtemissionen (Regiomix)</t>
  </si>
  <si>
    <t>Summe Personen</t>
  </si>
  <si>
    <r>
      <rPr>
        <b/>
        <sz val="11"/>
        <color theme="1"/>
        <rFont val="Calibri"/>
        <family val="2"/>
        <scheme val="minor"/>
      </rPr>
      <t>Nettofläche</t>
    </r>
    <r>
      <rPr>
        <sz val="11"/>
        <color theme="1"/>
        <rFont val="Calibri"/>
        <family val="2"/>
        <scheme val="minor"/>
      </rPr>
      <t xml:space="preserve"> (nach DIN 277, NRF = NUF 1-7 + TV+ VF)</t>
    </r>
  </si>
  <si>
    <t xml:space="preserve">     Mitarbeitende (Stichtag 31.12. inkl. TVL/Beamte, HIWI/Aushilfen, Azubis und Praktikanten)</t>
  </si>
  <si>
    <t>Pro-Kopf Emissionen (Bundesmix)</t>
  </si>
  <si>
    <t>Pro-Kopf Emissionen (Regiomix)</t>
  </si>
  <si>
    <t>Pro-qm Emissionen (Bundesmix)</t>
  </si>
  <si>
    <t>Pro-qm Emissionen (Regiomix)</t>
  </si>
  <si>
    <t xml:space="preserve">  Alle erhobenen Daten</t>
  </si>
  <si>
    <t>Ergebnis (Gewicht)</t>
  </si>
  <si>
    <r>
      <t>Beispiel: "</t>
    </r>
    <r>
      <rPr>
        <i/>
        <sz val="11"/>
        <color rgb="FF000000"/>
        <rFont val="Calibri"/>
        <family val="2"/>
        <scheme val="minor"/>
      </rPr>
      <t>Umstellung der Energieversorgung auf Windenergie, PV-Eigennutzung bleibt</t>
    </r>
    <r>
      <rPr>
        <sz val="11"/>
        <color rgb="FF000000"/>
        <rFont val="Calibri"/>
        <family val="2"/>
        <scheme val="minor"/>
      </rPr>
      <t>"</t>
    </r>
  </si>
  <si>
    <t>1. Teilergebnisse Klimaschutzszenarien</t>
  </si>
  <si>
    <t>1. Teilergebnisse Referenzszenarien</t>
  </si>
  <si>
    <t>1.1 Referenzszenario Bundesmix</t>
  </si>
  <si>
    <t>1.2 Referenzszenario Regiomix</t>
  </si>
  <si>
    <t>1.1 Klimaschutzszenario Bundesmix</t>
  </si>
  <si>
    <t>2. Klimaschutzszenario Bundesmix (KS80)</t>
  </si>
  <si>
    <t>3. Klimaschutzszenario Regiomix</t>
  </si>
  <si>
    <r>
      <t>kg CO</t>
    </r>
    <r>
      <rPr>
        <vertAlign val="subscript"/>
        <sz val="11"/>
        <color theme="1"/>
        <rFont val="Calibri"/>
        <family val="2"/>
        <scheme val="minor"/>
      </rPr>
      <t>2</t>
    </r>
    <r>
      <rPr>
        <sz val="11"/>
        <color theme="1"/>
        <rFont val="Calibri"/>
        <family val="2"/>
        <scheme val="minor"/>
      </rPr>
      <t>-Äq./Fkm</t>
    </r>
  </si>
  <si>
    <t>Teilergebnisse</t>
  </si>
  <si>
    <t>(wählen Sie das Jahr aus)</t>
  </si>
  <si>
    <t>Datensatz: Green Late Szenario, Diesel 2020 (BJ. 2020) und 2030 (Bj. 2030), Green Supreme 2050 (BJ. 2050)</t>
  </si>
  <si>
    <t>Verflechtungsmaß für verbundene Einheiten</t>
  </si>
  <si>
    <t>Organisation</t>
  </si>
  <si>
    <t>Handelt es sich um eine rechtlich eigenständige Organisation?</t>
  </si>
  <si>
    <t>Forschung und Entwicklung</t>
  </si>
  <si>
    <t>Personal</t>
  </si>
  <si>
    <t>Finanzen</t>
  </si>
  <si>
    <t>Infrastruktur</t>
  </si>
  <si>
    <t>Fehlermeldung: Bitte achten Sie darauf, dass eine Mehrfachauswahl je Frage nicht erlaubt ist!</t>
  </si>
  <si>
    <t>Verflechtungswert</t>
  </si>
  <si>
    <t>Schlussfolgerung</t>
  </si>
  <si>
    <t>Finanziert sich die Einheit über Mittel der Institution?</t>
  </si>
  <si>
    <t>Einbindung von Angehörigen der Institution</t>
  </si>
  <si>
    <t>Ist Personal der Einheit an der Institution angestellt?</t>
  </si>
  <si>
    <t>Nutzt die Einheit die Infrastruktur der Institution?</t>
  </si>
  <si>
    <t>Führt die Einheit wesentliche Kernaufgaben für die Institution durch (bspw. bei Hochschulen: Lehrveranstaltungen)?</t>
  </si>
  <si>
    <t>Führt die Einheit Projekte zur Forschung und Entwicklung durch, die dem Ansehen der Institution dienen?</t>
  </si>
  <si>
    <t>Verflechtungsmaß für verbundenen Einheiten</t>
  </si>
  <si>
    <t>Individueller Strommix und institutionseigenes BHKW</t>
  </si>
  <si>
    <t>1. Dateneingabe für die Ist-Bilanz (bspw. nur für 1 Jahr)</t>
  </si>
  <si>
    <t>3. Auswertung</t>
  </si>
  <si>
    <t>Zusatz: Unterstützende Tools zur Dateneingabe</t>
  </si>
  <si>
    <t>Grundlage</t>
  </si>
  <si>
    <t>Für Klimaprofis</t>
  </si>
  <si>
    <t>2. Dateneingabe für Zukunftsszenarien und Datengüte</t>
  </si>
  <si>
    <t>Referenzszenario - Verbräuche</t>
  </si>
  <si>
    <t xml:space="preserve">Referenzjahr </t>
  </si>
  <si>
    <t>Datenpunkt</t>
  </si>
  <si>
    <t>Datenpunkt der Endenergie</t>
  </si>
  <si>
    <t xml:space="preserve">   1. Teilergebnisse Referenzszenarien</t>
  </si>
  <si>
    <t xml:space="preserve">   2. Ergebnisse Klimaschutzszenarien</t>
  </si>
  <si>
    <r>
      <rPr>
        <sz val="11"/>
        <color theme="10"/>
        <rFont val="Calibri"/>
        <family val="2"/>
        <scheme val="minor"/>
      </rPr>
      <t xml:space="preserve">      </t>
    </r>
    <r>
      <rPr>
        <u/>
        <sz val="11"/>
        <color theme="10"/>
        <rFont val="Calibri"/>
        <family val="2"/>
        <scheme val="minor"/>
      </rPr>
      <t>2.1 Referenzszenario Bundesmix</t>
    </r>
  </si>
  <si>
    <r>
      <rPr>
        <sz val="11"/>
        <color theme="10"/>
        <rFont val="Calibri"/>
        <family val="2"/>
        <scheme val="minor"/>
      </rPr>
      <t xml:space="preserve">      </t>
    </r>
    <r>
      <rPr>
        <u/>
        <sz val="11"/>
        <color theme="10"/>
        <rFont val="Calibri"/>
        <family val="2"/>
        <scheme val="minor"/>
      </rPr>
      <t>2.2 Referenzszenario Regiomix</t>
    </r>
  </si>
  <si>
    <r>
      <rPr>
        <sz val="11"/>
        <color theme="10"/>
        <rFont val="Calibri"/>
        <family val="2"/>
        <scheme val="minor"/>
      </rPr>
      <t xml:space="preserve">      </t>
    </r>
    <r>
      <rPr>
        <u/>
        <sz val="11"/>
        <color theme="10"/>
        <rFont val="Calibri"/>
        <family val="2"/>
        <scheme val="minor"/>
      </rPr>
      <t>1.1 Referenzszenario Bundesmix</t>
    </r>
  </si>
  <si>
    <r>
      <rPr>
        <sz val="11"/>
        <color theme="10"/>
        <rFont val="Calibri"/>
        <family val="2"/>
        <scheme val="minor"/>
      </rPr>
      <t xml:space="preserve">      </t>
    </r>
    <r>
      <rPr>
        <u/>
        <sz val="11"/>
        <color theme="10"/>
        <rFont val="Calibri"/>
        <family val="2"/>
        <scheme val="minor"/>
      </rPr>
      <t>1.2 Referenzszenario Regiomix</t>
    </r>
  </si>
  <si>
    <r>
      <rPr>
        <sz val="11"/>
        <color theme="10"/>
        <rFont val="Calibri"/>
        <family val="2"/>
        <scheme val="minor"/>
      </rPr>
      <t xml:space="preserve">   </t>
    </r>
    <r>
      <rPr>
        <u/>
        <sz val="11"/>
        <color theme="10"/>
        <rFont val="Calibri"/>
        <family val="2"/>
        <scheme val="minor"/>
      </rPr>
      <t>3. Auswertung der Mobilität</t>
    </r>
  </si>
  <si>
    <t xml:space="preserve">   1. Teilergebnisse Klimaschutzszenarien</t>
  </si>
  <si>
    <r>
      <rPr>
        <sz val="11"/>
        <color theme="10"/>
        <rFont val="Calibri"/>
        <family val="2"/>
        <scheme val="minor"/>
      </rPr>
      <t xml:space="preserve">      </t>
    </r>
    <r>
      <rPr>
        <u/>
        <sz val="11"/>
        <color theme="10"/>
        <rFont val="Calibri"/>
        <family val="2"/>
        <scheme val="minor"/>
      </rPr>
      <t>1.1 Klimaschutzszenario Bundesmix</t>
    </r>
  </si>
  <si>
    <r>
      <rPr>
        <sz val="11"/>
        <color theme="10"/>
        <rFont val="Calibri"/>
        <family val="2"/>
        <scheme val="minor"/>
      </rPr>
      <t xml:space="preserve">      </t>
    </r>
    <r>
      <rPr>
        <u/>
        <sz val="11"/>
        <color theme="10"/>
        <rFont val="Calibri"/>
        <family val="2"/>
        <scheme val="minor"/>
      </rPr>
      <t>1.2 Klimaschutzszenario Bundesmix (KS80)</t>
    </r>
  </si>
  <si>
    <r>
      <rPr>
        <sz val="11"/>
        <color theme="10"/>
        <rFont val="Calibri"/>
        <family val="2"/>
        <scheme val="minor"/>
      </rPr>
      <t xml:space="preserve">      </t>
    </r>
    <r>
      <rPr>
        <u/>
        <sz val="11"/>
        <color theme="10"/>
        <rFont val="Calibri"/>
        <family val="2"/>
        <scheme val="minor"/>
      </rPr>
      <t>1.3 Klimaschutzszenario Regiomix</t>
    </r>
  </si>
  <si>
    <r>
      <rPr>
        <sz val="11"/>
        <color theme="10"/>
        <rFont val="Calibri"/>
        <family val="2"/>
        <scheme val="minor"/>
      </rPr>
      <t xml:space="preserve">      </t>
    </r>
    <r>
      <rPr>
        <u/>
        <sz val="11"/>
        <color theme="10"/>
        <rFont val="Calibri"/>
        <family val="2"/>
        <scheme val="minor"/>
      </rPr>
      <t>1.4 Eigenes Klimaszenario</t>
    </r>
  </si>
  <si>
    <r>
      <rPr>
        <sz val="11"/>
        <color theme="10"/>
        <rFont val="Calibri"/>
        <family val="2"/>
        <scheme val="minor"/>
      </rPr>
      <t xml:space="preserve">      </t>
    </r>
    <r>
      <rPr>
        <u/>
        <sz val="11"/>
        <color theme="10"/>
        <rFont val="Calibri"/>
        <family val="2"/>
        <scheme val="minor"/>
      </rPr>
      <t>2.1 Klimaschutzszenario Bundesmix</t>
    </r>
  </si>
  <si>
    <r>
      <rPr>
        <sz val="11"/>
        <color theme="10"/>
        <rFont val="Calibri"/>
        <family val="2"/>
        <scheme val="minor"/>
      </rPr>
      <t xml:space="preserve">      </t>
    </r>
    <r>
      <rPr>
        <u/>
        <sz val="11"/>
        <color theme="10"/>
        <rFont val="Calibri"/>
        <family val="2"/>
        <scheme val="minor"/>
      </rPr>
      <t>2.2 KlimaschutzszenarioBundesmix (KS80)</t>
    </r>
  </si>
  <si>
    <r>
      <rPr>
        <sz val="11"/>
        <color theme="10"/>
        <rFont val="Calibri"/>
        <family val="2"/>
        <scheme val="minor"/>
      </rPr>
      <t xml:space="preserve">      </t>
    </r>
    <r>
      <rPr>
        <u/>
        <sz val="11"/>
        <color theme="10"/>
        <rFont val="Calibri"/>
        <family val="2"/>
        <scheme val="minor"/>
      </rPr>
      <t>2.3 Klimaschutzszenario Regiomix</t>
    </r>
  </si>
  <si>
    <r>
      <rPr>
        <sz val="11"/>
        <color theme="10"/>
        <rFont val="Calibri"/>
        <family val="2"/>
        <scheme val="minor"/>
      </rPr>
      <t xml:space="preserve">      </t>
    </r>
    <r>
      <rPr>
        <u/>
        <sz val="11"/>
        <color theme="10"/>
        <rFont val="Calibri"/>
        <family val="2"/>
        <scheme val="minor"/>
      </rPr>
      <t>2.4 Eigenes Klimaschutzszenario</t>
    </r>
  </si>
  <si>
    <t>Zur Dateneingabe der Verbräuche (Ist-Bilanz und Referenzszenario)</t>
  </si>
  <si>
    <t>Aufteilung der Verkehsmittel in Kilometer (Referenzszenario)</t>
  </si>
  <si>
    <r>
      <t>Emissionen der Vekehrsmittel in t CO</t>
    </r>
    <r>
      <rPr>
        <b/>
        <sz val="8"/>
        <color theme="1"/>
        <rFont val="Calibri"/>
        <family val="2"/>
        <scheme val="minor"/>
      </rPr>
      <t>2</t>
    </r>
    <r>
      <rPr>
        <b/>
        <sz val="12"/>
        <color theme="1"/>
        <rFont val="Calibri"/>
        <family val="2"/>
        <scheme val="minor"/>
      </rPr>
      <t>-Äq. (Referenzszenario)</t>
    </r>
  </si>
  <si>
    <t>Zusammenfassung der Mobilitätssektoren in Pkm (Referenzszenario)</t>
  </si>
  <si>
    <t>Zusammenfassung Mobilitätssektoren in t CO2-Äq. (Referenzszenario)</t>
  </si>
  <si>
    <t>3.1 Mobilitätsemissionen im Vergleich</t>
  </si>
  <si>
    <t>3. Mobilität</t>
  </si>
  <si>
    <t xml:space="preserve">3.3 Mobilitätsemissionen </t>
  </si>
  <si>
    <t>3.2 Zurückgelegte Kilometer</t>
  </si>
  <si>
    <t>2. Gesamtemissionen / Daten für die Berichterstattung</t>
  </si>
  <si>
    <t>Für die Anzeige der Streckenangaben der einzelnen Verkehsmittel blenden Sie die Zeilen 140 bis 184 ein.</t>
  </si>
  <si>
    <t>Für die Anzeige der Emissionen der einzelnen Verkehsmittel blenden Sie die Zeilen 200 bis 244 ein. Dies ist auch erforderlich, wenn Sie alle vorgeschlagenen Diagramme nutzen wollen.</t>
  </si>
  <si>
    <t xml:space="preserve">      Den durchschnittlichen Verbrauch der Fahrzeuge in l/100km Diesel und Benzin können Sie bei Bedarf anpassen</t>
  </si>
  <si>
    <t>Daten der Institution</t>
  </si>
  <si>
    <t xml:space="preserve">"Flugzeug" (Bezugsjahre: 2016, 2017, 2018, 2019, 2021, 2022) </t>
  </si>
  <si>
    <t>Wärme (Biogas)</t>
  </si>
  <si>
    <t>Wärme: Emissionsfaktoren für die Berechnung der Emissionen des institutionseigenen BHKW (Carnot-Methode)</t>
  </si>
  <si>
    <t>Klimaschutzszenarien - Emissionen</t>
  </si>
  <si>
    <t>Referenzszenarien - Emissionen</t>
  </si>
  <si>
    <t>Klimaschutzszenarien - Verbräuche</t>
  </si>
  <si>
    <r>
      <rPr>
        <sz val="11"/>
        <color theme="10"/>
        <rFont val="Calibri"/>
        <family val="2"/>
        <scheme val="minor"/>
      </rPr>
      <t xml:space="preserve">   </t>
    </r>
    <r>
      <rPr>
        <u/>
        <sz val="11"/>
        <color theme="10"/>
        <rFont val="Calibri"/>
        <family val="2"/>
        <scheme val="minor"/>
      </rPr>
      <t>1. Mobilität (Liter in Kilometer)</t>
    </r>
  </si>
  <si>
    <r>
      <rPr>
        <sz val="11"/>
        <color theme="10"/>
        <rFont val="Calibri"/>
        <family val="2"/>
        <scheme val="minor"/>
      </rPr>
      <t xml:space="preserve">   </t>
    </r>
    <r>
      <rPr>
        <u/>
        <sz val="11"/>
        <color theme="10"/>
        <rFont val="Calibri"/>
        <family val="2"/>
        <scheme val="minor"/>
      </rPr>
      <t>2. Papier (Blatt in Kilogramm)</t>
    </r>
  </si>
  <si>
    <t>1. Mobilität (Liter in Kilometer)</t>
  </si>
  <si>
    <t>2. Papier (Blatt in Kilogramm)</t>
  </si>
  <si>
    <t>Zur Startseite</t>
  </si>
  <si>
    <r>
      <rPr>
        <sz val="11"/>
        <color theme="10"/>
        <rFont val="Calibri"/>
        <family val="2"/>
        <scheme val="minor"/>
      </rPr>
      <t xml:space="preserve">   </t>
    </r>
    <r>
      <rPr>
        <u/>
        <sz val="11"/>
        <color theme="10"/>
        <rFont val="Calibri"/>
        <family val="2"/>
        <scheme val="minor"/>
      </rPr>
      <t>2. Gesamtemissionen / Daten für die Berichterstattung</t>
    </r>
  </si>
  <si>
    <r>
      <rPr>
        <sz val="11"/>
        <color theme="10"/>
        <rFont val="Calibri"/>
        <family val="2"/>
        <scheme val="minor"/>
      </rPr>
      <t xml:space="preserve">      </t>
    </r>
    <r>
      <rPr>
        <u/>
        <sz val="11"/>
        <color theme="10"/>
        <rFont val="Calibri"/>
        <family val="2"/>
        <scheme val="minor"/>
      </rPr>
      <t>3.1 Mobilitätsemissionen im Vergleich</t>
    </r>
  </si>
  <si>
    <r>
      <rPr>
        <sz val="11"/>
        <color theme="10"/>
        <rFont val="Calibri"/>
        <family val="2"/>
        <scheme val="minor"/>
      </rPr>
      <t xml:space="preserve">      </t>
    </r>
    <r>
      <rPr>
        <u/>
        <sz val="11"/>
        <color theme="10"/>
        <rFont val="Calibri"/>
        <family val="2"/>
        <scheme val="minor"/>
      </rPr>
      <t>3.2 Zurückgelegte Kilometer</t>
    </r>
  </si>
  <si>
    <r>
      <rPr>
        <sz val="11"/>
        <color theme="10"/>
        <rFont val="Calibri"/>
        <family val="2"/>
        <scheme val="minor"/>
      </rPr>
      <t xml:space="preserve">      </t>
    </r>
    <r>
      <rPr>
        <u/>
        <sz val="11"/>
        <color theme="10"/>
        <rFont val="Calibri"/>
        <family val="2"/>
        <scheme val="minor"/>
      </rPr>
      <t>3.3 Mobilitätsemissionen</t>
    </r>
  </si>
  <si>
    <t>Referenzjahr:</t>
  </si>
  <si>
    <t>Startjahr der Zukunftsszenarien:</t>
  </si>
  <si>
    <t>Beispiel: Nur von der Institution finanzierte Outgoing-Studierendenreisen (d. h. ohne zusätzliche Fahrten für private Zwecke)</t>
  </si>
  <si>
    <t>Mobilitätssektor (Bsp., auch individuelle Namen möglich)</t>
  </si>
  <si>
    <t>Zur Dateneingabe der Verbräuche "Refsz-Verbräuche"</t>
  </si>
  <si>
    <t>Annahmen</t>
  </si>
  <si>
    <t>Ausgefüllt am:</t>
  </si>
  <si>
    <t xml:space="preserve"> = "Fahrrad" + "E-Bike"</t>
  </si>
  <si>
    <t>UBA ProBas 2021, https://www.probas.umweltbundesamt.de/php/prozessdetails.php?id=%7b4AA00B29-8EB5-4695-8CE9-FF98139D48F2%7d</t>
  </si>
  <si>
    <t>UBA ProBas 2021, https://www.probas.umweltbundesamt.de/php/prozessdetails.php?id={611FF321-CDF7-456E-B8AE-A3016C1163B4}</t>
  </si>
  <si>
    <t>"Recyclingfaser, integriert"</t>
  </si>
  <si>
    <t>UBA 2022, S. 37, Abb. 6: Ökobilanz von Graphik- und Hygienepapier, aufgerufen unter: https://www.umweltbundesamt.de/sites/default/files/medien/479/publikationen/texte_123-2022_aktualisierte_oekobilanz_von_grafik-_und_hygienepapier.pdf</t>
  </si>
  <si>
    <t>Mittelwert aus "Primärfaser, integriert" und ""Primärfaser, nicht integriert"</t>
  </si>
  <si>
    <t>UBA 2022, S. 53, Abb. 22: Ökobilanz von Graphik- und Hygienepapier, aufgerufen unter: https://www.umweltbundesamt.de/sites/default/files/medien/479/publikationen/texte_123-2022_aktualisierte_oekobilanz_von_grafik-_und_hygienepapier.pdf</t>
  </si>
  <si>
    <t>UBA 2018, 2020, 2022, 2024: Vergleich der durchschnittlichen Emissionen einzelner Verkehrsmittel im Personenverkehr in Deutschland gemäß TREMOD 5.72, 5.82, 6.03, 6.21, 6.51. https://www.umweltbundesamt.de/themen/verkehr/emissionsdaten#verkehrsmittelvergleich</t>
  </si>
  <si>
    <t>UBA 2024: Analyse der Umweltbilanz von Kraftfahrzeugen mit alternativen Antrieben oder Kraftstoffen auf dem Weg zu einem treibhausgasneutralen Verkehr. S. 103 f. und Anhang (Excel), aufgerufen unter: https://www.umweltbundesamt.de/sites/default/files/medien/11850/publikationen/13_2024_texte_analyse_der_umweltbilanz_von_kraftfahrzeugen_0.pdf sowie eigene Berechnungen gemäß der jährlichen Neuzulassungen (2018-2022) aufgerufen unter: https://www.dena.de/fileadmin/dena/Publikationen/PDFs/2022/dena-Monitoringbericht_Neuzulassungen_alternativer_Antriebe_in_Deutschland_2022.pdf S. 2</t>
  </si>
  <si>
    <t>"Kältemittel R22"</t>
  </si>
  <si>
    <t>"Kältemittel R134A"</t>
  </si>
  <si>
    <t>"Kältemittel R404A"</t>
  </si>
  <si>
    <t>"Kältemittel R410A"</t>
  </si>
  <si>
    <t>ifeu 2024: BISKO</t>
  </si>
  <si>
    <t>ifeu 2024: Kommunale Energie- und THG-Bilanzen, Tabellen zu den THG-Emissionsfaktoren</t>
  </si>
  <si>
    <t>UBA 2009: ProBas, https://data.probas.umweltbundesamt.de/datasetdetail/process.xhtml?uuid=1ec0f056-3e30-464c-81b0-527406e7703a&amp;version=02.44.152&amp;stock=PUBLIC&amp;lang=de</t>
  </si>
  <si>
    <t>UBA 2009: ProBas, https://data.probas.umweltbundesamt.de/datasetdetail/process.xhtml?uuid=7d10df19-e5fe-44e0-9157-620f1084bbf7&amp;version=02.44.152&amp;stock=PUBLIC&amp;lang=de</t>
  </si>
  <si>
    <t>ifeu Annahme für Endenergie Wärme "Sonstige erneuerbare Energieträger"</t>
  </si>
  <si>
    <t>ifeu Annahme für Endenergie Wärme "Sonstige konventionelle Energieträger"</t>
  </si>
  <si>
    <t>"Computer-Monitor"</t>
  </si>
  <si>
    <t>"Laptop"</t>
  </si>
  <si>
    <t>"Desktop-PC mit Monitor"</t>
  </si>
  <si>
    <t>"Fernwärme-Heizung-DE-[Jahr]-car" (Jahre: 2015, 2020, 2030, 2050)</t>
  </si>
  <si>
    <t>UBA et. al. 2013: Carbon Footprint - Ökoinstitut + IFEU: Carbon Footprint - Teilgutachten "Monitoring für den CO2-Ausstoß in der Logistikkette". Tabelle 6 S. 32 https://www.dslv.org/fileadmin/Redaktion/PDFs/07_Publikationen/Leitfaeden/DSLV-Leitfaden_Berechnung_von_THG-Emissionen_Stand_03-2013.pdf, S. 32</t>
  </si>
  <si>
    <t>UBA, et. al. 2020: Digitaler CO2-Fußabdruck, Tab. 5-1, https://www.oeko.de/fileadmin/oekodoc/Digitaler-CO2-Fussabdruck.pdf</t>
  </si>
  <si>
    <t>Kontakt</t>
  </si>
  <si>
    <t>Kernaufgaben</t>
  </si>
  <si>
    <t>Name</t>
  </si>
  <si>
    <t>Werden Angehörige der Institution (bspw. Studierende) in die Aktivitäten der Einheit eingebunden?</t>
  </si>
  <si>
    <t>Jährlicher Minderungs- faktor</t>
  </si>
  <si>
    <t xml:space="preserve">     Studierende (Wintersemester)</t>
  </si>
  <si>
    <r>
      <rPr>
        <sz val="11"/>
        <color theme="10"/>
        <rFont val="Calibri"/>
        <family val="2"/>
        <scheme val="minor"/>
      </rPr>
      <t xml:space="preserve">   </t>
    </r>
    <r>
      <rPr>
        <u/>
        <sz val="11"/>
        <color theme="10"/>
        <rFont val="Calibri"/>
        <family val="2"/>
        <scheme val="minor"/>
      </rPr>
      <t>1. Grunddaten</t>
    </r>
  </si>
  <si>
    <r>
      <rPr>
        <sz val="11"/>
        <color theme="10"/>
        <rFont val="Calibri"/>
        <family val="2"/>
        <scheme val="minor"/>
      </rPr>
      <t xml:space="preserve">     </t>
    </r>
    <r>
      <rPr>
        <u/>
        <sz val="11"/>
        <color theme="10"/>
        <rFont val="Calibri"/>
        <family val="2"/>
        <scheme val="minor"/>
      </rPr>
      <t>2.1 Carnot-Methode</t>
    </r>
  </si>
  <si>
    <r>
      <rPr>
        <sz val="11"/>
        <color theme="10"/>
        <rFont val="Calibri"/>
        <family val="2"/>
        <scheme val="minor"/>
      </rPr>
      <t xml:space="preserve">     </t>
    </r>
    <r>
      <rPr>
        <u/>
        <sz val="11"/>
        <color theme="10"/>
        <rFont val="Calibri"/>
        <family val="2"/>
        <scheme val="minor"/>
      </rPr>
      <t>2.2 Finnische Methode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</si>
</sst>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 _€_-;\-* #,##0.00\ _€_-;_-* &quot;-&quot;??\ _€_-;_-@_-"/>
    <numFmt numFmtId="164" formatCode="_-* #,##0_-;\-* #,##0_-;_-* &quot;-&quot;_-;_-@_-"/>
    <numFmt numFmtId="165" formatCode="_-* #,##0.00_-;\-* #,##0.00_-;_-* &quot;-&quot;??_-;_-@_-"/>
    <numFmt numFmtId="166" formatCode="#,##0.000"/>
    <numFmt numFmtId="167" formatCode="_-&quot;£&quot;* #,##0_-;\-&quot;£&quot;* #,##0_-;_-&quot;£&quot;* &quot;-&quot;_-;_-@_-"/>
    <numFmt numFmtId="168" formatCode="_-&quot;£&quot;* #,##0.00_-;\-&quot;£&quot;* #,##0.00_-;_-&quot;£&quot;* &quot;-&quot;??_-;_-@_-"/>
    <numFmt numFmtId="169" formatCode="0.000"/>
    <numFmt numFmtId="170" formatCode="_-[$€-2]* #,##0.00_-;\-[$€-2]* #,##0.00_-;_-[$€-2]* &quot;-&quot;??_-"/>
    <numFmt numFmtId="171" formatCode="[&gt;0.5]#,##0;[&lt;-0.5]\-#,##0;\-"/>
    <numFmt numFmtId="172" formatCode="_-* #,##0\ _F_-;\-* #,##0\ _F_-;_-* &quot;-&quot;\ _F_-;_-@_-"/>
    <numFmt numFmtId="173" formatCode="_-* #,##0.00\ _F_-;\-* #,##0.00\ _F_-;_-* &quot;-&quot;??\ _F_-;_-@_-"/>
    <numFmt numFmtId="174" formatCode="_-* #,##0\ &quot;F&quot;_-;\-* #,##0\ &quot;F&quot;_-;_-* &quot;-&quot;\ &quot;F&quot;_-;_-@_-"/>
    <numFmt numFmtId="175" formatCode="_-* #,##0.00\ &quot;F&quot;_-;\-* #,##0.00\ &quot;F&quot;_-;_-* &quot;-&quot;??\ &quot;F&quot;_-;_-@_-"/>
    <numFmt numFmtId="176" formatCode="###.0"/>
    <numFmt numFmtId="177" formatCode="##.0"/>
    <numFmt numFmtId="178" formatCode="#,###,##0"/>
    <numFmt numFmtId="179" formatCode="0.0000%"/>
  </numFmts>
  <fonts count="100" x14ac:knownFonts="1">
    <font>
      <sz val="11"/>
      <color theme="1"/>
      <name val="Calibri"/>
      <family val="2"/>
      <scheme val="minor"/>
    </font>
    <font>
      <b/>
      <sz val="11"/>
      <color theme="1"/>
      <name val="Calibri"/>
      <family val="2"/>
      <scheme val="minor"/>
    </font>
    <font>
      <u/>
      <sz val="11"/>
      <color theme="10"/>
      <name val="Calibri"/>
      <family val="2"/>
      <scheme val="minor"/>
    </font>
    <font>
      <b/>
      <sz val="12"/>
      <color theme="1"/>
      <name val="Calibri"/>
      <family val="2"/>
      <scheme val="minor"/>
    </font>
    <font>
      <sz val="11"/>
      <name val="Calibri"/>
      <family val="2"/>
      <scheme val="minor"/>
    </font>
    <font>
      <sz val="11"/>
      <color rgb="FFFF0000"/>
      <name val="Calibri"/>
      <family val="2"/>
      <scheme val="minor"/>
    </font>
    <font>
      <b/>
      <sz val="11"/>
      <color theme="0"/>
      <name val="Calibri"/>
      <family val="2"/>
      <scheme val="minor"/>
    </font>
    <font>
      <vertAlign val="subscript"/>
      <sz val="11"/>
      <color theme="1"/>
      <name val="Calibri"/>
      <family val="2"/>
      <scheme val="minor"/>
    </font>
    <font>
      <sz val="8"/>
      <name val="Calibri"/>
      <family val="2"/>
      <scheme val="minor"/>
    </font>
    <font>
      <sz val="11"/>
      <color theme="1"/>
      <name val="Calibri"/>
      <family val="2"/>
      <scheme val="minor"/>
    </font>
    <font>
      <sz val="18"/>
      <color theme="3"/>
      <name val="Calibri Light"/>
      <family val="2"/>
      <scheme val="major"/>
    </font>
    <font>
      <sz val="11"/>
      <color rgb="FF006100"/>
      <name val="Calibri"/>
      <family val="2"/>
      <scheme val="minor"/>
    </font>
    <font>
      <sz val="11"/>
      <color rgb="FF9C0006"/>
      <name val="Calibri"/>
      <family val="2"/>
      <scheme val="minor"/>
    </font>
    <font>
      <sz val="11"/>
      <color rgb="FF9C5700"/>
      <name val="Calibri"/>
      <family val="2"/>
      <scheme val="minor"/>
    </font>
    <font>
      <sz val="11"/>
      <color theme="0"/>
      <name val="Calibri"/>
      <family val="2"/>
      <scheme val="minor"/>
    </font>
    <font>
      <sz val="10"/>
      <color theme="1"/>
      <name val="Arial"/>
      <family val="2"/>
    </font>
    <font>
      <sz val="10"/>
      <name val="Arial"/>
      <family val="2"/>
    </font>
    <font>
      <u/>
      <sz val="11"/>
      <color indexed="12"/>
      <name val="Calibri"/>
      <family val="2"/>
    </font>
    <font>
      <sz val="10"/>
      <color theme="9" tint="-0.499984740745262"/>
      <name val="Arial"/>
      <family val="2"/>
    </font>
    <font>
      <i/>
      <sz val="10"/>
      <color rgb="FFFF0000"/>
      <name val="Arial"/>
      <family val="2"/>
    </font>
    <font>
      <u/>
      <sz val="10"/>
      <color theme="11"/>
      <name val="Arial"/>
      <family val="2"/>
    </font>
    <font>
      <u/>
      <sz val="11"/>
      <color theme="10"/>
      <name val="Calibri"/>
      <family val="2"/>
    </font>
    <font>
      <b/>
      <sz val="10"/>
      <color theme="0"/>
      <name val="Arial"/>
      <family val="2"/>
    </font>
    <font>
      <sz val="11"/>
      <color rgb="FF002060"/>
      <name val="Calibri"/>
      <family val="2"/>
      <scheme val="minor"/>
    </font>
    <font>
      <sz val="11"/>
      <color theme="1"/>
      <name val="Arial"/>
      <family val="2"/>
    </font>
    <font>
      <b/>
      <sz val="12"/>
      <name val="Helv"/>
    </font>
    <font>
      <sz val="12"/>
      <color indexed="10"/>
      <name val="Arial"/>
      <family val="2"/>
    </font>
    <font>
      <b/>
      <sz val="18"/>
      <color indexed="56"/>
      <name val="Cambria"/>
      <family val="2"/>
    </font>
    <font>
      <sz val="8"/>
      <name val="Helv"/>
    </font>
    <font>
      <sz val="11"/>
      <color indexed="8"/>
      <name val="Arial"/>
      <family val="2"/>
    </font>
    <font>
      <i/>
      <sz val="12"/>
      <name val="Times New Roman"/>
      <family val="1"/>
    </font>
    <font>
      <b/>
      <sz val="12"/>
      <color indexed="8"/>
      <name val="Arial"/>
      <family val="2"/>
    </font>
    <font>
      <u/>
      <sz val="10"/>
      <color indexed="12"/>
      <name val="Arial"/>
      <family val="2"/>
    </font>
    <font>
      <b/>
      <sz val="10"/>
      <color indexed="18"/>
      <name val="Arial"/>
      <family val="2"/>
    </font>
    <font>
      <sz val="12"/>
      <color indexed="62"/>
      <name val="Arial"/>
      <family val="2"/>
    </font>
    <font>
      <b/>
      <sz val="13"/>
      <color indexed="56"/>
      <name val="Arial"/>
      <family val="2"/>
    </font>
    <font>
      <sz val="12"/>
      <color indexed="8"/>
      <name val="Arial"/>
      <family val="2"/>
    </font>
    <font>
      <i/>
      <sz val="12"/>
      <color indexed="23"/>
      <name val="Arial"/>
      <family val="2"/>
    </font>
    <font>
      <sz val="14"/>
      <name val="Arial"/>
      <family val="2"/>
    </font>
    <font>
      <b/>
      <sz val="14"/>
      <name val="Helv"/>
    </font>
    <font>
      <sz val="12"/>
      <color indexed="17"/>
      <name val="Arial"/>
      <family val="2"/>
    </font>
    <font>
      <b/>
      <sz val="12"/>
      <color indexed="63"/>
      <name val="Arial"/>
      <family val="2"/>
    </font>
    <font>
      <b/>
      <sz val="9"/>
      <name val="Times New Roman"/>
      <family val="1"/>
    </font>
    <font>
      <sz val="12"/>
      <color indexed="20"/>
      <name val="Arial"/>
      <family val="2"/>
    </font>
    <font>
      <sz val="12"/>
      <color indexed="60"/>
      <name val="Arial"/>
      <family val="2"/>
    </font>
    <font>
      <b/>
      <sz val="12"/>
      <color indexed="9"/>
      <name val="Arial"/>
      <family val="2"/>
    </font>
    <font>
      <sz val="9"/>
      <name val="Times New Roman"/>
      <family val="1"/>
    </font>
    <font>
      <b/>
      <sz val="12"/>
      <color indexed="12"/>
      <name val="Arial"/>
      <family val="2"/>
    </font>
    <font>
      <b/>
      <sz val="12"/>
      <color indexed="52"/>
      <name val="Arial"/>
      <family val="2"/>
    </font>
    <font>
      <sz val="12"/>
      <color indexed="9"/>
      <name val="Arial"/>
      <family val="2"/>
    </font>
    <font>
      <sz val="10"/>
      <name val="Arial Cyr"/>
      <charset val="204"/>
    </font>
    <font>
      <sz val="12"/>
      <color indexed="52"/>
      <name val="Arial"/>
      <family val="2"/>
    </font>
    <font>
      <b/>
      <sz val="10"/>
      <color indexed="8"/>
      <name val="Arial"/>
      <family val="2"/>
    </font>
    <font>
      <b/>
      <sz val="15"/>
      <color indexed="56"/>
      <name val="Arial"/>
      <family val="2"/>
    </font>
    <font>
      <b/>
      <sz val="11"/>
      <color indexed="56"/>
      <name val="Arial"/>
      <family val="2"/>
    </font>
    <font>
      <sz val="10"/>
      <name val="Times New Roman"/>
      <family val="1"/>
    </font>
    <font>
      <u/>
      <sz val="10"/>
      <color theme="10"/>
      <name val="Arial"/>
      <family val="2"/>
    </font>
    <font>
      <b/>
      <sz val="14"/>
      <color theme="1"/>
      <name val="Calibri"/>
      <family val="2"/>
      <scheme val="minor"/>
    </font>
    <font>
      <sz val="11"/>
      <color theme="0" tint="-0.499984740745262"/>
      <name val="Calibri"/>
      <family val="2"/>
      <scheme val="minor"/>
    </font>
    <font>
      <sz val="10"/>
      <color indexed="8"/>
      <name val="Arial"/>
      <family val="2"/>
    </font>
    <font>
      <sz val="11"/>
      <color theme="9" tint="-0.499984740745262"/>
      <name val="Calibri"/>
      <family val="2"/>
      <scheme val="minor"/>
    </font>
    <font>
      <b/>
      <sz val="11"/>
      <name val="Calibri"/>
      <family val="2"/>
      <scheme val="minor"/>
    </font>
    <font>
      <u/>
      <sz val="11"/>
      <color rgb="FF00B050"/>
      <name val="Calibri"/>
      <family val="2"/>
      <scheme val="minor"/>
    </font>
    <font>
      <u/>
      <sz val="11"/>
      <color rgb="FF7030A0"/>
      <name val="Calibri"/>
      <family val="2"/>
      <scheme val="minor"/>
    </font>
    <font>
      <sz val="11"/>
      <color rgb="FF7030A0"/>
      <name val="Calibri"/>
      <family val="2"/>
      <scheme val="minor"/>
    </font>
    <font>
      <i/>
      <sz val="11"/>
      <color theme="1"/>
      <name val="Calibri"/>
      <family val="2"/>
      <scheme val="minor"/>
    </font>
    <font>
      <sz val="11"/>
      <color theme="5" tint="-0.249977111117893"/>
      <name val="Calibri"/>
      <family val="2"/>
      <scheme val="minor"/>
    </font>
    <font>
      <b/>
      <sz val="12"/>
      <color rgb="FFFF0000"/>
      <name val="Calibri"/>
      <family val="2"/>
      <scheme val="minor"/>
    </font>
    <font>
      <sz val="11"/>
      <color theme="7" tint="-0.499984740745262"/>
      <name val="Calibri"/>
      <family val="2"/>
      <scheme val="minor"/>
    </font>
    <font>
      <b/>
      <sz val="11"/>
      <color theme="5" tint="-0.249977111117893"/>
      <name val="Calibri"/>
      <family val="2"/>
      <scheme val="minor"/>
    </font>
    <font>
      <b/>
      <sz val="11"/>
      <color theme="7" tint="-0.499984740745262"/>
      <name val="Calibri"/>
      <family val="2"/>
      <scheme val="minor"/>
    </font>
    <font>
      <b/>
      <sz val="11"/>
      <color rgb="FF7030A0"/>
      <name val="Calibri"/>
      <family val="2"/>
      <scheme val="minor"/>
    </font>
    <font>
      <b/>
      <sz val="11"/>
      <color rgb="FFFF0000"/>
      <name val="Calibri"/>
      <family val="2"/>
      <scheme val="minor"/>
    </font>
    <font>
      <sz val="12"/>
      <color theme="1"/>
      <name val="Calibri"/>
      <family val="2"/>
      <scheme val="minor"/>
    </font>
    <font>
      <vertAlign val="subscript"/>
      <sz val="11"/>
      <color indexed="8"/>
      <name val="Calibri"/>
      <family val="2"/>
    </font>
    <font>
      <sz val="9"/>
      <color indexed="81"/>
      <name val="Segoe UI"/>
      <family val="2"/>
    </font>
    <font>
      <b/>
      <sz val="9"/>
      <color indexed="81"/>
      <name val="Segoe UI"/>
      <family val="2"/>
    </font>
    <font>
      <b/>
      <sz val="14"/>
      <name val="Calibri"/>
      <family val="2"/>
      <scheme val="minor"/>
    </font>
    <font>
      <b/>
      <sz val="12"/>
      <name val="Calibri"/>
      <family val="2"/>
      <scheme val="minor"/>
    </font>
    <font>
      <sz val="12"/>
      <name val="Calibri"/>
      <family val="2"/>
      <scheme val="minor"/>
    </font>
    <font>
      <b/>
      <sz val="8"/>
      <color indexed="81"/>
      <name val="Tahoma"/>
      <family val="2"/>
    </font>
    <font>
      <sz val="8"/>
      <color indexed="81"/>
      <name val="Tahoma"/>
      <family val="2"/>
    </font>
    <font>
      <sz val="12"/>
      <color theme="1" tint="4.9989318521683403E-2"/>
      <name val="Calibri"/>
      <family val="2"/>
      <scheme val="minor"/>
    </font>
    <font>
      <sz val="8"/>
      <name val="Calibri"/>
      <family val="2"/>
    </font>
    <font>
      <sz val="12"/>
      <name val="Calibri"/>
      <family val="2"/>
    </font>
    <font>
      <vertAlign val="subscript"/>
      <sz val="12"/>
      <name val="Calibri"/>
      <family val="2"/>
    </font>
    <font>
      <b/>
      <sz val="8"/>
      <name val="Calibri"/>
      <family val="2"/>
    </font>
    <font>
      <b/>
      <sz val="12"/>
      <name val="Calibri"/>
      <family val="2"/>
    </font>
    <font>
      <b/>
      <sz val="9"/>
      <color indexed="81"/>
      <name val="Tahoma"/>
      <family val="2"/>
    </font>
    <font>
      <sz val="9"/>
      <color indexed="81"/>
      <name val="Tahoma"/>
      <family val="2"/>
    </font>
    <font>
      <b/>
      <sz val="16"/>
      <color theme="1"/>
      <name val="Calibri"/>
      <family val="2"/>
      <scheme val="minor"/>
    </font>
    <font>
      <sz val="11"/>
      <color theme="7" tint="-0.249977111117893"/>
      <name val="Calibri"/>
      <family val="2"/>
      <scheme val="minor"/>
    </font>
    <font>
      <sz val="11"/>
      <color rgb="FF000000"/>
      <name val="Calibri"/>
      <family val="2"/>
      <scheme val="minor"/>
    </font>
    <font>
      <i/>
      <sz val="11"/>
      <color rgb="FF000000"/>
      <name val="Calibri"/>
      <family val="2"/>
      <scheme val="minor"/>
    </font>
    <font>
      <b/>
      <sz val="12"/>
      <color theme="0"/>
      <name val="Calibri"/>
      <family val="2"/>
      <scheme val="minor"/>
    </font>
    <font>
      <sz val="11"/>
      <color theme="10"/>
      <name val="Calibri"/>
      <family val="2"/>
      <scheme val="minor"/>
    </font>
    <font>
      <b/>
      <sz val="8"/>
      <color theme="1"/>
      <name val="Calibri"/>
      <family val="2"/>
      <scheme val="minor"/>
    </font>
    <font>
      <sz val="12"/>
      <color theme="0"/>
      <name val="Calibri"/>
      <family val="2"/>
      <scheme val="minor"/>
    </font>
    <font>
      <sz val="8"/>
      <color rgb="FF000000"/>
      <name val="Segoe UI"/>
      <family val="2"/>
    </font>
    <font>
      <u/>
      <sz val="11"/>
      <color theme="5"/>
      <name val="Calibri"/>
      <family val="2"/>
      <scheme val="minor"/>
    </font>
  </fonts>
  <fills count="74">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4"/>
        <bgColor theme="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99FF"/>
        <bgColor indexed="64"/>
      </patternFill>
    </fill>
    <fill>
      <patternFill patternType="solid">
        <fgColor theme="7" tint="0.39997558519241921"/>
        <bgColor rgb="FF000000"/>
      </patternFill>
    </fill>
    <fill>
      <patternFill patternType="solid">
        <fgColor rgb="FFFFFF99"/>
        <bgColor indexed="64"/>
      </patternFill>
    </fill>
    <fill>
      <patternFill patternType="solid">
        <fgColor rgb="FF92D050"/>
        <bgColor indexed="64"/>
      </patternFill>
    </fill>
    <fill>
      <patternFill patternType="solid">
        <fgColor rgb="FF002060"/>
        <bgColor indexed="64"/>
      </patternFill>
    </fill>
    <fill>
      <patternFill patternType="solid">
        <fgColor theme="4" tint="0.79998168889431442"/>
        <bgColor rgb="FF000000"/>
      </patternFill>
    </fill>
    <fill>
      <patternFill patternType="solid">
        <fgColor rgb="FFFFFF99"/>
        <bgColor rgb="FF000000"/>
      </patternFill>
    </fill>
    <fill>
      <patternFill patternType="solid">
        <fgColor indexed="45"/>
        <bgColor indexed="64"/>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51"/>
        <bgColor indexed="64"/>
      </patternFill>
    </fill>
    <fill>
      <patternFill patternType="solid">
        <fgColor indexed="44"/>
        <bgColor indexed="64"/>
      </patternFill>
    </fill>
    <fill>
      <patternFill patternType="solid">
        <fgColor indexed="57"/>
        <bgColor indexed="64"/>
      </patternFill>
    </fill>
    <fill>
      <patternFill patternType="solid">
        <fgColor indexed="11"/>
        <bgColor indexed="64"/>
      </patternFill>
    </fill>
    <fill>
      <patternFill patternType="solid">
        <fgColor indexed="31"/>
        <bgColor indexed="64"/>
      </patternFill>
    </fill>
    <fill>
      <patternFill patternType="solid">
        <fgColor indexed="52"/>
        <bgColor indexed="64"/>
      </patternFill>
    </fill>
    <fill>
      <patternFill patternType="solid">
        <fgColor indexed="47"/>
        <bgColor indexed="64"/>
      </patternFill>
    </fill>
    <fill>
      <patternFill patternType="solid">
        <fgColor indexed="27"/>
        <bgColor indexed="64"/>
      </patternFill>
    </fill>
    <fill>
      <patternFill patternType="solid">
        <fgColor indexed="55"/>
        <bgColor indexed="64"/>
      </patternFill>
    </fill>
    <fill>
      <patternFill patternType="solid">
        <fgColor indexed="29"/>
        <bgColor indexed="64"/>
      </patternFill>
    </fill>
    <fill>
      <patternFill patternType="solid">
        <fgColor indexed="30"/>
        <bgColor indexed="64"/>
      </patternFill>
    </fill>
    <fill>
      <patternFill patternType="solid">
        <fgColor indexed="36"/>
        <bgColor indexed="64"/>
      </patternFill>
    </fill>
    <fill>
      <patternFill patternType="solid">
        <fgColor indexed="62"/>
        <bgColor indexed="64"/>
      </patternFill>
    </fill>
    <fill>
      <patternFill patternType="solid">
        <fgColor indexed="10"/>
        <bgColor indexed="64"/>
      </patternFill>
    </fill>
    <fill>
      <patternFill patternType="solid">
        <fgColor indexed="46"/>
        <bgColor indexed="64"/>
      </patternFill>
    </fill>
    <fill>
      <patternFill patternType="solid">
        <fgColor indexed="26"/>
        <bgColor indexed="64"/>
      </patternFill>
    </fill>
    <fill>
      <patternFill patternType="gray0625">
        <fgColor indexed="9"/>
      </patternFill>
    </fill>
    <fill>
      <patternFill patternType="solid">
        <fgColor indexed="53"/>
        <bgColor indexed="64"/>
      </patternFill>
    </fill>
    <fill>
      <patternFill patternType="solid">
        <fgColor indexed="49"/>
        <bgColor indexed="64"/>
      </patternFill>
    </fill>
    <fill>
      <patternFill patternType="lightGray">
        <fgColor indexed="9"/>
      </patternFill>
    </fill>
    <fill>
      <patternFill patternType="darkDown">
        <bgColor rgb="FFD9D9D9"/>
      </patternFill>
    </fill>
    <fill>
      <patternFill patternType="solid">
        <fgColor theme="4" tint="0.79998168889431442"/>
        <bgColor theme="4" tint="0.79998168889431442"/>
      </patternFill>
    </fill>
    <fill>
      <patternFill patternType="solid">
        <fgColor theme="2"/>
        <bgColor theme="4" tint="0.79998168889431442"/>
      </patternFill>
    </fill>
    <fill>
      <patternFill patternType="solid">
        <fgColor rgb="FFFFC000"/>
        <bgColor theme="4" tint="0.79998168889431442"/>
      </patternFill>
    </fill>
    <fill>
      <patternFill patternType="solid">
        <fgColor rgb="FFA7C539"/>
        <bgColor indexed="64"/>
      </patternFill>
    </fill>
    <fill>
      <patternFill patternType="solid">
        <fgColor rgb="FFA7C539"/>
        <bgColor theme="4" tint="0.79998168889431442"/>
      </patternFill>
    </fill>
    <fill>
      <patternFill patternType="solid">
        <fgColor theme="0" tint="-0.14999847407452621"/>
        <bgColor indexed="64"/>
      </patternFill>
    </fill>
    <fill>
      <patternFill patternType="solid">
        <fgColor theme="0" tint="-0.499984740745262"/>
        <bgColor indexed="64"/>
      </patternFill>
    </fill>
    <fill>
      <patternFill patternType="solid">
        <fgColor theme="4"/>
        <bgColor indexed="64"/>
      </patternFill>
    </fill>
  </fills>
  <borders count="4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FBFBF"/>
      </left>
      <right style="thin">
        <color rgb="FFBFBFBF"/>
      </right>
      <top style="thin">
        <color rgb="FFBFBFBF"/>
      </top>
      <bottom style="thin">
        <color rgb="FFBFBFBF"/>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rgb="FF053D5F"/>
      </left>
      <right style="thin">
        <color rgb="FF053D5F"/>
      </right>
      <top style="thin">
        <color rgb="FF053D5F"/>
      </top>
      <bottom style="thin">
        <color rgb="FF053D5F"/>
      </bottom>
      <diagonal/>
    </border>
    <border>
      <left style="thin">
        <color indexed="64"/>
      </left>
      <right style="thin">
        <color indexed="64"/>
      </right>
      <top/>
      <bottom style="thin">
        <color indexed="6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diagonal/>
    </border>
    <border>
      <left/>
      <right/>
      <top/>
      <bottom style="thin">
        <color theme="4" tint="0.39997558519241921"/>
      </bottom>
      <diagonal/>
    </border>
    <border>
      <left/>
      <right style="thin">
        <color theme="4" tint="0.39997558519241921"/>
      </right>
      <top/>
      <bottom style="thin">
        <color theme="4" tint="0.39997558519241921"/>
      </bottom>
      <diagonal/>
    </border>
    <border>
      <left/>
      <right style="thin">
        <color theme="4" tint="0.39997558519241921"/>
      </right>
      <top style="thin">
        <color theme="4" tint="0.3999755851924192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4" tint="0.39997558519241921"/>
      </left>
      <right/>
      <top/>
      <bottom style="thin">
        <color theme="4" tint="0.39997558519241921"/>
      </bottom>
      <diagonal/>
    </border>
    <border>
      <left/>
      <right/>
      <top/>
      <bottom style="thin">
        <color theme="4"/>
      </bottom>
      <diagonal/>
    </border>
    <border>
      <left/>
      <right/>
      <top style="thin">
        <color theme="4"/>
      </top>
      <bottom style="thin">
        <color theme="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s>
  <cellStyleXfs count="357">
    <xf numFmtId="4" fontId="0" fillId="0" borderId="0"/>
    <xf numFmtId="0" fontId="2" fillId="0" borderId="0" applyNumberFormat="0" applyFill="0" applyBorder="0" applyAlignment="0" applyProtection="0"/>
    <xf numFmtId="0" fontId="10" fillId="0" borderId="0" applyNumberFormat="0" applyFill="0" applyBorder="0" applyAlignment="0" applyProtection="0"/>
    <xf numFmtId="0" fontId="11" fillId="5" borderId="0" applyNumberFormat="0" applyBorder="0" applyAlignment="0" applyProtection="0"/>
    <xf numFmtId="0" fontId="12" fillId="6" borderId="0" applyNumberFormat="0" applyBorder="0" applyAlignment="0" applyProtection="0"/>
    <xf numFmtId="0" fontId="13" fillId="7" borderId="0" applyNumberFormat="0" applyBorder="0" applyAlignment="0" applyProtection="0"/>
    <xf numFmtId="0" fontId="6" fillId="8" borderId="2" applyNumberFormat="0" applyAlignment="0" applyProtection="0"/>
    <xf numFmtId="0" fontId="14"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14"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14"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14" fillId="22"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14"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14"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15" fillId="0" borderId="0"/>
    <xf numFmtId="0" fontId="18" fillId="35" borderId="7" applyNumberFormat="0" applyProtection="0">
      <alignment vertical="center"/>
    </xf>
    <xf numFmtId="165" fontId="15" fillId="0" borderId="0" applyFont="0" applyFill="0" applyBorder="0" applyAlignment="0" applyProtection="0"/>
    <xf numFmtId="0" fontId="19" fillId="0" borderId="0" applyNumberFormat="0" applyFill="0" applyBorder="0" applyAlignment="0" applyProtection="0"/>
    <xf numFmtId="0" fontId="17"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9" fillId="0" borderId="0"/>
    <xf numFmtId="0" fontId="9" fillId="0" borderId="0"/>
    <xf numFmtId="0" fontId="16" fillId="0" borderId="0"/>
    <xf numFmtId="0" fontId="15" fillId="0" borderId="0"/>
    <xf numFmtId="0" fontId="16" fillId="39" borderId="10" applyNumberFormat="0" applyProtection="0">
      <alignment vertical="center"/>
    </xf>
    <xf numFmtId="0" fontId="41" fillId="43" borderId="13" applyNumberFormat="0" applyAlignment="0" applyProtection="0"/>
    <xf numFmtId="0" fontId="9" fillId="0" borderId="0"/>
    <xf numFmtId="0" fontId="16" fillId="34" borderId="6" applyNumberFormat="0" applyAlignment="0" applyProtection="0"/>
    <xf numFmtId="165" fontId="15" fillId="0" borderId="0" applyFont="0" applyFill="0" applyBorder="0" applyAlignment="0" applyProtection="0"/>
    <xf numFmtId="0" fontId="20" fillId="0" borderId="0" applyNumberFormat="0" applyFill="0" applyBorder="0" applyAlignment="0" applyProtection="0"/>
    <xf numFmtId="0" fontId="16" fillId="36" borderId="1" applyNumberFormat="0" applyBorder="0" applyAlignment="0" applyProtection="0"/>
    <xf numFmtId="0" fontId="16" fillId="40" borderId="0">
      <alignment vertical="center"/>
    </xf>
    <xf numFmtId="0" fontId="16" fillId="37" borderId="8" applyNumberFormat="0" applyAlignment="0" applyProtection="0"/>
    <xf numFmtId="0" fontId="15" fillId="9" borderId="3" applyNumberFormat="0" applyFont="0" applyAlignment="0" applyProtection="0"/>
    <xf numFmtId="0" fontId="22" fillId="38" borderId="9" applyNumberFormat="0" applyAlignment="0" applyProtection="0"/>
    <xf numFmtId="9" fontId="24" fillId="0" borderId="0" applyFont="0" applyFill="0" applyBorder="0" applyAlignment="0" applyProtection="0"/>
    <xf numFmtId="0" fontId="44" fillId="42" borderId="0" applyNumberFormat="0" applyBorder="0" applyAlignment="0" applyProtection="0"/>
    <xf numFmtId="0" fontId="22" fillId="3" borderId="0" applyNumberFormat="0" applyBorder="0" applyAlignment="0" applyProtection="0"/>
    <xf numFmtId="0" fontId="39" fillId="0" borderId="0">
      <alignment horizontal="left" vertical="top"/>
    </xf>
    <xf numFmtId="0" fontId="28" fillId="0" borderId="0">
      <alignment horizontal="left"/>
    </xf>
    <xf numFmtId="13" fontId="16" fillId="0" borderId="0" applyFont="0" applyFill="0" applyProtection="0"/>
    <xf numFmtId="0" fontId="32" fillId="0" borderId="0" applyNumberFormat="0" applyFill="0" applyBorder="0" applyAlignment="0" applyProtection="0">
      <alignment vertical="top"/>
      <protection locked="0"/>
    </xf>
    <xf numFmtId="0" fontId="36" fillId="41" borderId="0" applyNumberFormat="0" applyBorder="0" applyAlignment="0" applyProtection="0"/>
    <xf numFmtId="0" fontId="36" fillId="45" borderId="0" applyNumberFormat="0" applyBorder="0" applyAlignment="0" applyProtection="0"/>
    <xf numFmtId="0" fontId="9" fillId="0" borderId="0"/>
    <xf numFmtId="0" fontId="49" fillId="47" borderId="0" applyNumberFormat="0" applyBorder="0" applyAlignment="0" applyProtection="0"/>
    <xf numFmtId="0" fontId="49" fillId="48" borderId="0" applyNumberFormat="0" applyBorder="0" applyAlignment="0" applyProtection="0"/>
    <xf numFmtId="0" fontId="36" fillId="49" borderId="0" applyNumberFormat="0" applyBorder="0" applyAlignment="0" applyProtection="0"/>
    <xf numFmtId="0" fontId="36" fillId="48" borderId="0" applyNumberFormat="0" applyBorder="0" applyAlignment="0" applyProtection="0"/>
    <xf numFmtId="0" fontId="49" fillId="50" borderId="0" applyNumberFormat="0" applyBorder="0" applyAlignment="0" applyProtection="0"/>
    <xf numFmtId="0" fontId="24" fillId="0" borderId="0"/>
    <xf numFmtId="0" fontId="36" fillId="46" borderId="0" applyNumberFormat="0" applyBorder="0" applyAlignment="0" applyProtection="0"/>
    <xf numFmtId="0" fontId="31" fillId="0" borderId="14" applyNumberFormat="0" applyFill="0" applyAlignment="0" applyProtection="0"/>
    <xf numFmtId="176" fontId="16" fillId="0" borderId="0" applyFont="0" applyFill="0" applyBorder="0" applyAlignment="0" applyProtection="0">
      <alignment horizontal="left"/>
    </xf>
    <xf numFmtId="9" fontId="24" fillId="0" borderId="0" applyFont="0" applyFill="0" applyBorder="0" applyAlignment="0" applyProtection="0"/>
    <xf numFmtId="0" fontId="48" fillId="43" borderId="15" applyNumberFormat="0" applyAlignment="0" applyProtection="0"/>
    <xf numFmtId="0" fontId="36" fillId="44" borderId="0" applyNumberFormat="0" applyBorder="0" applyAlignment="0" applyProtection="0"/>
    <xf numFmtId="0" fontId="36" fillId="41" borderId="0" applyNumberFormat="0" applyBorder="0" applyAlignment="0" applyProtection="0"/>
    <xf numFmtId="0" fontId="16" fillId="0" borderId="0"/>
    <xf numFmtId="0" fontId="54" fillId="0" borderId="0" applyNumberFormat="0" applyFill="0" applyBorder="0" applyAlignment="0" applyProtection="0"/>
    <xf numFmtId="0" fontId="36" fillId="44" borderId="0" applyNumberFormat="0" applyBorder="0" applyAlignment="0" applyProtection="0"/>
    <xf numFmtId="0" fontId="48" fillId="43" borderId="15" applyNumberFormat="0" applyAlignment="0" applyProtection="0"/>
    <xf numFmtId="4" fontId="46" fillId="0" borderId="5">
      <alignment horizontal="right" vertical="center"/>
    </xf>
    <xf numFmtId="0" fontId="16" fillId="51" borderId="0" applyNumberFormat="0" applyFont="0" applyBorder="0" applyAlignment="0"/>
    <xf numFmtId="0" fontId="9" fillId="0" borderId="0"/>
    <xf numFmtId="177" fontId="16" fillId="0" borderId="0" applyFont="0" applyFill="0" applyBorder="0" applyAlignment="0" applyProtection="0">
      <alignment horizontal="left"/>
    </xf>
    <xf numFmtId="0" fontId="9" fillId="0" borderId="0"/>
    <xf numFmtId="0" fontId="36" fillId="52" borderId="0" applyNumberFormat="0" applyBorder="0" applyAlignment="0" applyProtection="0"/>
    <xf numFmtId="0" fontId="46" fillId="53" borderId="4"/>
    <xf numFmtId="0" fontId="24" fillId="0" borderId="0"/>
    <xf numFmtId="9" fontId="9" fillId="0" borderId="0" applyFont="0" applyFill="0" applyBorder="0" applyAlignment="0" applyProtection="0"/>
    <xf numFmtId="0" fontId="34" fillId="51" borderId="15" applyNumberFormat="0" applyAlignment="0" applyProtection="0"/>
    <xf numFmtId="0" fontId="36" fillId="54" borderId="0" applyNumberFormat="0" applyBorder="0" applyAlignment="0" applyProtection="0"/>
    <xf numFmtId="0" fontId="9" fillId="0" borderId="0"/>
    <xf numFmtId="177" fontId="16" fillId="0" borderId="0" applyFont="0" applyFill="0" applyBorder="0" applyAlignment="0" applyProtection="0">
      <alignment horizontal="left"/>
    </xf>
    <xf numFmtId="0" fontId="36" fillId="48" borderId="0" applyNumberFormat="0" applyBorder="0" applyAlignment="0" applyProtection="0"/>
    <xf numFmtId="9" fontId="24" fillId="0" borderId="0" applyFont="0" applyFill="0" applyBorder="0" applyAlignment="0" applyProtection="0"/>
    <xf numFmtId="0" fontId="49" fillId="55" borderId="0" applyNumberFormat="0" applyBorder="0" applyAlignment="0" applyProtection="0"/>
    <xf numFmtId="165" fontId="16" fillId="0" borderId="0" applyFont="0" applyFill="0" applyBorder="0" applyAlignment="0" applyProtection="0"/>
    <xf numFmtId="168" fontId="16" fillId="0" borderId="0" applyFont="0" applyFill="0" applyBorder="0" applyAlignment="0" applyProtection="0"/>
    <xf numFmtId="0" fontId="49" fillId="56" borderId="0" applyNumberFormat="0" applyBorder="0" applyAlignment="0" applyProtection="0"/>
    <xf numFmtId="0" fontId="36" fillId="46" borderId="0" applyNumberFormat="0" applyBorder="0" applyAlignment="0" applyProtection="0"/>
    <xf numFmtId="49" fontId="16" fillId="0" borderId="0" applyFill="0" applyBorder="0" applyProtection="0">
      <alignment horizontal="left"/>
    </xf>
    <xf numFmtId="164" fontId="16" fillId="0" borderId="0" applyFont="0" applyFill="0" applyBorder="0" applyAlignment="0" applyProtection="0"/>
    <xf numFmtId="0" fontId="49" fillId="57" borderId="0" applyNumberFormat="0" applyBorder="0" applyAlignment="0" applyProtection="0"/>
    <xf numFmtId="0" fontId="40" fillId="44" borderId="0" applyNumberFormat="0" applyBorder="0" applyAlignment="0" applyProtection="0"/>
    <xf numFmtId="0" fontId="16" fillId="0" borderId="0"/>
    <xf numFmtId="0" fontId="36" fillId="45" borderId="0" applyNumberFormat="0" applyBorder="0" applyAlignment="0" applyProtection="0"/>
    <xf numFmtId="165" fontId="9" fillId="0" borderId="0" applyFont="0" applyFill="0" applyBorder="0" applyAlignment="0" applyProtection="0"/>
    <xf numFmtId="0" fontId="49" fillId="58" borderId="0" applyNumberFormat="0" applyBorder="0" applyAlignment="0" applyProtection="0"/>
    <xf numFmtId="0" fontId="9" fillId="0" borderId="0"/>
    <xf numFmtId="0" fontId="36" fillId="45" borderId="0" applyNumberFormat="0" applyBorder="0" applyAlignment="0" applyProtection="0"/>
    <xf numFmtId="0" fontId="41" fillId="43" borderId="13" applyNumberFormat="0" applyAlignment="0" applyProtection="0"/>
    <xf numFmtId="0" fontId="36" fillId="59" borderId="0" applyNumberFormat="0" applyBorder="0" applyAlignment="0" applyProtection="0"/>
    <xf numFmtId="0" fontId="34" fillId="51" borderId="15" applyNumberFormat="0" applyAlignment="0" applyProtection="0"/>
    <xf numFmtId="0" fontId="45" fillId="53" borderId="16" applyNumberFormat="0" applyAlignment="0" applyProtection="0"/>
    <xf numFmtId="169" fontId="16" fillId="0" borderId="0" applyFont="0" applyFill="0" applyBorder="0" applyAlignment="0" applyProtection="0">
      <alignment horizontal="left"/>
    </xf>
    <xf numFmtId="0" fontId="48" fillId="43" borderId="15" applyNumberFormat="0" applyAlignment="0" applyProtection="0"/>
    <xf numFmtId="177" fontId="16" fillId="0" borderId="0" applyFont="0" applyFill="0" applyBorder="0" applyAlignment="0" applyProtection="0">
      <alignment horizontal="left"/>
    </xf>
    <xf numFmtId="0" fontId="41" fillId="43" borderId="13" applyNumberFormat="0" applyAlignment="0" applyProtection="0"/>
    <xf numFmtId="0" fontId="36" fillId="59" borderId="0" applyNumberFormat="0" applyBorder="0" applyAlignment="0" applyProtection="0"/>
    <xf numFmtId="178" fontId="52" fillId="61" borderId="0" applyNumberFormat="0" applyBorder="0">
      <protection locked="0"/>
    </xf>
    <xf numFmtId="0" fontId="49" fillId="62" borderId="0" applyNumberFormat="0" applyBorder="0" applyAlignment="0" applyProtection="0"/>
    <xf numFmtId="0" fontId="36" fillId="49" borderId="0" applyNumberFormat="0" applyBorder="0" applyAlignment="0" applyProtection="0"/>
    <xf numFmtId="169" fontId="16" fillId="0" borderId="0" applyFont="0" applyFill="0" applyBorder="0" applyAlignment="0" applyProtection="0">
      <alignment horizontal="left"/>
    </xf>
    <xf numFmtId="0" fontId="49" fillId="47" borderId="0" applyNumberFormat="0" applyBorder="0" applyAlignment="0" applyProtection="0"/>
    <xf numFmtId="17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48" fillId="43" borderId="15" applyNumberFormat="0" applyAlignment="0" applyProtection="0"/>
    <xf numFmtId="0" fontId="48" fillId="43" borderId="15" applyNumberFormat="0" applyAlignment="0" applyProtection="0"/>
    <xf numFmtId="0" fontId="36" fillId="51" borderId="0" applyNumberFormat="0" applyBorder="0" applyAlignment="0" applyProtection="0"/>
    <xf numFmtId="0" fontId="36" fillId="52" borderId="0" applyNumberFormat="0" applyBorder="0" applyAlignment="0" applyProtection="0"/>
    <xf numFmtId="0" fontId="36" fillId="46" borderId="0" applyNumberFormat="0" applyBorder="0" applyAlignment="0" applyProtection="0"/>
    <xf numFmtId="0" fontId="36" fillId="44" borderId="0" applyNumberFormat="0" applyBorder="0" applyAlignment="0" applyProtection="0"/>
    <xf numFmtId="0" fontId="49" fillId="50" borderId="0" applyNumberFormat="0" applyBorder="0" applyAlignment="0" applyProtection="0"/>
    <xf numFmtId="0" fontId="9" fillId="0" borderId="0"/>
    <xf numFmtId="0" fontId="34" fillId="51" borderId="15" applyNumberFormat="0" applyAlignment="0" applyProtection="0"/>
    <xf numFmtId="0" fontId="49" fillId="55" borderId="0" applyNumberFormat="0" applyBorder="0" applyAlignment="0" applyProtection="0"/>
    <xf numFmtId="0" fontId="36" fillId="44" borderId="0" applyNumberFormat="0" applyBorder="0" applyAlignment="0" applyProtection="0"/>
    <xf numFmtId="0" fontId="24" fillId="0" borderId="0"/>
    <xf numFmtId="0" fontId="9" fillId="0" borderId="0"/>
    <xf numFmtId="9" fontId="16" fillId="0" borderId="0" applyFont="0" applyFill="0" applyBorder="0" applyAlignment="0" applyProtection="0"/>
    <xf numFmtId="0" fontId="49" fillId="48" borderId="0" applyNumberFormat="0" applyBorder="0" applyAlignment="0" applyProtection="0"/>
    <xf numFmtId="165" fontId="16" fillId="0" borderId="0" applyFont="0" applyFill="0" applyBorder="0" applyAlignment="0" applyProtection="0"/>
    <xf numFmtId="0" fontId="36" fillId="59" borderId="0" applyNumberFormat="0" applyBorder="0" applyAlignment="0" applyProtection="0"/>
    <xf numFmtId="0" fontId="9" fillId="0" borderId="0"/>
    <xf numFmtId="0" fontId="34" fillId="51" borderId="15" applyNumberFormat="0" applyAlignment="0" applyProtection="0"/>
    <xf numFmtId="0" fontId="34" fillId="51" borderId="15" applyNumberFormat="0" applyAlignment="0" applyProtection="0"/>
    <xf numFmtId="0" fontId="43" fillId="41" borderId="0" applyNumberFormat="0" applyBorder="0" applyAlignment="0" applyProtection="0"/>
    <xf numFmtId="9" fontId="29" fillId="0" borderId="0" applyFont="0" applyFill="0" applyBorder="0" applyAlignment="0" applyProtection="0"/>
    <xf numFmtId="0" fontId="16" fillId="0" borderId="0"/>
    <xf numFmtId="0" fontId="40" fillId="44" borderId="0" applyNumberFormat="0" applyBorder="0" applyAlignment="0" applyProtection="0"/>
    <xf numFmtId="0" fontId="51" fillId="0" borderId="17" applyNumberFormat="0" applyFill="0" applyAlignment="0" applyProtection="0"/>
    <xf numFmtId="0" fontId="49" fillId="48" borderId="0" applyNumberFormat="0" applyBorder="0" applyAlignment="0" applyProtection="0"/>
    <xf numFmtId="0" fontId="36" fillId="51" borderId="0" applyNumberFormat="0" applyBorder="0" applyAlignment="0" applyProtection="0"/>
    <xf numFmtId="0" fontId="49" fillId="57" borderId="0" applyNumberFormat="0" applyBorder="0" applyAlignment="0" applyProtection="0"/>
    <xf numFmtId="0" fontId="54" fillId="0" borderId="18" applyNumberFormat="0" applyFill="0" applyAlignment="0" applyProtection="0"/>
    <xf numFmtId="0" fontId="48" fillId="43" borderId="15" applyNumberFormat="0" applyAlignment="0" applyProtection="0"/>
    <xf numFmtId="0" fontId="36" fillId="46" borderId="0" applyNumberFormat="0" applyBorder="0" applyAlignment="0" applyProtection="0"/>
    <xf numFmtId="0" fontId="16" fillId="0" borderId="0"/>
    <xf numFmtId="0" fontId="9" fillId="0" borderId="0"/>
    <xf numFmtId="0" fontId="27" fillId="0" borderId="0" applyNumberFormat="0" applyFill="0" applyBorder="0" applyAlignment="0" applyProtection="0"/>
    <xf numFmtId="0" fontId="49" fillId="62" borderId="0" applyNumberFormat="0" applyBorder="0" applyAlignment="0" applyProtection="0"/>
    <xf numFmtId="0" fontId="49" fillId="62" borderId="0" applyNumberFormat="0" applyBorder="0" applyAlignment="0" applyProtection="0"/>
    <xf numFmtId="0" fontId="36" fillId="60" borderId="19" applyNumberFormat="0" applyFont="0" applyAlignment="0" applyProtection="0"/>
    <xf numFmtId="0" fontId="49" fillId="56" borderId="0" applyNumberFormat="0" applyBorder="0" applyAlignment="0" applyProtection="0"/>
    <xf numFmtId="9" fontId="24" fillId="0" borderId="0" applyFont="0" applyFill="0" applyBorder="0" applyAlignment="0" applyProtection="0"/>
    <xf numFmtId="0" fontId="36" fillId="60" borderId="19" applyNumberFormat="0" applyFont="0" applyAlignment="0" applyProtection="0"/>
    <xf numFmtId="0" fontId="44" fillId="42" borderId="0" applyNumberFormat="0" applyBorder="0" applyAlignment="0" applyProtection="0"/>
    <xf numFmtId="0" fontId="24" fillId="0" borderId="0"/>
    <xf numFmtId="0" fontId="36" fillId="52" borderId="0" applyNumberFormat="0" applyBorder="0" applyAlignment="0" applyProtection="0"/>
    <xf numFmtId="0" fontId="16" fillId="0" borderId="0"/>
    <xf numFmtId="0" fontId="36" fillId="52" borderId="0" applyNumberFormat="0" applyBorder="0" applyAlignment="0" applyProtection="0"/>
    <xf numFmtId="0" fontId="34" fillId="51" borderId="15" applyNumberFormat="0" applyAlignment="0" applyProtection="0"/>
    <xf numFmtId="0" fontId="48" fillId="43" borderId="15" applyNumberFormat="0" applyAlignment="0" applyProtection="0"/>
    <xf numFmtId="0" fontId="9" fillId="0" borderId="0"/>
    <xf numFmtId="0" fontId="9" fillId="0" borderId="0"/>
    <xf numFmtId="0" fontId="49" fillId="56" borderId="0" applyNumberFormat="0" applyBorder="0" applyAlignment="0" applyProtection="0"/>
    <xf numFmtId="0" fontId="56" fillId="0" borderId="0" applyNumberFormat="0" applyFill="0" applyBorder="0" applyAlignment="0" applyProtection="0">
      <alignment vertical="top"/>
      <protection locked="0"/>
    </xf>
    <xf numFmtId="0" fontId="30" fillId="0" borderId="0"/>
    <xf numFmtId="0" fontId="24" fillId="0" borderId="0"/>
    <xf numFmtId="0" fontId="36" fillId="41"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4" fontId="46" fillId="52" borderId="4">
      <alignment horizontal="right" vertical="center"/>
    </xf>
    <xf numFmtId="0" fontId="21" fillId="0" borderId="0" applyNumberFormat="0" applyFill="0" applyBorder="0" applyAlignment="0" applyProtection="0">
      <alignment vertical="top"/>
      <protection locked="0"/>
    </xf>
    <xf numFmtId="169" fontId="16" fillId="0" borderId="0" applyFont="0" applyFill="0" applyBorder="0" applyAlignment="0" applyProtection="0">
      <alignment horizontal="left"/>
    </xf>
    <xf numFmtId="0" fontId="49" fillId="47" borderId="0" applyNumberFormat="0" applyBorder="0" applyAlignment="0" applyProtection="0"/>
    <xf numFmtId="0" fontId="41" fillId="43" borderId="13" applyNumberFormat="0" applyAlignment="0" applyProtection="0"/>
    <xf numFmtId="0" fontId="48" fillId="43" borderId="15" applyNumberFormat="0" applyAlignment="0" applyProtection="0"/>
    <xf numFmtId="0" fontId="49" fillId="54" borderId="0" applyNumberFormat="0" applyBorder="0" applyAlignment="0" applyProtection="0"/>
    <xf numFmtId="0" fontId="50" fillId="53" borderId="0" applyNumberFormat="0" applyFont="0" applyBorder="0" applyAlignment="0" applyProtection="0"/>
    <xf numFmtId="0" fontId="36" fillId="60" borderId="19" applyNumberFormat="0" applyFont="0" applyAlignment="0" applyProtection="0"/>
    <xf numFmtId="170" fontId="16" fillId="0" borderId="0" applyFont="0" applyFill="0" applyBorder="0" applyAlignment="0" applyProtection="0"/>
    <xf numFmtId="0" fontId="36" fillId="45" borderId="0" applyNumberFormat="0" applyBorder="0" applyAlignment="0" applyProtection="0"/>
    <xf numFmtId="0" fontId="34" fillId="51" borderId="15" applyNumberFormat="0" applyAlignment="0" applyProtection="0"/>
    <xf numFmtId="0" fontId="48" fillId="43" borderId="15" applyNumberFormat="0" applyAlignment="0" applyProtection="0"/>
    <xf numFmtId="165" fontId="16" fillId="0" borderId="0" applyFont="0" applyFill="0" applyBorder="0" applyAlignment="0" applyProtection="0"/>
    <xf numFmtId="0" fontId="36" fillId="46" borderId="0" applyNumberFormat="0" applyBorder="0" applyAlignment="0" applyProtection="0"/>
    <xf numFmtId="165" fontId="9" fillId="0" borderId="0" applyFont="0" applyFill="0" applyBorder="0" applyAlignment="0" applyProtection="0"/>
    <xf numFmtId="0" fontId="49" fillId="54" borderId="0" applyNumberFormat="0" applyBorder="0" applyAlignment="0" applyProtection="0"/>
    <xf numFmtId="0" fontId="45" fillId="53" borderId="16" applyNumberFormat="0" applyAlignment="0" applyProtection="0"/>
    <xf numFmtId="0" fontId="31" fillId="0" borderId="14" applyNumberFormat="0" applyFill="0" applyAlignment="0" applyProtection="0"/>
    <xf numFmtId="0" fontId="34" fillId="51" borderId="15" applyNumberFormat="0" applyAlignment="0" applyProtection="0"/>
    <xf numFmtId="0" fontId="40" fillId="44" borderId="0" applyNumberFormat="0" applyBorder="0" applyAlignment="0" applyProtection="0"/>
    <xf numFmtId="170" fontId="16" fillId="0" borderId="0" applyFont="0" applyFill="0" applyBorder="0" applyAlignment="0" applyProtection="0"/>
    <xf numFmtId="0" fontId="49" fillId="54" borderId="0" applyNumberFormat="0" applyBorder="0" applyAlignment="0" applyProtection="0"/>
    <xf numFmtId="0" fontId="9" fillId="0" borderId="0"/>
    <xf numFmtId="0" fontId="36" fillId="59" borderId="0" applyNumberFormat="0" applyBorder="0" applyAlignment="0" applyProtection="0"/>
    <xf numFmtId="49" fontId="16" fillId="0" borderId="0" applyFill="0" applyBorder="0" applyProtection="0">
      <alignment horizontal="left"/>
    </xf>
    <xf numFmtId="0" fontId="37" fillId="0" borderId="0" applyNumberFormat="0" applyFill="0" applyBorder="0" applyAlignment="0" applyProtection="0"/>
    <xf numFmtId="0" fontId="9" fillId="0" borderId="0"/>
    <xf numFmtId="0" fontId="46" fillId="53" borderId="4"/>
    <xf numFmtId="175" fontId="16" fillId="0" borderId="0" applyFont="0" applyFill="0" applyBorder="0" applyAlignment="0" applyProtection="0"/>
    <xf numFmtId="0" fontId="53" fillId="0" borderId="20" applyNumberFormat="0" applyFill="0" applyAlignment="0" applyProtection="0"/>
    <xf numFmtId="0" fontId="49" fillId="62" borderId="0" applyNumberFormat="0" applyBorder="0" applyAlignment="0" applyProtection="0"/>
    <xf numFmtId="0" fontId="49" fillId="63" borderId="0" applyNumberFormat="0" applyBorder="0" applyAlignment="0" applyProtection="0"/>
    <xf numFmtId="0" fontId="47" fillId="42" borderId="0">
      <alignment horizontal="left" vertical="center" indent="1"/>
    </xf>
    <xf numFmtId="0" fontId="16" fillId="0" borderId="0"/>
    <xf numFmtId="0" fontId="16" fillId="0" borderId="0"/>
    <xf numFmtId="9" fontId="24" fillId="0" borderId="0" applyFont="0" applyFill="0" applyBorder="0" applyAlignment="0" applyProtection="0"/>
    <xf numFmtId="0" fontId="36" fillId="59" borderId="0" applyNumberFormat="0" applyBorder="0" applyAlignment="0" applyProtection="0"/>
    <xf numFmtId="0" fontId="34" fillId="51" borderId="15" applyNumberFormat="0" applyAlignment="0" applyProtection="0"/>
    <xf numFmtId="0" fontId="16" fillId="0" borderId="0"/>
    <xf numFmtId="0" fontId="49" fillId="50" borderId="0" applyNumberFormat="0" applyBorder="0" applyAlignment="0" applyProtection="0"/>
    <xf numFmtId="0" fontId="49" fillId="63" borderId="0" applyNumberFormat="0" applyBorder="0" applyAlignment="0" applyProtection="0"/>
    <xf numFmtId="0" fontId="9" fillId="0" borderId="0"/>
    <xf numFmtId="0" fontId="49" fillId="56" borderId="0" applyNumberFormat="0" applyBorder="0" applyAlignment="0" applyProtection="0"/>
    <xf numFmtId="0" fontId="49" fillId="56" borderId="0" applyNumberFormat="0" applyBorder="0" applyAlignment="0" applyProtection="0"/>
    <xf numFmtId="0" fontId="48" fillId="43" borderId="15" applyNumberFormat="0" applyAlignment="0" applyProtection="0"/>
    <xf numFmtId="0" fontId="49" fillId="57" borderId="0" applyNumberFormat="0" applyBorder="0" applyAlignment="0" applyProtection="0"/>
    <xf numFmtId="0" fontId="9" fillId="0" borderId="0"/>
    <xf numFmtId="0" fontId="9" fillId="0" borderId="0"/>
    <xf numFmtId="0" fontId="44" fillId="42" borderId="0" applyNumberFormat="0" applyBorder="0" applyAlignment="0" applyProtection="0"/>
    <xf numFmtId="0" fontId="36" fillId="41" borderId="0" applyNumberFormat="0" applyBorder="0" applyAlignment="0" applyProtection="0"/>
    <xf numFmtId="177" fontId="16" fillId="0" borderId="0" applyFont="0" applyFill="0" applyBorder="0" applyAlignment="0" applyProtection="0">
      <alignment horizontal="left"/>
    </xf>
    <xf numFmtId="0" fontId="26" fillId="0" borderId="0" applyNumberFormat="0" applyFill="0" applyBorder="0" applyAlignment="0" applyProtection="0"/>
    <xf numFmtId="0" fontId="49" fillId="63" borderId="0" applyNumberFormat="0" applyBorder="0" applyAlignment="0" applyProtection="0"/>
    <xf numFmtId="0" fontId="49" fillId="50" borderId="0" applyNumberFormat="0" applyBorder="0" applyAlignment="0" applyProtection="0"/>
    <xf numFmtId="0" fontId="49" fillId="56" borderId="0" applyNumberFormat="0" applyBorder="0" applyAlignment="0" applyProtection="0"/>
    <xf numFmtId="0" fontId="49" fillId="63" borderId="0" applyNumberFormat="0" applyBorder="0" applyAlignment="0" applyProtection="0"/>
    <xf numFmtId="4" fontId="46" fillId="0" borderId="0"/>
    <xf numFmtId="0" fontId="36" fillId="60" borderId="19" applyNumberFormat="0" applyFont="0" applyAlignment="0" applyProtection="0"/>
    <xf numFmtId="0" fontId="49" fillId="63" borderId="0" applyNumberFormat="0" applyBorder="0" applyAlignment="0" applyProtection="0"/>
    <xf numFmtId="0" fontId="45" fillId="53" borderId="16" applyNumberFormat="0" applyAlignment="0" applyProtection="0"/>
    <xf numFmtId="0" fontId="49" fillId="58" borderId="0" applyNumberFormat="0" applyBorder="0" applyAlignment="0" applyProtection="0"/>
    <xf numFmtId="165" fontId="16" fillId="0" borderId="0" applyFont="0" applyFill="0" applyBorder="0" applyAlignment="0" applyProtection="0"/>
    <xf numFmtId="0" fontId="49" fillId="57" borderId="0" applyNumberFormat="0" applyBorder="0" applyAlignment="0" applyProtection="0"/>
    <xf numFmtId="0" fontId="36" fillId="49" borderId="0" applyNumberFormat="0" applyBorder="0" applyAlignment="0" applyProtection="0"/>
    <xf numFmtId="0" fontId="41" fillId="43" borderId="13" applyNumberFormat="0" applyAlignment="0" applyProtection="0"/>
    <xf numFmtId="0" fontId="36" fillId="46" borderId="0" applyNumberFormat="0" applyBorder="0" applyAlignment="0" applyProtection="0"/>
    <xf numFmtId="176" fontId="16" fillId="0" borderId="0" applyFont="0" applyFill="0" applyBorder="0" applyAlignment="0" applyProtection="0">
      <alignment horizontal="left"/>
    </xf>
    <xf numFmtId="0" fontId="49" fillId="54" borderId="0" applyNumberFormat="0" applyBorder="0" applyAlignment="0" applyProtection="0"/>
    <xf numFmtId="0" fontId="9" fillId="0" borderId="0"/>
    <xf numFmtId="172" fontId="16" fillId="0" borderId="0" applyFont="0" applyFill="0" applyBorder="0" applyAlignment="0" applyProtection="0"/>
    <xf numFmtId="0" fontId="16" fillId="0" borderId="0"/>
    <xf numFmtId="0" fontId="49" fillId="58" borderId="0" applyNumberFormat="0" applyBorder="0" applyAlignment="0" applyProtection="0"/>
    <xf numFmtId="0" fontId="49" fillId="55" borderId="0" applyNumberFormat="0" applyBorder="0" applyAlignment="0" applyProtection="0"/>
    <xf numFmtId="165" fontId="16" fillId="0" borderId="0" applyFont="0" applyFill="0" applyBorder="0" applyAlignment="0" applyProtection="0"/>
    <xf numFmtId="0" fontId="24" fillId="0" borderId="0"/>
    <xf numFmtId="0" fontId="36" fillId="59" borderId="0" applyNumberFormat="0" applyBorder="0" applyAlignment="0" applyProtection="0"/>
    <xf numFmtId="0" fontId="40" fillId="44" borderId="0" applyNumberFormat="0" applyBorder="0" applyAlignment="0" applyProtection="0"/>
    <xf numFmtId="0" fontId="49" fillId="56" borderId="0" applyNumberFormat="0" applyBorder="0" applyAlignment="0" applyProtection="0"/>
    <xf numFmtId="171" fontId="55" fillId="0" borderId="0" applyFill="0" applyBorder="0" applyAlignment="0" applyProtection="0"/>
    <xf numFmtId="0" fontId="36" fillId="59" borderId="0" applyNumberFormat="0" applyBorder="0" applyAlignment="0" applyProtection="0"/>
    <xf numFmtId="176" fontId="16" fillId="0" borderId="0" applyFont="0" applyFill="0" applyBorder="0" applyAlignment="0" applyProtection="0">
      <alignment horizontal="left"/>
    </xf>
    <xf numFmtId="9" fontId="16" fillId="0" borderId="0" applyFont="0" applyFill="0" applyBorder="0" applyAlignment="0" applyProtection="0"/>
    <xf numFmtId="0" fontId="56" fillId="0" borderId="0" applyNumberFormat="0" applyFill="0" applyBorder="0" applyAlignment="0" applyProtection="0">
      <alignment vertical="top"/>
      <protection locked="0"/>
    </xf>
    <xf numFmtId="0" fontId="36" fillId="48" borderId="0" applyNumberFormat="0" applyBorder="0" applyAlignment="0" applyProtection="0"/>
    <xf numFmtId="0" fontId="44" fillId="42" borderId="0" applyNumberFormat="0" applyBorder="0" applyAlignment="0" applyProtection="0"/>
    <xf numFmtId="0" fontId="49" fillId="48" borderId="0" applyNumberFormat="0" applyBorder="0" applyAlignment="0" applyProtection="0"/>
    <xf numFmtId="0" fontId="36" fillId="60" borderId="19" applyNumberFormat="0" applyFont="0" applyAlignment="0" applyProtection="0"/>
    <xf numFmtId="0" fontId="24" fillId="0" borderId="0"/>
    <xf numFmtId="0" fontId="34" fillId="51" borderId="15" applyNumberFormat="0" applyAlignment="0" applyProtection="0"/>
    <xf numFmtId="0" fontId="36" fillId="54" borderId="0" applyNumberFormat="0" applyBorder="0" applyAlignment="0" applyProtection="0"/>
    <xf numFmtId="0" fontId="43" fillId="41" borderId="0" applyNumberFormat="0" applyBorder="0" applyAlignment="0" applyProtection="0"/>
    <xf numFmtId="0" fontId="36" fillId="60" borderId="19" applyNumberFormat="0" applyFont="0" applyAlignment="0" applyProtection="0"/>
    <xf numFmtId="49" fontId="16" fillId="0" borderId="0" applyFill="0" applyBorder="0" applyProtection="0">
      <alignment horizontal="left"/>
    </xf>
    <xf numFmtId="0" fontId="9" fillId="0" borderId="0"/>
    <xf numFmtId="0" fontId="48" fillId="43" borderId="15" applyNumberFormat="0" applyAlignment="0" applyProtection="0"/>
    <xf numFmtId="0" fontId="16" fillId="42" borderId="0" applyNumberFormat="0" applyFont="0" applyBorder="0" applyAlignment="0"/>
    <xf numFmtId="0" fontId="49" fillId="47" borderId="0" applyNumberFormat="0" applyBorder="0" applyAlignment="0" applyProtection="0"/>
    <xf numFmtId="4" fontId="42" fillId="0" borderId="12" applyFill="0" applyBorder="0" applyProtection="0">
      <alignment horizontal="right" vertical="center"/>
    </xf>
    <xf numFmtId="0" fontId="24" fillId="0" borderId="0"/>
    <xf numFmtId="178" fontId="33" fillId="64" borderId="0" applyNumberFormat="0" applyBorder="0">
      <protection locked="0"/>
    </xf>
    <xf numFmtId="0" fontId="49" fillId="55" borderId="0" applyNumberFormat="0" applyBorder="0" applyAlignment="0" applyProtection="0"/>
    <xf numFmtId="0" fontId="36" fillId="60" borderId="19" applyNumberFormat="0" applyFont="0" applyAlignment="0" applyProtection="0"/>
    <xf numFmtId="0" fontId="48" fillId="43" borderId="15" applyNumberFormat="0" applyAlignment="0" applyProtection="0"/>
    <xf numFmtId="0" fontId="36" fillId="48" borderId="0" applyNumberFormat="0" applyBorder="0" applyAlignment="0" applyProtection="0"/>
    <xf numFmtId="0" fontId="41" fillId="43" borderId="13" applyNumberFormat="0" applyAlignment="0" applyProtection="0"/>
    <xf numFmtId="0" fontId="49" fillId="56" borderId="0" applyNumberFormat="0" applyBorder="0" applyAlignment="0" applyProtection="0"/>
    <xf numFmtId="0" fontId="36" fillId="59" borderId="0" applyNumberFormat="0" applyBorder="0" applyAlignment="0" applyProtection="0"/>
    <xf numFmtId="176" fontId="16" fillId="0" borderId="0" applyFont="0" applyFill="0" applyBorder="0" applyAlignment="0" applyProtection="0">
      <alignment horizontal="left"/>
    </xf>
    <xf numFmtId="0" fontId="43" fillId="41" borderId="0" applyNumberFormat="0" applyBorder="0" applyAlignment="0" applyProtection="0"/>
    <xf numFmtId="0" fontId="25" fillId="0" borderId="0">
      <alignment horizontal="left"/>
    </xf>
    <xf numFmtId="0" fontId="36" fillId="51" borderId="0" applyNumberFormat="0" applyBorder="0" applyAlignment="0" applyProtection="0"/>
    <xf numFmtId="0" fontId="49" fillId="63" borderId="0" applyNumberFormat="0" applyBorder="0" applyAlignment="0" applyProtection="0"/>
    <xf numFmtId="0" fontId="45" fillId="53" borderId="16" applyNumberFormat="0" applyAlignment="0" applyProtection="0"/>
    <xf numFmtId="0" fontId="49" fillId="58" borderId="0" applyNumberFormat="0" applyBorder="0" applyAlignment="0" applyProtection="0"/>
    <xf numFmtId="0" fontId="34" fillId="51" borderId="15" applyNumberFormat="0" applyAlignment="0" applyProtection="0"/>
    <xf numFmtId="9" fontId="15" fillId="0" borderId="0" applyFont="0" applyFill="0" applyBorder="0" applyAlignment="0" applyProtection="0"/>
    <xf numFmtId="9" fontId="29" fillId="0" borderId="0" applyFont="0" applyFill="0" applyBorder="0" applyAlignment="0" applyProtection="0"/>
    <xf numFmtId="171" fontId="38" fillId="0" borderId="0">
      <alignment horizontal="left" vertical="center"/>
    </xf>
    <xf numFmtId="0" fontId="36" fillId="49" borderId="0" applyNumberFormat="0" applyBorder="0" applyAlignment="0" applyProtection="0"/>
    <xf numFmtId="0" fontId="36" fillId="54" borderId="0" applyNumberFormat="0" applyBorder="0" applyAlignment="0" applyProtection="0"/>
    <xf numFmtId="9" fontId="24" fillId="0" borderId="0" applyFont="0" applyFill="0" applyBorder="0" applyAlignment="0" applyProtection="0"/>
    <xf numFmtId="0" fontId="41" fillId="43" borderId="13" applyNumberFormat="0" applyAlignment="0" applyProtection="0"/>
    <xf numFmtId="0" fontId="16" fillId="0" borderId="0"/>
    <xf numFmtId="0" fontId="36" fillId="51" borderId="0" applyNumberFormat="0" applyBorder="0" applyAlignment="0" applyProtection="0"/>
    <xf numFmtId="0" fontId="41" fillId="43" borderId="13" applyNumberFormat="0" applyAlignment="0" applyProtection="0"/>
    <xf numFmtId="173" fontId="16" fillId="0" borderId="0" applyFont="0" applyFill="0" applyBorder="0" applyAlignment="0" applyProtection="0"/>
    <xf numFmtId="0" fontId="50" fillId="0" borderId="0" applyNumberFormat="0" applyFont="0" applyFill="0" applyBorder="0" applyProtection="0">
      <alignment horizontal="left" vertical="center" indent="5"/>
    </xf>
    <xf numFmtId="0" fontId="43" fillId="41" borderId="0" applyNumberFormat="0" applyBorder="0" applyAlignment="0" applyProtection="0"/>
    <xf numFmtId="0" fontId="36" fillId="54" borderId="0" applyNumberFormat="0" applyBorder="0" applyAlignment="0" applyProtection="0"/>
    <xf numFmtId="0" fontId="46" fillId="53" borderId="4"/>
    <xf numFmtId="169" fontId="16" fillId="0" borderId="0" applyFont="0" applyFill="0" applyBorder="0" applyAlignment="0" applyProtection="0">
      <alignment horizontal="left"/>
    </xf>
    <xf numFmtId="0" fontId="2" fillId="0" borderId="0" applyNumberFormat="0" applyFill="0" applyBorder="0" applyAlignment="0" applyProtection="0"/>
    <xf numFmtId="0" fontId="36" fillId="60" borderId="19" applyNumberFormat="0" applyFont="0" applyAlignment="0" applyProtection="0"/>
    <xf numFmtId="0" fontId="28" fillId="0" borderId="0">
      <alignment horizontal="right"/>
    </xf>
    <xf numFmtId="0" fontId="36" fillId="46" borderId="0" applyNumberFormat="0" applyBorder="0" applyAlignment="0" applyProtection="0"/>
    <xf numFmtId="9" fontId="9" fillId="0" borderId="0" applyFont="0" applyFill="0" applyBorder="0" applyAlignment="0" applyProtection="0"/>
    <xf numFmtId="0" fontId="34" fillId="51" borderId="15" applyNumberFormat="0" applyAlignment="0" applyProtection="0"/>
    <xf numFmtId="0" fontId="35" fillId="0" borderId="21" applyNumberFormat="0" applyFill="0" applyAlignment="0" applyProtection="0"/>
    <xf numFmtId="0" fontId="36" fillId="46" borderId="0" applyNumberFormat="0" applyBorder="0" applyAlignment="0" applyProtection="0"/>
    <xf numFmtId="49" fontId="16" fillId="0" borderId="0" applyFill="0" applyBorder="0" applyProtection="0">
      <alignment horizontal="left"/>
    </xf>
    <xf numFmtId="0" fontId="9" fillId="0" borderId="0"/>
    <xf numFmtId="165" fontId="9" fillId="0" borderId="0" applyFont="0" applyFill="0" applyBorder="0" applyAlignment="0" applyProtection="0"/>
    <xf numFmtId="0" fontId="9" fillId="0" borderId="0"/>
    <xf numFmtId="0" fontId="9" fillId="0" borderId="0"/>
    <xf numFmtId="0" fontId="15" fillId="0" borderId="0"/>
    <xf numFmtId="0" fontId="9" fillId="0" borderId="0"/>
    <xf numFmtId="0" fontId="9" fillId="0" borderId="0"/>
    <xf numFmtId="0" fontId="9" fillId="0" borderId="0"/>
    <xf numFmtId="0" fontId="15" fillId="0" borderId="0"/>
    <xf numFmtId="0" fontId="9" fillId="0" borderId="0"/>
    <xf numFmtId="0" fontId="23" fillId="65" borderId="11" applyBorder="0"/>
    <xf numFmtId="0" fontId="16" fillId="0" borderId="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165" fontId="15"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16" fillId="0" borderId="0"/>
    <xf numFmtId="0" fontId="59" fillId="0" borderId="0"/>
    <xf numFmtId="0" fontId="9" fillId="0" borderId="0"/>
    <xf numFmtId="43" fontId="9" fillId="0" borderId="0" applyFont="0" applyFill="0" applyBorder="0" applyAlignment="0" applyProtection="0"/>
  </cellStyleXfs>
  <cellXfs count="190">
    <xf numFmtId="4" fontId="0" fillId="0" borderId="0" xfId="0"/>
    <xf numFmtId="4" fontId="1" fillId="0" borderId="0" xfId="0" applyFont="1"/>
    <xf numFmtId="4" fontId="0" fillId="0" borderId="0" xfId="0" applyAlignment="1">
      <alignment horizontal="right"/>
    </xf>
    <xf numFmtId="0" fontId="2" fillId="0" borderId="0" xfId="1"/>
    <xf numFmtId="0" fontId="2" fillId="2" borderId="0" xfId="1" applyFill="1" applyAlignment="1">
      <alignment vertical="center"/>
    </xf>
    <xf numFmtId="4" fontId="0" fillId="2" borderId="0" xfId="0" applyFill="1" applyAlignment="1">
      <alignment vertical="center"/>
    </xf>
    <xf numFmtId="4" fontId="3" fillId="0" borderId="0" xfId="0" applyFont="1"/>
    <xf numFmtId="4" fontId="0" fillId="0" borderId="0" xfId="0" applyAlignment="1">
      <alignment wrapText="1"/>
    </xf>
    <xf numFmtId="4" fontId="5" fillId="0" borderId="0" xfId="0" applyFont="1"/>
    <xf numFmtId="4" fontId="0" fillId="0" borderId="0" xfId="0" applyAlignment="1">
      <alignment vertical="center"/>
    </xf>
    <xf numFmtId="4" fontId="1" fillId="0" borderId="0" xfId="0" applyFont="1" applyAlignment="1">
      <alignment vertical="center"/>
    </xf>
    <xf numFmtId="4" fontId="0" fillId="0" borderId="0" xfId="0" applyAlignment="1">
      <alignment horizontal="left"/>
    </xf>
    <xf numFmtId="4" fontId="1" fillId="4" borderId="0" xfId="0" applyFont="1" applyFill="1" applyAlignment="1">
      <alignment vertical="center"/>
    </xf>
    <xf numFmtId="0" fontId="2" fillId="0" borderId="0" xfId="1" quotePrefix="1" applyBorder="1"/>
    <xf numFmtId="4" fontId="4" fillId="0" borderId="0" xfId="0" applyFont="1"/>
    <xf numFmtId="3" fontId="0" fillId="0" borderId="0" xfId="0" applyNumberFormat="1"/>
    <xf numFmtId="2" fontId="0" fillId="0" borderId="0" xfId="0" applyNumberFormat="1" applyAlignment="1">
      <alignment vertical="center"/>
    </xf>
    <xf numFmtId="4" fontId="5" fillId="0" borderId="0" xfId="0" applyFont="1" applyAlignment="1">
      <alignment vertical="center"/>
    </xf>
    <xf numFmtId="1" fontId="0" fillId="0" borderId="0" xfId="0" applyNumberFormat="1" applyAlignment="1">
      <alignment horizontal="left" vertical="center"/>
    </xf>
    <xf numFmtId="2" fontId="1" fillId="0" borderId="0" xfId="0" applyNumberFormat="1" applyFont="1" applyAlignment="1">
      <alignment vertical="center"/>
    </xf>
    <xf numFmtId="3" fontId="0" fillId="0" borderId="0" xfId="0" applyNumberFormat="1" applyAlignment="1">
      <alignment vertical="center"/>
    </xf>
    <xf numFmtId="4" fontId="4" fillId="2" borderId="0" xfId="0" applyFont="1" applyFill="1" applyAlignment="1">
      <alignment vertical="center"/>
    </xf>
    <xf numFmtId="166" fontId="0" fillId="0" borderId="0" xfId="0" applyNumberFormat="1" applyAlignment="1">
      <alignment vertical="center"/>
    </xf>
    <xf numFmtId="166" fontId="0" fillId="0" borderId="0" xfId="0" applyNumberFormat="1"/>
    <xf numFmtId="179" fontId="0" fillId="0" borderId="0" xfId="339" applyNumberFormat="1" applyFont="1"/>
    <xf numFmtId="0" fontId="0" fillId="0" borderId="0" xfId="0" applyNumberFormat="1"/>
    <xf numFmtId="4" fontId="57" fillId="0" borderId="0" xfId="0" applyFont="1"/>
    <xf numFmtId="4" fontId="0" fillId="0" borderId="0" xfId="0" applyAlignment="1">
      <alignment vertical="center" wrapText="1"/>
    </xf>
    <xf numFmtId="4" fontId="2" fillId="0" borderId="0" xfId="1" applyNumberFormat="1"/>
    <xf numFmtId="49" fontId="0" fillId="0" borderId="0" xfId="0" applyNumberFormat="1"/>
    <xf numFmtId="4" fontId="1" fillId="0" borderId="0" xfId="0" applyFont="1" applyAlignment="1">
      <alignment horizontal="right"/>
    </xf>
    <xf numFmtId="3" fontId="4" fillId="0" borderId="0" xfId="0" applyNumberFormat="1" applyFont="1" applyAlignment="1">
      <alignment vertical="center"/>
    </xf>
    <xf numFmtId="4" fontId="14" fillId="0" borderId="0" xfId="0" applyFont="1"/>
    <xf numFmtId="4" fontId="14" fillId="0" borderId="0" xfId="0" applyFont="1" applyAlignment="1">
      <alignment vertical="center"/>
    </xf>
    <xf numFmtId="3" fontId="0" fillId="66" borderId="22" xfId="0" applyNumberFormat="1" applyFill="1" applyBorder="1" applyAlignment="1">
      <alignment vertical="center"/>
    </xf>
    <xf numFmtId="3" fontId="0" fillId="0" borderId="22" xfId="0" applyNumberFormat="1" applyBorder="1" applyAlignment="1">
      <alignment vertical="center"/>
    </xf>
    <xf numFmtId="4" fontId="6" fillId="4" borderId="25" xfId="0" applyFont="1" applyFill="1" applyBorder="1" applyAlignment="1">
      <alignment vertical="center"/>
    </xf>
    <xf numFmtId="4" fontId="6" fillId="4" borderId="26" xfId="0" applyFont="1" applyFill="1" applyBorder="1" applyAlignment="1">
      <alignment vertical="center"/>
    </xf>
    <xf numFmtId="3" fontId="0" fillId="66" borderId="24" xfId="0" applyNumberFormat="1" applyFill="1" applyBorder="1" applyAlignment="1">
      <alignment vertical="center"/>
    </xf>
    <xf numFmtId="4" fontId="61" fillId="0" borderId="0" xfId="0" applyFont="1"/>
    <xf numFmtId="0" fontId="63" fillId="0" borderId="0" xfId="1" applyFont="1" applyBorder="1"/>
    <xf numFmtId="4" fontId="63" fillId="0" borderId="0" xfId="1" applyNumberFormat="1" applyFont="1"/>
    <xf numFmtId="4" fontId="65" fillId="0" borderId="0" xfId="0" applyFont="1"/>
    <xf numFmtId="4" fontId="64" fillId="0" borderId="0" xfId="0" applyFont="1" applyAlignment="1">
      <alignment vertical="center"/>
    </xf>
    <xf numFmtId="4" fontId="64" fillId="0" borderId="0" xfId="0" applyFont="1"/>
    <xf numFmtId="4" fontId="67" fillId="0" borderId="0" xfId="0" applyFont="1"/>
    <xf numFmtId="3" fontId="0" fillId="67" borderId="22" xfId="0" applyNumberFormat="1" applyFill="1" applyBorder="1"/>
    <xf numFmtId="4" fontId="66" fillId="0" borderId="0" xfId="0" applyFont="1"/>
    <xf numFmtId="4" fontId="68" fillId="0" borderId="0" xfId="0" applyFont="1"/>
    <xf numFmtId="3" fontId="0" fillId="0" borderId="0" xfId="0" applyNumberFormat="1" applyAlignment="1">
      <alignment horizontal="left"/>
    </xf>
    <xf numFmtId="4" fontId="69" fillId="0" borderId="0" xfId="0" applyFont="1" applyAlignment="1">
      <alignment vertical="center"/>
    </xf>
    <xf numFmtId="4" fontId="70" fillId="0" borderId="0" xfId="0" applyFont="1" applyAlignment="1">
      <alignment vertical="center"/>
    </xf>
    <xf numFmtId="4" fontId="71" fillId="0" borderId="0" xfId="0" applyFont="1" applyAlignment="1">
      <alignment vertical="center"/>
    </xf>
    <xf numFmtId="4" fontId="72" fillId="0" borderId="0" xfId="0" applyFont="1"/>
    <xf numFmtId="3" fontId="1" fillId="0" borderId="0" xfId="0" applyNumberFormat="1" applyFont="1" applyAlignment="1">
      <alignment vertical="center"/>
    </xf>
    <xf numFmtId="166" fontId="16" fillId="0" borderId="0" xfId="0" applyNumberFormat="1" applyFont="1"/>
    <xf numFmtId="3" fontId="1" fillId="0" borderId="0" xfId="0" applyNumberFormat="1" applyFont="1" applyAlignment="1">
      <alignment horizontal="left"/>
    </xf>
    <xf numFmtId="3" fontId="4" fillId="0" borderId="0" xfId="0" applyNumberFormat="1" applyFont="1"/>
    <xf numFmtId="9" fontId="0" fillId="0" borderId="0" xfId="339" applyFont="1"/>
    <xf numFmtId="9" fontId="0" fillId="0" borderId="0" xfId="0" applyNumberFormat="1"/>
    <xf numFmtId="4" fontId="6" fillId="4" borderId="22" xfId="0" applyFont="1" applyFill="1" applyBorder="1"/>
    <xf numFmtId="4" fontId="6" fillId="4" borderId="23" xfId="0" applyFont="1" applyFill="1" applyBorder="1"/>
    <xf numFmtId="4" fontId="0" fillId="66" borderId="22" xfId="0" applyFill="1" applyBorder="1"/>
    <xf numFmtId="4" fontId="0" fillId="66" borderId="23" xfId="0" applyFill="1" applyBorder="1"/>
    <xf numFmtId="4" fontId="0" fillId="0" borderId="22" xfId="0" applyBorder="1"/>
    <xf numFmtId="4" fontId="0" fillId="0" borderId="23" xfId="0" applyBorder="1"/>
    <xf numFmtId="4" fontId="0" fillId="66" borderId="24" xfId="0" applyFill="1" applyBorder="1"/>
    <xf numFmtId="9" fontId="0" fillId="0" borderId="0" xfId="339" applyFont="1" applyAlignment="1">
      <alignment vertical="center"/>
    </xf>
    <xf numFmtId="10" fontId="0" fillId="0" borderId="0" xfId="339" applyNumberFormat="1" applyFont="1"/>
    <xf numFmtId="9" fontId="9" fillId="0" borderId="0" xfId="339" applyFont="1" applyAlignment="1">
      <alignment vertical="center"/>
    </xf>
    <xf numFmtId="4" fontId="77" fillId="0" borderId="0" xfId="0" applyFont="1"/>
    <xf numFmtId="4" fontId="79" fillId="2" borderId="0" xfId="0" applyFont="1" applyFill="1" applyAlignment="1">
      <alignment horizontal="left" vertical="center"/>
    </xf>
    <xf numFmtId="4" fontId="79" fillId="2" borderId="0" xfId="0" applyFont="1" applyFill="1" applyAlignment="1">
      <alignment horizontal="left" vertical="center" indent="1"/>
    </xf>
    <xf numFmtId="4" fontId="79" fillId="2" borderId="0" xfId="0" applyFont="1" applyFill="1" applyAlignment="1">
      <alignment horizontal="center" vertical="center"/>
    </xf>
    <xf numFmtId="4" fontId="79" fillId="2" borderId="0" xfId="0" applyFont="1" applyFill="1" applyAlignment="1">
      <alignment vertical="center"/>
    </xf>
    <xf numFmtId="3" fontId="79" fillId="2" borderId="0" xfId="0" applyNumberFormat="1" applyFont="1" applyFill="1" applyAlignment="1">
      <alignment vertical="center"/>
    </xf>
    <xf numFmtId="4" fontId="78" fillId="0" borderId="0" xfId="0" applyFont="1" applyAlignment="1">
      <alignment vertical="center"/>
    </xf>
    <xf numFmtId="4" fontId="78" fillId="2" borderId="0" xfId="0" applyFont="1" applyFill="1" applyAlignment="1">
      <alignment horizontal="left" vertical="center"/>
    </xf>
    <xf numFmtId="4" fontId="78" fillId="2" borderId="0" xfId="0" applyFont="1" applyFill="1" applyAlignment="1">
      <alignment horizontal="center" vertical="center"/>
    </xf>
    <xf numFmtId="4" fontId="78" fillId="2" borderId="0" xfId="0" applyFont="1" applyFill="1" applyAlignment="1">
      <alignment horizontal="left" vertical="center" indent="1"/>
    </xf>
    <xf numFmtId="4" fontId="73" fillId="2" borderId="0" xfId="0" applyFont="1" applyFill="1" applyAlignment="1">
      <alignment vertical="center"/>
    </xf>
    <xf numFmtId="4" fontId="6" fillId="4" borderId="24" xfId="0" applyFont="1" applyFill="1" applyBorder="1"/>
    <xf numFmtId="4" fontId="78" fillId="0" borderId="0" xfId="0" applyFont="1" applyAlignment="1">
      <alignment horizontal="center" vertical="center"/>
    </xf>
    <xf numFmtId="4" fontId="78" fillId="0" borderId="0" xfId="0" applyFont="1" applyAlignment="1">
      <alignment horizontal="left" vertical="center" indent="1"/>
    </xf>
    <xf numFmtId="3" fontId="79" fillId="0" borderId="0" xfId="0" applyNumberFormat="1" applyFont="1" applyAlignment="1">
      <alignment horizontal="left" vertical="center" indent="1"/>
    </xf>
    <xf numFmtId="4" fontId="6" fillId="4" borderId="0" xfId="0" applyFont="1" applyFill="1"/>
    <xf numFmtId="4" fontId="6" fillId="4" borderId="25" xfId="0" applyFont="1" applyFill="1" applyBorder="1"/>
    <xf numFmtId="4" fontId="6" fillId="4" borderId="26" xfId="0" applyFont="1" applyFill="1" applyBorder="1"/>
    <xf numFmtId="4" fontId="79" fillId="0" borderId="0" xfId="0" applyFont="1" applyAlignment="1">
      <alignment horizontal="left" vertical="center" indent="1"/>
    </xf>
    <xf numFmtId="4" fontId="79" fillId="0" borderId="0" xfId="0" applyFont="1" applyAlignment="1">
      <alignment horizontal="center" vertical="center"/>
    </xf>
    <xf numFmtId="166" fontId="79" fillId="0" borderId="0" xfId="0" applyNumberFormat="1" applyFont="1" applyAlignment="1">
      <alignment horizontal="left" vertical="center" indent="1"/>
    </xf>
    <xf numFmtId="3" fontId="79" fillId="2" borderId="0" xfId="0" applyNumberFormat="1" applyFont="1" applyFill="1" applyAlignment="1">
      <alignment horizontal="left" vertical="center" indent="1"/>
    </xf>
    <xf numFmtId="4" fontId="79" fillId="0" borderId="0" xfId="0" applyFont="1" applyAlignment="1">
      <alignment vertical="center"/>
    </xf>
    <xf numFmtId="2" fontId="79" fillId="0" borderId="0" xfId="0" applyNumberFormat="1" applyFont="1" applyAlignment="1">
      <alignment horizontal="left" vertical="center" indent="1"/>
    </xf>
    <xf numFmtId="4" fontId="82" fillId="0" borderId="0" xfId="0" applyFont="1" applyAlignment="1">
      <alignment horizontal="left" vertical="center" indent="1"/>
    </xf>
    <xf numFmtId="4" fontId="79" fillId="0" borderId="0" xfId="0" applyFont="1" applyAlignment="1">
      <alignment horizontal="left" vertical="center"/>
    </xf>
    <xf numFmtId="9" fontId="78" fillId="0" borderId="0" xfId="339" applyFont="1" applyFill="1" applyBorder="1" applyAlignment="1">
      <alignment horizontal="left" vertical="center" indent="1"/>
    </xf>
    <xf numFmtId="1" fontId="78" fillId="0" borderId="0" xfId="339" applyNumberFormat="1" applyFont="1" applyFill="1" applyBorder="1" applyAlignment="1">
      <alignment horizontal="left" vertical="center" indent="1"/>
    </xf>
    <xf numFmtId="0" fontId="78" fillId="0" borderId="0" xfId="339" applyNumberFormat="1" applyFont="1" applyFill="1" applyBorder="1" applyAlignment="1">
      <alignment horizontal="left" vertical="center" indent="1"/>
    </xf>
    <xf numFmtId="4" fontId="6" fillId="0" borderId="22" xfId="0" applyFont="1" applyBorder="1"/>
    <xf numFmtId="4" fontId="6" fillId="0" borderId="23" xfId="0" applyFont="1" applyBorder="1"/>
    <xf numFmtId="4" fontId="6" fillId="0" borderId="31" xfId="0" applyFont="1" applyBorder="1"/>
    <xf numFmtId="4" fontId="6" fillId="0" borderId="25" xfId="0" applyFont="1" applyBorder="1"/>
    <xf numFmtId="4" fontId="6" fillId="0" borderId="26" xfId="0" applyFont="1" applyBorder="1"/>
    <xf numFmtId="166" fontId="78" fillId="0" borderId="0" xfId="0" applyNumberFormat="1" applyFont="1" applyAlignment="1">
      <alignment horizontal="left" vertical="center" indent="1"/>
    </xf>
    <xf numFmtId="9" fontId="79" fillId="0" borderId="0" xfId="339" applyFont="1" applyFill="1" applyBorder="1" applyAlignment="1">
      <alignment horizontal="left" vertical="center" indent="1"/>
    </xf>
    <xf numFmtId="4" fontId="0" fillId="0" borderId="29" xfId="0" applyBorder="1" applyAlignment="1">
      <alignment horizontal="center"/>
    </xf>
    <xf numFmtId="4" fontId="0" fillId="0" borderId="30" xfId="0" applyBorder="1" applyAlignment="1">
      <alignment horizontal="center"/>
    </xf>
    <xf numFmtId="3" fontId="0" fillId="68" borderId="22" xfId="0" applyNumberFormat="1" applyFill="1" applyBorder="1"/>
    <xf numFmtId="4" fontId="0" fillId="0" borderId="0" xfId="0" applyAlignment="1">
      <alignment horizontal="center"/>
    </xf>
    <xf numFmtId="4" fontId="90" fillId="0" borderId="0" xfId="0" applyFont="1"/>
    <xf numFmtId="4" fontId="73" fillId="0" borderId="0" xfId="0" applyFont="1"/>
    <xf numFmtId="4" fontId="61" fillId="0" borderId="0" xfId="0" applyFont="1" applyAlignment="1">
      <alignment vertical="center"/>
    </xf>
    <xf numFmtId="0" fontId="1" fillId="0" borderId="0" xfId="0" applyNumberFormat="1" applyFont="1" applyAlignment="1">
      <alignment horizontal="left"/>
    </xf>
    <xf numFmtId="4" fontId="91" fillId="0" borderId="0" xfId="0" applyFont="1"/>
    <xf numFmtId="4" fontId="1" fillId="0" borderId="0" xfId="0" applyFont="1" applyAlignment="1">
      <alignment horizontal="left"/>
    </xf>
    <xf numFmtId="4" fontId="2" fillId="2" borderId="0" xfId="1" applyNumberFormat="1" applyFill="1" applyAlignment="1">
      <alignment vertical="center"/>
    </xf>
    <xf numFmtId="3" fontId="78" fillId="69" borderId="0" xfId="356" applyNumberFormat="1" applyFont="1" applyFill="1" applyBorder="1" applyAlignment="1">
      <alignment horizontal="left" vertical="center" indent="1"/>
    </xf>
    <xf numFmtId="4" fontId="0" fillId="69" borderId="0" xfId="0" applyFill="1"/>
    <xf numFmtId="4" fontId="0" fillId="69" borderId="22" xfId="0" applyFill="1" applyBorder="1"/>
    <xf numFmtId="4" fontId="78" fillId="69" borderId="0" xfId="0" applyFont="1" applyFill="1" applyAlignment="1">
      <alignment horizontal="left" vertical="center" indent="1"/>
    </xf>
    <xf numFmtId="4" fontId="79" fillId="69" borderId="0" xfId="0" applyFont="1" applyFill="1" applyAlignment="1">
      <alignment horizontal="left" vertical="center"/>
    </xf>
    <xf numFmtId="9" fontId="0" fillId="69" borderId="0" xfId="339" applyFont="1" applyFill="1"/>
    <xf numFmtId="49" fontId="0" fillId="69" borderId="0" xfId="0" applyNumberFormat="1" applyFill="1"/>
    <xf numFmtId="3" fontId="0" fillId="69" borderId="0" xfId="0" applyNumberFormat="1" applyFill="1"/>
    <xf numFmtId="4" fontId="1" fillId="69" borderId="0" xfId="0" applyFont="1" applyFill="1"/>
    <xf numFmtId="2" fontId="0" fillId="69" borderId="0" xfId="0" applyNumberFormat="1" applyFill="1"/>
    <xf numFmtId="3" fontId="0" fillId="69" borderId="0" xfId="0" applyNumberFormat="1" applyFill="1" applyAlignment="1">
      <alignment vertical="center"/>
    </xf>
    <xf numFmtId="3" fontId="0" fillId="69" borderId="22" xfId="0" applyNumberFormat="1" applyFill="1" applyBorder="1" applyAlignment="1">
      <alignment vertical="center"/>
    </xf>
    <xf numFmtId="166" fontId="0" fillId="70" borderId="22" xfId="0" applyNumberFormat="1" applyFill="1" applyBorder="1" applyAlignment="1">
      <alignment vertical="center"/>
    </xf>
    <xf numFmtId="3" fontId="0" fillId="70" borderId="24" xfId="0" applyNumberFormat="1" applyFill="1" applyBorder="1" applyAlignment="1">
      <alignment vertical="center"/>
    </xf>
    <xf numFmtId="166" fontId="0" fillId="69" borderId="22" xfId="0" applyNumberFormat="1" applyFill="1" applyBorder="1" applyAlignment="1">
      <alignment vertical="center"/>
    </xf>
    <xf numFmtId="4" fontId="0" fillId="69" borderId="22" xfId="0" applyFill="1" applyBorder="1" applyAlignment="1">
      <alignment horizontal="left"/>
    </xf>
    <xf numFmtId="4" fontId="0" fillId="69" borderId="23" xfId="0" applyFill="1" applyBorder="1" applyAlignment="1">
      <alignment horizontal="left"/>
    </xf>
    <xf numFmtId="4" fontId="0" fillId="70" borderId="24" xfId="0" applyFill="1" applyBorder="1"/>
    <xf numFmtId="166" fontId="0" fillId="70" borderId="24" xfId="0" applyNumberFormat="1" applyFill="1" applyBorder="1" applyAlignment="1">
      <alignment vertical="center"/>
    </xf>
    <xf numFmtId="4" fontId="0" fillId="70" borderId="24" xfId="0" applyFill="1" applyBorder="1" applyAlignment="1">
      <alignment horizontal="left"/>
    </xf>
    <xf numFmtId="4" fontId="0" fillId="70" borderId="27" xfId="0" applyFill="1" applyBorder="1" applyAlignment="1">
      <alignment horizontal="left"/>
    </xf>
    <xf numFmtId="4" fontId="92" fillId="69" borderId="0" xfId="0" applyFont="1" applyFill="1"/>
    <xf numFmtId="4" fontId="0" fillId="69" borderId="0" xfId="0" applyFill="1" applyAlignment="1">
      <alignment vertical="center"/>
    </xf>
    <xf numFmtId="0" fontId="4" fillId="69" borderId="0" xfId="0" applyNumberFormat="1" applyFont="1" applyFill="1"/>
    <xf numFmtId="3" fontId="58" fillId="0" borderId="32" xfId="0" applyNumberFormat="1" applyFont="1" applyBorder="1" applyAlignment="1">
      <alignment horizontal="left" vertical="center"/>
    </xf>
    <xf numFmtId="4" fontId="58" fillId="69" borderId="32" xfId="0" applyFont="1" applyFill="1" applyBorder="1" applyAlignment="1">
      <alignment vertical="center"/>
    </xf>
    <xf numFmtId="3" fontId="4" fillId="0" borderId="32" xfId="0" applyNumberFormat="1" applyFont="1" applyBorder="1" applyAlignment="1">
      <alignment horizontal="left" vertical="center"/>
    </xf>
    <xf numFmtId="4" fontId="4" fillId="69" borderId="32" xfId="0" applyFont="1" applyFill="1" applyBorder="1" applyAlignment="1">
      <alignment vertical="center"/>
    </xf>
    <xf numFmtId="3" fontId="61" fillId="0" borderId="32" xfId="0" applyNumberFormat="1" applyFont="1" applyBorder="1" applyAlignment="1">
      <alignment horizontal="left" vertical="center"/>
    </xf>
    <xf numFmtId="4" fontId="61" fillId="0" borderId="32" xfId="0" applyFont="1" applyBorder="1" applyAlignment="1">
      <alignment vertical="center"/>
    </xf>
    <xf numFmtId="0" fontId="62" fillId="0" borderId="0" xfId="1" applyFont="1"/>
    <xf numFmtId="166" fontId="0" fillId="69" borderId="0" xfId="0" applyNumberFormat="1" applyFill="1" applyAlignment="1">
      <alignment vertical="center"/>
    </xf>
    <xf numFmtId="4" fontId="0" fillId="69" borderId="0" xfId="0" applyFill="1" applyAlignment="1">
      <alignment horizontal="left"/>
    </xf>
    <xf numFmtId="4" fontId="4" fillId="69" borderId="0" xfId="0" applyFont="1" applyFill="1" applyAlignment="1">
      <alignment horizontal="left" vertical="center"/>
    </xf>
    <xf numFmtId="3" fontId="78" fillId="0" borderId="0" xfId="356" applyNumberFormat="1" applyFont="1" applyFill="1" applyBorder="1" applyAlignment="1">
      <alignment horizontal="left" vertical="center" indent="1"/>
    </xf>
    <xf numFmtId="0" fontId="9" fillId="0" borderId="0" xfId="349"/>
    <xf numFmtId="0" fontId="61" fillId="71" borderId="0" xfId="349" applyFont="1" applyFill="1" applyAlignment="1">
      <alignment horizontal="left" vertical="center" wrapText="1"/>
    </xf>
    <xf numFmtId="0" fontId="14" fillId="0" borderId="0" xfId="349" applyFont="1"/>
    <xf numFmtId="0" fontId="61" fillId="2" borderId="0" xfId="349" applyFont="1" applyFill="1" applyAlignment="1">
      <alignment horizontal="left" vertical="center" wrapText="1"/>
    </xf>
    <xf numFmtId="0" fontId="94" fillId="72" borderId="37" xfId="349" applyFont="1" applyFill="1" applyBorder="1" applyAlignment="1">
      <alignment horizontal="center" vertical="center" wrapText="1"/>
    </xf>
    <xf numFmtId="0" fontId="9" fillId="2" borderId="34" xfId="349" applyFill="1" applyBorder="1" applyAlignment="1">
      <alignment horizontal="left" vertical="center"/>
    </xf>
    <xf numFmtId="0" fontId="9" fillId="2" borderId="34" xfId="349" applyFill="1" applyBorder="1"/>
    <xf numFmtId="0" fontId="9" fillId="2" borderId="35" xfId="349" applyFill="1" applyBorder="1"/>
    <xf numFmtId="0" fontId="3" fillId="0" borderId="0" xfId="349" applyFont="1" applyAlignment="1">
      <alignment vertical="center"/>
    </xf>
    <xf numFmtId="0" fontId="0" fillId="2" borderId="0" xfId="349" applyFont="1" applyFill="1" applyAlignment="1">
      <alignment horizontal="left" vertical="center" wrapText="1"/>
    </xf>
    <xf numFmtId="0" fontId="0" fillId="71" borderId="0" xfId="349" applyFont="1" applyFill="1" applyAlignment="1">
      <alignment horizontal="left" vertical="center" wrapText="1"/>
    </xf>
    <xf numFmtId="4" fontId="77" fillId="0" borderId="0" xfId="0" applyFont="1" applyAlignment="1">
      <alignment vertical="top"/>
    </xf>
    <xf numFmtId="0" fontId="57" fillId="0" borderId="0" xfId="349" applyFont="1"/>
    <xf numFmtId="4" fontId="14" fillId="73" borderId="0" xfId="0" applyFont="1" applyFill="1"/>
    <xf numFmtId="4" fontId="97" fillId="73" borderId="0" xfId="0" applyFont="1" applyFill="1"/>
    <xf numFmtId="0" fontId="0" fillId="0" borderId="28" xfId="0" applyNumberFormat="1" applyBorder="1" applyAlignment="1">
      <alignment horizontal="center"/>
    </xf>
    <xf numFmtId="4" fontId="0" fillId="0" borderId="0" xfId="0" applyNumberFormat="1"/>
    <xf numFmtId="2" fontId="0" fillId="0" borderId="0" xfId="0" applyNumberFormat="1"/>
    <xf numFmtId="0" fontId="3" fillId="69" borderId="4" xfId="349" applyFont="1" applyFill="1" applyBorder="1" applyAlignment="1">
      <alignment vertical="center"/>
    </xf>
    <xf numFmtId="4" fontId="4" fillId="69" borderId="33" xfId="0" applyFont="1" applyFill="1" applyBorder="1" applyAlignment="1">
      <alignment vertical="center"/>
    </xf>
    <xf numFmtId="0" fontId="99" fillId="0" borderId="0" xfId="1" applyFont="1"/>
    <xf numFmtId="0" fontId="99" fillId="0" borderId="0" xfId="1" quotePrefix="1" applyFont="1" applyBorder="1"/>
    <xf numFmtId="49" fontId="60" fillId="0" borderId="0" xfId="0" applyNumberFormat="1" applyFont="1"/>
    <xf numFmtId="49" fontId="72" fillId="0" borderId="0" xfId="0" applyNumberFormat="1" applyFont="1"/>
    <xf numFmtId="49" fontId="4" fillId="0" borderId="0" xfId="0" applyNumberFormat="1" applyFont="1"/>
    <xf numFmtId="0" fontId="0" fillId="0" borderId="28" xfId="0" applyNumberFormat="1" applyBorder="1" applyAlignment="1">
      <alignment horizontal="center"/>
    </xf>
    <xf numFmtId="0" fontId="0" fillId="0" borderId="29" xfId="0" applyNumberFormat="1" applyBorder="1" applyAlignment="1">
      <alignment horizontal="center"/>
    </xf>
    <xf numFmtId="0" fontId="0" fillId="0" borderId="30" xfId="0" applyNumberFormat="1" applyBorder="1" applyAlignment="1">
      <alignment horizontal="center"/>
    </xf>
    <xf numFmtId="4" fontId="0" fillId="0" borderId="0" xfId="0" applyAlignment="1">
      <alignment vertical="center"/>
    </xf>
    <xf numFmtId="0" fontId="94" fillId="0" borderId="36" xfId="349" applyFont="1" applyBorder="1" applyAlignment="1">
      <alignment horizontal="center"/>
    </xf>
    <xf numFmtId="0" fontId="94" fillId="72" borderId="38" xfId="349" applyFont="1" applyFill="1" applyBorder="1" applyAlignment="1">
      <alignment horizontal="center" vertical="center" wrapText="1"/>
    </xf>
    <xf numFmtId="0" fontId="94" fillId="72" borderId="42" xfId="349" applyFont="1" applyFill="1" applyBorder="1" applyAlignment="1">
      <alignment horizontal="center" vertical="center" wrapText="1"/>
    </xf>
    <xf numFmtId="0" fontId="1" fillId="2" borderId="39" xfId="349" applyFont="1" applyFill="1" applyBorder="1" applyAlignment="1">
      <alignment horizontal="left" vertical="center" wrapText="1"/>
    </xf>
    <xf numFmtId="0" fontId="1" fillId="2" borderId="40" xfId="349" applyFont="1" applyFill="1" applyBorder="1" applyAlignment="1">
      <alignment horizontal="left" vertical="center" wrapText="1"/>
    </xf>
    <xf numFmtId="0" fontId="1" fillId="2" borderId="41" xfId="349" applyFont="1" applyFill="1" applyBorder="1" applyAlignment="1">
      <alignment horizontal="left" vertical="center" wrapText="1"/>
    </xf>
    <xf numFmtId="0" fontId="1" fillId="2" borderId="43" xfId="349" applyFont="1" applyFill="1" applyBorder="1" applyAlignment="1">
      <alignment horizontal="left" vertical="center" wrapText="1"/>
    </xf>
    <xf numFmtId="0" fontId="1" fillId="2" borderId="36" xfId="349" applyFont="1" applyFill="1" applyBorder="1" applyAlignment="1">
      <alignment horizontal="left" vertical="center" wrapText="1"/>
    </xf>
    <xf numFmtId="0" fontId="1" fillId="2" borderId="44" xfId="349" applyFont="1" applyFill="1" applyBorder="1" applyAlignment="1">
      <alignment horizontal="left" vertical="center" wrapText="1"/>
    </xf>
  </cellXfs>
  <cellStyles count="357">
    <cellStyle name="%" xfId="217" xr:uid="{88BA772E-BBEE-4928-B7F7-3FBCB3E4C452}"/>
    <cellStyle name="20 % - Akzent1" xfId="8" builtinId="30" customBuiltin="1"/>
    <cellStyle name="20 % - Akzent2" xfId="12" builtinId="34" customBuiltin="1"/>
    <cellStyle name="20 % - Akzent3" xfId="16" builtinId="38" customBuiltin="1"/>
    <cellStyle name="20 % - Akzent4" xfId="20" builtinId="42" customBuiltin="1"/>
    <cellStyle name="20 % - Akzent5" xfId="24" builtinId="46" customBuiltin="1"/>
    <cellStyle name="20 % - Akzent6" xfId="28" builtinId="50" customBuiltin="1"/>
    <cellStyle name="20% - Accent1 2" xfId="64" xr:uid="{67D0632D-BA67-4C1B-93AA-5C451D184663}"/>
    <cellStyle name="20% - Accent1 2 2" xfId="120" xr:uid="{D7D2B4C9-DDA4-41DA-82A0-C7414AD2B413}"/>
    <cellStyle name="20% - Accent1 2 2 2" xfId="301" xr:uid="{FB54FBDE-3C7E-4DEA-BA42-86AA60C81798}"/>
    <cellStyle name="20% - Accent1 2 2 3" xfId="246" xr:uid="{072ECA8D-2AE2-4D24-9553-5C0E3091DDC6}"/>
    <cellStyle name="20% - Accent2 2" xfId="74" xr:uid="{24AD2734-329C-43A6-91DF-DBDD770C490A}"/>
    <cellStyle name="20% - Accent2 2 2" xfId="179" xr:uid="{64A9D8B2-2E63-4FEF-AD1A-492E0F09AA2C}"/>
    <cellStyle name="20% - Accent2 2 2 2" xfId="232" xr:uid="{245D35BF-6FF4-4AC0-8050-64B8078C2D5B}"/>
    <cellStyle name="20% - Accent2 2 2 3" xfId="59" xr:uid="{3FECFDB3-B3BE-4302-AFFF-BD51C28ACC5B}"/>
    <cellStyle name="20% - Accent3 2" xfId="73" xr:uid="{4786B6B1-3441-44AA-B02C-8CF7F7AAB6AE}"/>
    <cellStyle name="20% - Accent3 2 2" xfId="131" xr:uid="{8D77929E-F9B3-4B73-AD5E-F01C1F1C36AA}"/>
    <cellStyle name="20% - Accent3 2 2 2" xfId="77" xr:uid="{4A6EA235-E20D-4EE1-B2D5-CC62028AFD2E}"/>
    <cellStyle name="20% - Accent3 2 2 3" xfId="136" xr:uid="{CD84471A-CDCC-473E-AB9B-AD558657D3CD}"/>
    <cellStyle name="20% - Accent4 2" xfId="142" xr:uid="{E9D4B77D-1689-4F1F-9F4C-72FB76C7C0C6}"/>
    <cellStyle name="20% - Accent4 2 2" xfId="289" xr:uid="{80CB9E1F-8BB6-454E-9546-5EE7199FFC77}"/>
    <cellStyle name="20% - Accent4 2 2 2" xfId="258" xr:uid="{1F94A890-2BB2-468C-A833-D27CE4C3D195}"/>
    <cellStyle name="20% - Accent4 2 2 3" xfId="206" xr:uid="{58ABBB37-9ACD-4173-9B40-A485070991B9}"/>
    <cellStyle name="20% - Accent5 2" xfId="170" xr:uid="{0FA13902-CF2C-4978-AE2D-925B76C16749}"/>
    <cellStyle name="20% - Accent5 2 2" xfId="168" xr:uid="{3ABFE3ED-FCEE-4B57-9CBA-C5BC159EE555}"/>
    <cellStyle name="20% - Accent5 2 2 2" xfId="84" xr:uid="{8AA83E16-D0A0-4462-A0C7-42918DF6DA64}"/>
    <cellStyle name="20% - Accent5 2 2 3" xfId="129" xr:uid="{1B73BE92-066A-41C2-8F9B-A662C72BFCC7}"/>
    <cellStyle name="20% - Accent6 2" xfId="152" xr:uid="{C2AC3D56-3A86-4BFA-B046-884754EED056}"/>
    <cellStyle name="20% - Accent6 2 2" xfId="306" xr:uid="{DA556082-DB9B-4C3B-A735-DEBD7789B453}"/>
    <cellStyle name="20% - Accent6 2 2 2" xfId="128" xr:uid="{3CA6D1F3-43CF-4359-A39D-4DC809328124}"/>
    <cellStyle name="20% - Accent6 2 2 3" xfId="293" xr:uid="{70BFD040-507B-4006-B2D4-69F44352ABFD}"/>
    <cellStyle name="40 % - Akzent1" xfId="9" builtinId="31" customBuiltin="1"/>
    <cellStyle name="40 % - Akzent2" xfId="13" builtinId="35" customBuiltin="1"/>
    <cellStyle name="40 % - Akzent3" xfId="17" builtinId="39" customBuiltin="1"/>
    <cellStyle name="40 % - Akzent4" xfId="21" builtinId="43" customBuiltin="1"/>
    <cellStyle name="40 % - Akzent5" xfId="25" builtinId="47" customBuiltin="1"/>
    <cellStyle name="40 % - Akzent6" xfId="29" builtinId="51" customBuiltin="1"/>
    <cellStyle name="40% - Accent1 2" xfId="130" xr:uid="{348F74A5-ED53-458E-A7FB-D5EF5259D009}"/>
    <cellStyle name="40% - Accent1 2 2" xfId="317" xr:uid="{BEF6D1B2-82E4-476D-8E6C-8A286EFC9C53}"/>
    <cellStyle name="40% - Accent1 2 2 2" xfId="68" xr:uid="{19893C77-FE9A-4CB4-8B8A-EA00A40E7F01}"/>
    <cellStyle name="40% - Accent1 2 2 3" xfId="196" xr:uid="{717F8BAA-AA12-4EFB-81CC-CCF1F6680CAF}"/>
    <cellStyle name="40% - Accent2 2" xfId="89" xr:uid="{28AFE535-9944-422B-9167-4490330F308B}"/>
    <cellStyle name="40% - Accent2 2 2" xfId="272" xr:uid="{5704FFB5-5FF6-4867-8718-45CE8CECC3C1}"/>
    <cellStyle name="40% - Accent2 2 2 2" xfId="302" xr:uid="{4EE7D14B-E137-4E11-A1F5-26EEDC96B0BA}"/>
    <cellStyle name="40% - Accent2 2 2 3" xfId="311" xr:uid="{9852E7C6-89C0-4A0E-941A-0D29CF1176AF}"/>
    <cellStyle name="40% - Accent3 2" xfId="266" xr:uid="{7ECDD3E0-56EC-49D1-B3B9-57DD9D40666A}"/>
    <cellStyle name="40% - Accent3 2 2" xfId="92" xr:uid="{60EC9A2C-7A9A-41DE-8FDD-DFD4DFBB9925}"/>
    <cellStyle name="40% - Accent3 2 2 2" xfId="286" xr:uid="{708D4C74-F38C-43DC-B070-BFB17B040FE4}"/>
    <cellStyle name="40% - Accent3 2 2 3" xfId="65" xr:uid="{DF7B0D1B-142D-4636-81A9-DBE05D8731DC}"/>
    <cellStyle name="40% - Accent4 2" xfId="262" xr:uid="{2B6CF215-4E45-411E-AF9E-1E224D55BD93}"/>
    <cellStyle name="40% - Accent4 2 2" xfId="219" xr:uid="{3BA13206-D31D-48D3-948B-1AABA9E11445}"/>
    <cellStyle name="40% - Accent4 2 2 2" xfId="110" xr:uid="{08DF2745-BF28-4191-AA54-0B2CBB58C3C7}"/>
    <cellStyle name="40% - Accent4 2 2 3" xfId="117" xr:uid="{41FD592A-2F80-4D6A-AAF0-2B61926B6CF5}"/>
    <cellStyle name="40% - Accent5 2" xfId="321" xr:uid="{9594959F-B4AE-4EEC-81F8-F5F6412541A4}"/>
    <cellStyle name="40% - Accent5 2 2" xfId="248" xr:uid="{37252E58-06C4-4EE8-B591-D775FFE69199}"/>
    <cellStyle name="40% - Accent5 2 2 2" xfId="98" xr:uid="{0D948014-821B-45A7-B383-F137316BA33B}"/>
    <cellStyle name="40% - Accent5 2 2 3" xfId="156" xr:uid="{403FCCFF-3911-46B3-8F9F-CC90B0421F5C}"/>
    <cellStyle name="40% - Accent6 2" xfId="192" xr:uid="{E0B76F13-B7D0-49DE-ACCF-45AE38D1DC5D}"/>
    <cellStyle name="40% - Accent6 2 2" xfId="108" xr:uid="{BB4C3251-5364-4ADA-BE25-8019101C609E}"/>
    <cellStyle name="40% - Accent6 2 2 2" xfId="60" xr:uid="{E8F61903-CE54-4FCC-8EB8-865DFF1D0587}"/>
    <cellStyle name="40% - Accent6 2 2 3" xfId="104" xr:uid="{1BB3AFF2-5597-4F92-8BB7-79C267F0C6C1}"/>
    <cellStyle name="5x indented GHG Textfiels" xfId="309" xr:uid="{A43FA8AF-2568-40F9-9601-5EBDBEC2DC96}"/>
    <cellStyle name="60 % - Akzent1" xfId="10" builtinId="32" customBuiltin="1"/>
    <cellStyle name="60 % - Akzent2" xfId="14" builtinId="36" customBuiltin="1"/>
    <cellStyle name="60 % - Akzent3" xfId="18" builtinId="40" customBuiltin="1"/>
    <cellStyle name="60 % - Akzent4" xfId="22" builtinId="44" customBuiltin="1"/>
    <cellStyle name="60 % - Akzent5" xfId="26" builtinId="48" customBuiltin="1"/>
    <cellStyle name="60 % - Akzent6" xfId="30" builtinId="52" customBuiltin="1"/>
    <cellStyle name="60% - Accent1 2" xfId="135" xr:uid="{11BEB34F-3D82-4781-94D2-BA100CA3D599}"/>
    <cellStyle name="60% - Accent1 2 2" xfId="255" xr:uid="{B09F078C-D593-4CF7-99D7-D38665780709}"/>
    <cellStyle name="60% - Accent1 2 2 2" xfId="94" xr:uid="{374512B2-9D86-4700-8237-2433674803F3}"/>
    <cellStyle name="60% - Accent1 2 2 3" xfId="283" xr:uid="{69AA644E-2C39-4C5E-967D-06CBC1907CB4}"/>
    <cellStyle name="60% - Accent2 2" xfId="188" xr:uid="{C661E50C-B7FF-4CE1-9B2B-7878AB6E0235}"/>
    <cellStyle name="60% - Accent2 2 2" xfId="250" xr:uid="{149FDE33-848E-4C00-B05A-E9AAACE51854}"/>
    <cellStyle name="60% - Accent2 2 2 2" xfId="204" xr:uid="{E3EFA46A-9D59-4A7D-84FF-4999E3CAA00C}"/>
    <cellStyle name="60% - Accent2 2 2 3" xfId="198" xr:uid="{2201C491-2103-49B7-BBAD-3FA180C4CE9B}"/>
    <cellStyle name="60% - Accent3 2" xfId="140" xr:uid="{7EC72CA5-C04E-4AA5-8AAB-5A9C302E4064}"/>
    <cellStyle name="60% - Accent3 2 2" xfId="268" xr:uid="{DAC41DDC-90CD-4AF3-99DE-95C1E3C842F5}"/>
    <cellStyle name="60% - Accent3 2 2 2" xfId="151" xr:uid="{48D6E3B7-D60B-4CDC-8B17-354925950A31}"/>
    <cellStyle name="60% - Accent3 2 2 3" xfId="63" xr:uid="{D35B0289-0690-451A-A738-18121B4A5354}"/>
    <cellStyle name="60% - Accent4 2" xfId="237" xr:uid="{3328B403-1541-4DD5-9227-C1AF0660967D}"/>
    <cellStyle name="60% - Accent4 2 2" xfId="288" xr:uid="{BFB94169-1B0A-44EC-8C90-C66FCE17351B}"/>
    <cellStyle name="60% - Accent4 2 2 2" xfId="175" xr:uid="{5E816EB7-AFEE-49CF-978F-507ADB0C9D61}"/>
    <cellStyle name="60% - Accent4 2 2 3" xfId="226" xr:uid="{871B98DB-F570-4FD3-86CA-1CD1BC4B6FF1}"/>
    <cellStyle name="60% - Accent5 2" xfId="214" xr:uid="{97D52B74-03AF-48A0-B568-37FDE7466D51}"/>
    <cellStyle name="60% - Accent5 2 2" xfId="238" xr:uid="{B0F2B481-8D29-4DD7-A885-2F42958E4360}"/>
    <cellStyle name="60% - Accent5 2 2 2" xfId="241" xr:uid="{2E3069D9-3204-4187-BFAB-43DAF4632FEA}"/>
    <cellStyle name="60% - Accent5 2 2 3" xfId="294" xr:uid="{8C02C9D3-A49F-4B7D-906B-BEAA6812CA40}"/>
    <cellStyle name="60% - Accent6 2" xfId="222" xr:uid="{9464FDDE-51FE-4FB6-B7A6-4A059C396993}"/>
    <cellStyle name="60% - Accent6 2 2" xfId="236" xr:uid="{9A2ED383-891A-4944-8F2C-A2A28B79673C}"/>
    <cellStyle name="60% - Accent6 2 2 2" xfId="66" xr:uid="{A3C8C7D3-166D-49FF-9FB2-51565D0759F0}"/>
    <cellStyle name="60% - Accent6 2 2 3" xfId="132" xr:uid="{CD273E72-EA5F-4A56-B37B-A314C87B8DDF}"/>
    <cellStyle name="Accent1 2" xfId="245" xr:uid="{B7A752A0-F1C0-48EB-B41A-117216C3C996}"/>
    <cellStyle name="Accent1 2 2" xfId="228" xr:uid="{7CBFBC19-7A47-4C7E-876F-D89CC5000923}"/>
    <cellStyle name="Accent1 2 2 2" xfId="101" xr:uid="{FCBC778F-2FD4-4FD8-87A3-BAD61839CCB6}"/>
    <cellStyle name="Accent1 2 2 3" xfId="153" xr:uid="{58E6F0ED-600F-4BD2-8905-C9C6DA91BC67}"/>
    <cellStyle name="Accent2 2" xfId="243" xr:uid="{C54FE396-C390-4715-B503-5C3D69D4A627}"/>
    <cellStyle name="Accent2 2 2" xfId="106" xr:uid="{B957E42D-9D37-4CA1-8B27-47836CE2BE10}"/>
    <cellStyle name="Accent2 2 2 2" xfId="254" xr:uid="{372598E6-3573-4E15-ABDD-D6CE022F00F0}"/>
    <cellStyle name="Accent2 2 2 3" xfId="296" xr:uid="{1A7C586E-DF02-4DD8-B15F-7EF684C55FA5}"/>
    <cellStyle name="Accent3 2" xfId="62" xr:uid="{026233C0-6F40-4D2D-8B35-CDB87BBD22B8}"/>
    <cellStyle name="Accent3 2 2" xfId="279" xr:uid="{51E1F88F-9A1B-4ABA-A29E-91FF895FF040}"/>
    <cellStyle name="Accent3 2 2 2" xfId="185" xr:uid="{80F34F42-FA82-4E8B-A597-354DBD6575B6}"/>
    <cellStyle name="Accent3 2 2 3" xfId="122" xr:uid="{AAC46EC1-27D3-40FD-98EC-951E2FC26512}"/>
    <cellStyle name="Accent4 2" xfId="225" xr:uid="{151DE846-4A6B-43F5-BC21-B72C0E6C01F8}"/>
    <cellStyle name="Accent4 2 2" xfId="97" xr:uid="{FBB444B4-C7CC-4BE6-B218-3AB12039D13B}"/>
    <cellStyle name="Accent4 2 2 2" xfId="163" xr:uid="{8E85A566-C874-483F-9756-055EF9E1DAD9}"/>
    <cellStyle name="Accent4 2 2 3" xfId="260" xr:uid="{EA79A2FD-5EC4-4B0F-817D-0469AF37FE2F}"/>
    <cellStyle name="Accent5 2" xfId="180" xr:uid="{D610786D-A33F-4D95-BB26-06696ED20F4C}"/>
    <cellStyle name="Accent5 2 2" xfId="181" xr:uid="{D040A574-3BDE-47C9-8616-0ED6E7BF2B50}"/>
    <cellStyle name="Accent5 2 2 2" xfId="223" xr:uid="{65355D30-E9F0-4909-9440-92A5087536C2}"/>
    <cellStyle name="Accent5 2 2 3" xfId="235" xr:uid="{96612BB6-4F39-4A4B-A11A-7F86ABF0DE64}"/>
    <cellStyle name="Accent6 2" xfId="160" xr:uid="{C765E667-FAE1-4525-A59E-4A2DC86C2605}"/>
    <cellStyle name="Accent6 2 2" xfId="161" xr:uid="{594898CA-F6B0-402D-A74E-B422167BB28E}"/>
    <cellStyle name="Accent6 2 2 2" xfId="119" xr:uid="{6DCA506C-FB81-4C73-8099-C3505D2C0184}"/>
    <cellStyle name="Accent6 2 2 3" xfId="213" xr:uid="{D9FAF7A9-902D-4880-B88D-53747452768C}"/>
    <cellStyle name="AggblueCels_1x" xfId="182" xr:uid="{6FDB1BBB-EB3C-40A8-9A9B-BD3E906804DE}"/>
    <cellStyle name="Akzent1" xfId="7" builtinId="29" customBuiltin="1"/>
    <cellStyle name="Akzent2" xfId="11" builtinId="33" customBuiltin="1"/>
    <cellStyle name="Akzent3" xfId="15" builtinId="37" customBuiltin="1"/>
    <cellStyle name="Akzent4" xfId="19" builtinId="41" customBuiltin="1"/>
    <cellStyle name="Akzent5" xfId="23" builtinId="45" customBuiltin="1"/>
    <cellStyle name="Akzent6" xfId="27" builtinId="49" customBuiltin="1"/>
    <cellStyle name="Ausgabe 2" xfId="51" xr:uid="{684924B0-51DA-4550-ADC8-5ED1DBA82585}"/>
    <cellStyle name="Bad 2" xfId="146" xr:uid="{4D083638-02CB-4CDE-B341-9ED9C4C72D1E}"/>
    <cellStyle name="Bad 2 2" xfId="310" xr:uid="{43D8F7C0-8833-4FB3-ADCB-1C886145EB34}"/>
    <cellStyle name="Bad 2 2 2" xfId="273" xr:uid="{FC6BC2E8-2191-4F05-9126-CF60B5BDC7F3}"/>
    <cellStyle name="Bad 2 2 3" xfId="291" xr:uid="{07089A9A-60DD-4705-967F-43AFFAB4034E}"/>
    <cellStyle name="Berechnung 2" xfId="44" xr:uid="{99E54D4B-C23F-47EC-A32B-2612F17CE2C0}"/>
    <cellStyle name="Besuchter Hyperlink 2" xfId="46" xr:uid="{6FA9334B-8EDF-4D4E-8633-4A6DA4D93E83}"/>
    <cellStyle name="Bold GHG Numbers (0.00)" xfId="280" xr:uid="{DCD0E8DA-8EAA-446E-821A-28FBE91DA649}"/>
    <cellStyle name="Calculation 2" xfId="32" xr:uid="{22015D93-0D6B-4A2C-BD3A-F241AA7B17C4}"/>
    <cellStyle name="Calculation 2 2" xfId="277" xr:uid="{8F74AE67-F646-4B25-B722-5C3E2EC8E251}"/>
    <cellStyle name="Calculation 2 2 2" xfId="114" xr:uid="{FFCE4189-DC74-4CA9-90A6-99E959404C67}"/>
    <cellStyle name="Calculation 2 2 2 2" xfId="72" xr:uid="{5962D9C4-2510-46B1-AEC4-EC2BB6A5DCAE}"/>
    <cellStyle name="Calculation 2 2 2 3" xfId="78" xr:uid="{E5B0ACDC-C119-48A5-A337-28CA2E5A2557}"/>
    <cellStyle name="Calculation 2 3" xfId="194" xr:uid="{05EB501A-BADA-4CF4-ACF6-8F29B90EB0DF}"/>
    <cellStyle name="Calculation 2 3 2" xfId="127" xr:uid="{E6CC4492-AC0F-4A1F-9984-9E0044BCBE10}"/>
    <cellStyle name="Calculation 2 3 2 2" xfId="155" xr:uid="{2BEE595A-5F73-41CE-B60B-0EECD7A3A529}"/>
    <cellStyle name="Calculation 2 3 2 3" xfId="187" xr:uid="{F4E3A7F5-87E8-4261-A434-67C7D5552178}"/>
    <cellStyle name="Calculation 2 4" xfId="172" xr:uid="{76102E5A-7553-4050-B7C9-5D61FBD14B13}"/>
    <cellStyle name="Calculation 2 4 2" xfId="227" xr:uid="{3A30A389-7BEF-4DD0-AE5F-20CA285EE85B}"/>
    <cellStyle name="Calculation 2 4 3" xfId="126" xr:uid="{0E1FCEA3-CC6F-4055-8555-CF0113AFEC76}"/>
    <cellStyle name="Calculation 2 5" xfId="285" xr:uid="{0E0E0637-E5F6-4B23-9333-A17E31DA0C92}"/>
    <cellStyle name="Check Cell 2" xfId="199" xr:uid="{0E827FA8-2DA6-4206-9E28-B2815205F845}"/>
    <cellStyle name="Check Cell 2 2" xfId="112" xr:uid="{5B5D82C8-441C-4014-9F10-28C5AD204023}"/>
    <cellStyle name="Check Cell 2 2 2" xfId="242" xr:uid="{CC0225CA-8583-4155-8623-F44EA17C5BF2}"/>
    <cellStyle name="Check Cell 2 2 3" xfId="295" xr:uid="{1F89233D-ACF4-434F-8717-3E3B8B542D30}"/>
    <cellStyle name="Comma 10" xfId="324" xr:uid="{2AE6A59E-B2DE-4C05-B5E2-2176C428B62F}"/>
    <cellStyle name="Comma 10 2" xfId="343" xr:uid="{CC989953-ECA9-4EBF-BDF8-F6102E245DE0}"/>
    <cellStyle name="Comma 2" xfId="45" xr:uid="{FF514D7B-F561-4927-9CF1-8DD45CE6795F}"/>
    <cellStyle name="Comma 2 2" xfId="195" xr:uid="{79EC1F1F-ACC7-4D26-8996-138625DD7093}"/>
    <cellStyle name="Comma 2 2 2" xfId="345" xr:uid="{FE33F8B5-1F7F-4F31-9290-1CAA28E7E935}"/>
    <cellStyle name="Comma 2 3" xfId="256" xr:uid="{6BF313F9-E62F-484E-BD3C-5A13DEAABA22}"/>
    <cellStyle name="Comma 2 3 2" xfId="346" xr:uid="{5DA06CE4-01B2-442C-8ACF-7BCBB8F65FA5}"/>
    <cellStyle name="Comma 2 4" xfId="95" xr:uid="{4B9F706B-9425-4377-A9EA-FA8FF561D117}"/>
    <cellStyle name="Comma 2 5" xfId="141" xr:uid="{8BDED467-7C31-4C97-93C3-ACDE4AEB6CBB}"/>
    <cellStyle name="Comma 2 6" xfId="344" xr:uid="{82C6446D-3A31-4DB8-A2EA-79A322269CA1}"/>
    <cellStyle name="Comma 2 7" xfId="340" xr:uid="{99A3D419-6454-4E89-B402-A92D088E0DD3}"/>
    <cellStyle name="Comma 3" xfId="105" xr:uid="{6AA368C1-F6ED-408D-BBDE-92DC1D97337C}"/>
    <cellStyle name="Comma 3 2" xfId="347" xr:uid="{2391BFB4-C445-4180-B2E9-AA40D77F020D}"/>
    <cellStyle name="Cover" xfId="278" xr:uid="{F447F042-EC5F-4762-8F0A-0B51EE09153A}"/>
    <cellStyle name="Eingabe 2" xfId="47" xr:uid="{E09FC4FB-022C-40F1-B462-0E2C0493E500}"/>
    <cellStyle name="Erklärender Text 2" xfId="34" xr:uid="{4D9AF3AA-07A8-4CC2-BF6C-8982A5A62FDC}"/>
    <cellStyle name="Euro" xfId="203" xr:uid="{CE55A6D0-844B-4E76-96E1-23AD41C24096}"/>
    <cellStyle name="Euro 2" xfId="191" xr:uid="{15AC51F7-1BD1-448C-8837-BA693A3A4DF9}"/>
    <cellStyle name="Explanatory Text 2" xfId="208" xr:uid="{D59B73E6-E1BC-40AA-BF09-847B9252ED0A}"/>
    <cellStyle name="Good 2" xfId="202" xr:uid="{B9D1F232-160A-4745-83F4-882A99B23497}"/>
    <cellStyle name="Good 2 2" xfId="149" xr:uid="{B387C2A6-C727-4767-A4B2-8808F3314A55}"/>
    <cellStyle name="Good 2 2 2" xfId="102" xr:uid="{923359EB-7D36-4253-B052-8939E5A732EB}"/>
    <cellStyle name="Good 2 2 3" xfId="259" xr:uid="{9BD96BF1-44EF-4CF4-B2DD-019120EE5B26}"/>
    <cellStyle name="Gut" xfId="3" builtinId="26" customBuiltin="1"/>
    <cellStyle name="Heading" xfId="300" xr:uid="{F27AA8EA-906D-4453-9CF9-A83C5B169961}"/>
    <cellStyle name="Heading 1 2" xfId="212" xr:uid="{4AA14F56-C21E-4B0C-B2A9-ED89B56D2E36}"/>
    <cellStyle name="Heading 2 2" xfId="320" xr:uid="{8397DA15-F47A-4655-9623-463026CC42A7}"/>
    <cellStyle name="Heading 3 2" xfId="154" xr:uid="{76F0FC9A-40D6-478E-80A1-7CAE2A0B57A3}"/>
    <cellStyle name="Heading 4 2" xfId="76" xr:uid="{C522D5F9-6DA9-4FC6-8CB3-97D349C08576}"/>
    <cellStyle name="Hyperlink 2" xfId="36" xr:uid="{2B28B5CC-2152-46B3-9581-37D298D36DBD}"/>
    <cellStyle name="Hyperlink 2 2" xfId="58" xr:uid="{E7F480FD-05AA-4FAC-B0C4-533B7A6A8748}"/>
    <cellStyle name="Hyperlink 3" xfId="176" xr:uid="{2CEC2231-D2D7-40A1-94D5-7B52A3D5D1B6}"/>
    <cellStyle name="Hyperlink 4" xfId="265" xr:uid="{575A922F-5310-4717-9B39-A8969FCE0D36}"/>
    <cellStyle name="Hyperlink 5" xfId="314" xr:uid="{49B39821-323C-4A13-81BC-D3A015A7C3CB}"/>
    <cellStyle name="Input 2" xfId="271" xr:uid="{1264E144-99F3-443F-972E-D9725763A9C3}"/>
    <cellStyle name="Input 2 2" xfId="144" xr:uid="{A05D4D28-9FBA-48A7-8EEC-1967B8537722}"/>
    <cellStyle name="Input 2 2 2" xfId="134" xr:uid="{B9A66AC5-DB73-49F7-8391-C469410C5640}"/>
    <cellStyle name="Input 2 2 2 2" xfId="193" xr:uid="{81C7FC16-1B70-4A2F-AAAB-4CA299CF48F9}"/>
    <cellStyle name="Input 2 2 2 3" xfId="111" xr:uid="{83BF6E3B-4D29-42B3-9CD1-72BD3CE35C02}"/>
    <cellStyle name="Input 2 3" xfId="171" xr:uid="{DF090D3F-4330-461E-80F6-AF8C903E2F0E}"/>
    <cellStyle name="Input 2 3 2" xfId="201" xr:uid="{86569CB0-C59B-4FF0-9FFD-00FC09DE5542}"/>
    <cellStyle name="Input 2 3 2 2" xfId="145" xr:uid="{61044E08-6985-4495-AB0D-41B5E913E996}"/>
    <cellStyle name="Input 2 3 2 3" xfId="319" xr:uid="{A0874606-EB88-410B-BFF9-1607BB9A5A5D}"/>
    <cellStyle name="Input 2 4" xfId="220" xr:uid="{481958CF-7181-479A-9963-738B23A7AFDE}"/>
    <cellStyle name="Input 2 4 2" xfId="88" xr:uid="{FCC5D9F2-C963-47BD-A493-E6EF6422A86D}"/>
    <cellStyle name="Input 2 4 3" xfId="297" xr:uid="{5AEBF31E-E42F-4B01-88B9-323E540A311B}"/>
    <cellStyle name="Input data" xfId="48" xr:uid="{87736C84-0420-4260-BBF2-0942022F9453}"/>
    <cellStyle name="InputCells12_BBorder_CRFReport-template" xfId="79" xr:uid="{7A17C047-B872-48E0-BF26-C84CCE180CA3}"/>
    <cellStyle name="Komma" xfId="356" builtinId="3"/>
    <cellStyle name="Komma 2" xfId="33" xr:uid="{FE3A4A1F-C25D-490A-BA6A-00E05821B35D}"/>
    <cellStyle name="Komma 3" xfId="197" xr:uid="{7C152013-8C73-44E4-812C-A1FDB40A0C00}"/>
    <cellStyle name="Komma 4" xfId="342" xr:uid="{DDD1CE9A-71E6-4526-9FC6-1032F62C41BA}"/>
    <cellStyle name="Link" xfId="1" builtinId="8"/>
    <cellStyle name="Link 2" xfId="35" xr:uid="{6565A107-BC40-4D95-AD1F-C403967C2172}"/>
    <cellStyle name="Link 3" xfId="183" xr:uid="{D964EBAA-E2D5-422A-AAB9-7827C9C75F3A}"/>
    <cellStyle name="Linked Cell 2" xfId="150" xr:uid="{50365379-4B07-4EA5-9BC2-C527EABAD4F7}"/>
    <cellStyle name="Menu" xfId="80" xr:uid="{AAD5FCBB-A5F7-45C5-A798-97C4C9406EE0}"/>
    <cellStyle name="Milliers [0]_03tabmat" xfId="252" xr:uid="{B79723D5-7B30-4C72-B1E1-997B177F150F}"/>
    <cellStyle name="Milliers_03tabmat" xfId="308" xr:uid="{48F617AA-65E3-4267-B721-311268DAED0D}"/>
    <cellStyle name="Monétaire [0]_03tabmat" xfId="123" xr:uid="{650BB285-89A6-44CF-9FE6-457959237A2E}"/>
    <cellStyle name="Monétaire_03tabmat" xfId="211" xr:uid="{C9BCD6CC-C78B-4FE9-A266-D3469710753C}"/>
    <cellStyle name="Neutral" xfId="5" builtinId="28" customBuiltin="1"/>
    <cellStyle name="Neutral 2" xfId="231" xr:uid="{3A005B5D-5413-4390-883E-790D983BACF0}"/>
    <cellStyle name="Neutral 2 2" xfId="267" xr:uid="{9FCF0559-6BE3-4A8F-A6CF-E72AF54E6A1B}"/>
    <cellStyle name="Neutral 2 2 2" xfId="166" xr:uid="{797CB42C-7AD2-4D4F-B07F-289E9B42A37C}"/>
    <cellStyle name="Neutral 2 2 3" xfId="53" xr:uid="{1F397B40-9ECE-44B5-99E9-7A85FCC87081}"/>
    <cellStyle name="Normal 10" xfId="209" xr:uid="{A6047000-5802-4349-BB59-9CC5E91D394B}"/>
    <cellStyle name="Normal 10 2" xfId="205" xr:uid="{DE680049-0F21-4907-8D91-85056E2D2F5C}"/>
    <cellStyle name="Normal 10 2 2" xfId="230" xr:uid="{628D3461-FFC6-4F3F-A8B6-47390AF19D9D}"/>
    <cellStyle name="Normal 10 3" xfId="143" xr:uid="{582E9E2A-C76B-4954-B5C1-172FF610095A}"/>
    <cellStyle name="Normal 10 3 2" xfId="90" xr:uid="{5F3101CA-D26F-42B2-8B11-7561C5B69465}"/>
    <cellStyle name="Normal 10 4" xfId="173" xr:uid="{FFBEDDD2-3074-40EC-8E27-1F854D12BF13}"/>
    <cellStyle name="Normal 11" xfId="216" xr:uid="{B995ED49-1526-41A5-B5B4-DEF3FDB82C7F}"/>
    <cellStyle name="Normal 11 2" xfId="253" xr:uid="{85850CC1-A9F9-4098-9BE2-66B4F29BF8D9}"/>
    <cellStyle name="Normal 12" xfId="305" xr:uid="{E89DD154-92AE-4A61-A5BA-36A6D7CC8763}"/>
    <cellStyle name="Normal 13" xfId="103" xr:uid="{7084151C-098B-46D0-9D0D-FD8885097E2C}"/>
    <cellStyle name="Normal 13 2" xfId="276" xr:uid="{7A011326-7497-4807-A5EA-437E64A5A71B}"/>
    <cellStyle name="Normal 13 3" xfId="61" xr:uid="{A46AC055-F28B-4D48-9D53-6B642E340AB5}"/>
    <cellStyle name="Normal 14" xfId="174" xr:uid="{5D029D6B-8377-4CD6-BCF9-C68FC7832F42}"/>
    <cellStyle name="Normal 14 2 2 2" xfId="325" xr:uid="{403F55A6-9E1A-408B-A29D-D9DD2E782D27}"/>
    <cellStyle name="Normal 15" xfId="229" xr:uid="{AF956D9C-5B8E-44C7-82D5-13C2D6F1C802}"/>
    <cellStyle name="Normal 15 2 2 2" xfId="326" xr:uid="{D35C791F-012D-47E5-86D3-C5B0F9B04DBF}"/>
    <cellStyle name="Normal 16" xfId="327" xr:uid="{75471751-6E2C-491F-AB50-9A56DC028429}"/>
    <cellStyle name="Normal 16 2" xfId="328" xr:uid="{79216561-E150-46AD-8EF1-746426831738}"/>
    <cellStyle name="Normal 17" xfId="158" xr:uid="{92375C0E-AB9C-4347-86EF-BCD0274CD8AA}"/>
    <cellStyle name="Normal 17 2" xfId="329" xr:uid="{81A71356-1F0C-4DA0-BD03-EE0239AEA3F0}"/>
    <cellStyle name="Normal 17 4" xfId="37" xr:uid="{419A68FA-C061-4DD1-9352-4E1D5DFC6785}"/>
    <cellStyle name="Normal 18" xfId="251" xr:uid="{B6762CCC-0DB3-4138-811A-CA5A1BADE307}"/>
    <cellStyle name="Normal 2" xfId="38" xr:uid="{3B080788-BD1C-4610-9F99-56801B189A1A}"/>
    <cellStyle name="Normal 2 2" xfId="39" xr:uid="{1AD0EFE4-7CB3-44C0-85BC-7E40A158A7D3}"/>
    <cellStyle name="Normal 2 3" xfId="221" xr:uid="{35470E68-4DFE-48A1-AE67-B28E490C40DE}"/>
    <cellStyle name="Normal 209 2" xfId="330" xr:uid="{BDC50B8D-D8AD-462E-AB60-D2A6FB3654BF}"/>
    <cellStyle name="Normal 21" xfId="40" xr:uid="{C0AF2730-B19C-4AB7-BFE3-C7B881540C93}"/>
    <cellStyle name="Normal 22" xfId="331" xr:uid="{B330DE8F-3536-4D16-B8B5-0B7EB5ACAF6B}"/>
    <cellStyle name="Normal 24" xfId="332" xr:uid="{6144A998-C095-46BA-B71E-2D8A3D8F1A89}"/>
    <cellStyle name="Normal 3" xfId="178" xr:uid="{399F386D-502A-471D-91F1-40D3337C78E3}"/>
    <cellStyle name="Normal 3 2" xfId="86" xr:uid="{4BE28B65-6360-454A-A4F6-F3A5F16383A3}"/>
    <cellStyle name="Normal 3 3" xfId="281" xr:uid="{69995C68-2708-41D4-92C4-48411D31AF60}"/>
    <cellStyle name="Normal 3 4" xfId="157" xr:uid="{B1147525-63CC-4600-8451-63234FC66EE6}"/>
    <cellStyle name="Normal 4" xfId="257" xr:uid="{0782812D-69FA-42D1-96B6-4A3DB17FB0A4}"/>
    <cellStyle name="Normal 4 2" xfId="138" xr:uid="{090D982A-45B1-4781-8A4D-9F370D0B64A6}"/>
    <cellStyle name="Normal 4 2 2" xfId="133" xr:uid="{8D21DB30-8054-4847-86CC-34F85273BE0A}"/>
    <cellStyle name="Normal 4 3" xfId="83" xr:uid="{D1A0A737-74DF-43AB-9FAF-05C48A08A357}"/>
    <cellStyle name="Normal 4 3 2" xfId="107" xr:uid="{7278EE75-508E-4185-B1B5-3E3B892184C4}"/>
    <cellStyle name="Normal 4 4" xfId="224" xr:uid="{D8245A4B-1F74-4E15-B2E2-1BC7DAAC276C}"/>
    <cellStyle name="Normal 4 5" xfId="81" xr:uid="{2A1554C2-6A66-411A-B74C-60D7F2D1683E}"/>
    <cellStyle name="Normal 5" xfId="270" xr:uid="{5EFF5BCB-8CEC-4EFF-B027-223B5DC8AE4E}"/>
    <cellStyle name="Normal 6" xfId="167" xr:uid="{8DDC759F-1ACD-4F80-9023-7BE993341A0B}"/>
    <cellStyle name="Normal 7" xfId="67" xr:uid="{C9D1545B-1AE0-45FD-BA2B-2D4B1CEBAA65}"/>
    <cellStyle name="Normal 8" xfId="137" xr:uid="{C197112D-E627-41B9-BF6E-60F75574C6A4}"/>
    <cellStyle name="Normal 9" xfId="75" xr:uid="{AC1A63E7-A71B-4950-8724-97677D7B5858}"/>
    <cellStyle name="Normal GHG-Shade" xfId="189" xr:uid="{148B4967-EFE3-451A-8526-BFB8388279FB}"/>
    <cellStyle name="Normal_CO2-Bilanz" xfId="354" xr:uid="{00000000-0005-0000-0000-000001000000}"/>
    <cellStyle name="Note 2" xfId="274" xr:uid="{11EDB97C-EF23-4F19-BF86-B4B6B5ABAB80}"/>
    <cellStyle name="Note 2 2" xfId="162" xr:uid="{B300B45E-3A01-468C-9F3A-FFEB1C15E157}"/>
    <cellStyle name="Note 2 2 2" xfId="165" xr:uid="{9B5FA660-D631-428B-AF71-B848851C505B}"/>
    <cellStyle name="Note 2 2 2 2" xfId="284" xr:uid="{F1C521D9-5C1F-4376-9B33-677EB13C8EB5}"/>
    <cellStyle name="Note 2 2 2 3" xfId="240" xr:uid="{932608F4-4277-40FB-A7C1-91B819D3C180}"/>
    <cellStyle name="Note 2 3" xfId="315" xr:uid="{24488A05-10E7-4735-A9DA-1F4D4F85FE32}"/>
    <cellStyle name="Note 2 3 2" xfId="269" xr:uid="{BEB821E2-66F3-41A1-B561-289C438DB8A2}"/>
    <cellStyle name="Note 2 3 3" xfId="190" xr:uid="{8D239101-5447-4713-B07C-DB1298B0B6A3}"/>
    <cellStyle name="Notiz 2" xfId="50" xr:uid="{7BE463C3-77EC-466F-9F59-D20A64319B8A}"/>
    <cellStyle name="Output 2" xfId="287" xr:uid="{F8931739-0993-404F-B980-A3EF8BC3493E}"/>
    <cellStyle name="Output 2 2" xfId="116" xr:uid="{2DD949FF-5D43-4AAA-9777-7889C2E5694C}"/>
    <cellStyle name="Output 2 2 2" xfId="42" xr:uid="{D8399546-6C99-4B90-9E1C-5A9ACD980CC9}"/>
    <cellStyle name="Output 2 2 2 2" xfId="247" xr:uid="{B3BCEC00-CFBC-45A8-A833-D2BF64473027}"/>
    <cellStyle name="Output 2 2 2 3" xfId="304" xr:uid="{676D23FA-F1A6-42BA-9A14-5114F7A6E641}"/>
    <cellStyle name="Output 2 3" xfId="109" xr:uid="{91769840-DAEE-4B62-845E-D7AF5EC7A3B1}"/>
    <cellStyle name="Output 2 3 2" xfId="307" xr:uid="{573FFA99-8A62-4DDD-A575-C3FA9415F72C}"/>
    <cellStyle name="Output 2 3 3" xfId="186" xr:uid="{9838BA59-270B-4A4E-BCCB-2FF8DAB75758}"/>
    <cellStyle name="Percent 10" xfId="124" xr:uid="{ECDCBF74-CD23-49FD-AD24-7D76DD270730}"/>
    <cellStyle name="Percent 10 2" xfId="318" xr:uid="{597648E0-DAE2-4335-BD8B-A1B3CC845571}"/>
    <cellStyle name="Percent 10 3" xfId="87" xr:uid="{B57C7244-9AF6-4A3D-81FB-1E79E6996D14}"/>
    <cellStyle name="Percent 2" xfId="52" xr:uid="{647140EC-4462-4FA8-83C2-9BA73058CCEB}"/>
    <cellStyle name="Percent 2 2" xfId="298" xr:uid="{6F0CAFC0-BFF0-43C2-AD28-71AAF88B3D8B}"/>
    <cellStyle name="Percent 2 3" xfId="139" xr:uid="{4AFE40B4-7D52-478C-B2BC-0745AB39440D}"/>
    <cellStyle name="Percent 2 4" xfId="264" xr:uid="{2468997E-C6B0-4064-AD30-6FF9CDDB4D31}"/>
    <cellStyle name="Percent 3" xfId="164" xr:uid="{DFB3C514-FE36-40E5-806B-4A0F686D430F}"/>
    <cellStyle name="Percent 4" xfId="218" xr:uid="{7CCB85BF-CF7F-412F-B0C4-40828A1C1C2C}"/>
    <cellStyle name="Percent 5" xfId="299" xr:uid="{80523C3E-1E14-4A6A-AE83-864D377629E1}"/>
    <cellStyle name="Percent 5 2" xfId="147" xr:uid="{A050E1DC-6F06-4C0F-B5CA-6C79A6BF7752}"/>
    <cellStyle name="Percent 6" xfId="71" xr:uid="{86FB22B7-18C9-4074-8E20-E87D16041CAC}"/>
    <cellStyle name="Percent 7" xfId="303" xr:uid="{4507B7AB-2660-4754-9C98-6BDB089976AF}"/>
    <cellStyle name="Percent 8" xfId="57" xr:uid="{93C67765-CE34-4F91-B074-957189FCEFFD}"/>
    <cellStyle name="Percent 9" xfId="93" xr:uid="{8945750F-F8BF-45BE-962C-31BC2C1D3640}"/>
    <cellStyle name="Prozent" xfId="339" builtinId="5"/>
    <cellStyle name="Prozent 2" xfId="335" xr:uid="{7F4205EF-C248-409D-A25E-C827EAB400E8}"/>
    <cellStyle name="Publication_style" xfId="261" xr:uid="{1B1F1BB8-3320-487B-93D8-1D184B0880F9}"/>
    <cellStyle name="Refdb standard" xfId="148" xr:uid="{FD0544F7-E856-4E35-A857-942D0F771B29}"/>
    <cellStyle name="Refdb standard 2" xfId="169" xr:uid="{C0945C6D-4C21-4096-819C-0290BD2F8A21}"/>
    <cellStyle name="Schlecht" xfId="4" builtinId="27" customBuiltin="1"/>
    <cellStyle name="Selection" xfId="41" xr:uid="{AF82C68A-5166-496B-A4DD-B28D7E2208DB}"/>
    <cellStyle name="Shade" xfId="312" xr:uid="{65DC530F-C485-4309-82D5-EC90EDA6340F}"/>
    <cellStyle name="Shade 2" xfId="85" xr:uid="{792B2CDA-4C38-421E-946E-330E0537A64C}"/>
    <cellStyle name="Shade 3" xfId="210" xr:uid="{9A1C24C3-4A38-4921-9855-FF17B3CB3C05}"/>
    <cellStyle name="Source" xfId="177" xr:uid="{8041B2BB-E1C8-4320-89A9-493735F19752}"/>
    <cellStyle name="Source Hed" xfId="316" xr:uid="{ABB8EA77-835C-407A-B519-F2AEDBB9827B}"/>
    <cellStyle name="Source Text" xfId="56" xr:uid="{C3AF4432-0CC2-4EDA-9258-A7F62A5055C4}"/>
    <cellStyle name="Standard" xfId="0" builtinId="0" customBuiltin="1"/>
    <cellStyle name="Standard 10" xfId="349" xr:uid="{00000000-0005-0000-0000-00006E010000}"/>
    <cellStyle name="Standard 11" xfId="350" xr:uid="{00000000-0005-0000-0000-00006F010000}"/>
    <cellStyle name="Standard 12" xfId="351" xr:uid="{00000000-0005-0000-0000-000070010000}"/>
    <cellStyle name="Standard 13" xfId="352" xr:uid="{00000000-0005-0000-0000-000072010000}"/>
    <cellStyle name="Standard 14" xfId="355" xr:uid="{00000000-0005-0000-0000-000074010000}"/>
    <cellStyle name="Standard 2" xfId="31" xr:uid="{AACD0CF7-2206-418D-AE7F-AFD4CD7B54A0}"/>
    <cellStyle name="Standard 2 2" xfId="353" xr:uid="{00000000-0005-0000-0000-000003000000}"/>
    <cellStyle name="Standard 3" xfId="43" xr:uid="{F69A9E64-0924-4036-8D44-69D9ABDD24E7}"/>
    <cellStyle name="Standard 3 2" xfId="334" xr:uid="{C9493346-D518-4CDE-9F06-FC10997FDC61}"/>
    <cellStyle name="Standard 4" xfId="323" xr:uid="{BA786EDD-7D69-4ABC-885D-EE372752AC3B}"/>
    <cellStyle name="Standard 5" xfId="337" xr:uid="{FCE46955-4FEB-439B-9D9D-381B3E285EF6}"/>
    <cellStyle name="Standard 6" xfId="336" xr:uid="{A1A4CE8D-8D87-47DD-92DF-E5EFEF21454D}"/>
    <cellStyle name="Standard 7" xfId="338" xr:uid="{7F8C0616-1ACF-4830-B6F7-23377DCEA325}"/>
    <cellStyle name="Standard 8" xfId="341" xr:uid="{03548B28-E681-42A1-BE9C-D76DC5C96961}"/>
    <cellStyle name="Standard 9" xfId="348" xr:uid="{80AE1D66-4A77-43F4-93DC-B9B57735DEF9}"/>
    <cellStyle name="Style 2" xfId="333" xr:uid="{5C6DBBB2-60B5-4D05-B3F2-D253FC8AFBA7}"/>
    <cellStyle name="Style 21" xfId="70" xr:uid="{AA9A31D8-0730-4E1A-B8B5-EE32D57229E5}"/>
    <cellStyle name="Style 21 2" xfId="249" xr:uid="{1ED5B979-C4BC-4FAA-A968-92BA5A5F258F}"/>
    <cellStyle name="Style 22" xfId="121" xr:uid="{48B1568C-F84B-4609-9632-47BBEF2AA244}"/>
    <cellStyle name="Style 22 2" xfId="184" xr:uid="{78381385-ED7C-4ABD-822C-D39F8448FEFA}"/>
    <cellStyle name="Style 23" xfId="115" xr:uid="{FB7E41DE-E80D-4AEC-B4AB-122BC8856465}"/>
    <cellStyle name="Style 23 2" xfId="233" xr:uid="{99A26ECA-C137-4F26-801C-0AFD3945FE65}"/>
    <cellStyle name="Style 24" xfId="99" xr:uid="{75AEA1B7-59AA-4804-B694-0E06546A1E3E}"/>
    <cellStyle name="Style 24 2" xfId="275" xr:uid="{0C1D2342-36DE-418B-BBC1-69FA9ED93F44}"/>
    <cellStyle name="Style 29" xfId="290" xr:uid="{213209D6-F21F-43A7-82D5-CD5EBD406862}"/>
    <cellStyle name="Style 29 2" xfId="263" xr:uid="{9E0EEFFF-B08B-4450-8D86-E9A6827AF637}"/>
    <cellStyle name="Style 30" xfId="313" xr:uid="{DC18D4A0-C527-47E0-85E1-F09B1C597074}"/>
    <cellStyle name="Style 30 2" xfId="113" xr:uid="{A54F992E-4941-460A-B301-CFD397110325}"/>
    <cellStyle name="Style 31" xfId="82" xr:uid="{F170E5A2-A6F8-4936-A7CA-38B7C784549D}"/>
    <cellStyle name="Style 31 2" xfId="91" xr:uid="{80A3832E-5AEA-4492-818A-55E6ADD58B37}"/>
    <cellStyle name="Style 32" xfId="207" xr:uid="{41FF53A9-0374-46F8-9C17-D19AB81C2AAE}"/>
    <cellStyle name="Style 32 2" xfId="322" xr:uid="{883A8C84-B918-4F23-B4BE-EFD647828CDF}"/>
    <cellStyle name="Title 2" xfId="159" xr:uid="{2C45B0FA-E4F0-4013-9CA8-6BE92867DF8E}"/>
    <cellStyle name="Title-1" xfId="55" xr:uid="{A7950BF8-D71F-47A1-82F5-B5D547056807}"/>
    <cellStyle name="Title-2" xfId="292" xr:uid="{8A8317C2-A215-4235-9753-70CE8CFFEBAF}"/>
    <cellStyle name="Titre ligne" xfId="282" xr:uid="{C5156515-A226-4DC2-8681-8E349FDCFC5A}"/>
    <cellStyle name="Total 2" xfId="69" xr:uid="{2449C842-93CB-45C8-AC3F-D79528AB5E7C}"/>
    <cellStyle name="Total 2 2" xfId="200" xr:uid="{8CD3C2E3-9B67-43AB-A8B2-94B1C7566E44}"/>
    <cellStyle name="Total intermediaire" xfId="118" xr:uid="{FC68671D-6958-43DA-A236-FA7BF06313B2}"/>
    <cellStyle name="Tusenskille [0]_rob4-mon.xls Diagram 1" xfId="100" xr:uid="{22B58E27-9ED7-4623-AD0F-6B7CC585FBFF}"/>
    <cellStyle name="Tusenskille_rob4-mon.xls Diagram 1" xfId="244" xr:uid="{4896312E-F52D-46D1-8278-6F58FCF1E03A}"/>
    <cellStyle name="Überschrift" xfId="2" builtinId="15" customBuiltin="1"/>
    <cellStyle name="Valuta [0]_rob4-mon.xls Diagram 1" xfId="125" xr:uid="{D47909DC-9433-4F7B-BFA7-944041D8DDD2}"/>
    <cellStyle name="Valuta_rob4-mon.xls Diagram 1" xfId="96" xr:uid="{320E70E0-837F-4002-9683-FC3E2E444CC1}"/>
    <cellStyle name="Verknüpfte Zelle 2" xfId="49" xr:uid="{C85C59F3-EA00-42AB-BE48-4A674ED36BA8}"/>
    <cellStyle name="Warnender Text 2" xfId="54" xr:uid="{53FC325B-FD32-49CB-8D74-9EB98FDA5958}"/>
    <cellStyle name="Warning Text 2" xfId="234" xr:uid="{5A4FEFC0-71A7-47F1-9D49-88A437EB29D8}"/>
    <cellStyle name="Year" xfId="215" xr:uid="{9C38398F-08ED-4E89-A4F1-974258C8EED9}"/>
    <cellStyle name="Zelle überprüfen" xfId="6" builtinId="23" customBuiltin="1"/>
    <cellStyle name="Обычный_2++_CRFReport-template" xfId="239" xr:uid="{C748032F-9500-465F-ADF0-FFFF680829F3}"/>
  </cellStyles>
  <dxfs count="1117">
    <dxf>
      <font>
        <b val="0"/>
        <i val="0"/>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numFmt numFmtId="166" formatCode="#,##0.000"/>
    </dxf>
    <dxf>
      <numFmt numFmtId="166" formatCode="#,##0.000"/>
    </dxf>
    <dxf>
      <numFmt numFmtId="166" formatCode="#,##0.000"/>
    </dxf>
    <dxf>
      <numFmt numFmtId="166" formatCode="#,##0.000"/>
    </dxf>
    <dxf>
      <numFmt numFmtId="166" formatCode="#,##0.000"/>
    </dxf>
    <dxf>
      <numFmt numFmtId="166" formatCode="#,##0.000"/>
    </dxf>
    <dxf>
      <numFmt numFmtId="166" formatCode="#,##0.000"/>
    </dxf>
    <dxf>
      <numFmt numFmtId="166" formatCode="#,##0.000"/>
    </dxf>
    <dxf>
      <numFmt numFmtId="166" formatCode="#,##0.000"/>
    </dxf>
    <dxf>
      <numFmt numFmtId="166" formatCode="#,##0.000"/>
    </dxf>
    <dxf>
      <numFmt numFmtId="166" formatCode="#,##0.000"/>
    </dxf>
    <dxf>
      <numFmt numFmtId="166" formatCode="#,##0.000"/>
    </dxf>
    <dxf>
      <numFmt numFmtId="166" formatCode="#,##0.000"/>
    </dxf>
    <dxf>
      <numFmt numFmtId="166" formatCode="#,##0.000"/>
    </dxf>
    <dxf>
      <numFmt numFmtId="166" formatCode="#,##0.000"/>
    </dxf>
    <dxf>
      <numFmt numFmtId="166" formatCode="#,##0.000"/>
    </dxf>
    <dxf>
      <numFmt numFmtId="166" formatCode="#,##0.000"/>
    </dxf>
    <dxf>
      <numFmt numFmtId="166" formatCode="#,##0.000"/>
    </dxf>
    <dxf>
      <numFmt numFmtId="166" formatCode="#,##0.000"/>
    </dxf>
    <dxf>
      <numFmt numFmtId="166" formatCode="#,##0.000"/>
    </dxf>
    <dxf>
      <numFmt numFmtId="3" formatCode="#,##0"/>
      <fill>
        <patternFill patternType="none">
          <fgColor indexed="64"/>
          <bgColor indexed="65"/>
        </patternFill>
      </fill>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0.000"/>
      <fill>
        <patternFill patternType="none">
          <fgColor indexed="64"/>
          <bgColor indexed="65"/>
        </patternFill>
      </fill>
      <alignment horizontal="general" vertical="center" textRotation="0" wrapText="0" indent="0" justifyLastLine="0" shrinkToFit="0" readingOrder="0"/>
    </dxf>
    <dxf>
      <font>
        <strike val="0"/>
        <outline val="0"/>
        <shadow val="0"/>
        <u val="none"/>
        <sz val="11"/>
        <color theme="1"/>
        <name val="Calibri"/>
        <family val="2"/>
        <scheme val="minor"/>
      </font>
      <alignment horizontal="general" vertical="center" textRotation="0" wrapText="0" indent="0" justifyLastLine="0" shrinkToFit="0" readingOrder="0"/>
    </dxf>
    <dxf>
      <font>
        <strike val="0"/>
        <outline val="0"/>
        <shadow val="0"/>
        <u val="none"/>
        <sz val="11"/>
        <color theme="1"/>
        <name val="Calibri"/>
        <family val="2"/>
        <scheme val="minor"/>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dxf>
    <dxf>
      <font>
        <color auto="1"/>
      </font>
      <fill>
        <patternFill>
          <bgColor rgb="FFFF0000"/>
        </patternFill>
      </fill>
    </dxf>
    <dxf>
      <font>
        <b/>
        <i val="0"/>
        <color rgb="FFFF0000"/>
      </font>
    </dxf>
    <dxf>
      <font>
        <color rgb="FFFF0000"/>
      </font>
    </dxf>
    <dxf>
      <fill>
        <patternFill>
          <bgColor rgb="FFFF0000"/>
        </patternFill>
      </fill>
    </dxf>
    <dxf>
      <font>
        <b/>
        <i val="0"/>
        <color rgb="FFFF0000"/>
      </font>
    </dxf>
    <dxf>
      <font>
        <color rgb="FFFF0000"/>
      </font>
    </dxf>
    <dxf>
      <fill>
        <patternFill>
          <bgColor rgb="FFFF0000"/>
        </patternFill>
      </fill>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general" vertical="center" textRotation="0" wrapText="0" indent="0" justifyLastLine="0" shrinkToFit="0" readingOrder="0"/>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none">
          <fgColor indexed="64"/>
          <bgColor indexed="65"/>
        </patternFill>
      </fill>
    </dxf>
    <dxf>
      <fill>
        <patternFill patternType="none">
          <bgColor auto="1"/>
        </patternFill>
      </fill>
    </dxf>
    <dxf>
      <font>
        <sz val="12"/>
        <color auto="1"/>
      </font>
      <numFmt numFmtId="3" formatCode="#,##0"/>
      <fill>
        <patternFill patternType="none">
          <fgColor indexed="64"/>
          <bgColor indexed="65"/>
        </patternFill>
      </fill>
      <alignment horizontal="left" vertical="center" textRotation="0" wrapText="0" indent="1" justifyLastLine="0" shrinkToFit="0" readingOrder="0"/>
    </dxf>
    <dxf>
      <font>
        <sz val="12"/>
        <color auto="1"/>
      </font>
      <numFmt numFmtId="3" formatCode="#,##0"/>
      <fill>
        <patternFill patternType="none">
          <fgColor indexed="64"/>
          <bgColor indexed="65"/>
        </patternFill>
      </fill>
      <alignment horizontal="left" vertical="center" textRotation="0" wrapText="0" indent="1" justifyLastLine="0" shrinkToFit="0" readingOrder="0"/>
    </dxf>
    <dxf>
      <font>
        <sz val="12"/>
        <color auto="1"/>
      </font>
      <numFmt numFmtId="3" formatCode="#,##0"/>
      <fill>
        <patternFill patternType="none">
          <fgColor indexed="64"/>
          <bgColor indexed="65"/>
        </patternFill>
      </fill>
      <alignment horizontal="left" vertical="center" textRotation="0" wrapText="0" indent="1" justifyLastLine="0" shrinkToFit="0" readingOrder="0"/>
    </dxf>
    <dxf>
      <font>
        <sz val="12"/>
        <color auto="1"/>
      </font>
      <numFmt numFmtId="3" formatCode="#,##0"/>
      <fill>
        <patternFill patternType="none">
          <fgColor indexed="64"/>
          <bgColor indexed="65"/>
        </patternFill>
      </fill>
      <alignment horizontal="left" vertical="center" textRotation="0" wrapText="0" indent="1" justifyLastLine="0" shrinkToFit="0" readingOrder="0"/>
    </dxf>
    <dxf>
      <font>
        <sz val="12"/>
        <color auto="1"/>
      </font>
      <numFmt numFmtId="3" formatCode="#,##0"/>
      <fill>
        <patternFill patternType="none">
          <fgColor indexed="64"/>
          <bgColor indexed="65"/>
        </patternFill>
      </fill>
      <alignment horizontal="left" vertical="center" textRotation="0" wrapText="0" indent="1" justifyLastLine="0" shrinkToFit="0" readingOrder="0"/>
    </dxf>
    <dxf>
      <font>
        <sz val="12"/>
        <color auto="1"/>
      </font>
      <numFmt numFmtId="3" formatCode="#,##0"/>
      <fill>
        <patternFill patternType="none">
          <fgColor indexed="64"/>
          <bgColor indexed="65"/>
        </patternFill>
      </fill>
      <alignment horizontal="left" vertical="center" textRotation="0" wrapText="0" indent="1" justifyLastLine="0" shrinkToFit="0" readingOrder="0"/>
    </dxf>
    <dxf>
      <font>
        <sz val="12"/>
        <color auto="1"/>
      </font>
      <numFmt numFmtId="3" formatCode="#,##0"/>
      <fill>
        <patternFill patternType="none">
          <fgColor indexed="64"/>
          <bgColor indexed="65"/>
        </patternFill>
      </fill>
      <alignment horizontal="left" vertical="center" textRotation="0" wrapText="0" indent="1" justifyLastLine="0" shrinkToFit="0" readingOrder="0"/>
    </dxf>
    <dxf>
      <font>
        <sz val="12"/>
        <color auto="1"/>
      </font>
      <numFmt numFmtId="3" formatCode="#,##0"/>
      <fill>
        <patternFill patternType="none">
          <fgColor indexed="64"/>
          <bgColor indexed="65"/>
        </patternFill>
      </fill>
      <alignment horizontal="left" vertical="center" textRotation="0" wrapText="0" indent="1" justifyLastLine="0" shrinkToFit="0" readingOrder="0"/>
    </dxf>
    <dxf>
      <font>
        <sz val="12"/>
        <color auto="1"/>
      </font>
      <numFmt numFmtId="3" formatCode="#,##0"/>
      <fill>
        <patternFill patternType="none">
          <fgColor indexed="64"/>
          <bgColor indexed="65"/>
        </patternFill>
      </fill>
      <alignment horizontal="left" vertical="center" textRotation="0" wrapText="0" indent="1" justifyLastLine="0" shrinkToFit="0" readingOrder="0"/>
    </dxf>
    <dxf>
      <font>
        <sz val="12"/>
        <color auto="1"/>
      </font>
      <numFmt numFmtId="3" formatCode="#,##0"/>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indexed="65"/>
        </patternFill>
      </fill>
      <alignment horizontal="left" vertical="center" textRotation="0" wrapText="0" indent="1" justifyLastLine="0" shrinkToFit="0" readingOrder="0"/>
    </dxf>
    <dxf>
      <font>
        <sz val="12"/>
        <color auto="1"/>
      </font>
      <numFmt numFmtId="3" formatCode="#,##0"/>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left" vertical="center" textRotation="0" wrapText="0" indent="1"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0" indent="1" justifyLastLine="0" shrinkToFit="0" readingOrder="0"/>
    </dxf>
    <dxf>
      <fill>
        <patternFill patternType="none">
          <bgColor auto="1"/>
        </patternFill>
      </fill>
    </dxf>
    <dxf>
      <font>
        <b/>
        <i val="0"/>
        <strike val="0"/>
        <condense val="0"/>
        <extend val="0"/>
        <outline val="0"/>
        <shadow val="0"/>
        <u val="none"/>
        <vertAlign val="baseline"/>
        <sz val="11"/>
        <color theme="0"/>
        <name val="Calibri"/>
        <family val="2"/>
        <scheme val="minor"/>
      </font>
      <fill>
        <patternFill patternType="none">
          <fgColor theme="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0" indent="1" justifyLastLine="0" shrinkToFit="0" readingOrder="0"/>
    </dxf>
    <dxf>
      <font>
        <b/>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0" indent="1" justifyLastLine="0" shrinkToFit="0" readingOrder="0"/>
    </dxf>
    <dxf>
      <font>
        <b/>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0" indent="1" justifyLastLine="0" shrinkToFit="0" readingOrder="0"/>
    </dxf>
    <dxf>
      <font>
        <b/>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0" indent="1"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0" indent="1" justifyLastLine="0" shrinkToFit="0" readingOrder="0"/>
    </dxf>
    <dxf>
      <fill>
        <patternFill patternType="none">
          <fgColor indexed="64"/>
          <bgColor auto="1"/>
        </patternFill>
      </fill>
    </dxf>
    <dxf>
      <font>
        <b/>
        <i val="0"/>
        <strike val="0"/>
        <condense val="0"/>
        <extend val="0"/>
        <outline val="0"/>
        <shadow val="0"/>
        <u val="none"/>
        <vertAlign val="baseline"/>
        <sz val="11"/>
        <color theme="0"/>
        <name val="Calibri"/>
        <family val="2"/>
        <scheme val="minor"/>
      </font>
      <fill>
        <patternFill patternType="solid">
          <fgColor theme="4"/>
          <bgColor theme="4"/>
        </patternFill>
      </fill>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font>
        <b/>
        <i val="0"/>
        <strike val="0"/>
        <condense val="0"/>
        <extend val="0"/>
        <outline val="0"/>
        <shadow val="0"/>
        <u val="none"/>
        <vertAlign val="baseline"/>
        <sz val="11"/>
        <color theme="1"/>
        <name val="Calibri"/>
        <family val="2"/>
        <scheme val="minor"/>
      </font>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2"/>
        <color auto="1"/>
        <name val="Calibri"/>
        <family val="2"/>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fill>
        <patternFill patternType="none">
          <fgColor indexed="64"/>
          <bgColor indexed="65"/>
        </patternFill>
      </fill>
      <alignment horizontal="left" vertical="center" textRotation="0" wrapText="0" indent="1" justifyLastLine="0" shrinkToFit="0" readingOrder="0"/>
    </dxf>
    <dxf>
      <border outline="0">
        <top style="thin">
          <color theme="4" tint="0.39997558519241921"/>
        </top>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numFmt numFmtId="13" formatCode="0%"/>
    </dxf>
    <dxf>
      <fill>
        <patternFill patternType="solid">
          <fgColor indexed="64"/>
          <bgColor rgb="FFA7C539"/>
        </patternFill>
      </fill>
    </dxf>
    <dxf>
      <numFmt numFmtId="13" formatCode="0%"/>
    </dxf>
    <dxf>
      <fill>
        <patternFill patternType="solid">
          <fgColor indexed="64"/>
          <bgColor rgb="FFA7C539"/>
        </patternFill>
      </fill>
    </dxf>
    <dxf>
      <numFmt numFmtId="13" formatCode="0%"/>
    </dxf>
    <dxf>
      <fill>
        <patternFill patternType="solid">
          <fgColor indexed="64"/>
          <bgColor rgb="FFA7C539"/>
        </patternFill>
      </fill>
    </dxf>
    <dxf>
      <numFmt numFmtId="13" formatCode="0%"/>
    </dxf>
    <dxf>
      <fill>
        <patternFill patternType="solid">
          <fgColor indexed="64"/>
          <bgColor rgb="FFA7C539"/>
        </patternFill>
      </fill>
    </dxf>
    <dxf>
      <numFmt numFmtId="13" formatCode="0%"/>
    </dxf>
    <dxf>
      <fill>
        <patternFill patternType="solid">
          <fgColor indexed="64"/>
          <bgColor rgb="FFA7C539"/>
        </patternFill>
      </fill>
    </dxf>
    <dxf>
      <numFmt numFmtId="13" formatCode="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13" formatCode="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13" formatCode="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13" formatCode="0%"/>
    </dxf>
    <dxf>
      <fill>
        <patternFill patternType="solid">
          <fgColor indexed="64"/>
          <bgColor rgb="FFA7C539"/>
        </patternFill>
      </fill>
    </dxf>
    <dxf>
      <numFmt numFmtId="13" formatCode="0%"/>
    </dxf>
    <dxf>
      <fill>
        <patternFill patternType="solid">
          <fgColor indexed="64"/>
          <bgColor rgb="FFA7C539"/>
        </patternFill>
      </fill>
    </dxf>
    <dxf>
      <numFmt numFmtId="13" formatCode="0%"/>
    </dxf>
    <dxf>
      <fill>
        <patternFill patternType="solid">
          <fgColor indexed="64"/>
          <bgColor rgb="FFA7C539"/>
        </patternFill>
      </fill>
    </dxf>
    <dxf>
      <numFmt numFmtId="13" formatCode="0%"/>
    </dxf>
    <dxf>
      <fill>
        <patternFill patternType="solid">
          <fgColor indexed="64"/>
          <bgColor rgb="FFA7C539"/>
        </patternFill>
      </fill>
    </dxf>
    <dxf>
      <numFmt numFmtId="13" formatCode="0%"/>
    </dxf>
    <dxf>
      <fill>
        <patternFill patternType="solid">
          <fgColor indexed="64"/>
          <bgColor rgb="FFA7C539"/>
        </patternFill>
      </fill>
    </dxf>
    <dxf>
      <numFmt numFmtId="13" formatCode="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13" formatCode="0%"/>
    </dxf>
    <dxf>
      <fill>
        <patternFill patternType="solid">
          <fgColor indexed="64"/>
          <bgColor rgb="FFA7C539"/>
        </patternFill>
      </fill>
    </dxf>
    <dxf>
      <numFmt numFmtId="13" formatCode="0%"/>
    </dxf>
    <dxf>
      <fill>
        <patternFill patternType="solid">
          <fgColor indexed="64"/>
          <bgColor rgb="FFA7C539"/>
        </patternFill>
      </fill>
    </dxf>
    <dxf>
      <numFmt numFmtId="13" formatCode="0%"/>
    </dxf>
    <dxf>
      <fill>
        <patternFill patternType="solid">
          <fgColor indexed="64"/>
          <bgColor rgb="FFA7C539"/>
        </patternFill>
      </fill>
    </dxf>
    <dxf>
      <numFmt numFmtId="13" formatCode="0%"/>
    </dxf>
    <dxf>
      <fill>
        <patternFill patternType="solid">
          <fgColor indexed="64"/>
          <bgColor rgb="FFA7C539"/>
        </patternFill>
      </fill>
    </dxf>
    <dxf>
      <numFmt numFmtId="13" formatCode="0%"/>
    </dxf>
    <dxf>
      <fill>
        <patternFill patternType="solid">
          <fgColor indexed="64"/>
          <bgColor rgb="FFA7C539"/>
        </patternFill>
      </fill>
    </dxf>
    <dxf>
      <numFmt numFmtId="13" formatCode="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0" formatCode="Genera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0" formatCode="General"/>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0" formatCode="General"/>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0" formatCode="Genera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0" formatCode="General"/>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0" formatCode="General"/>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0" formatCode="Genera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0" formatCode="General"/>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0" formatCode="General"/>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0" formatCode="General"/>
    </dxf>
    <dxf>
      <numFmt numFmtId="3" formatCode="#,##0"/>
    </dxf>
    <dxf>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0" formatCode="Genera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style="thin">
          <color theme="4" tint="0.39997558519241921"/>
        </right>
        <top style="thin">
          <color theme="4" tint="0.39997558519241921"/>
        </top>
        <bottom style="thin">
          <color theme="4" tint="0.39997558519241921"/>
        </bottom>
        <vertical/>
        <horizontal/>
      </border>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style="thin">
          <color theme="4" tint="0.39997558519241921"/>
        </right>
        <top style="thin">
          <color theme="4" tint="0.39997558519241921"/>
        </top>
        <bottom style="thin">
          <color theme="4" tint="0.39997558519241921"/>
        </bottom>
        <vertical/>
        <horizontal/>
      </border>
    </dxf>
    <dxf>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border outline="0">
        <left style="thin">
          <color theme="4" tint="0.39997558519241921"/>
        </left>
        <right style="thin">
          <color theme="4" tint="0.39997558519241921"/>
        </right>
      </border>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0" formatCode="General"/>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0" formatCode="General"/>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0" formatCode="Genera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13" formatCode="0%"/>
    </dxf>
    <dxf>
      <numFmt numFmtId="14" formatCode="0.00%"/>
    </dxf>
    <dxf>
      <fill>
        <patternFill>
          <bgColor rgb="FFFFC000"/>
        </patternFill>
      </fill>
    </dxf>
    <dxf>
      <fill>
        <patternFill>
          <bgColor rgb="FFFFC000"/>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fill>
        <patternFill patternType="solid">
          <fgColor indexed="64"/>
          <bgColor rgb="FFA7C539"/>
        </patternFill>
      </fill>
    </dxf>
    <dxf>
      <fill>
        <patternFill patternType="solid">
          <fgColor indexed="64"/>
          <bgColor rgb="FFA7C539"/>
        </patternFill>
      </fill>
    </dxf>
    <dxf>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fill>
        <patternFill patternType="solid">
          <fgColor indexed="64"/>
          <bgColor rgb="FFA7C539"/>
        </patternFill>
      </fill>
    </dxf>
    <dxf>
      <fill>
        <patternFill patternType="solid">
          <fgColor indexed="64"/>
          <bgColor rgb="FFA7C539"/>
        </patternFill>
      </fill>
    </dxf>
    <dxf>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0" formatCode="Genera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0" formatCode="General"/>
    </dxf>
    <dxf>
      <numFmt numFmtId="0" formatCode="General"/>
    </dxf>
    <dxf>
      <numFmt numFmtId="0" formatCode="Genera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ill>
        <patternFill>
          <bgColor rgb="FFFFC000"/>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ill>
        <patternFill>
          <bgColor rgb="FFA7C539"/>
        </patternFill>
      </fill>
    </dxf>
    <dxf>
      <fill>
        <patternFill>
          <bgColor rgb="FFA7C539"/>
        </patternFill>
      </fill>
    </dxf>
    <dxf>
      <fill>
        <patternFill>
          <bgColor rgb="FFA7C539"/>
        </patternFill>
      </fill>
    </dxf>
    <dxf>
      <fill>
        <patternFill>
          <bgColor rgb="FFA7C539"/>
        </patternFill>
      </fill>
    </dxf>
    <dxf>
      <fill>
        <patternFill>
          <bgColor rgb="FFA7C539"/>
        </patternFill>
      </fill>
    </dxf>
    <dxf>
      <fill>
        <patternFill>
          <bgColor rgb="FFA7C539"/>
        </patternFill>
      </fill>
    </dxf>
    <dxf>
      <fill>
        <patternFill>
          <bgColor rgb="FFA7C539"/>
        </patternFill>
      </fill>
    </dxf>
    <dxf>
      <fill>
        <patternFill>
          <bgColor rgb="FFA7C539"/>
        </patternFill>
      </fill>
    </dxf>
    <dxf>
      <fill>
        <patternFill>
          <bgColor rgb="FFA7C539"/>
        </patternFill>
      </fill>
    </dxf>
    <dxf>
      <fill>
        <patternFill>
          <bgColor rgb="FFA7C539"/>
        </patternFill>
      </fill>
    </dxf>
    <dxf>
      <fill>
        <patternFill>
          <bgColor rgb="FFA7C539"/>
        </patternFill>
      </fill>
    </dxf>
    <dxf>
      <fill>
        <patternFill>
          <bgColor rgb="FFA7C539"/>
        </patternFill>
      </fill>
    </dxf>
    <dxf>
      <fill>
        <patternFill>
          <bgColor rgb="FFA7C539"/>
        </patternFill>
      </fill>
    </dxf>
    <dxf>
      <fill>
        <patternFill>
          <bgColor rgb="FFA7C539"/>
        </patternFill>
      </fill>
    </dxf>
    <dxf>
      <fill>
        <patternFill>
          <bgColor rgb="FFA7C539"/>
        </patternFill>
      </fill>
    </dxf>
    <dxf>
      <fill>
        <patternFill>
          <bgColor rgb="FFA7C539"/>
        </patternFill>
      </fill>
    </dxf>
    <dxf>
      <fill>
        <patternFill>
          <bgColor rgb="FFA7C539"/>
        </patternFill>
      </fill>
    </dxf>
    <dxf>
      <fill>
        <patternFill>
          <bgColor rgb="FFA7C539"/>
        </patternFill>
      </fill>
    </dxf>
    <dxf>
      <fill>
        <patternFill>
          <bgColor rgb="FFA7C539"/>
        </patternFill>
      </fill>
    </dxf>
    <dxf>
      <fill>
        <patternFill>
          <bgColor rgb="FFA7C539"/>
        </patternFill>
      </fill>
    </dxf>
    <dxf>
      <fill>
        <patternFill>
          <bgColor rgb="FFA7C539"/>
        </patternFill>
      </fill>
    </dxf>
    <dxf>
      <fill>
        <patternFill>
          <bgColor rgb="FFA7C539"/>
        </patternFill>
      </fill>
    </dxf>
    <dxf>
      <fill>
        <patternFill>
          <bgColor rgb="FFA7C539"/>
        </patternFill>
      </fill>
    </dxf>
    <dxf>
      <border outline="0">
        <top style="thin">
          <color theme="4" tint="0.39997558519241921"/>
        </top>
      </border>
    </dxf>
    <dxf>
      <border outline="0">
        <left style="thin">
          <color theme="4" tint="0.39997558519241921"/>
        </left>
        <top style="thin">
          <color theme="4" tint="0.39997558519241921"/>
        </top>
        <bottom style="thin">
          <color theme="4" tint="0.39997558519241921"/>
        </bottom>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alignment horizontal="general" vertical="center" textRotation="0" wrapText="0" indent="0" justifyLastLine="0" shrinkToFit="0" readingOrder="0"/>
    </dxf>
    <dxf>
      <numFmt numFmtId="3" formatCode="#,##0"/>
      <fill>
        <patternFill patternType="solid">
          <fgColor indexed="64"/>
          <bgColor rgb="FFA7C539"/>
        </patternFill>
      </fill>
    </dxf>
    <dxf>
      <numFmt numFmtId="3" formatCode="#,##0"/>
      <fill>
        <patternFill patternType="solid">
          <fgColor indexed="64"/>
          <bgColor rgb="FFA7C539"/>
        </patternFill>
      </fill>
    </dxf>
    <dxf>
      <numFmt numFmtId="3" formatCode="#,##0"/>
      <fill>
        <patternFill patternType="solid">
          <fgColor indexed="64"/>
          <bgColor rgb="FFA7C539"/>
        </patternFill>
      </fill>
    </dxf>
    <dxf>
      <numFmt numFmtId="3" formatCode="#,##0"/>
      <fill>
        <patternFill patternType="solid">
          <fgColor indexed="64"/>
          <bgColor rgb="FFA7C539"/>
        </patternFill>
      </fill>
    </dxf>
    <dxf>
      <numFmt numFmtId="3" formatCode="#,##0"/>
      <fill>
        <patternFill patternType="solid">
          <fgColor indexed="64"/>
          <bgColor rgb="FFA7C539"/>
        </patternFill>
      </fill>
    </dxf>
    <dxf>
      <numFmt numFmtId="3" formatCode="#,##0"/>
      <fill>
        <patternFill patternType="solid">
          <fgColor indexed="64"/>
          <bgColor rgb="FFA7C539"/>
        </patternFill>
      </fill>
    </dxf>
    <dxf>
      <numFmt numFmtId="3" formatCode="#,##0"/>
      <fill>
        <patternFill patternType="solid">
          <fgColor indexed="64"/>
          <bgColor rgb="FFA7C539"/>
        </patternFill>
      </fill>
    </dxf>
    <dxf>
      <numFmt numFmtId="3" formatCode="#,##0"/>
      <fill>
        <patternFill patternType="solid">
          <fgColor indexed="64"/>
          <bgColor rgb="FFA7C539"/>
        </patternFill>
      </fill>
    </dxf>
    <dxf>
      <numFmt numFmtId="3" formatCode="#,##0"/>
      <fill>
        <patternFill patternType="solid">
          <fgColor indexed="64"/>
          <bgColor rgb="FFA7C539"/>
        </patternFill>
      </fill>
    </dxf>
    <dxf>
      <numFmt numFmtId="3" formatCode="#,##0"/>
      <fill>
        <patternFill patternType="solid">
          <fgColor indexed="64"/>
          <bgColor rgb="FFA7C539"/>
        </patternFill>
      </fill>
    </dxf>
    <dxf>
      <numFmt numFmtId="3" formatCode="#,##0"/>
      <fill>
        <patternFill patternType="solid">
          <fgColor indexed="64"/>
          <bgColor rgb="FFA7C539"/>
        </patternFill>
      </fill>
    </dxf>
    <dxf>
      <numFmt numFmtId="3" formatCode="#,##0"/>
      <fill>
        <patternFill patternType="solid">
          <fgColor indexed="64"/>
          <bgColor rgb="FFA7C539"/>
        </patternFill>
      </fill>
    </dxf>
    <dxf>
      <numFmt numFmtId="3" formatCode="#,##0"/>
      <fill>
        <patternFill patternType="solid">
          <fgColor indexed="64"/>
          <bgColor rgb="FFA7C539"/>
        </patternFill>
      </fill>
    </dxf>
    <dxf>
      <numFmt numFmtId="3" formatCode="#,##0"/>
      <fill>
        <patternFill patternType="solid">
          <fgColor indexed="64"/>
          <bgColor rgb="FFA7C539"/>
        </patternFill>
      </fill>
    </dxf>
    <dxf>
      <numFmt numFmtId="3" formatCode="#,##0"/>
      <fill>
        <patternFill patternType="solid">
          <fgColor indexed="64"/>
          <bgColor rgb="FFA7C539"/>
        </patternFill>
      </fill>
    </dxf>
    <dxf>
      <numFmt numFmtId="3" formatCode="#,##0"/>
      <fill>
        <patternFill patternType="solid">
          <fgColor indexed="64"/>
          <bgColor rgb="FFA7C539"/>
        </patternFill>
      </fill>
    </dxf>
    <dxf>
      <numFmt numFmtId="3" formatCode="#,##0"/>
      <fill>
        <patternFill patternType="solid">
          <fgColor indexed="64"/>
          <bgColor rgb="FFA7C539"/>
        </patternFill>
      </fill>
    </dxf>
    <dxf>
      <numFmt numFmtId="3" formatCode="#,##0"/>
      <fill>
        <patternFill patternType="solid">
          <fgColor indexed="64"/>
          <bgColor rgb="FFA7C539"/>
        </patternFill>
      </fill>
    </dxf>
    <dxf>
      <numFmt numFmtId="3" formatCode="#,##0"/>
      <fill>
        <patternFill patternType="solid">
          <fgColor indexed="64"/>
          <bgColor rgb="FFA7C539"/>
        </patternFill>
      </fill>
    </dxf>
    <dxf>
      <numFmt numFmtId="3" formatCode="#,##0"/>
      <fill>
        <patternFill patternType="solid">
          <fgColor indexed="64"/>
          <bgColor rgb="FFA7C539"/>
        </patternFill>
      </fill>
    </dxf>
    <dxf>
      <numFmt numFmtId="3" formatCode="#,##0"/>
      <alignment horizontal="general" vertical="center" textRotation="0" wrapText="0" indent="0" justifyLastLine="0" shrinkToFit="0" readingOrder="0"/>
    </dxf>
    <dxf>
      <numFmt numFmtId="3" formatCode="#,##0"/>
    </dxf>
    <dxf>
      <numFmt numFmtId="3" formatCode="#,##0"/>
    </dxf>
    <dxf>
      <numFmt numFmtId="3" formatCode="#,##0"/>
    </dxf>
    <dxf>
      <numFmt numFmtId="3" formatCode="#,##0"/>
    </dxf>
    <dxf>
      <numFmt numFmtId="3" formatCode="#,##0"/>
    </dxf>
    <dxf>
      <numFmt numFmtId="3" formatCode="#,##0"/>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alignment horizontal="general" vertical="center" textRotation="0" wrapText="0" indent="0" justifyLastLine="0" shrinkToFit="0" readingOrder="0"/>
    </dxf>
    <dxf>
      <numFmt numFmtId="3" formatCode="#,##0"/>
    </dxf>
    <dxf>
      <numFmt numFmtId="3" formatCode="#,##0"/>
    </dxf>
    <dxf>
      <numFmt numFmtId="3" formatCode="#,##0"/>
    </dxf>
    <dxf>
      <numFmt numFmtId="3" formatCode="#,##0"/>
    </dxf>
    <dxf>
      <numFmt numFmtId="3" formatCode="#,##0"/>
    </dxf>
    <dxf>
      <numFmt numFmtId="3" formatCode="#,##0"/>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alignment horizontal="general" vertical="center" textRotation="0" wrapText="0" indent="0" justifyLastLine="0" shrinkToFit="0" readingOrder="0"/>
    </dxf>
    <dxf>
      <numFmt numFmtId="3" formatCode="#,##0"/>
    </dxf>
    <dxf>
      <numFmt numFmtId="3" formatCode="#,##0"/>
    </dxf>
    <dxf>
      <numFmt numFmtId="3" formatCode="#,##0"/>
    </dxf>
    <dxf>
      <numFmt numFmtId="3" formatCode="#,##0"/>
    </dxf>
    <dxf>
      <numFmt numFmtId="3" formatCode="#,##0"/>
    </dxf>
    <dxf>
      <numFmt numFmtId="3" formatCode="#,##0"/>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alignment horizontal="general" vertical="center" textRotation="0" wrapText="0" indent="0" justifyLastLine="0" shrinkToFit="0" readingOrder="0"/>
    </dxf>
    <dxf>
      <numFmt numFmtId="3" formatCode="#,##0"/>
    </dxf>
    <dxf>
      <font>
        <color theme="2"/>
      </font>
      <fill>
        <patternFill>
          <bgColor theme="2"/>
        </patternFill>
      </fill>
    </dxf>
    <dxf>
      <font>
        <color auto="1"/>
      </font>
      <fill>
        <patternFill>
          <bgColor rgb="FFFF0000"/>
        </patternFill>
      </fill>
    </dxf>
    <dxf>
      <fill>
        <patternFill>
          <bgColor rgb="FFFF0000"/>
        </patternFill>
      </fill>
    </dxf>
    <dxf>
      <fill>
        <patternFill>
          <bgColor rgb="FFFF0000"/>
        </patternFill>
      </fill>
    </dxf>
    <dxf>
      <font>
        <color theme="2"/>
      </font>
      <fill>
        <patternFill>
          <bgColor theme="2"/>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theme="2"/>
      </font>
      <fill>
        <patternFill>
          <bgColor theme="2"/>
        </patternFill>
      </fill>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0" formatCode="General"/>
    </dxf>
    <dxf>
      <numFmt numFmtId="0" formatCode="General"/>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0" formatCode="General"/>
    </dxf>
    <dxf>
      <numFmt numFmtId="0" formatCode="General"/>
    </dxf>
    <dxf>
      <numFmt numFmtId="3" formatCode="#,##0"/>
    </dxf>
    <dxf>
      <numFmt numFmtId="3" formatCode="#,##0"/>
    </dxf>
    <dxf>
      <numFmt numFmtId="3" formatCode="#,##0"/>
    </dxf>
    <dxf>
      <numFmt numFmtId="3" formatCode="#,##0"/>
    </dxf>
    <dxf>
      <numFmt numFmtId="3" formatCode="#,##0"/>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alignment horizontal="general" vertical="center" textRotation="0" wrapText="0" indent="0" justifyLastLine="0" shrinkToFit="0" readingOrder="0"/>
    </dxf>
    <dxf>
      <numFmt numFmtId="3" formatCode="#,##0"/>
    </dxf>
    <dxf>
      <numFmt numFmtId="3" formatCode="#,##0"/>
    </dxf>
    <dxf>
      <numFmt numFmtId="3" formatCode="#,##0"/>
    </dxf>
    <dxf>
      <numFmt numFmtId="3" formatCode="#,##0"/>
    </dxf>
    <dxf>
      <numFmt numFmtId="3" formatCode="#,##0"/>
    </dxf>
    <dxf>
      <numFmt numFmtId="3" formatCode="#,##0"/>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alignment horizontal="general" vertical="center" textRotation="0" wrapText="0" indent="0" justifyLastLine="0" shrinkToFit="0" readingOrder="0"/>
    </dxf>
    <dxf>
      <numFmt numFmtId="3" formatCode="#,##0"/>
    </dxf>
    <dxf>
      <font>
        <color theme="2"/>
      </font>
      <fill>
        <patternFill>
          <bgColor theme="2"/>
        </patternFill>
      </fill>
    </dxf>
    <dxf>
      <font>
        <color theme="2"/>
      </font>
      <fill>
        <patternFill>
          <bgColor theme="2"/>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0" formatCode="General"/>
    </dxf>
    <dxf>
      <numFmt numFmtId="0" formatCode="Genera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0" formatCode="General"/>
    </dxf>
    <dxf>
      <numFmt numFmtId="0" formatCode="Genera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0" formatCode="General"/>
    </dxf>
    <dxf>
      <numFmt numFmtId="0" formatCode="Genera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0" formatCode="General"/>
    </dxf>
    <dxf>
      <numFmt numFmtId="0" formatCode="Genera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000"/>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3" formatCode="#,##0"/>
      <alignment horizontal="left" vertical="bottom" textRotation="0" wrapText="0" indent="0" justifyLastLine="0" shrinkToFit="0" readingOrder="0"/>
    </dxf>
    <dxf>
      <fill>
        <patternFill>
          <bgColor rgb="FFFFC000"/>
        </patternFill>
      </fill>
    </dxf>
    <dxf>
      <numFmt numFmtId="3" formatCode="#,##0"/>
    </dxf>
    <dxf>
      <font>
        <strike val="0"/>
        <outline val="0"/>
        <shadow val="0"/>
        <u val="none"/>
        <vertAlign val="baseline"/>
        <sz val="11"/>
        <color auto="1"/>
        <name val="Calibri"/>
        <family val="2"/>
        <scheme val="minor"/>
      </font>
      <numFmt numFmtId="3" formatCode="#,##0"/>
      <fill>
        <patternFill patternType="none">
          <fgColor indexed="64"/>
          <bgColor indexed="65"/>
        </patternFill>
      </fill>
    </dxf>
    <dxf>
      <font>
        <strike val="0"/>
        <outline val="0"/>
        <shadow val="0"/>
        <u val="none"/>
        <vertAlign val="baseline"/>
        <sz val="11"/>
        <color auto="1"/>
        <name val="Calibri"/>
        <family val="2"/>
        <scheme val="minor"/>
      </font>
      <numFmt numFmtId="3" formatCode="#,##0"/>
      <fill>
        <patternFill patternType="none">
          <fgColor indexed="64"/>
          <bgColor indexed="65"/>
        </patternFill>
      </fill>
    </dxf>
    <dxf>
      <font>
        <strike val="0"/>
        <outline val="0"/>
        <shadow val="0"/>
        <u val="none"/>
        <vertAlign val="baseline"/>
        <sz val="11"/>
        <color auto="1"/>
        <name val="Calibri"/>
        <family val="2"/>
        <scheme val="minor"/>
      </font>
      <numFmt numFmtId="3" formatCode="#,##0"/>
      <fill>
        <patternFill patternType="none">
          <fgColor indexed="64"/>
          <bgColor indexed="65"/>
        </patternFill>
      </fill>
    </dxf>
    <dxf>
      <font>
        <strike val="0"/>
        <outline val="0"/>
        <shadow val="0"/>
        <u val="none"/>
        <vertAlign val="baseline"/>
        <sz val="11"/>
        <color auto="1"/>
        <name val="Calibri"/>
        <family val="2"/>
        <scheme val="minor"/>
      </font>
      <numFmt numFmtId="3" formatCode="#,##0"/>
      <fill>
        <patternFill patternType="none">
          <fgColor indexed="64"/>
          <bgColor indexed="65"/>
        </patternFill>
      </fill>
    </dxf>
    <dxf>
      <font>
        <strike val="0"/>
        <outline val="0"/>
        <shadow val="0"/>
        <u val="none"/>
        <vertAlign val="baseline"/>
        <sz val="11"/>
        <color auto="1"/>
        <name val="Calibri"/>
        <family val="2"/>
        <scheme val="minor"/>
      </font>
      <numFmt numFmtId="3" formatCode="#,##0"/>
      <fill>
        <patternFill patternType="none">
          <fgColor indexed="64"/>
          <bgColor indexed="65"/>
        </patternFill>
      </fill>
    </dxf>
    <dxf>
      <font>
        <strike val="0"/>
        <outline val="0"/>
        <shadow val="0"/>
        <u val="none"/>
        <vertAlign val="baseline"/>
        <sz val="11"/>
        <color auto="1"/>
        <name val="Calibri"/>
        <family val="2"/>
        <scheme val="minor"/>
      </font>
      <numFmt numFmtId="3" formatCode="#,##0"/>
      <fill>
        <patternFill patternType="none">
          <fgColor indexed="64"/>
          <bgColor indexed="65"/>
        </patternFill>
      </fill>
    </dxf>
    <dxf>
      <font>
        <strike val="0"/>
        <outline val="0"/>
        <shadow val="0"/>
        <u val="none"/>
        <vertAlign val="baseline"/>
        <sz val="11"/>
        <color auto="1"/>
        <name val="Calibri"/>
        <family val="2"/>
        <scheme val="minor"/>
      </font>
      <numFmt numFmtId="3" formatCode="#,##0"/>
      <fill>
        <patternFill patternType="none">
          <fgColor indexed="64"/>
          <bgColor indexed="65"/>
        </patternFill>
      </fill>
    </dxf>
    <dxf>
      <font>
        <strike val="0"/>
        <outline val="0"/>
        <shadow val="0"/>
        <u val="none"/>
        <vertAlign val="baseline"/>
        <sz val="11"/>
        <color auto="1"/>
        <name val="Calibri"/>
        <family val="2"/>
        <scheme val="minor"/>
      </font>
      <numFmt numFmtId="3" formatCode="#,##0"/>
      <fill>
        <patternFill patternType="none">
          <fgColor indexed="64"/>
          <bgColor indexed="65"/>
        </patternFill>
      </fill>
    </dxf>
    <dxf>
      <font>
        <strike val="0"/>
        <outline val="0"/>
        <shadow val="0"/>
        <u val="none"/>
        <vertAlign val="baseline"/>
        <sz val="11"/>
        <color auto="1"/>
        <name val="Calibri"/>
        <family val="2"/>
        <scheme val="minor"/>
      </font>
      <numFmt numFmtId="3" formatCode="#,##0"/>
      <fill>
        <patternFill patternType="none">
          <fgColor indexed="64"/>
          <bgColor indexed="65"/>
        </patternFill>
      </fill>
    </dxf>
    <dxf>
      <font>
        <strike val="0"/>
        <outline val="0"/>
        <shadow val="0"/>
        <u val="none"/>
        <vertAlign val="baseline"/>
        <sz val="11"/>
        <color auto="1"/>
        <name val="Calibri"/>
        <family val="2"/>
        <scheme val="minor"/>
      </font>
      <numFmt numFmtId="3" formatCode="#,##0"/>
      <fill>
        <patternFill patternType="none">
          <fgColor indexed="64"/>
          <bgColor indexed="65"/>
        </patternFill>
      </fill>
    </dxf>
    <dxf>
      <font>
        <strike val="0"/>
        <outline val="0"/>
        <shadow val="0"/>
        <u val="none"/>
        <vertAlign val="baseline"/>
        <sz val="11"/>
        <color auto="1"/>
        <name val="Calibri"/>
        <family val="2"/>
        <scheme val="minor"/>
      </font>
      <numFmt numFmtId="3" formatCode="#,##0"/>
      <fill>
        <patternFill patternType="none">
          <fgColor indexed="64"/>
          <bgColor indexed="65"/>
        </patternFill>
      </fill>
    </dxf>
    <dxf>
      <font>
        <strike val="0"/>
        <outline val="0"/>
        <shadow val="0"/>
        <u val="none"/>
        <vertAlign val="baseline"/>
        <sz val="11"/>
        <color auto="1"/>
        <name val="Calibri"/>
        <family val="2"/>
        <scheme val="minor"/>
      </font>
      <numFmt numFmtId="3" formatCode="#,##0"/>
      <fill>
        <patternFill patternType="none">
          <fgColor indexed="64"/>
          <bgColor indexed="65"/>
        </patternFill>
      </fill>
    </dxf>
    <dxf>
      <font>
        <strike val="0"/>
        <outline val="0"/>
        <shadow val="0"/>
        <u val="none"/>
        <vertAlign val="baseline"/>
        <sz val="11"/>
        <color auto="1"/>
        <name val="Calibri"/>
        <family val="2"/>
        <scheme val="minor"/>
      </font>
      <numFmt numFmtId="3" formatCode="#,##0"/>
      <fill>
        <patternFill patternType="none">
          <fgColor indexed="64"/>
          <bgColor auto="1"/>
        </patternFill>
      </fill>
    </dxf>
    <dxf>
      <numFmt numFmtId="3" formatCode="#,##0"/>
      <fill>
        <patternFill patternType="none">
          <fgColor indexed="64"/>
          <bgColor auto="1"/>
        </patternFill>
      </fill>
    </dxf>
    <dxf>
      <numFmt numFmtId="3" formatCode="#,##0"/>
      <fill>
        <patternFill patternType="none">
          <fgColor indexed="64"/>
          <bgColor auto="1"/>
        </patternFill>
      </fill>
    </dxf>
    <dxf>
      <numFmt numFmtId="3" formatCode="#,##0"/>
      <fill>
        <patternFill patternType="none">
          <fgColor indexed="64"/>
          <bgColor auto="1"/>
        </patternFill>
      </fill>
    </dxf>
    <dxf>
      <numFmt numFmtId="3" formatCode="#,##0"/>
      <fill>
        <patternFill patternType="none">
          <fgColor indexed="64"/>
          <bgColor auto="1"/>
        </patternFill>
      </fill>
    </dxf>
    <dxf>
      <numFmt numFmtId="3" formatCode="#,##0"/>
      <fill>
        <patternFill patternType="none">
          <fgColor indexed="64"/>
          <bgColor auto="1"/>
        </patternFill>
      </fill>
    </dxf>
    <dxf>
      <numFmt numFmtId="3" formatCode="#,##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30" formatCode="@"/>
    </dxf>
    <dxf>
      <numFmt numFmtId="3" formatCode="#,##0"/>
      <alignment horizontal="general" vertical="center" textRotation="0" wrapText="0" indent="0" justifyLastLine="0" shrinkToFit="0" readingOrder="0"/>
    </dxf>
    <dxf>
      <numFmt numFmtId="3" formatCode="#,##0"/>
    </dxf>
    <dxf>
      <fill>
        <patternFill>
          <bgColor rgb="FFFFC000"/>
        </patternFill>
      </fill>
    </dxf>
    <dxf>
      <numFmt numFmtId="3" formatCode="#,##0"/>
    </dxf>
    <dxf>
      <font>
        <strike val="0"/>
        <outline val="0"/>
        <shadow val="0"/>
        <u val="none"/>
        <vertAlign val="baseline"/>
        <sz val="11"/>
        <color theme="1"/>
        <name val="Calibri"/>
        <family val="2"/>
        <scheme val="minor"/>
      </font>
      <numFmt numFmtId="3" formatCode="#,##0"/>
      <fill>
        <patternFill patternType="none">
          <fgColor indexed="64"/>
          <bgColor auto="1"/>
        </patternFill>
      </fill>
    </dxf>
    <dxf>
      <font>
        <strike val="0"/>
        <outline val="0"/>
        <shadow val="0"/>
        <u val="none"/>
        <vertAlign val="baseline"/>
        <sz val="11"/>
        <color theme="1"/>
        <name val="Calibri"/>
        <family val="2"/>
        <scheme val="minor"/>
      </font>
      <numFmt numFmtId="3" formatCode="#,##0"/>
      <fill>
        <patternFill patternType="none">
          <fgColor indexed="64"/>
          <bgColor auto="1"/>
        </patternFill>
      </fill>
    </dxf>
    <dxf>
      <font>
        <strike val="0"/>
        <outline val="0"/>
        <shadow val="0"/>
        <u val="none"/>
        <vertAlign val="baseline"/>
        <sz val="11"/>
        <color theme="1"/>
        <name val="Calibri"/>
        <family val="2"/>
        <scheme val="minor"/>
      </font>
      <numFmt numFmtId="3" formatCode="#,##0"/>
      <fill>
        <patternFill patternType="none">
          <fgColor indexed="64"/>
          <bgColor auto="1"/>
        </patternFill>
      </fill>
    </dxf>
    <dxf>
      <font>
        <strike val="0"/>
        <outline val="0"/>
        <shadow val="0"/>
        <u val="none"/>
        <vertAlign val="baseline"/>
        <sz val="11"/>
        <color theme="1"/>
        <name val="Calibri"/>
        <family val="2"/>
        <scheme val="minor"/>
      </font>
      <numFmt numFmtId="3" formatCode="#,##0"/>
      <fill>
        <patternFill patternType="none">
          <fgColor indexed="64"/>
          <bgColor auto="1"/>
        </patternFill>
      </fill>
    </dxf>
    <dxf>
      <font>
        <strike val="0"/>
        <outline val="0"/>
        <shadow val="0"/>
        <u val="none"/>
        <vertAlign val="baseline"/>
        <sz val="11"/>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3" formatCode="#,##0"/>
      <fill>
        <patternFill patternType="none">
          <fgColor indexed="64"/>
          <bgColor auto="1"/>
        </patternFill>
      </fill>
    </dxf>
    <dxf>
      <font>
        <strike val="0"/>
        <outline val="0"/>
        <shadow val="0"/>
        <u val="none"/>
        <vertAlign val="baseline"/>
        <sz val="11"/>
        <color theme="1"/>
        <name val="Calibri"/>
        <family val="2"/>
        <scheme val="minor"/>
      </font>
      <numFmt numFmtId="3" formatCode="#,##0"/>
      <fill>
        <patternFill patternType="none">
          <fgColor indexed="64"/>
          <bgColor auto="1"/>
        </patternFill>
      </fill>
    </dxf>
    <dxf>
      <font>
        <strike val="0"/>
        <outline val="0"/>
        <shadow val="0"/>
        <u val="none"/>
        <vertAlign val="baseline"/>
        <sz val="11"/>
        <color theme="1"/>
        <name val="Calibri"/>
        <family val="2"/>
        <scheme val="minor"/>
      </font>
      <numFmt numFmtId="3" formatCode="#,##0"/>
      <fill>
        <patternFill patternType="none">
          <fgColor indexed="64"/>
          <bgColor auto="1"/>
        </patternFill>
      </fill>
    </dxf>
    <dxf>
      <font>
        <strike val="0"/>
        <outline val="0"/>
        <shadow val="0"/>
        <u val="none"/>
        <vertAlign val="baseline"/>
        <sz val="11"/>
        <color theme="1"/>
        <name val="Calibri"/>
        <family val="2"/>
        <scheme val="minor"/>
      </font>
      <numFmt numFmtId="3" formatCode="#,##0"/>
      <fill>
        <patternFill patternType="none">
          <fgColor indexed="64"/>
          <bgColor auto="1"/>
        </patternFill>
      </fill>
    </dxf>
    <dxf>
      <font>
        <strike val="0"/>
        <outline val="0"/>
        <shadow val="0"/>
        <u val="none"/>
        <vertAlign val="baseline"/>
        <sz val="11"/>
        <color theme="1"/>
        <name val="Calibri"/>
        <family val="2"/>
        <scheme val="minor"/>
      </font>
      <numFmt numFmtId="3" formatCode="#,##0"/>
      <fill>
        <patternFill patternType="none">
          <fgColor indexed="64"/>
          <bgColor auto="1"/>
        </patternFill>
      </fill>
    </dxf>
    <dxf>
      <font>
        <strike val="0"/>
        <outline val="0"/>
        <shadow val="0"/>
        <u val="none"/>
        <vertAlign val="baseline"/>
        <sz val="11"/>
        <color theme="1"/>
        <name val="Calibri"/>
        <family val="2"/>
        <scheme val="minor"/>
      </font>
      <numFmt numFmtId="3" formatCode="#,##0"/>
      <fill>
        <patternFill patternType="none">
          <fgColor indexed="64"/>
          <bgColor auto="1"/>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alignment horizontal="general" vertical="center" textRotation="0" wrapText="0" indent="0" justifyLastLine="0" shrinkToFit="0" readingOrder="0"/>
    </dxf>
    <dxf>
      <numFmt numFmtId="3" formatCode="#,##0"/>
    </dxf>
    <dxf>
      <font>
        <color auto="1"/>
      </font>
      <fill>
        <patternFill patternType="solid">
          <bgColor rgb="FFFFC000"/>
        </patternFill>
      </fill>
    </dxf>
  </dxfs>
  <tableStyles count="0" defaultTableStyle="TableStyleMedium2" defaultPivotStyle="PivotStyleLight16"/>
  <colors>
    <mruColors>
      <color rgb="FFA7C539"/>
      <color rgb="FFC216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1400" b="0" i="0" baseline="0">
                <a:effectLst/>
              </a:rPr>
              <a:t>Referenzszenarien</a:t>
            </a:r>
            <a:endParaRPr lang="en-GB" sz="105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9.4479252685276849E-2"/>
          <c:y val="0.12598167539267016"/>
          <c:w val="0.88734502989105368"/>
          <c:h val="0.66658326587681216"/>
        </c:manualLayout>
      </c:layout>
      <c:barChart>
        <c:barDir val="col"/>
        <c:grouping val="clustered"/>
        <c:varyColors val="0"/>
        <c:ser>
          <c:idx val="0"/>
          <c:order val="0"/>
          <c:tx>
            <c:v>Referenzszenario Bundesmix</c:v>
          </c:tx>
          <c:spPr>
            <a:solidFill>
              <a:schemeClr val="bg2">
                <a:lumMod val="25000"/>
              </a:schemeClr>
            </a:solidFill>
            <a:ln>
              <a:noFill/>
            </a:ln>
            <a:effectLst/>
          </c:spPr>
          <c:invertIfNegative val="0"/>
          <c:cat>
            <c:strRef>
              <c:f>'Klisz-Emissionen'!$E$811:$X$811</c:f>
              <c:strCache>
                <c:ptCount val="20"/>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2035</c:v>
                </c:pt>
                <c:pt idx="17">
                  <c:v>2040</c:v>
                </c:pt>
                <c:pt idx="18">
                  <c:v>2045</c:v>
                </c:pt>
                <c:pt idx="19">
                  <c:v>2050</c:v>
                </c:pt>
              </c:strCache>
            </c:strRef>
          </c:cat>
          <c:val>
            <c:numRef>
              <c:f>'Refsz-Emissionen'!$E$413:$X$413</c:f>
              <c:numCache>
                <c:formatCode>#,##0.00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6-B925-4885-9AF3-76998CE5BDE8}"/>
            </c:ext>
          </c:extLst>
        </c:ser>
        <c:ser>
          <c:idx val="1"/>
          <c:order val="1"/>
          <c:tx>
            <c:v>Referenzszenario Regiomix</c:v>
          </c:tx>
          <c:spPr>
            <a:solidFill>
              <a:schemeClr val="tx2">
                <a:lumMod val="60000"/>
                <a:lumOff val="40000"/>
              </a:schemeClr>
            </a:solidFill>
            <a:ln>
              <a:noFill/>
            </a:ln>
            <a:effectLst/>
          </c:spPr>
          <c:invertIfNegative val="0"/>
          <c:cat>
            <c:strRef>
              <c:f>'Klisz-Emissionen'!$E$811:$X$811</c:f>
              <c:strCache>
                <c:ptCount val="20"/>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2035</c:v>
                </c:pt>
                <c:pt idx="17">
                  <c:v>2040</c:v>
                </c:pt>
                <c:pt idx="18">
                  <c:v>2045</c:v>
                </c:pt>
                <c:pt idx="19">
                  <c:v>2050</c:v>
                </c:pt>
              </c:strCache>
              <c:extLst xmlns:c15="http://schemas.microsoft.com/office/drawing/2012/chart"/>
            </c:strRef>
          </c:cat>
          <c:val>
            <c:numRef>
              <c:f>'Refsz-Emissionen'!$E$434:$X$434</c:f>
              <c:numCache>
                <c:formatCode>#,##0.00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extLst xmlns:c15="http://schemas.microsoft.com/office/drawing/2012/chart"/>
            </c:numRef>
          </c:val>
          <c:extLst xmlns:c15="http://schemas.microsoft.com/office/drawing/2012/chart">
            <c:ext xmlns:c16="http://schemas.microsoft.com/office/drawing/2014/chart" uri="{C3380CC4-5D6E-409C-BE32-E72D297353CC}">
              <c16:uniqueId val="{00000007-B925-4885-9AF3-76998CE5BDE8}"/>
            </c:ext>
          </c:extLst>
        </c:ser>
        <c:dLbls>
          <c:showLegendKey val="0"/>
          <c:showVal val="0"/>
          <c:showCatName val="0"/>
          <c:showSerName val="0"/>
          <c:showPercent val="0"/>
          <c:showBubbleSize val="0"/>
        </c:dLbls>
        <c:gapWidth val="219"/>
        <c:overlap val="-27"/>
        <c:axId val="1842513472"/>
        <c:axId val="1262068768"/>
        <c:extLst>
          <c:ext xmlns:c15="http://schemas.microsoft.com/office/drawing/2012/chart" uri="{02D57815-91ED-43cb-92C2-25804820EDAC}">
            <c15:filteredBarSeries>
              <c15:ser>
                <c:idx val="2"/>
                <c:order val="2"/>
                <c:tx>
                  <c:v>Klimaschutzszenario Bundesmix</c:v>
                </c:tx>
                <c:spPr>
                  <a:solidFill>
                    <a:srgbClr val="92D050"/>
                  </a:solidFill>
                  <a:ln>
                    <a:noFill/>
                  </a:ln>
                  <a:effectLst/>
                </c:spPr>
                <c:invertIfNegative val="0"/>
                <c:cat>
                  <c:strRef>
                    <c:extLst>
                      <c:ext uri="{02D57815-91ED-43cb-92C2-25804820EDAC}">
                        <c15:formulaRef>
                          <c15:sqref>'Klisz-Emissionen'!$E$811:$X$811</c15:sqref>
                        </c15:formulaRef>
                      </c:ext>
                    </c:extLst>
                    <c:strCache>
                      <c:ptCount val="20"/>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2035</c:v>
                      </c:pt>
                      <c:pt idx="17">
                        <c:v>2040</c:v>
                      </c:pt>
                      <c:pt idx="18">
                        <c:v>2045</c:v>
                      </c:pt>
                      <c:pt idx="19">
                        <c:v>2050</c:v>
                      </c:pt>
                    </c:strCache>
                  </c:strRef>
                </c:cat>
                <c:val>
                  <c:numRef>
                    <c:extLst>
                      <c:ext uri="{02D57815-91ED-43cb-92C2-25804820EDAC}">
                        <c15:formulaRef>
                          <c15:sqref>'Klisz-Emissionen'!$E$760:$X$760</c15:sqref>
                        </c15:formulaRef>
                      </c:ext>
                    </c:extLst>
                    <c:numCache>
                      <c:formatCode>#,##0.00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0-E38C-4D5A-BDAF-C4A8CC76B76B}"/>
                  </c:ext>
                </c:extLst>
              </c15:ser>
            </c15:filteredBarSeries>
            <c15:filteredBarSeries>
              <c15:ser>
                <c:idx val="3"/>
                <c:order val="3"/>
                <c:tx>
                  <c:v>Klimaschutzszenario Bundesmix KS80</c:v>
                </c:tx>
                <c:spPr>
                  <a:solidFill>
                    <a:srgbClr val="00B050"/>
                  </a:solidFill>
                  <a:ln>
                    <a:noFill/>
                  </a:ln>
                  <a:effectLst/>
                </c:spPr>
                <c:invertIfNegative val="0"/>
                <c:cat>
                  <c:strRef>
                    <c:extLst xmlns:c15="http://schemas.microsoft.com/office/drawing/2012/chart">
                      <c:ext xmlns:c15="http://schemas.microsoft.com/office/drawing/2012/chart" uri="{02D57815-91ED-43cb-92C2-25804820EDAC}">
                        <c15:formulaRef>
                          <c15:sqref>'Klisz-Emissionen'!$E$811:$X$811</c15:sqref>
                        </c15:formulaRef>
                      </c:ext>
                    </c:extLst>
                    <c:strCache>
                      <c:ptCount val="20"/>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2035</c:v>
                      </c:pt>
                      <c:pt idx="17">
                        <c:v>2040</c:v>
                      </c:pt>
                      <c:pt idx="18">
                        <c:v>2045</c:v>
                      </c:pt>
                      <c:pt idx="19">
                        <c:v>2050</c:v>
                      </c:pt>
                    </c:strCache>
                  </c:strRef>
                </c:cat>
                <c:val>
                  <c:numRef>
                    <c:extLst xmlns:c15="http://schemas.microsoft.com/office/drawing/2012/chart">
                      <c:ext xmlns:c15="http://schemas.microsoft.com/office/drawing/2012/chart" uri="{02D57815-91ED-43cb-92C2-25804820EDAC}">
                        <c15:formulaRef>
                          <c15:sqref>'Klisz-Emissionen'!$E$781:$X$781</c15:sqref>
                        </c15:formulaRef>
                      </c:ext>
                    </c:extLst>
                    <c:numCache>
                      <c:formatCode>#,##0.00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xmlns:c15="http://schemas.microsoft.com/office/drawing/2012/chart">
                  <c:ext xmlns:c16="http://schemas.microsoft.com/office/drawing/2014/chart" uri="{C3380CC4-5D6E-409C-BE32-E72D297353CC}">
                    <c16:uniqueId val="{00000001-E38C-4D5A-BDAF-C4A8CC76B76B}"/>
                  </c:ext>
                </c:extLst>
              </c15:ser>
            </c15:filteredBarSeries>
            <c15:filteredBarSeries>
              <c15:ser>
                <c:idx val="4"/>
                <c:order val="4"/>
                <c:tx>
                  <c:v>Klimaschutzszenario Regiomix</c:v>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'Klisz-Emissionen'!$E$811:$X$811</c15:sqref>
                        </c15:formulaRef>
                      </c:ext>
                    </c:extLst>
                    <c:strCache>
                      <c:ptCount val="20"/>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2035</c:v>
                      </c:pt>
                      <c:pt idx="17">
                        <c:v>2040</c:v>
                      </c:pt>
                      <c:pt idx="18">
                        <c:v>2045</c:v>
                      </c:pt>
                      <c:pt idx="19">
                        <c:v>2050</c:v>
                      </c:pt>
                    </c:strCache>
                  </c:strRef>
                </c:cat>
                <c:val>
                  <c:numRef>
                    <c:extLst xmlns:c15="http://schemas.microsoft.com/office/drawing/2012/chart">
                      <c:ext xmlns:c15="http://schemas.microsoft.com/office/drawing/2012/chart" uri="{02D57815-91ED-43cb-92C2-25804820EDAC}">
                        <c15:formulaRef>
                          <c15:sqref>'Klisz-Emissionen'!$E$802:$X$802</c15:sqref>
                        </c15:formulaRef>
                      </c:ext>
                    </c:extLst>
                    <c:numCache>
                      <c:formatCode>#,##0.00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xmlns:c15="http://schemas.microsoft.com/office/drawing/2012/chart">
                  <c:ext xmlns:c16="http://schemas.microsoft.com/office/drawing/2014/chart" uri="{C3380CC4-5D6E-409C-BE32-E72D297353CC}">
                    <c16:uniqueId val="{00000002-E38C-4D5A-BDAF-C4A8CC76B76B}"/>
                  </c:ext>
                </c:extLst>
              </c15:ser>
            </c15:filteredBarSeries>
            <c15:filteredBarSeries>
              <c15:ser>
                <c:idx val="5"/>
                <c:order val="5"/>
                <c:tx>
                  <c:v>Eigenes Klimaschutzszenario</c:v>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'Klisz-Emissionen'!$E$811:$X$811</c15:sqref>
                        </c15:formulaRef>
                      </c:ext>
                    </c:extLst>
                    <c:strCache>
                      <c:ptCount val="20"/>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2035</c:v>
                      </c:pt>
                      <c:pt idx="17">
                        <c:v>2040</c:v>
                      </c:pt>
                      <c:pt idx="18">
                        <c:v>2045</c:v>
                      </c:pt>
                      <c:pt idx="19">
                        <c:v>2050</c:v>
                      </c:pt>
                    </c:strCache>
                  </c:strRef>
                </c:cat>
                <c:val>
                  <c:numRef>
                    <c:extLst xmlns:c15="http://schemas.microsoft.com/office/drawing/2012/chart">
                      <c:ext xmlns:c15="http://schemas.microsoft.com/office/drawing/2012/chart" uri="{02D57815-91ED-43cb-92C2-25804820EDAC}">
                        <c15:formulaRef>
                          <c15:sqref>'Klisz-Emissionen'!$E$823:$X$823</c15:sqref>
                        </c15:formulaRef>
                      </c:ext>
                    </c:extLst>
                    <c:numCache>
                      <c:formatCode>#,##0.00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xmlns:c15="http://schemas.microsoft.com/office/drawing/2012/chart">
                  <c:ext xmlns:c16="http://schemas.microsoft.com/office/drawing/2014/chart" uri="{C3380CC4-5D6E-409C-BE32-E72D297353CC}">
                    <c16:uniqueId val="{00000003-E38C-4D5A-BDAF-C4A8CC76B76B}"/>
                  </c:ext>
                </c:extLst>
              </c15:ser>
            </c15:filteredBarSeries>
          </c:ext>
        </c:extLst>
      </c:barChart>
      <c:catAx>
        <c:axId val="1842513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2068768"/>
        <c:crosses val="autoZero"/>
        <c:auto val="1"/>
        <c:lblAlgn val="ctr"/>
        <c:lblOffset val="100"/>
        <c:noMultiLvlLbl val="0"/>
      </c:catAx>
      <c:valAx>
        <c:axId val="12620687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de-DE" sz="1050" b="0" i="0" baseline="0">
                    <a:effectLst/>
                  </a:rPr>
                  <a:t>t CO</a:t>
                </a:r>
                <a:r>
                  <a:rPr lang="de-DE" sz="1050" b="0" i="0" baseline="-25000">
                    <a:effectLst/>
                  </a:rPr>
                  <a:t>2</a:t>
                </a:r>
                <a:r>
                  <a:rPr lang="de-DE" sz="1050" b="0" i="0" baseline="0">
                    <a:effectLst/>
                  </a:rPr>
                  <a:t>-Äq. </a:t>
                </a:r>
                <a:endParaRPr lang="en-GB" sz="500">
                  <a:effectLst/>
                </a:endParaRP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42513472"/>
        <c:crosses val="autoZero"/>
        <c:crossBetween val="between"/>
      </c:valAx>
      <c:spPr>
        <a:noFill/>
        <a:ln>
          <a:noFill/>
        </a:ln>
        <a:effectLst/>
      </c:spPr>
    </c:plotArea>
    <c:legend>
      <c:legendPos val="b"/>
      <c:layout>
        <c:manualLayout>
          <c:xMode val="edge"/>
          <c:yMode val="edge"/>
          <c:x val="2.9019776729176799E-2"/>
          <c:y val="0.87414240842316282"/>
          <c:w val="0.3188229073165591"/>
          <c:h val="8.561746310708773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baseline="0">
                <a:effectLst/>
              </a:rPr>
              <a:t>Ist-Bilanz: Aufteilung der Emissionen im Jahr x 2019 </a:t>
            </a:r>
            <a:endParaRPr lang="en-GB" sz="1400">
              <a:effectLst/>
            </a:endParaRPr>
          </a:p>
          <a:p>
            <a:pPr>
              <a:defRPr/>
            </a:pPr>
            <a:r>
              <a:rPr lang="en-US" sz="1400" b="0" i="0" baseline="0">
                <a:effectLst/>
              </a:rPr>
              <a:t>(Bundesmix in t CO</a:t>
            </a:r>
            <a:r>
              <a:rPr lang="en-US" sz="1400" b="0" i="0" baseline="-25000">
                <a:effectLst/>
              </a:rPr>
              <a:t>2</a:t>
            </a:r>
            <a:r>
              <a:rPr lang="en-US" sz="1400" b="0" i="0" baseline="0">
                <a:effectLst/>
              </a:rPr>
              <a:t>-Äq.)</a:t>
            </a:r>
            <a:endParaRPr lang="en-GB" sz="1400">
              <a:effectLst/>
            </a:endParaRPr>
          </a:p>
        </c:rich>
      </c:tx>
      <c:layout>
        <c:manualLayout>
          <c:xMode val="edge"/>
          <c:yMode val="edge"/>
          <c:x val="0.13774627657309224"/>
          <c:y val="2.166529993253138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8338617947556494"/>
          <c:y val="0.19461607691180266"/>
          <c:w val="0.37061854768153984"/>
          <c:h val="0.42933781910512103"/>
        </c:manualLayout>
      </c:layout>
      <c:pieChart>
        <c:varyColors val="1"/>
        <c:ser>
          <c:idx val="4"/>
          <c:order val="4"/>
          <c:tx>
            <c:strRef>
              <c:f>'Refsz-Emissionen'!$I$401</c:f>
              <c:strCache>
                <c:ptCount val="1"/>
                <c:pt idx="0">
                  <c:v>2019</c:v>
                </c:pt>
              </c:strCache>
            </c:strRef>
          </c:tx>
          <c:dPt>
            <c:idx val="0"/>
            <c:bubble3D val="0"/>
            <c:spPr>
              <a:solidFill>
                <a:schemeClr val="tx1"/>
              </a:solidFill>
              <a:ln w="19050">
                <a:solidFill>
                  <a:schemeClr val="lt1"/>
                </a:solidFill>
              </a:ln>
              <a:effectLst/>
            </c:spPr>
            <c:extLst>
              <c:ext xmlns:c16="http://schemas.microsoft.com/office/drawing/2014/chart" uri="{C3380CC4-5D6E-409C-BE32-E72D297353CC}">
                <c16:uniqueId val="{00000001-45EB-49FE-A40B-FC5DBA80E98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5EB-49FE-A40B-FC5DBA80E98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5EB-49FE-A40B-FC5DBA80E98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5EB-49FE-A40B-FC5DBA80E98F}"/>
              </c:ext>
            </c:extLst>
          </c:dPt>
          <c:dPt>
            <c:idx val="4"/>
            <c:bubble3D val="0"/>
            <c:spPr>
              <a:solidFill>
                <a:srgbClr val="FFFF00"/>
              </a:solidFill>
              <a:ln w="19050">
                <a:solidFill>
                  <a:schemeClr val="lt1"/>
                </a:solidFill>
              </a:ln>
              <a:effectLst/>
            </c:spPr>
            <c:extLst>
              <c:ext xmlns:c16="http://schemas.microsoft.com/office/drawing/2014/chart" uri="{C3380CC4-5D6E-409C-BE32-E72D297353CC}">
                <c16:uniqueId val="{00000009-45EB-49FE-A40B-FC5DBA80E98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45EB-49FE-A40B-FC5DBA80E98F}"/>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45EB-49FE-A40B-FC5DBA80E98F}"/>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45EB-49FE-A40B-FC5DBA80E98F}"/>
              </c:ext>
            </c:extLst>
          </c:dPt>
          <c:dPt>
            <c:idx val="8"/>
            <c:bubble3D val="0"/>
            <c:spPr>
              <a:solidFill>
                <a:srgbClr val="C216C6"/>
              </a:solidFill>
              <a:ln w="19050">
                <a:solidFill>
                  <a:schemeClr val="lt1"/>
                </a:solidFill>
              </a:ln>
              <a:effectLst/>
            </c:spPr>
            <c:extLst>
              <c:ext xmlns:c16="http://schemas.microsoft.com/office/drawing/2014/chart" uri="{C3380CC4-5D6E-409C-BE32-E72D297353CC}">
                <c16:uniqueId val="{00000011-45EB-49FE-A40B-FC5DBA80E98F}"/>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45EB-49FE-A40B-FC5DBA80E98F}"/>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E668-4226-A59F-DBB99111DC9B}"/>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'Refsz-Emissionen'!$C$402:$C$412</c:f>
              <c:strCache>
                <c:ptCount val="11"/>
                <c:pt idx="0">
                  <c:v>Elektrischer Strom</c:v>
                </c:pt>
                <c:pt idx="1">
                  <c:v>Wärme</c:v>
                </c:pt>
                <c:pt idx="2">
                  <c:v>Kälte</c:v>
                </c:pt>
                <c:pt idx="3">
                  <c:v>Mobilität der Institution (Fuhrpark, DR, Studierendenreisen (Outgoing), Exkursionen)</c:v>
                </c:pt>
                <c:pt idx="4">
                  <c:v>Mobilität außerhalb des Betriebs (Pendeln, Studierendenreisen (Incoming), An- und Abreise von Gästen)</c:v>
                </c:pt>
                <c:pt idx="5">
                  <c:v>Wasser (Frisch-/ Abwasser)</c:v>
                </c:pt>
                <c:pt idx="6">
                  <c:v>Abfall</c:v>
                </c:pt>
                <c:pt idx="7">
                  <c:v>Bezogene Waren und Dienstleistungen (EDV, Papier etc.)</c:v>
                </c:pt>
                <c:pt idx="8">
                  <c:v>Bezogene Kapitalgüter (u. A. Bau)</c:v>
                </c:pt>
                <c:pt idx="9">
                  <c:v>Bezogenen Kapitalgüter mit negativem GWP total</c:v>
                </c:pt>
                <c:pt idx="10">
                  <c:v>Kompensation</c:v>
                </c:pt>
              </c:strCache>
            </c:strRef>
          </c:cat>
          <c:val>
            <c:numRef>
              <c:f>'Refsz-Emissionen'!$I$402:$I$412</c:f>
              <c:numCache>
                <c:formatCode>#,##0.00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04B2-42DF-9110-CF581BE63133}"/>
            </c:ext>
          </c:extLst>
        </c:ser>
        <c:dLbls>
          <c:dLblPos val="bestFit"/>
          <c:showLegendKey val="0"/>
          <c:showVal val="1"/>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'Refsz-Emissionen'!$E$401</c15:sqref>
                        </c15:formulaRef>
                      </c:ext>
                    </c:extLst>
                    <c:strCache>
                      <c:ptCount val="1"/>
                      <c:pt idx="0">
                        <c:v>2015</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5-45EB-49FE-A40B-FC5DBA80E98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7-45EB-49FE-A40B-FC5DBA80E98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9-45EB-49FE-A40B-FC5DBA80E98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B-45EB-49FE-A40B-FC5DBA80E98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D-45EB-49FE-A40B-FC5DBA80E98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F-45EB-49FE-A40B-FC5DBA80E98F}"/>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1-45EB-49FE-A40B-FC5DBA80E98F}"/>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3-45EB-49FE-A40B-FC5DBA80E98F}"/>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5-45EB-49FE-A40B-FC5DBA80E98F}"/>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7-45EB-49FE-A40B-FC5DBA80E98F}"/>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B-E668-4226-A59F-DBB99111DC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'Refsz-Emissionen'!$C$402:$C$412</c15:sqref>
                        </c15:formulaRef>
                      </c:ext>
                    </c:extLst>
                    <c:strCache>
                      <c:ptCount val="11"/>
                      <c:pt idx="0">
                        <c:v>Elektrischer Strom</c:v>
                      </c:pt>
                      <c:pt idx="1">
                        <c:v>Wärme</c:v>
                      </c:pt>
                      <c:pt idx="2">
                        <c:v>Kälte</c:v>
                      </c:pt>
                      <c:pt idx="3">
                        <c:v>Mobilität der Institution (Fuhrpark, DR, Studierendenreisen (Outgoing), Exkursionen)</c:v>
                      </c:pt>
                      <c:pt idx="4">
                        <c:v>Mobilität außerhalb des Betriebs (Pendeln, Studierendenreisen (Incoming), An- und Abreise von Gästen)</c:v>
                      </c:pt>
                      <c:pt idx="5">
                        <c:v>Wasser (Frisch-/ Abwasser)</c:v>
                      </c:pt>
                      <c:pt idx="6">
                        <c:v>Abfall</c:v>
                      </c:pt>
                      <c:pt idx="7">
                        <c:v>Bezogene Waren und Dienstleistungen (EDV, Papier etc.)</c:v>
                      </c:pt>
                      <c:pt idx="8">
                        <c:v>Bezogene Kapitalgüter (u. A. Bau)</c:v>
                      </c:pt>
                      <c:pt idx="9">
                        <c:v>Bezogenen Kapitalgüter mit negativem GWP total</c:v>
                      </c:pt>
                      <c:pt idx="10">
                        <c:v>Kompensation</c:v>
                      </c:pt>
                    </c:strCache>
                  </c:strRef>
                </c:cat>
                <c:val>
                  <c:numRef>
                    <c:extLst>
                      <c:ext uri="{02D57815-91ED-43cb-92C2-25804820EDAC}">
                        <c15:formulaRef>
                          <c15:sqref>'Refsz-Emissionen'!$E$402:$E$412</c15:sqref>
                        </c15:formulaRef>
                      </c:ext>
                    </c:extLst>
                    <c:numCache>
                      <c:formatCode>#,##0.00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04B2-42DF-9110-CF581BE63133}"/>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'Refsz-Emissionen'!$F$401</c15:sqref>
                        </c15:formulaRef>
                      </c:ext>
                    </c:extLst>
                    <c:strCache>
                      <c:ptCount val="1"/>
                      <c:pt idx="0">
                        <c:v>2016</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9-45EB-49FE-A40B-FC5DBA80E98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B-45EB-49FE-A40B-FC5DBA80E98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D-45EB-49FE-A40B-FC5DBA80E98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F-45EB-49FE-A40B-FC5DBA80E98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1-45EB-49FE-A40B-FC5DBA80E98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33-45EB-49FE-A40B-FC5DBA80E98F}"/>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5-45EB-49FE-A40B-FC5DBA80E98F}"/>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7-45EB-49FE-A40B-FC5DBA80E98F}"/>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9-45EB-49FE-A40B-FC5DBA80E98F}"/>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B-45EB-49FE-A40B-FC5DBA80E98F}"/>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1-E668-4226-A59F-DBB99111DC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'Refsz-Emissionen'!$C$402:$C$412</c15:sqref>
                        </c15:formulaRef>
                      </c:ext>
                    </c:extLst>
                    <c:strCache>
                      <c:ptCount val="11"/>
                      <c:pt idx="0">
                        <c:v>Elektrischer Strom</c:v>
                      </c:pt>
                      <c:pt idx="1">
                        <c:v>Wärme</c:v>
                      </c:pt>
                      <c:pt idx="2">
                        <c:v>Kälte</c:v>
                      </c:pt>
                      <c:pt idx="3">
                        <c:v>Mobilität der Institution (Fuhrpark, DR, Studierendenreisen (Outgoing), Exkursionen)</c:v>
                      </c:pt>
                      <c:pt idx="4">
                        <c:v>Mobilität außerhalb des Betriebs (Pendeln, Studierendenreisen (Incoming), An- und Abreise von Gästen)</c:v>
                      </c:pt>
                      <c:pt idx="5">
                        <c:v>Wasser (Frisch-/ Abwasser)</c:v>
                      </c:pt>
                      <c:pt idx="6">
                        <c:v>Abfall</c:v>
                      </c:pt>
                      <c:pt idx="7">
                        <c:v>Bezogene Waren und Dienstleistungen (EDV, Papier etc.)</c:v>
                      </c:pt>
                      <c:pt idx="8">
                        <c:v>Bezogene Kapitalgüter (u. A. Bau)</c:v>
                      </c:pt>
                      <c:pt idx="9">
                        <c:v>Bezogenen Kapitalgüter mit negativem GWP total</c:v>
                      </c:pt>
                      <c:pt idx="10">
                        <c:v>Kompensation</c:v>
                      </c:pt>
                    </c:strCache>
                  </c:strRef>
                </c:cat>
                <c:val>
                  <c:numRef>
                    <c:extLst xmlns:c15="http://schemas.microsoft.com/office/drawing/2012/chart">
                      <c:ext xmlns:c15="http://schemas.microsoft.com/office/drawing/2012/chart" uri="{02D57815-91ED-43cb-92C2-25804820EDAC}">
                        <c15:formulaRef>
                          <c15:sqref>'Refsz-Emissionen'!$F$402:$F$412</c15:sqref>
                        </c15:formulaRef>
                      </c:ext>
                    </c:extLst>
                    <c:numCache>
                      <c:formatCode>#,##0.00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001-04B2-42DF-9110-CF581BE63133}"/>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'Refsz-Emissionen'!$G$401</c15:sqref>
                        </c15:formulaRef>
                      </c:ext>
                    </c:extLst>
                    <c:strCache>
                      <c:ptCount val="1"/>
                      <c:pt idx="0">
                        <c:v>2017</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D-45EB-49FE-A40B-FC5DBA80E98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F-45EB-49FE-A40B-FC5DBA80E98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1-45EB-49FE-A40B-FC5DBA80E98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3-45EB-49FE-A40B-FC5DBA80E98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5-45EB-49FE-A40B-FC5DBA80E98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47-45EB-49FE-A40B-FC5DBA80E98F}"/>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9-45EB-49FE-A40B-FC5DBA80E98F}"/>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B-45EB-49FE-A40B-FC5DBA80E98F}"/>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D-45EB-49FE-A40B-FC5DBA80E98F}"/>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F-45EB-49FE-A40B-FC5DBA80E98F}"/>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7-E668-4226-A59F-DBB99111DC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'Refsz-Emissionen'!$C$402:$C$412</c15:sqref>
                        </c15:formulaRef>
                      </c:ext>
                    </c:extLst>
                    <c:strCache>
                      <c:ptCount val="11"/>
                      <c:pt idx="0">
                        <c:v>Elektrischer Strom</c:v>
                      </c:pt>
                      <c:pt idx="1">
                        <c:v>Wärme</c:v>
                      </c:pt>
                      <c:pt idx="2">
                        <c:v>Kälte</c:v>
                      </c:pt>
                      <c:pt idx="3">
                        <c:v>Mobilität der Institution (Fuhrpark, DR, Studierendenreisen (Outgoing), Exkursionen)</c:v>
                      </c:pt>
                      <c:pt idx="4">
                        <c:v>Mobilität außerhalb des Betriebs (Pendeln, Studierendenreisen (Incoming), An- und Abreise von Gästen)</c:v>
                      </c:pt>
                      <c:pt idx="5">
                        <c:v>Wasser (Frisch-/ Abwasser)</c:v>
                      </c:pt>
                      <c:pt idx="6">
                        <c:v>Abfall</c:v>
                      </c:pt>
                      <c:pt idx="7">
                        <c:v>Bezogene Waren und Dienstleistungen (EDV, Papier etc.)</c:v>
                      </c:pt>
                      <c:pt idx="8">
                        <c:v>Bezogene Kapitalgüter (u. A. Bau)</c:v>
                      </c:pt>
                      <c:pt idx="9">
                        <c:v>Bezogenen Kapitalgüter mit negativem GWP total</c:v>
                      </c:pt>
                      <c:pt idx="10">
                        <c:v>Kompensation</c:v>
                      </c:pt>
                    </c:strCache>
                  </c:strRef>
                </c:cat>
                <c:val>
                  <c:numRef>
                    <c:extLst xmlns:c15="http://schemas.microsoft.com/office/drawing/2012/chart">
                      <c:ext xmlns:c15="http://schemas.microsoft.com/office/drawing/2012/chart" uri="{02D57815-91ED-43cb-92C2-25804820EDAC}">
                        <c15:formulaRef>
                          <c15:sqref>'Refsz-Emissionen'!$G$402:$G$412</c15:sqref>
                        </c15:formulaRef>
                      </c:ext>
                    </c:extLst>
                    <c:numCache>
                      <c:formatCode>#,##0.00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002-04B2-42DF-9110-CF581BE63133}"/>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'Refsz-Emissionen'!$H$401</c15:sqref>
                        </c15:formulaRef>
                      </c:ext>
                    </c:extLst>
                    <c:strCache>
                      <c:ptCount val="1"/>
                      <c:pt idx="0">
                        <c:v>2018</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1-45EB-49FE-A40B-FC5DBA80E98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3-45EB-49FE-A40B-FC5DBA80E98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5-45EB-49FE-A40B-FC5DBA80E98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7-45EB-49FE-A40B-FC5DBA80E98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59-45EB-49FE-A40B-FC5DBA80E98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5B-45EB-49FE-A40B-FC5DBA80E98F}"/>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D-45EB-49FE-A40B-FC5DBA80E98F}"/>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F-45EB-49FE-A40B-FC5DBA80E98F}"/>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1-45EB-49FE-A40B-FC5DBA80E98F}"/>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3-45EB-49FE-A40B-FC5DBA80E98F}"/>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D-E668-4226-A59F-DBB99111DC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'Refsz-Emissionen'!$C$402:$C$412</c15:sqref>
                        </c15:formulaRef>
                      </c:ext>
                    </c:extLst>
                    <c:strCache>
                      <c:ptCount val="11"/>
                      <c:pt idx="0">
                        <c:v>Elektrischer Strom</c:v>
                      </c:pt>
                      <c:pt idx="1">
                        <c:v>Wärme</c:v>
                      </c:pt>
                      <c:pt idx="2">
                        <c:v>Kälte</c:v>
                      </c:pt>
                      <c:pt idx="3">
                        <c:v>Mobilität der Institution (Fuhrpark, DR, Studierendenreisen (Outgoing), Exkursionen)</c:v>
                      </c:pt>
                      <c:pt idx="4">
                        <c:v>Mobilität außerhalb des Betriebs (Pendeln, Studierendenreisen (Incoming), An- und Abreise von Gästen)</c:v>
                      </c:pt>
                      <c:pt idx="5">
                        <c:v>Wasser (Frisch-/ Abwasser)</c:v>
                      </c:pt>
                      <c:pt idx="6">
                        <c:v>Abfall</c:v>
                      </c:pt>
                      <c:pt idx="7">
                        <c:v>Bezogene Waren und Dienstleistungen (EDV, Papier etc.)</c:v>
                      </c:pt>
                      <c:pt idx="8">
                        <c:v>Bezogene Kapitalgüter (u. A. Bau)</c:v>
                      </c:pt>
                      <c:pt idx="9">
                        <c:v>Bezogenen Kapitalgüter mit negativem GWP total</c:v>
                      </c:pt>
                      <c:pt idx="10">
                        <c:v>Kompensation</c:v>
                      </c:pt>
                    </c:strCache>
                  </c:strRef>
                </c:cat>
                <c:val>
                  <c:numRef>
                    <c:extLst xmlns:c15="http://schemas.microsoft.com/office/drawing/2012/chart">
                      <c:ext xmlns:c15="http://schemas.microsoft.com/office/drawing/2012/chart" uri="{02D57815-91ED-43cb-92C2-25804820EDAC}">
                        <c15:formulaRef>
                          <c15:sqref>'Refsz-Emissionen'!$H$402:$H$412</c15:sqref>
                        </c15:formulaRef>
                      </c:ext>
                    </c:extLst>
                    <c:numCache>
                      <c:formatCode>#,##0.00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003-04B2-42DF-9110-CF581BE63133}"/>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'Refsz-Emissionen'!$J$401</c15:sqref>
                        </c15:formulaRef>
                      </c:ext>
                    </c:extLst>
                    <c:strCache>
                      <c:ptCount val="1"/>
                      <c:pt idx="0">
                        <c:v>2020</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5-45EB-49FE-A40B-FC5DBA80E98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7-45EB-49FE-A40B-FC5DBA80E98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9-45EB-49FE-A40B-FC5DBA80E98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B-45EB-49FE-A40B-FC5DBA80E98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D-45EB-49FE-A40B-FC5DBA80E98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6F-45EB-49FE-A40B-FC5DBA80E98F}"/>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1-45EB-49FE-A40B-FC5DBA80E98F}"/>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3-45EB-49FE-A40B-FC5DBA80E98F}"/>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5-45EB-49FE-A40B-FC5DBA80E98F}"/>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7-45EB-49FE-A40B-FC5DBA80E98F}"/>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3-E668-4226-A59F-DBB99111DC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'Refsz-Emissionen'!$C$402:$C$412</c15:sqref>
                        </c15:formulaRef>
                      </c:ext>
                    </c:extLst>
                    <c:strCache>
                      <c:ptCount val="11"/>
                      <c:pt idx="0">
                        <c:v>Elektrischer Strom</c:v>
                      </c:pt>
                      <c:pt idx="1">
                        <c:v>Wärme</c:v>
                      </c:pt>
                      <c:pt idx="2">
                        <c:v>Kälte</c:v>
                      </c:pt>
                      <c:pt idx="3">
                        <c:v>Mobilität der Institution (Fuhrpark, DR, Studierendenreisen (Outgoing), Exkursionen)</c:v>
                      </c:pt>
                      <c:pt idx="4">
                        <c:v>Mobilität außerhalb des Betriebs (Pendeln, Studierendenreisen (Incoming), An- und Abreise von Gästen)</c:v>
                      </c:pt>
                      <c:pt idx="5">
                        <c:v>Wasser (Frisch-/ Abwasser)</c:v>
                      </c:pt>
                      <c:pt idx="6">
                        <c:v>Abfall</c:v>
                      </c:pt>
                      <c:pt idx="7">
                        <c:v>Bezogene Waren und Dienstleistungen (EDV, Papier etc.)</c:v>
                      </c:pt>
                      <c:pt idx="8">
                        <c:v>Bezogene Kapitalgüter (u. A. Bau)</c:v>
                      </c:pt>
                      <c:pt idx="9">
                        <c:v>Bezogenen Kapitalgüter mit negativem GWP total</c:v>
                      </c:pt>
                      <c:pt idx="10">
                        <c:v>Kompensation</c:v>
                      </c:pt>
                    </c:strCache>
                  </c:strRef>
                </c:cat>
                <c:val>
                  <c:numRef>
                    <c:extLst xmlns:c15="http://schemas.microsoft.com/office/drawing/2012/chart">
                      <c:ext xmlns:c15="http://schemas.microsoft.com/office/drawing/2012/chart" uri="{02D57815-91ED-43cb-92C2-25804820EDAC}">
                        <c15:formulaRef>
                          <c15:sqref>'Refsz-Emissionen'!$J$402:$J$412</c15:sqref>
                        </c15:formulaRef>
                      </c:ext>
                    </c:extLst>
                    <c:numCache>
                      <c:formatCode>#,##0.00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005-04B2-42DF-9110-CF581BE63133}"/>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'Refsz-Emissionen'!$K$401</c15:sqref>
                        </c15:formulaRef>
                      </c:ext>
                    </c:extLst>
                    <c:strCache>
                      <c:ptCount val="1"/>
                      <c:pt idx="0">
                        <c:v>2021</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9-45EB-49FE-A40B-FC5DBA80E98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B-45EB-49FE-A40B-FC5DBA80E98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D-45EB-49FE-A40B-FC5DBA80E98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7F-45EB-49FE-A40B-FC5DBA80E98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1-45EB-49FE-A40B-FC5DBA80E98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83-45EB-49FE-A40B-FC5DBA80E98F}"/>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5-45EB-49FE-A40B-FC5DBA80E98F}"/>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7-45EB-49FE-A40B-FC5DBA80E98F}"/>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9-45EB-49FE-A40B-FC5DBA80E98F}"/>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B-45EB-49FE-A40B-FC5DBA80E98F}"/>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9-E668-4226-A59F-DBB99111DC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'Refsz-Emissionen'!$C$402:$C$412</c15:sqref>
                        </c15:formulaRef>
                      </c:ext>
                    </c:extLst>
                    <c:strCache>
                      <c:ptCount val="11"/>
                      <c:pt idx="0">
                        <c:v>Elektrischer Strom</c:v>
                      </c:pt>
                      <c:pt idx="1">
                        <c:v>Wärme</c:v>
                      </c:pt>
                      <c:pt idx="2">
                        <c:v>Kälte</c:v>
                      </c:pt>
                      <c:pt idx="3">
                        <c:v>Mobilität der Institution (Fuhrpark, DR, Studierendenreisen (Outgoing), Exkursionen)</c:v>
                      </c:pt>
                      <c:pt idx="4">
                        <c:v>Mobilität außerhalb des Betriebs (Pendeln, Studierendenreisen (Incoming), An- und Abreise von Gästen)</c:v>
                      </c:pt>
                      <c:pt idx="5">
                        <c:v>Wasser (Frisch-/ Abwasser)</c:v>
                      </c:pt>
                      <c:pt idx="6">
                        <c:v>Abfall</c:v>
                      </c:pt>
                      <c:pt idx="7">
                        <c:v>Bezogene Waren und Dienstleistungen (EDV, Papier etc.)</c:v>
                      </c:pt>
                      <c:pt idx="8">
                        <c:v>Bezogene Kapitalgüter (u. A. Bau)</c:v>
                      </c:pt>
                      <c:pt idx="9">
                        <c:v>Bezogenen Kapitalgüter mit negativem GWP total</c:v>
                      </c:pt>
                      <c:pt idx="10">
                        <c:v>Kompensation</c:v>
                      </c:pt>
                    </c:strCache>
                  </c:strRef>
                </c:cat>
                <c:val>
                  <c:numRef>
                    <c:extLst xmlns:c15="http://schemas.microsoft.com/office/drawing/2012/chart">
                      <c:ext xmlns:c15="http://schemas.microsoft.com/office/drawing/2012/chart" uri="{02D57815-91ED-43cb-92C2-25804820EDAC}">
                        <c15:formulaRef>
                          <c15:sqref>'Refsz-Emissionen'!$K$402:$K$412</c15:sqref>
                        </c15:formulaRef>
                      </c:ext>
                    </c:extLst>
                    <c:numCache>
                      <c:formatCode>#,##0.00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006-04B2-42DF-9110-CF581BE63133}"/>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'Refsz-Emissionen'!$L$401</c15:sqref>
                        </c15:formulaRef>
                      </c:ext>
                    </c:extLst>
                    <c:strCache>
                      <c:ptCount val="1"/>
                      <c:pt idx="0">
                        <c:v>2022</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D-45EB-49FE-A40B-FC5DBA80E98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F-45EB-49FE-A40B-FC5DBA80E98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91-45EB-49FE-A40B-FC5DBA80E98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93-45EB-49FE-A40B-FC5DBA80E98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95-45EB-49FE-A40B-FC5DBA80E98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97-45EB-49FE-A40B-FC5DBA80E98F}"/>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9-45EB-49FE-A40B-FC5DBA80E98F}"/>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B-45EB-49FE-A40B-FC5DBA80E98F}"/>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D-45EB-49FE-A40B-FC5DBA80E98F}"/>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F-45EB-49FE-A40B-FC5DBA80E98F}"/>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F-E668-4226-A59F-DBB99111DC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'Refsz-Emissionen'!$C$402:$C$412</c15:sqref>
                        </c15:formulaRef>
                      </c:ext>
                    </c:extLst>
                    <c:strCache>
                      <c:ptCount val="11"/>
                      <c:pt idx="0">
                        <c:v>Elektrischer Strom</c:v>
                      </c:pt>
                      <c:pt idx="1">
                        <c:v>Wärme</c:v>
                      </c:pt>
                      <c:pt idx="2">
                        <c:v>Kälte</c:v>
                      </c:pt>
                      <c:pt idx="3">
                        <c:v>Mobilität der Institution (Fuhrpark, DR, Studierendenreisen (Outgoing), Exkursionen)</c:v>
                      </c:pt>
                      <c:pt idx="4">
                        <c:v>Mobilität außerhalb des Betriebs (Pendeln, Studierendenreisen (Incoming), An- und Abreise von Gästen)</c:v>
                      </c:pt>
                      <c:pt idx="5">
                        <c:v>Wasser (Frisch-/ Abwasser)</c:v>
                      </c:pt>
                      <c:pt idx="6">
                        <c:v>Abfall</c:v>
                      </c:pt>
                      <c:pt idx="7">
                        <c:v>Bezogene Waren und Dienstleistungen (EDV, Papier etc.)</c:v>
                      </c:pt>
                      <c:pt idx="8">
                        <c:v>Bezogene Kapitalgüter (u. A. Bau)</c:v>
                      </c:pt>
                      <c:pt idx="9">
                        <c:v>Bezogenen Kapitalgüter mit negativem GWP total</c:v>
                      </c:pt>
                      <c:pt idx="10">
                        <c:v>Kompensation</c:v>
                      </c:pt>
                    </c:strCache>
                  </c:strRef>
                </c:cat>
                <c:val>
                  <c:numRef>
                    <c:extLst xmlns:c15="http://schemas.microsoft.com/office/drawing/2012/chart">
                      <c:ext xmlns:c15="http://schemas.microsoft.com/office/drawing/2012/chart" uri="{02D57815-91ED-43cb-92C2-25804820EDAC}">
                        <c15:formulaRef>
                          <c15:sqref>'Refsz-Emissionen'!$L$402:$L$412</c15:sqref>
                        </c15:formulaRef>
                      </c:ext>
                    </c:extLst>
                    <c:numCache>
                      <c:formatCode>#,##0.00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007-04B2-42DF-9110-CF581BE63133}"/>
                  </c:ext>
                </c:extLst>
              </c15:ser>
            </c15:filteredPieSeries>
            <c15:filteredPieSeries>
              <c15:ser>
                <c:idx val="8"/>
                <c:order val="8"/>
                <c:tx>
                  <c:strRef>
                    <c:extLst xmlns:c15="http://schemas.microsoft.com/office/drawing/2012/chart">
                      <c:ext xmlns:c15="http://schemas.microsoft.com/office/drawing/2012/chart" uri="{02D57815-91ED-43cb-92C2-25804820EDAC}">
                        <c15:formulaRef>
                          <c15:sqref>'Refsz-Emissionen'!$M$401</c15:sqref>
                        </c15:formulaRef>
                      </c:ext>
                    </c:extLst>
                    <c:strCache>
                      <c:ptCount val="1"/>
                      <c:pt idx="0">
                        <c:v>2023</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A1-45EB-49FE-A40B-FC5DBA80E98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A3-45EB-49FE-A40B-FC5DBA80E98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A5-45EB-49FE-A40B-FC5DBA80E98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A7-45EB-49FE-A40B-FC5DBA80E98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A9-45EB-49FE-A40B-FC5DBA80E98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AB-45EB-49FE-A40B-FC5DBA80E98F}"/>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D-45EB-49FE-A40B-FC5DBA80E98F}"/>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F-45EB-49FE-A40B-FC5DBA80E98F}"/>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1-45EB-49FE-A40B-FC5DBA80E98F}"/>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3-45EB-49FE-A40B-FC5DBA80E98F}"/>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5-E668-4226-A59F-DBB99111DC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'Refsz-Emissionen'!$C$402:$C$412</c15:sqref>
                        </c15:formulaRef>
                      </c:ext>
                    </c:extLst>
                    <c:strCache>
                      <c:ptCount val="11"/>
                      <c:pt idx="0">
                        <c:v>Elektrischer Strom</c:v>
                      </c:pt>
                      <c:pt idx="1">
                        <c:v>Wärme</c:v>
                      </c:pt>
                      <c:pt idx="2">
                        <c:v>Kälte</c:v>
                      </c:pt>
                      <c:pt idx="3">
                        <c:v>Mobilität der Institution (Fuhrpark, DR, Studierendenreisen (Outgoing), Exkursionen)</c:v>
                      </c:pt>
                      <c:pt idx="4">
                        <c:v>Mobilität außerhalb des Betriebs (Pendeln, Studierendenreisen (Incoming), An- und Abreise von Gästen)</c:v>
                      </c:pt>
                      <c:pt idx="5">
                        <c:v>Wasser (Frisch-/ Abwasser)</c:v>
                      </c:pt>
                      <c:pt idx="6">
                        <c:v>Abfall</c:v>
                      </c:pt>
                      <c:pt idx="7">
                        <c:v>Bezogene Waren und Dienstleistungen (EDV, Papier etc.)</c:v>
                      </c:pt>
                      <c:pt idx="8">
                        <c:v>Bezogene Kapitalgüter (u. A. Bau)</c:v>
                      </c:pt>
                      <c:pt idx="9">
                        <c:v>Bezogenen Kapitalgüter mit negativem GWP total</c:v>
                      </c:pt>
                      <c:pt idx="10">
                        <c:v>Kompensation</c:v>
                      </c:pt>
                    </c:strCache>
                  </c:strRef>
                </c:cat>
                <c:val>
                  <c:numRef>
                    <c:extLst xmlns:c15="http://schemas.microsoft.com/office/drawing/2012/chart">
                      <c:ext xmlns:c15="http://schemas.microsoft.com/office/drawing/2012/chart" uri="{02D57815-91ED-43cb-92C2-25804820EDAC}">
                        <c15:formulaRef>
                          <c15:sqref>'Refsz-Emissionen'!$M$402:$M$412</c15:sqref>
                        </c15:formulaRef>
                      </c:ext>
                    </c:extLst>
                    <c:numCache>
                      <c:formatCode>#,##0.00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008-04B2-42DF-9110-CF581BE63133}"/>
                  </c:ext>
                </c:extLst>
              </c15:ser>
            </c15:filteredPieSeries>
            <c15:filteredPieSeries>
              <c15:ser>
                <c:idx val="9"/>
                <c:order val="9"/>
                <c:tx>
                  <c:strRef>
                    <c:extLst xmlns:c15="http://schemas.microsoft.com/office/drawing/2012/chart">
                      <c:ext xmlns:c15="http://schemas.microsoft.com/office/drawing/2012/chart" uri="{02D57815-91ED-43cb-92C2-25804820EDAC}">
                        <c15:formulaRef>
                          <c15:sqref>'Refsz-Emissionen'!$N$401</c15:sqref>
                        </c15:formulaRef>
                      </c:ext>
                    </c:extLst>
                    <c:strCache>
                      <c:ptCount val="1"/>
                      <c:pt idx="0">
                        <c:v>2024</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B5-45EB-49FE-A40B-FC5DBA80E98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B7-45EB-49FE-A40B-FC5DBA80E98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B9-45EB-49FE-A40B-FC5DBA80E98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BB-45EB-49FE-A40B-FC5DBA80E98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BD-45EB-49FE-A40B-FC5DBA80E98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BF-45EB-49FE-A40B-FC5DBA80E98F}"/>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1-45EB-49FE-A40B-FC5DBA80E98F}"/>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3-45EB-49FE-A40B-FC5DBA80E98F}"/>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5-45EB-49FE-A40B-FC5DBA80E98F}"/>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7-45EB-49FE-A40B-FC5DBA80E98F}"/>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DB-E668-4226-A59F-DBB99111DC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'Refsz-Emissionen'!$C$402:$C$412</c15:sqref>
                        </c15:formulaRef>
                      </c:ext>
                    </c:extLst>
                    <c:strCache>
                      <c:ptCount val="11"/>
                      <c:pt idx="0">
                        <c:v>Elektrischer Strom</c:v>
                      </c:pt>
                      <c:pt idx="1">
                        <c:v>Wärme</c:v>
                      </c:pt>
                      <c:pt idx="2">
                        <c:v>Kälte</c:v>
                      </c:pt>
                      <c:pt idx="3">
                        <c:v>Mobilität der Institution (Fuhrpark, DR, Studierendenreisen (Outgoing), Exkursionen)</c:v>
                      </c:pt>
                      <c:pt idx="4">
                        <c:v>Mobilität außerhalb des Betriebs (Pendeln, Studierendenreisen (Incoming), An- und Abreise von Gästen)</c:v>
                      </c:pt>
                      <c:pt idx="5">
                        <c:v>Wasser (Frisch-/ Abwasser)</c:v>
                      </c:pt>
                      <c:pt idx="6">
                        <c:v>Abfall</c:v>
                      </c:pt>
                      <c:pt idx="7">
                        <c:v>Bezogene Waren und Dienstleistungen (EDV, Papier etc.)</c:v>
                      </c:pt>
                      <c:pt idx="8">
                        <c:v>Bezogene Kapitalgüter (u. A. Bau)</c:v>
                      </c:pt>
                      <c:pt idx="9">
                        <c:v>Bezogenen Kapitalgüter mit negativem GWP total</c:v>
                      </c:pt>
                      <c:pt idx="10">
                        <c:v>Kompensation</c:v>
                      </c:pt>
                    </c:strCache>
                  </c:strRef>
                </c:cat>
                <c:val>
                  <c:numRef>
                    <c:extLst xmlns:c15="http://schemas.microsoft.com/office/drawing/2012/chart">
                      <c:ext xmlns:c15="http://schemas.microsoft.com/office/drawing/2012/chart" uri="{02D57815-91ED-43cb-92C2-25804820EDAC}">
                        <c15:formulaRef>
                          <c15:sqref>'Refsz-Emissionen'!$N$402:$N$412</c15:sqref>
                        </c15:formulaRef>
                      </c:ext>
                    </c:extLst>
                    <c:numCache>
                      <c:formatCode>#,##0.00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009-04B2-42DF-9110-CF581BE63133}"/>
                  </c:ext>
                </c:extLst>
              </c15:ser>
            </c15:filteredPieSeries>
            <c15:filteredPieSeries>
              <c15:ser>
                <c:idx val="10"/>
                <c:order val="10"/>
                <c:tx>
                  <c:strRef>
                    <c:extLst xmlns:c15="http://schemas.microsoft.com/office/drawing/2012/chart">
                      <c:ext xmlns:c15="http://schemas.microsoft.com/office/drawing/2012/chart" uri="{02D57815-91ED-43cb-92C2-25804820EDAC}">
                        <c15:formulaRef>
                          <c15:sqref>'Refsz-Emissionen'!$O$401</c15:sqref>
                        </c15:formulaRef>
                      </c:ext>
                    </c:extLst>
                    <c:strCache>
                      <c:ptCount val="1"/>
                      <c:pt idx="0">
                        <c:v>2025</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C9-45EB-49FE-A40B-FC5DBA80E98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CB-45EB-49FE-A40B-FC5DBA80E98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CD-45EB-49FE-A40B-FC5DBA80E98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CF-45EB-49FE-A40B-FC5DBA80E98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D1-45EB-49FE-A40B-FC5DBA80E98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D3-45EB-49FE-A40B-FC5DBA80E98F}"/>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D5-45EB-49FE-A40B-FC5DBA80E98F}"/>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D7-45EB-49FE-A40B-FC5DBA80E98F}"/>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D9-45EB-49FE-A40B-FC5DBA80E98F}"/>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DB-45EB-49FE-A40B-FC5DBA80E98F}"/>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F1-E668-4226-A59F-DBB99111DC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'Refsz-Emissionen'!$C$402:$C$412</c15:sqref>
                        </c15:formulaRef>
                      </c:ext>
                    </c:extLst>
                    <c:strCache>
                      <c:ptCount val="11"/>
                      <c:pt idx="0">
                        <c:v>Elektrischer Strom</c:v>
                      </c:pt>
                      <c:pt idx="1">
                        <c:v>Wärme</c:v>
                      </c:pt>
                      <c:pt idx="2">
                        <c:v>Kälte</c:v>
                      </c:pt>
                      <c:pt idx="3">
                        <c:v>Mobilität der Institution (Fuhrpark, DR, Studierendenreisen (Outgoing), Exkursionen)</c:v>
                      </c:pt>
                      <c:pt idx="4">
                        <c:v>Mobilität außerhalb des Betriebs (Pendeln, Studierendenreisen (Incoming), An- und Abreise von Gästen)</c:v>
                      </c:pt>
                      <c:pt idx="5">
                        <c:v>Wasser (Frisch-/ Abwasser)</c:v>
                      </c:pt>
                      <c:pt idx="6">
                        <c:v>Abfall</c:v>
                      </c:pt>
                      <c:pt idx="7">
                        <c:v>Bezogene Waren und Dienstleistungen (EDV, Papier etc.)</c:v>
                      </c:pt>
                      <c:pt idx="8">
                        <c:v>Bezogene Kapitalgüter (u. A. Bau)</c:v>
                      </c:pt>
                      <c:pt idx="9">
                        <c:v>Bezogenen Kapitalgüter mit negativem GWP total</c:v>
                      </c:pt>
                      <c:pt idx="10">
                        <c:v>Kompensation</c:v>
                      </c:pt>
                    </c:strCache>
                  </c:strRef>
                </c:cat>
                <c:val>
                  <c:numRef>
                    <c:extLst xmlns:c15="http://schemas.microsoft.com/office/drawing/2012/chart">
                      <c:ext xmlns:c15="http://schemas.microsoft.com/office/drawing/2012/chart" uri="{02D57815-91ED-43cb-92C2-25804820EDAC}">
                        <c15:formulaRef>
                          <c15:sqref>'Refsz-Emissionen'!$O$402:$O$412</c15:sqref>
                        </c15:formulaRef>
                      </c:ext>
                    </c:extLst>
                    <c:numCache>
                      <c:formatCode>#,##0.00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00A-04B2-42DF-9110-CF581BE63133}"/>
                  </c:ext>
                </c:extLst>
              </c15:ser>
            </c15:filteredPieSeries>
            <c15:filteredPieSeries>
              <c15:ser>
                <c:idx val="11"/>
                <c:order val="11"/>
                <c:tx>
                  <c:strRef>
                    <c:extLst xmlns:c15="http://schemas.microsoft.com/office/drawing/2012/chart">
                      <c:ext xmlns:c15="http://schemas.microsoft.com/office/drawing/2012/chart" uri="{02D57815-91ED-43cb-92C2-25804820EDAC}">
                        <c15:formulaRef>
                          <c15:sqref>'Refsz-Emissionen'!$P$401</c15:sqref>
                        </c15:formulaRef>
                      </c:ext>
                    </c:extLst>
                    <c:strCache>
                      <c:ptCount val="1"/>
                      <c:pt idx="0">
                        <c:v>2026</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DD-45EB-49FE-A40B-FC5DBA80E98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DF-45EB-49FE-A40B-FC5DBA80E98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E1-45EB-49FE-A40B-FC5DBA80E98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E3-45EB-49FE-A40B-FC5DBA80E98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E5-45EB-49FE-A40B-FC5DBA80E98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E7-45EB-49FE-A40B-FC5DBA80E98F}"/>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9-45EB-49FE-A40B-FC5DBA80E98F}"/>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B-45EB-49FE-A40B-FC5DBA80E98F}"/>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D-45EB-49FE-A40B-FC5DBA80E98F}"/>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F-45EB-49FE-A40B-FC5DBA80E98F}"/>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E668-4226-A59F-DBB99111DC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'Refsz-Emissionen'!$C$402:$C$412</c15:sqref>
                        </c15:formulaRef>
                      </c:ext>
                    </c:extLst>
                    <c:strCache>
                      <c:ptCount val="11"/>
                      <c:pt idx="0">
                        <c:v>Elektrischer Strom</c:v>
                      </c:pt>
                      <c:pt idx="1">
                        <c:v>Wärme</c:v>
                      </c:pt>
                      <c:pt idx="2">
                        <c:v>Kälte</c:v>
                      </c:pt>
                      <c:pt idx="3">
                        <c:v>Mobilität der Institution (Fuhrpark, DR, Studierendenreisen (Outgoing), Exkursionen)</c:v>
                      </c:pt>
                      <c:pt idx="4">
                        <c:v>Mobilität außerhalb des Betriebs (Pendeln, Studierendenreisen (Incoming), An- und Abreise von Gästen)</c:v>
                      </c:pt>
                      <c:pt idx="5">
                        <c:v>Wasser (Frisch-/ Abwasser)</c:v>
                      </c:pt>
                      <c:pt idx="6">
                        <c:v>Abfall</c:v>
                      </c:pt>
                      <c:pt idx="7">
                        <c:v>Bezogene Waren und Dienstleistungen (EDV, Papier etc.)</c:v>
                      </c:pt>
                      <c:pt idx="8">
                        <c:v>Bezogene Kapitalgüter (u. A. Bau)</c:v>
                      </c:pt>
                      <c:pt idx="9">
                        <c:v>Bezogenen Kapitalgüter mit negativem GWP total</c:v>
                      </c:pt>
                      <c:pt idx="10">
                        <c:v>Kompensation</c:v>
                      </c:pt>
                    </c:strCache>
                  </c:strRef>
                </c:cat>
                <c:val>
                  <c:numRef>
                    <c:extLst xmlns:c15="http://schemas.microsoft.com/office/drawing/2012/chart">
                      <c:ext xmlns:c15="http://schemas.microsoft.com/office/drawing/2012/chart" uri="{02D57815-91ED-43cb-92C2-25804820EDAC}">
                        <c15:formulaRef>
                          <c15:sqref>'Refsz-Emissionen'!$P$402:$P$412</c15:sqref>
                        </c15:formulaRef>
                      </c:ext>
                    </c:extLst>
                    <c:numCache>
                      <c:formatCode>#,##0.00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00B-04B2-42DF-9110-CF581BE63133}"/>
                  </c:ext>
                </c:extLst>
              </c15:ser>
            </c15:filteredPieSeries>
            <c15:filteredPieSeries>
              <c15:ser>
                <c:idx val="12"/>
                <c:order val="12"/>
                <c:tx>
                  <c:strRef>
                    <c:extLst xmlns:c15="http://schemas.microsoft.com/office/drawing/2012/chart">
                      <c:ext xmlns:c15="http://schemas.microsoft.com/office/drawing/2012/chart" uri="{02D57815-91ED-43cb-92C2-25804820EDAC}">
                        <c15:formulaRef>
                          <c15:sqref>'Refsz-Emissionen'!$Q$401</c15:sqref>
                        </c15:formulaRef>
                      </c:ext>
                    </c:extLst>
                    <c:strCache>
                      <c:ptCount val="1"/>
                      <c:pt idx="0">
                        <c:v>2027</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F1-45EB-49FE-A40B-FC5DBA80E98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F3-45EB-49FE-A40B-FC5DBA80E98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F5-45EB-49FE-A40B-FC5DBA80E98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F7-45EB-49FE-A40B-FC5DBA80E98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F9-45EB-49FE-A40B-FC5DBA80E98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FB-45EB-49FE-A40B-FC5DBA80E98F}"/>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FD-45EB-49FE-A40B-FC5DBA80E98F}"/>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FF-45EB-49FE-A40B-FC5DBA80E98F}"/>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1-45EB-49FE-A40B-FC5DBA80E98F}"/>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3-45EB-49FE-A40B-FC5DBA80E98F}"/>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1D-E668-4226-A59F-DBB99111DC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'Refsz-Emissionen'!$C$402:$C$412</c15:sqref>
                        </c15:formulaRef>
                      </c:ext>
                    </c:extLst>
                    <c:strCache>
                      <c:ptCount val="11"/>
                      <c:pt idx="0">
                        <c:v>Elektrischer Strom</c:v>
                      </c:pt>
                      <c:pt idx="1">
                        <c:v>Wärme</c:v>
                      </c:pt>
                      <c:pt idx="2">
                        <c:v>Kälte</c:v>
                      </c:pt>
                      <c:pt idx="3">
                        <c:v>Mobilität der Institution (Fuhrpark, DR, Studierendenreisen (Outgoing), Exkursionen)</c:v>
                      </c:pt>
                      <c:pt idx="4">
                        <c:v>Mobilität außerhalb des Betriebs (Pendeln, Studierendenreisen (Incoming), An- und Abreise von Gästen)</c:v>
                      </c:pt>
                      <c:pt idx="5">
                        <c:v>Wasser (Frisch-/ Abwasser)</c:v>
                      </c:pt>
                      <c:pt idx="6">
                        <c:v>Abfall</c:v>
                      </c:pt>
                      <c:pt idx="7">
                        <c:v>Bezogene Waren und Dienstleistungen (EDV, Papier etc.)</c:v>
                      </c:pt>
                      <c:pt idx="8">
                        <c:v>Bezogene Kapitalgüter (u. A. Bau)</c:v>
                      </c:pt>
                      <c:pt idx="9">
                        <c:v>Bezogenen Kapitalgüter mit negativem GWP total</c:v>
                      </c:pt>
                      <c:pt idx="10">
                        <c:v>Kompensation</c:v>
                      </c:pt>
                    </c:strCache>
                  </c:strRef>
                </c:cat>
                <c:val>
                  <c:numRef>
                    <c:extLst xmlns:c15="http://schemas.microsoft.com/office/drawing/2012/chart">
                      <c:ext xmlns:c15="http://schemas.microsoft.com/office/drawing/2012/chart" uri="{02D57815-91ED-43cb-92C2-25804820EDAC}">
                        <c15:formulaRef>
                          <c15:sqref>'Refsz-Emissionen'!$Q$402:$Q$412</c15:sqref>
                        </c15:formulaRef>
                      </c:ext>
                    </c:extLst>
                    <c:numCache>
                      <c:formatCode>#,##0.00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00C-04B2-42DF-9110-CF581BE63133}"/>
                  </c:ext>
                </c:extLst>
              </c15:ser>
            </c15:filteredPieSeries>
            <c15:filteredPieSeries>
              <c15:ser>
                <c:idx val="13"/>
                <c:order val="13"/>
                <c:tx>
                  <c:strRef>
                    <c:extLst xmlns:c15="http://schemas.microsoft.com/office/drawing/2012/chart">
                      <c:ext xmlns:c15="http://schemas.microsoft.com/office/drawing/2012/chart" uri="{02D57815-91ED-43cb-92C2-25804820EDAC}">
                        <c15:formulaRef>
                          <c15:sqref>'Refsz-Emissionen'!$R$401</c15:sqref>
                        </c15:formulaRef>
                      </c:ext>
                    </c:extLst>
                    <c:strCache>
                      <c:ptCount val="1"/>
                      <c:pt idx="0">
                        <c:v>2028</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05-45EB-49FE-A40B-FC5DBA80E98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07-45EB-49FE-A40B-FC5DBA80E98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09-45EB-49FE-A40B-FC5DBA80E98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0B-45EB-49FE-A40B-FC5DBA80E98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0D-45EB-49FE-A40B-FC5DBA80E98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0F-45EB-49FE-A40B-FC5DBA80E98F}"/>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11-45EB-49FE-A40B-FC5DBA80E98F}"/>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13-45EB-49FE-A40B-FC5DBA80E98F}"/>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15-45EB-49FE-A40B-FC5DBA80E98F}"/>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17-45EB-49FE-A40B-FC5DBA80E98F}"/>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33-E668-4226-A59F-DBB99111DC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'Refsz-Emissionen'!$C$402:$C$412</c15:sqref>
                        </c15:formulaRef>
                      </c:ext>
                    </c:extLst>
                    <c:strCache>
                      <c:ptCount val="11"/>
                      <c:pt idx="0">
                        <c:v>Elektrischer Strom</c:v>
                      </c:pt>
                      <c:pt idx="1">
                        <c:v>Wärme</c:v>
                      </c:pt>
                      <c:pt idx="2">
                        <c:v>Kälte</c:v>
                      </c:pt>
                      <c:pt idx="3">
                        <c:v>Mobilität der Institution (Fuhrpark, DR, Studierendenreisen (Outgoing), Exkursionen)</c:v>
                      </c:pt>
                      <c:pt idx="4">
                        <c:v>Mobilität außerhalb des Betriebs (Pendeln, Studierendenreisen (Incoming), An- und Abreise von Gästen)</c:v>
                      </c:pt>
                      <c:pt idx="5">
                        <c:v>Wasser (Frisch-/ Abwasser)</c:v>
                      </c:pt>
                      <c:pt idx="6">
                        <c:v>Abfall</c:v>
                      </c:pt>
                      <c:pt idx="7">
                        <c:v>Bezogene Waren und Dienstleistungen (EDV, Papier etc.)</c:v>
                      </c:pt>
                      <c:pt idx="8">
                        <c:v>Bezogene Kapitalgüter (u. A. Bau)</c:v>
                      </c:pt>
                      <c:pt idx="9">
                        <c:v>Bezogenen Kapitalgüter mit negativem GWP total</c:v>
                      </c:pt>
                      <c:pt idx="10">
                        <c:v>Kompensation</c:v>
                      </c:pt>
                    </c:strCache>
                  </c:strRef>
                </c:cat>
                <c:val>
                  <c:numRef>
                    <c:extLst xmlns:c15="http://schemas.microsoft.com/office/drawing/2012/chart">
                      <c:ext xmlns:c15="http://schemas.microsoft.com/office/drawing/2012/chart" uri="{02D57815-91ED-43cb-92C2-25804820EDAC}">
                        <c15:formulaRef>
                          <c15:sqref>'Refsz-Emissionen'!$R$402:$R$412</c15:sqref>
                        </c15:formulaRef>
                      </c:ext>
                    </c:extLst>
                    <c:numCache>
                      <c:formatCode>#,##0.00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00D-04B2-42DF-9110-CF581BE63133}"/>
                  </c:ext>
                </c:extLst>
              </c15:ser>
            </c15:filteredPieSeries>
            <c15:filteredPieSeries>
              <c15:ser>
                <c:idx val="14"/>
                <c:order val="14"/>
                <c:tx>
                  <c:strRef>
                    <c:extLst xmlns:c15="http://schemas.microsoft.com/office/drawing/2012/chart">
                      <c:ext xmlns:c15="http://schemas.microsoft.com/office/drawing/2012/chart" uri="{02D57815-91ED-43cb-92C2-25804820EDAC}">
                        <c15:formulaRef>
                          <c15:sqref>'Refsz-Emissionen'!$S$401</c15:sqref>
                        </c15:formulaRef>
                      </c:ext>
                    </c:extLst>
                    <c:strCache>
                      <c:ptCount val="1"/>
                      <c:pt idx="0">
                        <c:v>2029</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19-45EB-49FE-A40B-FC5DBA80E98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1B-45EB-49FE-A40B-FC5DBA80E98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1D-45EB-49FE-A40B-FC5DBA80E98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1F-45EB-49FE-A40B-FC5DBA80E98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21-45EB-49FE-A40B-FC5DBA80E98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23-45EB-49FE-A40B-FC5DBA80E98F}"/>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5-45EB-49FE-A40B-FC5DBA80E98F}"/>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7-45EB-49FE-A40B-FC5DBA80E98F}"/>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9-45EB-49FE-A40B-FC5DBA80E98F}"/>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B-45EB-49FE-A40B-FC5DBA80E98F}"/>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9-E668-4226-A59F-DBB99111DC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'Refsz-Emissionen'!$C$402:$C$412</c15:sqref>
                        </c15:formulaRef>
                      </c:ext>
                    </c:extLst>
                    <c:strCache>
                      <c:ptCount val="11"/>
                      <c:pt idx="0">
                        <c:v>Elektrischer Strom</c:v>
                      </c:pt>
                      <c:pt idx="1">
                        <c:v>Wärme</c:v>
                      </c:pt>
                      <c:pt idx="2">
                        <c:v>Kälte</c:v>
                      </c:pt>
                      <c:pt idx="3">
                        <c:v>Mobilität der Institution (Fuhrpark, DR, Studierendenreisen (Outgoing), Exkursionen)</c:v>
                      </c:pt>
                      <c:pt idx="4">
                        <c:v>Mobilität außerhalb des Betriebs (Pendeln, Studierendenreisen (Incoming), An- und Abreise von Gästen)</c:v>
                      </c:pt>
                      <c:pt idx="5">
                        <c:v>Wasser (Frisch-/ Abwasser)</c:v>
                      </c:pt>
                      <c:pt idx="6">
                        <c:v>Abfall</c:v>
                      </c:pt>
                      <c:pt idx="7">
                        <c:v>Bezogene Waren und Dienstleistungen (EDV, Papier etc.)</c:v>
                      </c:pt>
                      <c:pt idx="8">
                        <c:v>Bezogene Kapitalgüter (u. A. Bau)</c:v>
                      </c:pt>
                      <c:pt idx="9">
                        <c:v>Bezogenen Kapitalgüter mit negativem GWP total</c:v>
                      </c:pt>
                      <c:pt idx="10">
                        <c:v>Kompensation</c:v>
                      </c:pt>
                    </c:strCache>
                  </c:strRef>
                </c:cat>
                <c:val>
                  <c:numRef>
                    <c:extLst xmlns:c15="http://schemas.microsoft.com/office/drawing/2012/chart">
                      <c:ext xmlns:c15="http://schemas.microsoft.com/office/drawing/2012/chart" uri="{02D57815-91ED-43cb-92C2-25804820EDAC}">
                        <c15:formulaRef>
                          <c15:sqref>'Refsz-Emissionen'!$S$402:$S$412</c15:sqref>
                        </c15:formulaRef>
                      </c:ext>
                    </c:extLst>
                    <c:numCache>
                      <c:formatCode>#,##0.00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00E-04B2-42DF-9110-CF581BE63133}"/>
                  </c:ext>
                </c:extLst>
              </c15:ser>
            </c15:filteredPieSeries>
            <c15:filteredPieSeries>
              <c15:ser>
                <c:idx val="15"/>
                <c:order val="15"/>
                <c:tx>
                  <c:strRef>
                    <c:extLst xmlns:c15="http://schemas.microsoft.com/office/drawing/2012/chart">
                      <c:ext xmlns:c15="http://schemas.microsoft.com/office/drawing/2012/chart" uri="{02D57815-91ED-43cb-92C2-25804820EDAC}">
                        <c15:formulaRef>
                          <c15:sqref>'Refsz-Emissionen'!$T$401</c15:sqref>
                        </c15:formulaRef>
                      </c:ext>
                    </c:extLst>
                    <c:strCache>
                      <c:ptCount val="1"/>
                      <c:pt idx="0">
                        <c:v>2030</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2D-45EB-49FE-A40B-FC5DBA80E98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2F-45EB-49FE-A40B-FC5DBA80E98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31-45EB-49FE-A40B-FC5DBA80E98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33-45EB-49FE-A40B-FC5DBA80E98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35-45EB-49FE-A40B-FC5DBA80E98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37-45EB-49FE-A40B-FC5DBA80E98F}"/>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39-45EB-49FE-A40B-FC5DBA80E98F}"/>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3B-45EB-49FE-A40B-FC5DBA80E98F}"/>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3D-45EB-49FE-A40B-FC5DBA80E98F}"/>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3F-45EB-49FE-A40B-FC5DBA80E98F}"/>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5F-E668-4226-A59F-DBB99111DC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'Refsz-Emissionen'!$C$402:$C$412</c15:sqref>
                        </c15:formulaRef>
                      </c:ext>
                    </c:extLst>
                    <c:strCache>
                      <c:ptCount val="11"/>
                      <c:pt idx="0">
                        <c:v>Elektrischer Strom</c:v>
                      </c:pt>
                      <c:pt idx="1">
                        <c:v>Wärme</c:v>
                      </c:pt>
                      <c:pt idx="2">
                        <c:v>Kälte</c:v>
                      </c:pt>
                      <c:pt idx="3">
                        <c:v>Mobilität der Institution (Fuhrpark, DR, Studierendenreisen (Outgoing), Exkursionen)</c:v>
                      </c:pt>
                      <c:pt idx="4">
                        <c:v>Mobilität außerhalb des Betriebs (Pendeln, Studierendenreisen (Incoming), An- und Abreise von Gästen)</c:v>
                      </c:pt>
                      <c:pt idx="5">
                        <c:v>Wasser (Frisch-/ Abwasser)</c:v>
                      </c:pt>
                      <c:pt idx="6">
                        <c:v>Abfall</c:v>
                      </c:pt>
                      <c:pt idx="7">
                        <c:v>Bezogene Waren und Dienstleistungen (EDV, Papier etc.)</c:v>
                      </c:pt>
                      <c:pt idx="8">
                        <c:v>Bezogene Kapitalgüter (u. A. Bau)</c:v>
                      </c:pt>
                      <c:pt idx="9">
                        <c:v>Bezogenen Kapitalgüter mit negativem GWP total</c:v>
                      </c:pt>
                      <c:pt idx="10">
                        <c:v>Kompensation</c:v>
                      </c:pt>
                    </c:strCache>
                  </c:strRef>
                </c:cat>
                <c:val>
                  <c:numRef>
                    <c:extLst xmlns:c15="http://schemas.microsoft.com/office/drawing/2012/chart">
                      <c:ext xmlns:c15="http://schemas.microsoft.com/office/drawing/2012/chart" uri="{02D57815-91ED-43cb-92C2-25804820EDAC}">
                        <c15:formulaRef>
                          <c15:sqref>'Refsz-Emissionen'!$T$402:$T$412</c15:sqref>
                        </c15:formulaRef>
                      </c:ext>
                    </c:extLst>
                    <c:numCache>
                      <c:formatCode>#,##0.00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00F-04B2-42DF-9110-CF581BE63133}"/>
                  </c:ext>
                </c:extLst>
              </c15:ser>
            </c15:filteredPieSeries>
            <c15:filteredPieSeries>
              <c15:ser>
                <c:idx val="16"/>
                <c:order val="16"/>
                <c:tx>
                  <c:strRef>
                    <c:extLst xmlns:c15="http://schemas.microsoft.com/office/drawing/2012/chart">
                      <c:ext xmlns:c15="http://schemas.microsoft.com/office/drawing/2012/chart" uri="{02D57815-91ED-43cb-92C2-25804820EDAC}">
                        <c15:formulaRef>
                          <c15:sqref>'Refsz-Emissionen'!$U$401</c15:sqref>
                        </c15:formulaRef>
                      </c:ext>
                    </c:extLst>
                    <c:strCache>
                      <c:ptCount val="1"/>
                      <c:pt idx="0">
                        <c:v>2035</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41-45EB-49FE-A40B-FC5DBA80E98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43-45EB-49FE-A40B-FC5DBA80E98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45-45EB-49FE-A40B-FC5DBA80E98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47-45EB-49FE-A40B-FC5DBA80E98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49-45EB-49FE-A40B-FC5DBA80E98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4B-45EB-49FE-A40B-FC5DBA80E98F}"/>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D-45EB-49FE-A40B-FC5DBA80E98F}"/>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F-45EB-49FE-A40B-FC5DBA80E98F}"/>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51-45EB-49FE-A40B-FC5DBA80E98F}"/>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53-45EB-49FE-A40B-FC5DBA80E98F}"/>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5-E668-4226-A59F-DBB99111DC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'Refsz-Emissionen'!$C$402:$C$412</c15:sqref>
                        </c15:formulaRef>
                      </c:ext>
                    </c:extLst>
                    <c:strCache>
                      <c:ptCount val="11"/>
                      <c:pt idx="0">
                        <c:v>Elektrischer Strom</c:v>
                      </c:pt>
                      <c:pt idx="1">
                        <c:v>Wärme</c:v>
                      </c:pt>
                      <c:pt idx="2">
                        <c:v>Kälte</c:v>
                      </c:pt>
                      <c:pt idx="3">
                        <c:v>Mobilität der Institution (Fuhrpark, DR, Studierendenreisen (Outgoing), Exkursionen)</c:v>
                      </c:pt>
                      <c:pt idx="4">
                        <c:v>Mobilität außerhalb des Betriebs (Pendeln, Studierendenreisen (Incoming), An- und Abreise von Gästen)</c:v>
                      </c:pt>
                      <c:pt idx="5">
                        <c:v>Wasser (Frisch-/ Abwasser)</c:v>
                      </c:pt>
                      <c:pt idx="6">
                        <c:v>Abfall</c:v>
                      </c:pt>
                      <c:pt idx="7">
                        <c:v>Bezogene Waren und Dienstleistungen (EDV, Papier etc.)</c:v>
                      </c:pt>
                      <c:pt idx="8">
                        <c:v>Bezogene Kapitalgüter (u. A. Bau)</c:v>
                      </c:pt>
                      <c:pt idx="9">
                        <c:v>Bezogenen Kapitalgüter mit negativem GWP total</c:v>
                      </c:pt>
                      <c:pt idx="10">
                        <c:v>Kompensation</c:v>
                      </c:pt>
                    </c:strCache>
                  </c:strRef>
                </c:cat>
                <c:val>
                  <c:numRef>
                    <c:extLst xmlns:c15="http://schemas.microsoft.com/office/drawing/2012/chart">
                      <c:ext xmlns:c15="http://schemas.microsoft.com/office/drawing/2012/chart" uri="{02D57815-91ED-43cb-92C2-25804820EDAC}">
                        <c15:formulaRef>
                          <c15:sqref>'Refsz-Emissionen'!$U$402:$U$412</c15:sqref>
                        </c15:formulaRef>
                      </c:ext>
                    </c:extLst>
                    <c:numCache>
                      <c:formatCode>#,##0.00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010-04B2-42DF-9110-CF581BE63133}"/>
                  </c:ext>
                </c:extLst>
              </c15:ser>
            </c15:filteredPieSeries>
            <c15:filteredPieSeries>
              <c15:ser>
                <c:idx val="17"/>
                <c:order val="17"/>
                <c:tx>
                  <c:strRef>
                    <c:extLst xmlns:c15="http://schemas.microsoft.com/office/drawing/2012/chart">
                      <c:ext xmlns:c15="http://schemas.microsoft.com/office/drawing/2012/chart" uri="{02D57815-91ED-43cb-92C2-25804820EDAC}">
                        <c15:formulaRef>
                          <c15:sqref>'Refsz-Emissionen'!$V$401</c15:sqref>
                        </c15:formulaRef>
                      </c:ext>
                    </c:extLst>
                    <c:strCache>
                      <c:ptCount val="1"/>
                      <c:pt idx="0">
                        <c:v>2040</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55-45EB-49FE-A40B-FC5DBA80E98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57-45EB-49FE-A40B-FC5DBA80E98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59-45EB-49FE-A40B-FC5DBA80E98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5B-45EB-49FE-A40B-FC5DBA80E98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5D-45EB-49FE-A40B-FC5DBA80E98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5F-45EB-49FE-A40B-FC5DBA80E98F}"/>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1-45EB-49FE-A40B-FC5DBA80E98F}"/>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3-45EB-49FE-A40B-FC5DBA80E98F}"/>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5-45EB-49FE-A40B-FC5DBA80E98F}"/>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7-45EB-49FE-A40B-FC5DBA80E98F}"/>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B-E668-4226-A59F-DBB99111DC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'Refsz-Emissionen'!$C$402:$C$412</c15:sqref>
                        </c15:formulaRef>
                      </c:ext>
                    </c:extLst>
                    <c:strCache>
                      <c:ptCount val="11"/>
                      <c:pt idx="0">
                        <c:v>Elektrischer Strom</c:v>
                      </c:pt>
                      <c:pt idx="1">
                        <c:v>Wärme</c:v>
                      </c:pt>
                      <c:pt idx="2">
                        <c:v>Kälte</c:v>
                      </c:pt>
                      <c:pt idx="3">
                        <c:v>Mobilität der Institution (Fuhrpark, DR, Studierendenreisen (Outgoing), Exkursionen)</c:v>
                      </c:pt>
                      <c:pt idx="4">
                        <c:v>Mobilität außerhalb des Betriebs (Pendeln, Studierendenreisen (Incoming), An- und Abreise von Gästen)</c:v>
                      </c:pt>
                      <c:pt idx="5">
                        <c:v>Wasser (Frisch-/ Abwasser)</c:v>
                      </c:pt>
                      <c:pt idx="6">
                        <c:v>Abfall</c:v>
                      </c:pt>
                      <c:pt idx="7">
                        <c:v>Bezogene Waren und Dienstleistungen (EDV, Papier etc.)</c:v>
                      </c:pt>
                      <c:pt idx="8">
                        <c:v>Bezogene Kapitalgüter (u. A. Bau)</c:v>
                      </c:pt>
                      <c:pt idx="9">
                        <c:v>Bezogenen Kapitalgüter mit negativem GWP total</c:v>
                      </c:pt>
                      <c:pt idx="10">
                        <c:v>Kompensation</c:v>
                      </c:pt>
                    </c:strCache>
                  </c:strRef>
                </c:cat>
                <c:val>
                  <c:numRef>
                    <c:extLst xmlns:c15="http://schemas.microsoft.com/office/drawing/2012/chart">
                      <c:ext xmlns:c15="http://schemas.microsoft.com/office/drawing/2012/chart" uri="{02D57815-91ED-43cb-92C2-25804820EDAC}">
                        <c15:formulaRef>
                          <c15:sqref>'Refsz-Emissionen'!$V$402:$V$412</c15:sqref>
                        </c15:formulaRef>
                      </c:ext>
                    </c:extLst>
                    <c:numCache>
                      <c:formatCode>#,##0.00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011-04B2-42DF-9110-CF581BE63133}"/>
                  </c:ext>
                </c:extLst>
              </c15:ser>
            </c15:filteredPieSeries>
            <c15:filteredPieSeries>
              <c15:ser>
                <c:idx val="18"/>
                <c:order val="18"/>
                <c:tx>
                  <c:strRef>
                    <c:extLst xmlns:c15="http://schemas.microsoft.com/office/drawing/2012/chart">
                      <c:ext xmlns:c15="http://schemas.microsoft.com/office/drawing/2012/chart" uri="{02D57815-91ED-43cb-92C2-25804820EDAC}">
                        <c15:formulaRef>
                          <c15:sqref>'Refsz-Emissionen'!$W$401</c15:sqref>
                        </c15:formulaRef>
                      </c:ext>
                    </c:extLst>
                    <c:strCache>
                      <c:ptCount val="1"/>
                      <c:pt idx="0">
                        <c:v>2045</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69-45EB-49FE-A40B-FC5DBA80E98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6B-45EB-49FE-A40B-FC5DBA80E98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6D-45EB-49FE-A40B-FC5DBA80E98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6F-45EB-49FE-A40B-FC5DBA80E98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71-45EB-49FE-A40B-FC5DBA80E98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73-45EB-49FE-A40B-FC5DBA80E98F}"/>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5-45EB-49FE-A40B-FC5DBA80E98F}"/>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7-45EB-49FE-A40B-FC5DBA80E98F}"/>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9-45EB-49FE-A40B-FC5DBA80E98F}"/>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B-45EB-49FE-A40B-FC5DBA80E98F}"/>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1-E668-4226-A59F-DBB99111DC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'Refsz-Emissionen'!$C$402:$C$412</c15:sqref>
                        </c15:formulaRef>
                      </c:ext>
                    </c:extLst>
                    <c:strCache>
                      <c:ptCount val="11"/>
                      <c:pt idx="0">
                        <c:v>Elektrischer Strom</c:v>
                      </c:pt>
                      <c:pt idx="1">
                        <c:v>Wärme</c:v>
                      </c:pt>
                      <c:pt idx="2">
                        <c:v>Kälte</c:v>
                      </c:pt>
                      <c:pt idx="3">
                        <c:v>Mobilität der Institution (Fuhrpark, DR, Studierendenreisen (Outgoing), Exkursionen)</c:v>
                      </c:pt>
                      <c:pt idx="4">
                        <c:v>Mobilität außerhalb des Betriebs (Pendeln, Studierendenreisen (Incoming), An- und Abreise von Gästen)</c:v>
                      </c:pt>
                      <c:pt idx="5">
                        <c:v>Wasser (Frisch-/ Abwasser)</c:v>
                      </c:pt>
                      <c:pt idx="6">
                        <c:v>Abfall</c:v>
                      </c:pt>
                      <c:pt idx="7">
                        <c:v>Bezogene Waren und Dienstleistungen (EDV, Papier etc.)</c:v>
                      </c:pt>
                      <c:pt idx="8">
                        <c:v>Bezogene Kapitalgüter (u. A. Bau)</c:v>
                      </c:pt>
                      <c:pt idx="9">
                        <c:v>Bezogenen Kapitalgüter mit negativem GWP total</c:v>
                      </c:pt>
                      <c:pt idx="10">
                        <c:v>Kompensation</c:v>
                      </c:pt>
                    </c:strCache>
                  </c:strRef>
                </c:cat>
                <c:val>
                  <c:numRef>
                    <c:extLst xmlns:c15="http://schemas.microsoft.com/office/drawing/2012/chart">
                      <c:ext xmlns:c15="http://schemas.microsoft.com/office/drawing/2012/chart" uri="{02D57815-91ED-43cb-92C2-25804820EDAC}">
                        <c15:formulaRef>
                          <c15:sqref>'Refsz-Emissionen'!$W$402:$W$412</c15:sqref>
                        </c15:formulaRef>
                      </c:ext>
                    </c:extLst>
                    <c:numCache>
                      <c:formatCode>#,##0.00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012-04B2-42DF-9110-CF581BE63133}"/>
                  </c:ext>
                </c:extLst>
              </c15:ser>
            </c15:filteredPieSeries>
            <c15:filteredPieSeries>
              <c15:ser>
                <c:idx val="19"/>
                <c:order val="19"/>
                <c:tx>
                  <c:strRef>
                    <c:extLst xmlns:c15="http://schemas.microsoft.com/office/drawing/2012/chart">
                      <c:ext xmlns:c15="http://schemas.microsoft.com/office/drawing/2012/chart" uri="{02D57815-91ED-43cb-92C2-25804820EDAC}">
                        <c15:formulaRef>
                          <c15:sqref>'Refsz-Emissionen'!$X$401</c15:sqref>
                        </c15:formulaRef>
                      </c:ext>
                    </c:extLst>
                    <c:strCache>
                      <c:ptCount val="1"/>
                      <c:pt idx="0">
                        <c:v>2050</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7D-45EB-49FE-A40B-FC5DBA80E98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7F-45EB-49FE-A40B-FC5DBA80E98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81-45EB-49FE-A40B-FC5DBA80E98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83-45EB-49FE-A40B-FC5DBA80E98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85-45EB-49FE-A40B-FC5DBA80E98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87-45EB-49FE-A40B-FC5DBA80E98F}"/>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9-45EB-49FE-A40B-FC5DBA80E98F}"/>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B-45EB-49FE-A40B-FC5DBA80E98F}"/>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D-45EB-49FE-A40B-FC5DBA80E98F}"/>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F-45EB-49FE-A40B-FC5DBA80E98F}"/>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7-E668-4226-A59F-DBB99111DC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'Refsz-Emissionen'!$C$402:$C$412</c15:sqref>
                        </c15:formulaRef>
                      </c:ext>
                    </c:extLst>
                    <c:strCache>
                      <c:ptCount val="11"/>
                      <c:pt idx="0">
                        <c:v>Elektrischer Strom</c:v>
                      </c:pt>
                      <c:pt idx="1">
                        <c:v>Wärme</c:v>
                      </c:pt>
                      <c:pt idx="2">
                        <c:v>Kälte</c:v>
                      </c:pt>
                      <c:pt idx="3">
                        <c:v>Mobilität der Institution (Fuhrpark, DR, Studierendenreisen (Outgoing), Exkursionen)</c:v>
                      </c:pt>
                      <c:pt idx="4">
                        <c:v>Mobilität außerhalb des Betriebs (Pendeln, Studierendenreisen (Incoming), An- und Abreise von Gästen)</c:v>
                      </c:pt>
                      <c:pt idx="5">
                        <c:v>Wasser (Frisch-/ Abwasser)</c:v>
                      </c:pt>
                      <c:pt idx="6">
                        <c:v>Abfall</c:v>
                      </c:pt>
                      <c:pt idx="7">
                        <c:v>Bezogene Waren und Dienstleistungen (EDV, Papier etc.)</c:v>
                      </c:pt>
                      <c:pt idx="8">
                        <c:v>Bezogene Kapitalgüter (u. A. Bau)</c:v>
                      </c:pt>
                      <c:pt idx="9">
                        <c:v>Bezogenen Kapitalgüter mit negativem GWP total</c:v>
                      </c:pt>
                      <c:pt idx="10">
                        <c:v>Kompensation</c:v>
                      </c:pt>
                    </c:strCache>
                  </c:strRef>
                </c:cat>
                <c:val>
                  <c:numRef>
                    <c:extLst xmlns:c15="http://schemas.microsoft.com/office/drawing/2012/chart">
                      <c:ext xmlns:c15="http://schemas.microsoft.com/office/drawing/2012/chart" uri="{02D57815-91ED-43cb-92C2-25804820EDAC}">
                        <c15:formulaRef>
                          <c15:sqref>'Refsz-Emissionen'!$X$402:$X$412</c15:sqref>
                        </c15:formulaRef>
                      </c:ext>
                    </c:extLst>
                    <c:numCache>
                      <c:formatCode>#,##0.00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013-04B2-42DF-9110-CF581BE63133}"/>
                  </c:ext>
                </c:extLst>
              </c15:ser>
            </c15:filteredPieSeries>
          </c:ext>
        </c:extLst>
      </c:pieChart>
      <c:spPr>
        <a:noFill/>
        <a:ln>
          <a:noFill/>
        </a:ln>
        <a:effectLst/>
      </c:spPr>
    </c:plotArea>
    <c:legend>
      <c:legendPos val="b"/>
      <c:layout>
        <c:manualLayout>
          <c:xMode val="edge"/>
          <c:yMode val="edge"/>
          <c:x val="6.5721784776902933E-3"/>
          <c:y val="0.64574977984880733"/>
          <c:w val="0.98685564304461937"/>
          <c:h val="0.35425022015119267"/>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baseline="0">
                <a:effectLst/>
              </a:rPr>
              <a:t>Istbilanz: Aufteilung der Emissionen 2019 </a:t>
            </a:r>
            <a:endParaRPr lang="en-GB" sz="1400">
              <a:effectLst/>
            </a:endParaRPr>
          </a:p>
          <a:p>
            <a:pPr>
              <a:defRPr/>
            </a:pPr>
            <a:r>
              <a:rPr lang="en-US" sz="1400" b="0" i="0" baseline="0">
                <a:effectLst/>
              </a:rPr>
              <a:t>(Regiomix in t CO</a:t>
            </a:r>
            <a:r>
              <a:rPr lang="en-US" sz="1400" b="0" i="0" baseline="-25000">
                <a:effectLst/>
              </a:rPr>
              <a:t>2</a:t>
            </a:r>
            <a:r>
              <a:rPr lang="en-US" sz="1400" b="0" i="0" baseline="0">
                <a:effectLst/>
              </a:rPr>
              <a:t>-Äq.)</a:t>
            </a: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4748619163523503"/>
          <c:y val="0.20946455039298995"/>
          <c:w val="0.33999082447179657"/>
          <c:h val="0.39589901558194313"/>
        </c:manualLayout>
      </c:layout>
      <c:pieChart>
        <c:varyColors val="1"/>
        <c:ser>
          <c:idx val="4"/>
          <c:order val="4"/>
          <c:tx>
            <c:strRef>
              <c:f>'Refsz-Emissionen'!$I$422</c:f>
              <c:strCache>
                <c:ptCount val="1"/>
                <c:pt idx="0">
                  <c:v>2019</c:v>
                </c:pt>
              </c:strCache>
            </c:strRef>
          </c:tx>
          <c:dPt>
            <c:idx val="0"/>
            <c:bubble3D val="0"/>
            <c:spPr>
              <a:solidFill>
                <a:schemeClr val="tx1"/>
              </a:solidFill>
              <a:ln w="19050">
                <a:solidFill>
                  <a:schemeClr val="lt1"/>
                </a:solidFill>
              </a:ln>
              <a:effectLst/>
            </c:spPr>
            <c:extLst>
              <c:ext xmlns:c16="http://schemas.microsoft.com/office/drawing/2014/chart" uri="{C3380CC4-5D6E-409C-BE32-E72D297353CC}">
                <c16:uniqueId val="{00000055-4E83-4C4E-8175-CFDED2E1C7E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57-4E83-4C4E-8175-CFDED2E1C7E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59-4E83-4C4E-8175-CFDED2E1C7E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5B-4E83-4C4E-8175-CFDED2E1C7ED}"/>
              </c:ext>
            </c:extLst>
          </c:dPt>
          <c:dPt>
            <c:idx val="4"/>
            <c:bubble3D val="0"/>
            <c:spPr>
              <a:solidFill>
                <a:srgbClr val="FFFF00"/>
              </a:solidFill>
              <a:ln w="19050">
                <a:solidFill>
                  <a:schemeClr val="lt1"/>
                </a:solidFill>
              </a:ln>
              <a:effectLst/>
            </c:spPr>
            <c:extLst>
              <c:ext xmlns:c16="http://schemas.microsoft.com/office/drawing/2014/chart" uri="{C3380CC4-5D6E-409C-BE32-E72D297353CC}">
                <c16:uniqueId val="{0000005D-4E83-4C4E-8175-CFDED2E1C7E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5F-4E83-4C4E-8175-CFDED2E1C7E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61-4E83-4C4E-8175-CFDED2E1C7ED}"/>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63-4E83-4C4E-8175-CFDED2E1C7ED}"/>
              </c:ext>
            </c:extLst>
          </c:dPt>
          <c:dPt>
            <c:idx val="8"/>
            <c:bubble3D val="0"/>
            <c:spPr>
              <a:solidFill>
                <a:srgbClr val="C216C6"/>
              </a:solidFill>
              <a:ln w="19050">
                <a:solidFill>
                  <a:schemeClr val="lt1"/>
                </a:solidFill>
              </a:ln>
              <a:effectLst/>
            </c:spPr>
            <c:extLst>
              <c:ext xmlns:c16="http://schemas.microsoft.com/office/drawing/2014/chart" uri="{C3380CC4-5D6E-409C-BE32-E72D297353CC}">
                <c16:uniqueId val="{00000065-4E83-4C4E-8175-CFDED2E1C7ED}"/>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67-4E83-4C4E-8175-CFDED2E1C7ED}"/>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0885-49DE-87EB-00C6ADD4E6FF}"/>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'Refsz-Emissionen'!$C$423:$C$433</c:f>
              <c:strCache>
                <c:ptCount val="11"/>
                <c:pt idx="0">
                  <c:v>Elektrischer Strom</c:v>
                </c:pt>
                <c:pt idx="1">
                  <c:v>Wärme</c:v>
                </c:pt>
                <c:pt idx="2">
                  <c:v>Kälte</c:v>
                </c:pt>
                <c:pt idx="3">
                  <c:v>Mobilität der Institution (Fuhrpark, DR, Studierendenreisen (Outgoing), Exkursionen)</c:v>
                </c:pt>
                <c:pt idx="4">
                  <c:v>Mobilität außerhalb des Betriebs (Pendeln, Studierendenreisen (Incoming), An- und Abreise von Gästen)</c:v>
                </c:pt>
                <c:pt idx="5">
                  <c:v>Wasser (Frisch-/ Abwasser)</c:v>
                </c:pt>
                <c:pt idx="6">
                  <c:v>Abfall</c:v>
                </c:pt>
                <c:pt idx="7">
                  <c:v>Bezogene Waren und Dienstleistungen (EDV, Papier etc.)</c:v>
                </c:pt>
                <c:pt idx="8">
                  <c:v>Bezogene Kapitalgüter (u. A. Bau)</c:v>
                </c:pt>
                <c:pt idx="9">
                  <c:v>Bezogenen Kapitalgüter mit negativem GWP total</c:v>
                </c:pt>
                <c:pt idx="10">
                  <c:v>Kompensation</c:v>
                </c:pt>
              </c:strCache>
            </c:strRef>
          </c:cat>
          <c:val>
            <c:numRef>
              <c:f>'Refsz-Emissionen'!$I$423:$I$433</c:f>
              <c:numCache>
                <c:formatCode>#,##0.00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68-4E83-4C4E-8175-CFDED2E1C7ED}"/>
            </c:ext>
          </c:extLst>
        </c:ser>
        <c:dLbls>
          <c:dLblPos val="bestFit"/>
          <c:showLegendKey val="0"/>
          <c:showVal val="1"/>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'Refsz-Emissionen'!$E$422</c15:sqref>
                        </c15:formulaRef>
                      </c:ext>
                    </c:extLst>
                    <c:strCache>
                      <c:ptCount val="1"/>
                      <c:pt idx="0">
                        <c:v>2015</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E83-4C4E-8175-CFDED2E1C7E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E83-4C4E-8175-CFDED2E1C7E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E83-4C4E-8175-CFDED2E1C7E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E83-4C4E-8175-CFDED2E1C7E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4E83-4C4E-8175-CFDED2E1C7E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4E83-4C4E-8175-CFDED2E1C7E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4E83-4C4E-8175-CFDED2E1C7ED}"/>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4E83-4C4E-8175-CFDED2E1C7ED}"/>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4E83-4C4E-8175-CFDED2E1C7ED}"/>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4E83-4C4E-8175-CFDED2E1C7ED}"/>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B-0885-49DE-87EB-00C6ADD4E6F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'Refsz-Emissionen'!$C$423:$C$433</c15:sqref>
                        </c15:formulaRef>
                      </c:ext>
                    </c:extLst>
                    <c:strCache>
                      <c:ptCount val="11"/>
                      <c:pt idx="0">
                        <c:v>Elektrischer Strom</c:v>
                      </c:pt>
                      <c:pt idx="1">
                        <c:v>Wärme</c:v>
                      </c:pt>
                      <c:pt idx="2">
                        <c:v>Kälte</c:v>
                      </c:pt>
                      <c:pt idx="3">
                        <c:v>Mobilität der Institution (Fuhrpark, DR, Studierendenreisen (Outgoing), Exkursionen)</c:v>
                      </c:pt>
                      <c:pt idx="4">
                        <c:v>Mobilität außerhalb des Betriebs (Pendeln, Studierendenreisen (Incoming), An- und Abreise von Gästen)</c:v>
                      </c:pt>
                      <c:pt idx="5">
                        <c:v>Wasser (Frisch-/ Abwasser)</c:v>
                      </c:pt>
                      <c:pt idx="6">
                        <c:v>Abfall</c:v>
                      </c:pt>
                      <c:pt idx="7">
                        <c:v>Bezogene Waren und Dienstleistungen (EDV, Papier etc.)</c:v>
                      </c:pt>
                      <c:pt idx="8">
                        <c:v>Bezogene Kapitalgüter (u. A. Bau)</c:v>
                      </c:pt>
                      <c:pt idx="9">
                        <c:v>Bezogenen Kapitalgüter mit negativem GWP total</c:v>
                      </c:pt>
                      <c:pt idx="10">
                        <c:v>Kompensation</c:v>
                      </c:pt>
                    </c:strCache>
                  </c:strRef>
                </c:cat>
                <c:val>
                  <c:numRef>
                    <c:extLst>
                      <c:ext uri="{02D57815-91ED-43cb-92C2-25804820EDAC}">
                        <c15:formulaRef>
                          <c15:sqref>'Refsz-Emissionen'!$E$423:$E$433</c15:sqref>
                        </c15:formulaRef>
                      </c:ext>
                    </c:extLst>
                    <c:numCache>
                      <c:formatCode>#,##0.00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14-4E83-4C4E-8175-CFDED2E1C7ED}"/>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'Refsz-Emissionen'!$F$422</c15:sqref>
                        </c15:formulaRef>
                      </c:ext>
                    </c:extLst>
                    <c:strCache>
                      <c:ptCount val="1"/>
                      <c:pt idx="0">
                        <c:v>2016</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6-4E83-4C4E-8175-CFDED2E1C7E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8-4E83-4C4E-8175-CFDED2E1C7E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A-4E83-4C4E-8175-CFDED2E1C7E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C-4E83-4C4E-8175-CFDED2E1C7E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E-4E83-4C4E-8175-CFDED2E1C7E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0-4E83-4C4E-8175-CFDED2E1C7E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2-4E83-4C4E-8175-CFDED2E1C7E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4-4E83-4C4E-8175-CFDED2E1C7E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6-4E83-4C4E-8175-CFDED2E1C7E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8-4E83-4C4E-8175-CFDED2E1C7E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1-0885-49DE-87EB-00C6ADD4E6F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'Refsz-Emissionen'!$C$423:$C$433</c15:sqref>
                        </c15:formulaRef>
                      </c:ext>
                    </c:extLst>
                    <c:strCache>
                      <c:ptCount val="11"/>
                      <c:pt idx="0">
                        <c:v>Elektrischer Strom</c:v>
                      </c:pt>
                      <c:pt idx="1">
                        <c:v>Wärme</c:v>
                      </c:pt>
                      <c:pt idx="2">
                        <c:v>Kälte</c:v>
                      </c:pt>
                      <c:pt idx="3">
                        <c:v>Mobilität der Institution (Fuhrpark, DR, Studierendenreisen (Outgoing), Exkursionen)</c:v>
                      </c:pt>
                      <c:pt idx="4">
                        <c:v>Mobilität außerhalb des Betriebs (Pendeln, Studierendenreisen (Incoming), An- und Abreise von Gästen)</c:v>
                      </c:pt>
                      <c:pt idx="5">
                        <c:v>Wasser (Frisch-/ Abwasser)</c:v>
                      </c:pt>
                      <c:pt idx="6">
                        <c:v>Abfall</c:v>
                      </c:pt>
                      <c:pt idx="7">
                        <c:v>Bezogene Waren und Dienstleistungen (EDV, Papier etc.)</c:v>
                      </c:pt>
                      <c:pt idx="8">
                        <c:v>Bezogene Kapitalgüter (u. A. Bau)</c:v>
                      </c:pt>
                      <c:pt idx="9">
                        <c:v>Bezogenen Kapitalgüter mit negativem GWP total</c:v>
                      </c:pt>
                      <c:pt idx="10">
                        <c:v>Kompensation</c:v>
                      </c:pt>
                    </c:strCache>
                  </c:strRef>
                </c:cat>
                <c:val>
                  <c:numRef>
                    <c:extLst xmlns:c15="http://schemas.microsoft.com/office/drawing/2012/chart">
                      <c:ext xmlns:c15="http://schemas.microsoft.com/office/drawing/2012/chart" uri="{02D57815-91ED-43cb-92C2-25804820EDAC}">
                        <c15:formulaRef>
                          <c15:sqref>'Refsz-Emissionen'!$F$423:$F$433</c15:sqref>
                        </c15:formulaRef>
                      </c:ext>
                    </c:extLst>
                    <c:numCache>
                      <c:formatCode>#,##0.00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029-4E83-4C4E-8175-CFDED2E1C7ED}"/>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'Refsz-Emissionen'!$G$422</c15:sqref>
                        </c15:formulaRef>
                      </c:ext>
                    </c:extLst>
                    <c:strCache>
                      <c:ptCount val="1"/>
                      <c:pt idx="0">
                        <c:v>2017</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B-4E83-4C4E-8175-CFDED2E1C7E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D-4E83-4C4E-8175-CFDED2E1C7E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F-4E83-4C4E-8175-CFDED2E1C7E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1-4E83-4C4E-8175-CFDED2E1C7E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3-4E83-4C4E-8175-CFDED2E1C7E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35-4E83-4C4E-8175-CFDED2E1C7E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7-4E83-4C4E-8175-CFDED2E1C7E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9-4E83-4C4E-8175-CFDED2E1C7E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B-4E83-4C4E-8175-CFDED2E1C7E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D-4E83-4C4E-8175-CFDED2E1C7E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7-0885-49DE-87EB-00C6ADD4E6F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'Refsz-Emissionen'!$C$423:$C$433</c15:sqref>
                        </c15:formulaRef>
                      </c:ext>
                    </c:extLst>
                    <c:strCache>
                      <c:ptCount val="11"/>
                      <c:pt idx="0">
                        <c:v>Elektrischer Strom</c:v>
                      </c:pt>
                      <c:pt idx="1">
                        <c:v>Wärme</c:v>
                      </c:pt>
                      <c:pt idx="2">
                        <c:v>Kälte</c:v>
                      </c:pt>
                      <c:pt idx="3">
                        <c:v>Mobilität der Institution (Fuhrpark, DR, Studierendenreisen (Outgoing), Exkursionen)</c:v>
                      </c:pt>
                      <c:pt idx="4">
                        <c:v>Mobilität außerhalb des Betriebs (Pendeln, Studierendenreisen (Incoming), An- und Abreise von Gästen)</c:v>
                      </c:pt>
                      <c:pt idx="5">
                        <c:v>Wasser (Frisch-/ Abwasser)</c:v>
                      </c:pt>
                      <c:pt idx="6">
                        <c:v>Abfall</c:v>
                      </c:pt>
                      <c:pt idx="7">
                        <c:v>Bezogene Waren und Dienstleistungen (EDV, Papier etc.)</c:v>
                      </c:pt>
                      <c:pt idx="8">
                        <c:v>Bezogene Kapitalgüter (u. A. Bau)</c:v>
                      </c:pt>
                      <c:pt idx="9">
                        <c:v>Bezogenen Kapitalgüter mit negativem GWP total</c:v>
                      </c:pt>
                      <c:pt idx="10">
                        <c:v>Kompensation</c:v>
                      </c:pt>
                    </c:strCache>
                  </c:strRef>
                </c:cat>
                <c:val>
                  <c:numRef>
                    <c:extLst xmlns:c15="http://schemas.microsoft.com/office/drawing/2012/chart">
                      <c:ext xmlns:c15="http://schemas.microsoft.com/office/drawing/2012/chart" uri="{02D57815-91ED-43cb-92C2-25804820EDAC}">
                        <c15:formulaRef>
                          <c15:sqref>'Refsz-Emissionen'!$G$423:$G$433</c15:sqref>
                        </c15:formulaRef>
                      </c:ext>
                    </c:extLst>
                    <c:numCache>
                      <c:formatCode>#,##0.00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03E-4E83-4C4E-8175-CFDED2E1C7ED}"/>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'Refsz-Emissionen'!$H$422</c15:sqref>
                        </c15:formulaRef>
                      </c:ext>
                    </c:extLst>
                    <c:strCache>
                      <c:ptCount val="1"/>
                      <c:pt idx="0">
                        <c:v>2018</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0-4E83-4C4E-8175-CFDED2E1C7E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2-4E83-4C4E-8175-CFDED2E1C7E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4-4E83-4C4E-8175-CFDED2E1C7E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6-4E83-4C4E-8175-CFDED2E1C7E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8-4E83-4C4E-8175-CFDED2E1C7E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4A-4E83-4C4E-8175-CFDED2E1C7E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C-4E83-4C4E-8175-CFDED2E1C7E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E-4E83-4C4E-8175-CFDED2E1C7E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0-4E83-4C4E-8175-CFDED2E1C7E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2-4E83-4C4E-8175-CFDED2E1C7E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D-0885-49DE-87EB-00C6ADD4E6F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'Refsz-Emissionen'!$C$423:$C$433</c15:sqref>
                        </c15:formulaRef>
                      </c:ext>
                    </c:extLst>
                    <c:strCache>
                      <c:ptCount val="11"/>
                      <c:pt idx="0">
                        <c:v>Elektrischer Strom</c:v>
                      </c:pt>
                      <c:pt idx="1">
                        <c:v>Wärme</c:v>
                      </c:pt>
                      <c:pt idx="2">
                        <c:v>Kälte</c:v>
                      </c:pt>
                      <c:pt idx="3">
                        <c:v>Mobilität der Institution (Fuhrpark, DR, Studierendenreisen (Outgoing), Exkursionen)</c:v>
                      </c:pt>
                      <c:pt idx="4">
                        <c:v>Mobilität außerhalb des Betriebs (Pendeln, Studierendenreisen (Incoming), An- und Abreise von Gästen)</c:v>
                      </c:pt>
                      <c:pt idx="5">
                        <c:v>Wasser (Frisch-/ Abwasser)</c:v>
                      </c:pt>
                      <c:pt idx="6">
                        <c:v>Abfall</c:v>
                      </c:pt>
                      <c:pt idx="7">
                        <c:v>Bezogene Waren und Dienstleistungen (EDV, Papier etc.)</c:v>
                      </c:pt>
                      <c:pt idx="8">
                        <c:v>Bezogene Kapitalgüter (u. A. Bau)</c:v>
                      </c:pt>
                      <c:pt idx="9">
                        <c:v>Bezogenen Kapitalgüter mit negativem GWP total</c:v>
                      </c:pt>
                      <c:pt idx="10">
                        <c:v>Kompensation</c:v>
                      </c:pt>
                    </c:strCache>
                  </c:strRef>
                </c:cat>
                <c:val>
                  <c:numRef>
                    <c:extLst xmlns:c15="http://schemas.microsoft.com/office/drawing/2012/chart">
                      <c:ext xmlns:c15="http://schemas.microsoft.com/office/drawing/2012/chart" uri="{02D57815-91ED-43cb-92C2-25804820EDAC}">
                        <c15:formulaRef>
                          <c15:sqref>'Refsz-Emissionen'!$H$423:$H$433</c15:sqref>
                        </c15:formulaRef>
                      </c:ext>
                    </c:extLst>
                    <c:numCache>
                      <c:formatCode>#,##0.00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053-4E83-4C4E-8175-CFDED2E1C7ED}"/>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'Refsz-Emissionen'!$J$422</c15:sqref>
                        </c15:formulaRef>
                      </c:ext>
                    </c:extLst>
                    <c:strCache>
                      <c:ptCount val="1"/>
                      <c:pt idx="0">
                        <c:v>2020</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A-4E83-4C4E-8175-CFDED2E1C7E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C-4E83-4C4E-8175-CFDED2E1C7E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E-4E83-4C4E-8175-CFDED2E1C7E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70-4E83-4C4E-8175-CFDED2E1C7E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2-4E83-4C4E-8175-CFDED2E1C7E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74-4E83-4C4E-8175-CFDED2E1C7E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6-4E83-4C4E-8175-CFDED2E1C7E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8-4E83-4C4E-8175-CFDED2E1C7E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A-4E83-4C4E-8175-CFDED2E1C7E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C-4E83-4C4E-8175-CFDED2E1C7E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3-0885-49DE-87EB-00C6ADD4E6F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'Refsz-Emissionen'!$C$423:$C$433</c15:sqref>
                        </c15:formulaRef>
                      </c:ext>
                    </c:extLst>
                    <c:strCache>
                      <c:ptCount val="11"/>
                      <c:pt idx="0">
                        <c:v>Elektrischer Strom</c:v>
                      </c:pt>
                      <c:pt idx="1">
                        <c:v>Wärme</c:v>
                      </c:pt>
                      <c:pt idx="2">
                        <c:v>Kälte</c:v>
                      </c:pt>
                      <c:pt idx="3">
                        <c:v>Mobilität der Institution (Fuhrpark, DR, Studierendenreisen (Outgoing), Exkursionen)</c:v>
                      </c:pt>
                      <c:pt idx="4">
                        <c:v>Mobilität außerhalb des Betriebs (Pendeln, Studierendenreisen (Incoming), An- und Abreise von Gästen)</c:v>
                      </c:pt>
                      <c:pt idx="5">
                        <c:v>Wasser (Frisch-/ Abwasser)</c:v>
                      </c:pt>
                      <c:pt idx="6">
                        <c:v>Abfall</c:v>
                      </c:pt>
                      <c:pt idx="7">
                        <c:v>Bezogene Waren und Dienstleistungen (EDV, Papier etc.)</c:v>
                      </c:pt>
                      <c:pt idx="8">
                        <c:v>Bezogene Kapitalgüter (u. A. Bau)</c:v>
                      </c:pt>
                      <c:pt idx="9">
                        <c:v>Bezogenen Kapitalgüter mit negativem GWP total</c:v>
                      </c:pt>
                      <c:pt idx="10">
                        <c:v>Kompensation</c:v>
                      </c:pt>
                    </c:strCache>
                  </c:strRef>
                </c:cat>
                <c:val>
                  <c:numRef>
                    <c:extLst xmlns:c15="http://schemas.microsoft.com/office/drawing/2012/chart">
                      <c:ext xmlns:c15="http://schemas.microsoft.com/office/drawing/2012/chart" uri="{02D57815-91ED-43cb-92C2-25804820EDAC}">
                        <c15:formulaRef>
                          <c15:sqref>'Refsz-Emissionen'!$J$423:$J$433</c15:sqref>
                        </c15:formulaRef>
                      </c:ext>
                    </c:extLst>
                    <c:numCache>
                      <c:formatCode>#,##0.00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07D-4E83-4C4E-8175-CFDED2E1C7ED}"/>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'Refsz-Emissionen'!$K$422</c15:sqref>
                        </c15:formulaRef>
                      </c:ext>
                    </c:extLst>
                    <c:strCache>
                      <c:ptCount val="1"/>
                      <c:pt idx="0">
                        <c:v>2021</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F-4E83-4C4E-8175-CFDED2E1C7E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1-4E83-4C4E-8175-CFDED2E1C7E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3-4E83-4C4E-8175-CFDED2E1C7E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5-4E83-4C4E-8175-CFDED2E1C7E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7-4E83-4C4E-8175-CFDED2E1C7E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89-4E83-4C4E-8175-CFDED2E1C7E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B-4E83-4C4E-8175-CFDED2E1C7E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D-4E83-4C4E-8175-CFDED2E1C7E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4E83-4C4E-8175-CFDED2E1C7E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1-4E83-4C4E-8175-CFDED2E1C7E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9-0885-49DE-87EB-00C6ADD4E6F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'Refsz-Emissionen'!$C$423:$C$433</c15:sqref>
                        </c15:formulaRef>
                      </c:ext>
                    </c:extLst>
                    <c:strCache>
                      <c:ptCount val="11"/>
                      <c:pt idx="0">
                        <c:v>Elektrischer Strom</c:v>
                      </c:pt>
                      <c:pt idx="1">
                        <c:v>Wärme</c:v>
                      </c:pt>
                      <c:pt idx="2">
                        <c:v>Kälte</c:v>
                      </c:pt>
                      <c:pt idx="3">
                        <c:v>Mobilität der Institution (Fuhrpark, DR, Studierendenreisen (Outgoing), Exkursionen)</c:v>
                      </c:pt>
                      <c:pt idx="4">
                        <c:v>Mobilität außerhalb des Betriebs (Pendeln, Studierendenreisen (Incoming), An- und Abreise von Gästen)</c:v>
                      </c:pt>
                      <c:pt idx="5">
                        <c:v>Wasser (Frisch-/ Abwasser)</c:v>
                      </c:pt>
                      <c:pt idx="6">
                        <c:v>Abfall</c:v>
                      </c:pt>
                      <c:pt idx="7">
                        <c:v>Bezogene Waren und Dienstleistungen (EDV, Papier etc.)</c:v>
                      </c:pt>
                      <c:pt idx="8">
                        <c:v>Bezogene Kapitalgüter (u. A. Bau)</c:v>
                      </c:pt>
                      <c:pt idx="9">
                        <c:v>Bezogenen Kapitalgüter mit negativem GWP total</c:v>
                      </c:pt>
                      <c:pt idx="10">
                        <c:v>Kompensation</c:v>
                      </c:pt>
                    </c:strCache>
                  </c:strRef>
                </c:cat>
                <c:val>
                  <c:numRef>
                    <c:extLst xmlns:c15="http://schemas.microsoft.com/office/drawing/2012/chart">
                      <c:ext xmlns:c15="http://schemas.microsoft.com/office/drawing/2012/chart" uri="{02D57815-91ED-43cb-92C2-25804820EDAC}">
                        <c15:formulaRef>
                          <c15:sqref>'Refsz-Emissionen'!$K$423:$K$433</c15:sqref>
                        </c15:formulaRef>
                      </c:ext>
                    </c:extLst>
                    <c:numCache>
                      <c:formatCode>#,##0.00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092-4E83-4C4E-8175-CFDED2E1C7ED}"/>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'Refsz-Emissionen'!$L$422</c15:sqref>
                        </c15:formulaRef>
                      </c:ext>
                    </c:extLst>
                    <c:strCache>
                      <c:ptCount val="1"/>
                      <c:pt idx="0">
                        <c:v>2022</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94-4E83-4C4E-8175-CFDED2E1C7E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96-4E83-4C4E-8175-CFDED2E1C7E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98-4E83-4C4E-8175-CFDED2E1C7E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9A-4E83-4C4E-8175-CFDED2E1C7E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9C-4E83-4C4E-8175-CFDED2E1C7E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9E-4E83-4C4E-8175-CFDED2E1C7E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0-4E83-4C4E-8175-CFDED2E1C7E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2-4E83-4C4E-8175-CFDED2E1C7E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4-4E83-4C4E-8175-CFDED2E1C7E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6-4E83-4C4E-8175-CFDED2E1C7E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F-0885-49DE-87EB-00C6ADD4E6F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'Refsz-Emissionen'!$C$423:$C$433</c15:sqref>
                        </c15:formulaRef>
                      </c:ext>
                    </c:extLst>
                    <c:strCache>
                      <c:ptCount val="11"/>
                      <c:pt idx="0">
                        <c:v>Elektrischer Strom</c:v>
                      </c:pt>
                      <c:pt idx="1">
                        <c:v>Wärme</c:v>
                      </c:pt>
                      <c:pt idx="2">
                        <c:v>Kälte</c:v>
                      </c:pt>
                      <c:pt idx="3">
                        <c:v>Mobilität der Institution (Fuhrpark, DR, Studierendenreisen (Outgoing), Exkursionen)</c:v>
                      </c:pt>
                      <c:pt idx="4">
                        <c:v>Mobilität außerhalb des Betriebs (Pendeln, Studierendenreisen (Incoming), An- und Abreise von Gästen)</c:v>
                      </c:pt>
                      <c:pt idx="5">
                        <c:v>Wasser (Frisch-/ Abwasser)</c:v>
                      </c:pt>
                      <c:pt idx="6">
                        <c:v>Abfall</c:v>
                      </c:pt>
                      <c:pt idx="7">
                        <c:v>Bezogene Waren und Dienstleistungen (EDV, Papier etc.)</c:v>
                      </c:pt>
                      <c:pt idx="8">
                        <c:v>Bezogene Kapitalgüter (u. A. Bau)</c:v>
                      </c:pt>
                      <c:pt idx="9">
                        <c:v>Bezogenen Kapitalgüter mit negativem GWP total</c:v>
                      </c:pt>
                      <c:pt idx="10">
                        <c:v>Kompensation</c:v>
                      </c:pt>
                    </c:strCache>
                  </c:strRef>
                </c:cat>
                <c:val>
                  <c:numRef>
                    <c:extLst xmlns:c15="http://schemas.microsoft.com/office/drawing/2012/chart">
                      <c:ext xmlns:c15="http://schemas.microsoft.com/office/drawing/2012/chart" uri="{02D57815-91ED-43cb-92C2-25804820EDAC}">
                        <c15:formulaRef>
                          <c15:sqref>'Refsz-Emissionen'!$L$423:$L$433</c15:sqref>
                        </c15:formulaRef>
                      </c:ext>
                    </c:extLst>
                    <c:numCache>
                      <c:formatCode>#,##0.00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0A7-4E83-4C4E-8175-CFDED2E1C7ED}"/>
                  </c:ext>
                </c:extLst>
              </c15:ser>
            </c15:filteredPieSeries>
            <c15:filteredPieSeries>
              <c15:ser>
                <c:idx val="8"/>
                <c:order val="8"/>
                <c:tx>
                  <c:strRef>
                    <c:extLst xmlns:c15="http://schemas.microsoft.com/office/drawing/2012/chart">
                      <c:ext xmlns:c15="http://schemas.microsoft.com/office/drawing/2012/chart" uri="{02D57815-91ED-43cb-92C2-25804820EDAC}">
                        <c15:formulaRef>
                          <c15:sqref>'Refsz-Emissionen'!$M$422</c15:sqref>
                        </c15:formulaRef>
                      </c:ext>
                    </c:extLst>
                    <c:strCache>
                      <c:ptCount val="1"/>
                      <c:pt idx="0">
                        <c:v>2023</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A9-4E83-4C4E-8175-CFDED2E1C7E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AB-4E83-4C4E-8175-CFDED2E1C7E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AD-4E83-4C4E-8175-CFDED2E1C7E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AF-4E83-4C4E-8175-CFDED2E1C7E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B1-4E83-4C4E-8175-CFDED2E1C7E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B3-4E83-4C4E-8175-CFDED2E1C7E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5-4E83-4C4E-8175-CFDED2E1C7E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7-4E83-4C4E-8175-CFDED2E1C7E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9-4E83-4C4E-8175-CFDED2E1C7E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B-4E83-4C4E-8175-CFDED2E1C7E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5-0885-49DE-87EB-00C6ADD4E6F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'Refsz-Emissionen'!$C$423:$C$433</c15:sqref>
                        </c15:formulaRef>
                      </c:ext>
                    </c:extLst>
                    <c:strCache>
                      <c:ptCount val="11"/>
                      <c:pt idx="0">
                        <c:v>Elektrischer Strom</c:v>
                      </c:pt>
                      <c:pt idx="1">
                        <c:v>Wärme</c:v>
                      </c:pt>
                      <c:pt idx="2">
                        <c:v>Kälte</c:v>
                      </c:pt>
                      <c:pt idx="3">
                        <c:v>Mobilität der Institution (Fuhrpark, DR, Studierendenreisen (Outgoing), Exkursionen)</c:v>
                      </c:pt>
                      <c:pt idx="4">
                        <c:v>Mobilität außerhalb des Betriebs (Pendeln, Studierendenreisen (Incoming), An- und Abreise von Gästen)</c:v>
                      </c:pt>
                      <c:pt idx="5">
                        <c:v>Wasser (Frisch-/ Abwasser)</c:v>
                      </c:pt>
                      <c:pt idx="6">
                        <c:v>Abfall</c:v>
                      </c:pt>
                      <c:pt idx="7">
                        <c:v>Bezogene Waren und Dienstleistungen (EDV, Papier etc.)</c:v>
                      </c:pt>
                      <c:pt idx="8">
                        <c:v>Bezogene Kapitalgüter (u. A. Bau)</c:v>
                      </c:pt>
                      <c:pt idx="9">
                        <c:v>Bezogenen Kapitalgüter mit negativem GWP total</c:v>
                      </c:pt>
                      <c:pt idx="10">
                        <c:v>Kompensation</c:v>
                      </c:pt>
                    </c:strCache>
                  </c:strRef>
                </c:cat>
                <c:val>
                  <c:numRef>
                    <c:extLst xmlns:c15="http://schemas.microsoft.com/office/drawing/2012/chart">
                      <c:ext xmlns:c15="http://schemas.microsoft.com/office/drawing/2012/chart" uri="{02D57815-91ED-43cb-92C2-25804820EDAC}">
                        <c15:formulaRef>
                          <c15:sqref>'Refsz-Emissionen'!$M$423:$M$433</c15:sqref>
                        </c15:formulaRef>
                      </c:ext>
                    </c:extLst>
                    <c:numCache>
                      <c:formatCode>#,##0.00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0BC-4E83-4C4E-8175-CFDED2E1C7ED}"/>
                  </c:ext>
                </c:extLst>
              </c15:ser>
            </c15:filteredPieSeries>
            <c15:filteredPieSeries>
              <c15:ser>
                <c:idx val="9"/>
                <c:order val="9"/>
                <c:tx>
                  <c:strRef>
                    <c:extLst xmlns:c15="http://schemas.microsoft.com/office/drawing/2012/chart">
                      <c:ext xmlns:c15="http://schemas.microsoft.com/office/drawing/2012/chart" uri="{02D57815-91ED-43cb-92C2-25804820EDAC}">
                        <c15:formulaRef>
                          <c15:sqref>'Refsz-Emissionen'!$N$422</c15:sqref>
                        </c15:formulaRef>
                      </c:ext>
                    </c:extLst>
                    <c:strCache>
                      <c:ptCount val="1"/>
                      <c:pt idx="0">
                        <c:v>2024</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BE-4E83-4C4E-8175-CFDED2E1C7E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C0-4E83-4C4E-8175-CFDED2E1C7E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C2-4E83-4C4E-8175-CFDED2E1C7E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C4-4E83-4C4E-8175-CFDED2E1C7E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C6-4E83-4C4E-8175-CFDED2E1C7E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C8-4E83-4C4E-8175-CFDED2E1C7E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A-4E83-4C4E-8175-CFDED2E1C7E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C-4E83-4C4E-8175-CFDED2E1C7E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E-4E83-4C4E-8175-CFDED2E1C7E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D0-4E83-4C4E-8175-CFDED2E1C7E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DB-0885-49DE-87EB-00C6ADD4E6F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'Refsz-Emissionen'!$C$423:$C$433</c15:sqref>
                        </c15:formulaRef>
                      </c:ext>
                    </c:extLst>
                    <c:strCache>
                      <c:ptCount val="11"/>
                      <c:pt idx="0">
                        <c:v>Elektrischer Strom</c:v>
                      </c:pt>
                      <c:pt idx="1">
                        <c:v>Wärme</c:v>
                      </c:pt>
                      <c:pt idx="2">
                        <c:v>Kälte</c:v>
                      </c:pt>
                      <c:pt idx="3">
                        <c:v>Mobilität der Institution (Fuhrpark, DR, Studierendenreisen (Outgoing), Exkursionen)</c:v>
                      </c:pt>
                      <c:pt idx="4">
                        <c:v>Mobilität außerhalb des Betriebs (Pendeln, Studierendenreisen (Incoming), An- und Abreise von Gästen)</c:v>
                      </c:pt>
                      <c:pt idx="5">
                        <c:v>Wasser (Frisch-/ Abwasser)</c:v>
                      </c:pt>
                      <c:pt idx="6">
                        <c:v>Abfall</c:v>
                      </c:pt>
                      <c:pt idx="7">
                        <c:v>Bezogene Waren und Dienstleistungen (EDV, Papier etc.)</c:v>
                      </c:pt>
                      <c:pt idx="8">
                        <c:v>Bezogene Kapitalgüter (u. A. Bau)</c:v>
                      </c:pt>
                      <c:pt idx="9">
                        <c:v>Bezogenen Kapitalgüter mit negativem GWP total</c:v>
                      </c:pt>
                      <c:pt idx="10">
                        <c:v>Kompensation</c:v>
                      </c:pt>
                    </c:strCache>
                  </c:strRef>
                </c:cat>
                <c:val>
                  <c:numRef>
                    <c:extLst xmlns:c15="http://schemas.microsoft.com/office/drawing/2012/chart">
                      <c:ext xmlns:c15="http://schemas.microsoft.com/office/drawing/2012/chart" uri="{02D57815-91ED-43cb-92C2-25804820EDAC}">
                        <c15:formulaRef>
                          <c15:sqref>'Refsz-Emissionen'!$N$423:$N$433</c15:sqref>
                        </c15:formulaRef>
                      </c:ext>
                    </c:extLst>
                    <c:numCache>
                      <c:formatCode>#,##0.00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0D1-4E83-4C4E-8175-CFDED2E1C7ED}"/>
                  </c:ext>
                </c:extLst>
              </c15:ser>
            </c15:filteredPieSeries>
            <c15:filteredPieSeries>
              <c15:ser>
                <c:idx val="10"/>
                <c:order val="10"/>
                <c:tx>
                  <c:strRef>
                    <c:extLst xmlns:c15="http://schemas.microsoft.com/office/drawing/2012/chart">
                      <c:ext xmlns:c15="http://schemas.microsoft.com/office/drawing/2012/chart" uri="{02D57815-91ED-43cb-92C2-25804820EDAC}">
                        <c15:formulaRef>
                          <c15:sqref>'Refsz-Emissionen'!$O$422</c15:sqref>
                        </c15:formulaRef>
                      </c:ext>
                    </c:extLst>
                    <c:strCache>
                      <c:ptCount val="1"/>
                      <c:pt idx="0">
                        <c:v>2025</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D3-4E83-4C4E-8175-CFDED2E1C7E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D5-4E83-4C4E-8175-CFDED2E1C7E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D7-4E83-4C4E-8175-CFDED2E1C7E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D9-4E83-4C4E-8175-CFDED2E1C7E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DB-4E83-4C4E-8175-CFDED2E1C7E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DD-4E83-4C4E-8175-CFDED2E1C7E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DF-4E83-4C4E-8175-CFDED2E1C7E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1-4E83-4C4E-8175-CFDED2E1C7E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3-4E83-4C4E-8175-CFDED2E1C7E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5-4E83-4C4E-8175-CFDED2E1C7E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F1-0885-49DE-87EB-00C6ADD4E6F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'Refsz-Emissionen'!$C$423:$C$433</c15:sqref>
                        </c15:formulaRef>
                      </c:ext>
                    </c:extLst>
                    <c:strCache>
                      <c:ptCount val="11"/>
                      <c:pt idx="0">
                        <c:v>Elektrischer Strom</c:v>
                      </c:pt>
                      <c:pt idx="1">
                        <c:v>Wärme</c:v>
                      </c:pt>
                      <c:pt idx="2">
                        <c:v>Kälte</c:v>
                      </c:pt>
                      <c:pt idx="3">
                        <c:v>Mobilität der Institution (Fuhrpark, DR, Studierendenreisen (Outgoing), Exkursionen)</c:v>
                      </c:pt>
                      <c:pt idx="4">
                        <c:v>Mobilität außerhalb des Betriebs (Pendeln, Studierendenreisen (Incoming), An- und Abreise von Gästen)</c:v>
                      </c:pt>
                      <c:pt idx="5">
                        <c:v>Wasser (Frisch-/ Abwasser)</c:v>
                      </c:pt>
                      <c:pt idx="6">
                        <c:v>Abfall</c:v>
                      </c:pt>
                      <c:pt idx="7">
                        <c:v>Bezogene Waren und Dienstleistungen (EDV, Papier etc.)</c:v>
                      </c:pt>
                      <c:pt idx="8">
                        <c:v>Bezogene Kapitalgüter (u. A. Bau)</c:v>
                      </c:pt>
                      <c:pt idx="9">
                        <c:v>Bezogenen Kapitalgüter mit negativem GWP total</c:v>
                      </c:pt>
                      <c:pt idx="10">
                        <c:v>Kompensation</c:v>
                      </c:pt>
                    </c:strCache>
                  </c:strRef>
                </c:cat>
                <c:val>
                  <c:numRef>
                    <c:extLst xmlns:c15="http://schemas.microsoft.com/office/drawing/2012/chart">
                      <c:ext xmlns:c15="http://schemas.microsoft.com/office/drawing/2012/chart" uri="{02D57815-91ED-43cb-92C2-25804820EDAC}">
                        <c15:formulaRef>
                          <c15:sqref>'Refsz-Emissionen'!$O$423:$O$433</c15:sqref>
                        </c15:formulaRef>
                      </c:ext>
                    </c:extLst>
                    <c:numCache>
                      <c:formatCode>#,##0.00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0E6-4E83-4C4E-8175-CFDED2E1C7ED}"/>
                  </c:ext>
                </c:extLst>
              </c15:ser>
            </c15:filteredPieSeries>
            <c15:filteredPieSeries>
              <c15:ser>
                <c:idx val="11"/>
                <c:order val="11"/>
                <c:tx>
                  <c:strRef>
                    <c:extLst xmlns:c15="http://schemas.microsoft.com/office/drawing/2012/chart">
                      <c:ext xmlns:c15="http://schemas.microsoft.com/office/drawing/2012/chart" uri="{02D57815-91ED-43cb-92C2-25804820EDAC}">
                        <c15:formulaRef>
                          <c15:sqref>'Refsz-Emissionen'!$P$422</c15:sqref>
                        </c15:formulaRef>
                      </c:ext>
                    </c:extLst>
                    <c:strCache>
                      <c:ptCount val="1"/>
                      <c:pt idx="0">
                        <c:v>2026</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E8-4E83-4C4E-8175-CFDED2E1C7E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EA-4E83-4C4E-8175-CFDED2E1C7E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EC-4E83-4C4E-8175-CFDED2E1C7E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EE-4E83-4C4E-8175-CFDED2E1C7E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F0-4E83-4C4E-8175-CFDED2E1C7E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F2-4E83-4C4E-8175-CFDED2E1C7E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F4-4E83-4C4E-8175-CFDED2E1C7E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F6-4E83-4C4E-8175-CFDED2E1C7E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F8-4E83-4C4E-8175-CFDED2E1C7E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FA-4E83-4C4E-8175-CFDED2E1C7E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0885-49DE-87EB-00C6ADD4E6F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'Refsz-Emissionen'!$C$423:$C$433</c15:sqref>
                        </c15:formulaRef>
                      </c:ext>
                    </c:extLst>
                    <c:strCache>
                      <c:ptCount val="11"/>
                      <c:pt idx="0">
                        <c:v>Elektrischer Strom</c:v>
                      </c:pt>
                      <c:pt idx="1">
                        <c:v>Wärme</c:v>
                      </c:pt>
                      <c:pt idx="2">
                        <c:v>Kälte</c:v>
                      </c:pt>
                      <c:pt idx="3">
                        <c:v>Mobilität der Institution (Fuhrpark, DR, Studierendenreisen (Outgoing), Exkursionen)</c:v>
                      </c:pt>
                      <c:pt idx="4">
                        <c:v>Mobilität außerhalb des Betriebs (Pendeln, Studierendenreisen (Incoming), An- und Abreise von Gästen)</c:v>
                      </c:pt>
                      <c:pt idx="5">
                        <c:v>Wasser (Frisch-/ Abwasser)</c:v>
                      </c:pt>
                      <c:pt idx="6">
                        <c:v>Abfall</c:v>
                      </c:pt>
                      <c:pt idx="7">
                        <c:v>Bezogene Waren und Dienstleistungen (EDV, Papier etc.)</c:v>
                      </c:pt>
                      <c:pt idx="8">
                        <c:v>Bezogene Kapitalgüter (u. A. Bau)</c:v>
                      </c:pt>
                      <c:pt idx="9">
                        <c:v>Bezogenen Kapitalgüter mit negativem GWP total</c:v>
                      </c:pt>
                      <c:pt idx="10">
                        <c:v>Kompensation</c:v>
                      </c:pt>
                    </c:strCache>
                  </c:strRef>
                </c:cat>
                <c:val>
                  <c:numRef>
                    <c:extLst xmlns:c15="http://schemas.microsoft.com/office/drawing/2012/chart">
                      <c:ext xmlns:c15="http://schemas.microsoft.com/office/drawing/2012/chart" uri="{02D57815-91ED-43cb-92C2-25804820EDAC}">
                        <c15:formulaRef>
                          <c15:sqref>'Refsz-Emissionen'!$P$423:$P$433</c15:sqref>
                        </c15:formulaRef>
                      </c:ext>
                    </c:extLst>
                    <c:numCache>
                      <c:formatCode>#,##0.00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0FB-4E83-4C4E-8175-CFDED2E1C7ED}"/>
                  </c:ext>
                </c:extLst>
              </c15:ser>
            </c15:filteredPieSeries>
            <c15:filteredPieSeries>
              <c15:ser>
                <c:idx val="12"/>
                <c:order val="12"/>
                <c:tx>
                  <c:strRef>
                    <c:extLst xmlns:c15="http://schemas.microsoft.com/office/drawing/2012/chart">
                      <c:ext xmlns:c15="http://schemas.microsoft.com/office/drawing/2012/chart" uri="{02D57815-91ED-43cb-92C2-25804820EDAC}">
                        <c15:formulaRef>
                          <c15:sqref>'Refsz-Emissionen'!$Q$422</c15:sqref>
                        </c15:formulaRef>
                      </c:ext>
                    </c:extLst>
                    <c:strCache>
                      <c:ptCount val="1"/>
                      <c:pt idx="0">
                        <c:v>2027</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FD-4E83-4C4E-8175-CFDED2E1C7E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FF-4E83-4C4E-8175-CFDED2E1C7E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01-4E83-4C4E-8175-CFDED2E1C7E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03-4E83-4C4E-8175-CFDED2E1C7E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05-4E83-4C4E-8175-CFDED2E1C7E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07-4E83-4C4E-8175-CFDED2E1C7E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9-4E83-4C4E-8175-CFDED2E1C7E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B-4E83-4C4E-8175-CFDED2E1C7E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D-4E83-4C4E-8175-CFDED2E1C7E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F-4E83-4C4E-8175-CFDED2E1C7E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1D-0885-49DE-87EB-00C6ADD4E6F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'Refsz-Emissionen'!$C$423:$C$433</c15:sqref>
                        </c15:formulaRef>
                      </c:ext>
                    </c:extLst>
                    <c:strCache>
                      <c:ptCount val="11"/>
                      <c:pt idx="0">
                        <c:v>Elektrischer Strom</c:v>
                      </c:pt>
                      <c:pt idx="1">
                        <c:v>Wärme</c:v>
                      </c:pt>
                      <c:pt idx="2">
                        <c:v>Kälte</c:v>
                      </c:pt>
                      <c:pt idx="3">
                        <c:v>Mobilität der Institution (Fuhrpark, DR, Studierendenreisen (Outgoing), Exkursionen)</c:v>
                      </c:pt>
                      <c:pt idx="4">
                        <c:v>Mobilität außerhalb des Betriebs (Pendeln, Studierendenreisen (Incoming), An- und Abreise von Gästen)</c:v>
                      </c:pt>
                      <c:pt idx="5">
                        <c:v>Wasser (Frisch-/ Abwasser)</c:v>
                      </c:pt>
                      <c:pt idx="6">
                        <c:v>Abfall</c:v>
                      </c:pt>
                      <c:pt idx="7">
                        <c:v>Bezogene Waren und Dienstleistungen (EDV, Papier etc.)</c:v>
                      </c:pt>
                      <c:pt idx="8">
                        <c:v>Bezogene Kapitalgüter (u. A. Bau)</c:v>
                      </c:pt>
                      <c:pt idx="9">
                        <c:v>Bezogenen Kapitalgüter mit negativem GWP total</c:v>
                      </c:pt>
                      <c:pt idx="10">
                        <c:v>Kompensation</c:v>
                      </c:pt>
                    </c:strCache>
                  </c:strRef>
                </c:cat>
                <c:val>
                  <c:numRef>
                    <c:extLst xmlns:c15="http://schemas.microsoft.com/office/drawing/2012/chart">
                      <c:ext xmlns:c15="http://schemas.microsoft.com/office/drawing/2012/chart" uri="{02D57815-91ED-43cb-92C2-25804820EDAC}">
                        <c15:formulaRef>
                          <c15:sqref>'Refsz-Emissionen'!$Q$423:$Q$433</c15:sqref>
                        </c15:formulaRef>
                      </c:ext>
                    </c:extLst>
                    <c:numCache>
                      <c:formatCode>#,##0.00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110-4E83-4C4E-8175-CFDED2E1C7ED}"/>
                  </c:ext>
                </c:extLst>
              </c15:ser>
            </c15:filteredPieSeries>
            <c15:filteredPieSeries>
              <c15:ser>
                <c:idx val="13"/>
                <c:order val="13"/>
                <c:tx>
                  <c:strRef>
                    <c:extLst xmlns:c15="http://schemas.microsoft.com/office/drawing/2012/chart">
                      <c:ext xmlns:c15="http://schemas.microsoft.com/office/drawing/2012/chart" uri="{02D57815-91ED-43cb-92C2-25804820EDAC}">
                        <c15:formulaRef>
                          <c15:sqref>'Refsz-Emissionen'!$R$422</c15:sqref>
                        </c15:formulaRef>
                      </c:ext>
                    </c:extLst>
                    <c:strCache>
                      <c:ptCount val="1"/>
                      <c:pt idx="0">
                        <c:v>2028</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12-4E83-4C4E-8175-CFDED2E1C7E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14-4E83-4C4E-8175-CFDED2E1C7E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16-4E83-4C4E-8175-CFDED2E1C7E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18-4E83-4C4E-8175-CFDED2E1C7E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1A-4E83-4C4E-8175-CFDED2E1C7E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1C-4E83-4C4E-8175-CFDED2E1C7E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1E-4E83-4C4E-8175-CFDED2E1C7E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0-4E83-4C4E-8175-CFDED2E1C7E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2-4E83-4C4E-8175-CFDED2E1C7E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4-4E83-4C4E-8175-CFDED2E1C7E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33-0885-49DE-87EB-00C6ADD4E6F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'Refsz-Emissionen'!$C$423:$C$433</c15:sqref>
                        </c15:formulaRef>
                      </c:ext>
                    </c:extLst>
                    <c:strCache>
                      <c:ptCount val="11"/>
                      <c:pt idx="0">
                        <c:v>Elektrischer Strom</c:v>
                      </c:pt>
                      <c:pt idx="1">
                        <c:v>Wärme</c:v>
                      </c:pt>
                      <c:pt idx="2">
                        <c:v>Kälte</c:v>
                      </c:pt>
                      <c:pt idx="3">
                        <c:v>Mobilität der Institution (Fuhrpark, DR, Studierendenreisen (Outgoing), Exkursionen)</c:v>
                      </c:pt>
                      <c:pt idx="4">
                        <c:v>Mobilität außerhalb des Betriebs (Pendeln, Studierendenreisen (Incoming), An- und Abreise von Gästen)</c:v>
                      </c:pt>
                      <c:pt idx="5">
                        <c:v>Wasser (Frisch-/ Abwasser)</c:v>
                      </c:pt>
                      <c:pt idx="6">
                        <c:v>Abfall</c:v>
                      </c:pt>
                      <c:pt idx="7">
                        <c:v>Bezogene Waren und Dienstleistungen (EDV, Papier etc.)</c:v>
                      </c:pt>
                      <c:pt idx="8">
                        <c:v>Bezogene Kapitalgüter (u. A. Bau)</c:v>
                      </c:pt>
                      <c:pt idx="9">
                        <c:v>Bezogenen Kapitalgüter mit negativem GWP total</c:v>
                      </c:pt>
                      <c:pt idx="10">
                        <c:v>Kompensation</c:v>
                      </c:pt>
                    </c:strCache>
                  </c:strRef>
                </c:cat>
                <c:val>
                  <c:numRef>
                    <c:extLst xmlns:c15="http://schemas.microsoft.com/office/drawing/2012/chart">
                      <c:ext xmlns:c15="http://schemas.microsoft.com/office/drawing/2012/chart" uri="{02D57815-91ED-43cb-92C2-25804820EDAC}">
                        <c15:formulaRef>
                          <c15:sqref>'Refsz-Emissionen'!$R$423:$R$433</c15:sqref>
                        </c15:formulaRef>
                      </c:ext>
                    </c:extLst>
                    <c:numCache>
                      <c:formatCode>#,##0.00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125-4E83-4C4E-8175-CFDED2E1C7ED}"/>
                  </c:ext>
                </c:extLst>
              </c15:ser>
            </c15:filteredPieSeries>
            <c15:filteredPieSeries>
              <c15:ser>
                <c:idx val="14"/>
                <c:order val="14"/>
                <c:tx>
                  <c:strRef>
                    <c:extLst xmlns:c15="http://schemas.microsoft.com/office/drawing/2012/chart">
                      <c:ext xmlns:c15="http://schemas.microsoft.com/office/drawing/2012/chart" uri="{02D57815-91ED-43cb-92C2-25804820EDAC}">
                        <c15:formulaRef>
                          <c15:sqref>'Refsz-Emissionen'!$S$422</c15:sqref>
                        </c15:formulaRef>
                      </c:ext>
                    </c:extLst>
                    <c:strCache>
                      <c:ptCount val="1"/>
                      <c:pt idx="0">
                        <c:v>2029</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27-4E83-4C4E-8175-CFDED2E1C7E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29-4E83-4C4E-8175-CFDED2E1C7E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2B-4E83-4C4E-8175-CFDED2E1C7E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2D-4E83-4C4E-8175-CFDED2E1C7E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2F-4E83-4C4E-8175-CFDED2E1C7E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31-4E83-4C4E-8175-CFDED2E1C7E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33-4E83-4C4E-8175-CFDED2E1C7E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35-4E83-4C4E-8175-CFDED2E1C7E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37-4E83-4C4E-8175-CFDED2E1C7E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39-4E83-4C4E-8175-CFDED2E1C7E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9-0885-49DE-87EB-00C6ADD4E6F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'Refsz-Emissionen'!$C$423:$C$433</c15:sqref>
                        </c15:formulaRef>
                      </c:ext>
                    </c:extLst>
                    <c:strCache>
                      <c:ptCount val="11"/>
                      <c:pt idx="0">
                        <c:v>Elektrischer Strom</c:v>
                      </c:pt>
                      <c:pt idx="1">
                        <c:v>Wärme</c:v>
                      </c:pt>
                      <c:pt idx="2">
                        <c:v>Kälte</c:v>
                      </c:pt>
                      <c:pt idx="3">
                        <c:v>Mobilität der Institution (Fuhrpark, DR, Studierendenreisen (Outgoing), Exkursionen)</c:v>
                      </c:pt>
                      <c:pt idx="4">
                        <c:v>Mobilität außerhalb des Betriebs (Pendeln, Studierendenreisen (Incoming), An- und Abreise von Gästen)</c:v>
                      </c:pt>
                      <c:pt idx="5">
                        <c:v>Wasser (Frisch-/ Abwasser)</c:v>
                      </c:pt>
                      <c:pt idx="6">
                        <c:v>Abfall</c:v>
                      </c:pt>
                      <c:pt idx="7">
                        <c:v>Bezogene Waren und Dienstleistungen (EDV, Papier etc.)</c:v>
                      </c:pt>
                      <c:pt idx="8">
                        <c:v>Bezogene Kapitalgüter (u. A. Bau)</c:v>
                      </c:pt>
                      <c:pt idx="9">
                        <c:v>Bezogenen Kapitalgüter mit negativem GWP total</c:v>
                      </c:pt>
                      <c:pt idx="10">
                        <c:v>Kompensation</c:v>
                      </c:pt>
                    </c:strCache>
                  </c:strRef>
                </c:cat>
                <c:val>
                  <c:numRef>
                    <c:extLst xmlns:c15="http://schemas.microsoft.com/office/drawing/2012/chart">
                      <c:ext xmlns:c15="http://schemas.microsoft.com/office/drawing/2012/chart" uri="{02D57815-91ED-43cb-92C2-25804820EDAC}">
                        <c15:formulaRef>
                          <c15:sqref>'Refsz-Emissionen'!$S$423:$S$433</c15:sqref>
                        </c15:formulaRef>
                      </c:ext>
                    </c:extLst>
                    <c:numCache>
                      <c:formatCode>#,##0.00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13A-4E83-4C4E-8175-CFDED2E1C7ED}"/>
                  </c:ext>
                </c:extLst>
              </c15:ser>
            </c15:filteredPieSeries>
            <c15:filteredPieSeries>
              <c15:ser>
                <c:idx val="15"/>
                <c:order val="15"/>
                <c:tx>
                  <c:strRef>
                    <c:extLst xmlns:c15="http://schemas.microsoft.com/office/drawing/2012/chart">
                      <c:ext xmlns:c15="http://schemas.microsoft.com/office/drawing/2012/chart" uri="{02D57815-91ED-43cb-92C2-25804820EDAC}">
                        <c15:formulaRef>
                          <c15:sqref>'Refsz-Emissionen'!$T$422</c15:sqref>
                        </c15:formulaRef>
                      </c:ext>
                    </c:extLst>
                    <c:strCache>
                      <c:ptCount val="1"/>
                      <c:pt idx="0">
                        <c:v>2030</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3C-4E83-4C4E-8175-CFDED2E1C7E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3E-4E83-4C4E-8175-CFDED2E1C7E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40-4E83-4C4E-8175-CFDED2E1C7E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42-4E83-4C4E-8175-CFDED2E1C7E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44-4E83-4C4E-8175-CFDED2E1C7E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46-4E83-4C4E-8175-CFDED2E1C7E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8-4E83-4C4E-8175-CFDED2E1C7E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A-4E83-4C4E-8175-CFDED2E1C7E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C-4E83-4C4E-8175-CFDED2E1C7E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E-4E83-4C4E-8175-CFDED2E1C7E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5F-0885-49DE-87EB-00C6ADD4E6F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'Refsz-Emissionen'!$C$423:$C$433</c15:sqref>
                        </c15:formulaRef>
                      </c:ext>
                    </c:extLst>
                    <c:strCache>
                      <c:ptCount val="11"/>
                      <c:pt idx="0">
                        <c:v>Elektrischer Strom</c:v>
                      </c:pt>
                      <c:pt idx="1">
                        <c:v>Wärme</c:v>
                      </c:pt>
                      <c:pt idx="2">
                        <c:v>Kälte</c:v>
                      </c:pt>
                      <c:pt idx="3">
                        <c:v>Mobilität der Institution (Fuhrpark, DR, Studierendenreisen (Outgoing), Exkursionen)</c:v>
                      </c:pt>
                      <c:pt idx="4">
                        <c:v>Mobilität außerhalb des Betriebs (Pendeln, Studierendenreisen (Incoming), An- und Abreise von Gästen)</c:v>
                      </c:pt>
                      <c:pt idx="5">
                        <c:v>Wasser (Frisch-/ Abwasser)</c:v>
                      </c:pt>
                      <c:pt idx="6">
                        <c:v>Abfall</c:v>
                      </c:pt>
                      <c:pt idx="7">
                        <c:v>Bezogene Waren und Dienstleistungen (EDV, Papier etc.)</c:v>
                      </c:pt>
                      <c:pt idx="8">
                        <c:v>Bezogene Kapitalgüter (u. A. Bau)</c:v>
                      </c:pt>
                      <c:pt idx="9">
                        <c:v>Bezogenen Kapitalgüter mit negativem GWP total</c:v>
                      </c:pt>
                      <c:pt idx="10">
                        <c:v>Kompensation</c:v>
                      </c:pt>
                    </c:strCache>
                  </c:strRef>
                </c:cat>
                <c:val>
                  <c:numRef>
                    <c:extLst xmlns:c15="http://schemas.microsoft.com/office/drawing/2012/chart">
                      <c:ext xmlns:c15="http://schemas.microsoft.com/office/drawing/2012/chart" uri="{02D57815-91ED-43cb-92C2-25804820EDAC}">
                        <c15:formulaRef>
                          <c15:sqref>'Refsz-Emissionen'!$T$423:$T$433</c15:sqref>
                        </c15:formulaRef>
                      </c:ext>
                    </c:extLst>
                    <c:numCache>
                      <c:formatCode>#,##0.00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14F-4E83-4C4E-8175-CFDED2E1C7ED}"/>
                  </c:ext>
                </c:extLst>
              </c15:ser>
            </c15:filteredPieSeries>
            <c15:filteredPieSeries>
              <c15:ser>
                <c:idx val="16"/>
                <c:order val="16"/>
                <c:tx>
                  <c:strRef>
                    <c:extLst xmlns:c15="http://schemas.microsoft.com/office/drawing/2012/chart">
                      <c:ext xmlns:c15="http://schemas.microsoft.com/office/drawing/2012/chart" uri="{02D57815-91ED-43cb-92C2-25804820EDAC}">
                        <c15:formulaRef>
                          <c15:sqref>'Refsz-Emissionen'!$U$422</c15:sqref>
                        </c15:formulaRef>
                      </c:ext>
                    </c:extLst>
                    <c:strCache>
                      <c:ptCount val="1"/>
                      <c:pt idx="0">
                        <c:v>2035</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51-4E83-4C4E-8175-CFDED2E1C7E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53-4E83-4C4E-8175-CFDED2E1C7E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55-4E83-4C4E-8175-CFDED2E1C7E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57-4E83-4C4E-8175-CFDED2E1C7E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59-4E83-4C4E-8175-CFDED2E1C7E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5B-4E83-4C4E-8175-CFDED2E1C7E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5D-4E83-4C4E-8175-CFDED2E1C7E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5F-4E83-4C4E-8175-CFDED2E1C7E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1-4E83-4C4E-8175-CFDED2E1C7E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3-4E83-4C4E-8175-CFDED2E1C7E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5-0885-49DE-87EB-00C6ADD4E6F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'Refsz-Emissionen'!$C$423:$C$433</c15:sqref>
                        </c15:formulaRef>
                      </c:ext>
                    </c:extLst>
                    <c:strCache>
                      <c:ptCount val="11"/>
                      <c:pt idx="0">
                        <c:v>Elektrischer Strom</c:v>
                      </c:pt>
                      <c:pt idx="1">
                        <c:v>Wärme</c:v>
                      </c:pt>
                      <c:pt idx="2">
                        <c:v>Kälte</c:v>
                      </c:pt>
                      <c:pt idx="3">
                        <c:v>Mobilität der Institution (Fuhrpark, DR, Studierendenreisen (Outgoing), Exkursionen)</c:v>
                      </c:pt>
                      <c:pt idx="4">
                        <c:v>Mobilität außerhalb des Betriebs (Pendeln, Studierendenreisen (Incoming), An- und Abreise von Gästen)</c:v>
                      </c:pt>
                      <c:pt idx="5">
                        <c:v>Wasser (Frisch-/ Abwasser)</c:v>
                      </c:pt>
                      <c:pt idx="6">
                        <c:v>Abfall</c:v>
                      </c:pt>
                      <c:pt idx="7">
                        <c:v>Bezogene Waren und Dienstleistungen (EDV, Papier etc.)</c:v>
                      </c:pt>
                      <c:pt idx="8">
                        <c:v>Bezogene Kapitalgüter (u. A. Bau)</c:v>
                      </c:pt>
                      <c:pt idx="9">
                        <c:v>Bezogenen Kapitalgüter mit negativem GWP total</c:v>
                      </c:pt>
                      <c:pt idx="10">
                        <c:v>Kompensation</c:v>
                      </c:pt>
                    </c:strCache>
                  </c:strRef>
                </c:cat>
                <c:val>
                  <c:numRef>
                    <c:extLst xmlns:c15="http://schemas.microsoft.com/office/drawing/2012/chart">
                      <c:ext xmlns:c15="http://schemas.microsoft.com/office/drawing/2012/chart" uri="{02D57815-91ED-43cb-92C2-25804820EDAC}">
                        <c15:formulaRef>
                          <c15:sqref>'Refsz-Emissionen'!$U$423:$U$433</c15:sqref>
                        </c15:formulaRef>
                      </c:ext>
                    </c:extLst>
                    <c:numCache>
                      <c:formatCode>#,##0.00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164-4E83-4C4E-8175-CFDED2E1C7ED}"/>
                  </c:ext>
                </c:extLst>
              </c15:ser>
            </c15:filteredPieSeries>
            <c15:filteredPieSeries>
              <c15:ser>
                <c:idx val="17"/>
                <c:order val="17"/>
                <c:tx>
                  <c:strRef>
                    <c:extLst xmlns:c15="http://schemas.microsoft.com/office/drawing/2012/chart">
                      <c:ext xmlns:c15="http://schemas.microsoft.com/office/drawing/2012/chart" uri="{02D57815-91ED-43cb-92C2-25804820EDAC}">
                        <c15:formulaRef>
                          <c15:sqref>'Refsz-Emissionen'!$V$422</c15:sqref>
                        </c15:formulaRef>
                      </c:ext>
                    </c:extLst>
                    <c:strCache>
                      <c:ptCount val="1"/>
                      <c:pt idx="0">
                        <c:v>2040</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66-4E83-4C4E-8175-CFDED2E1C7E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68-4E83-4C4E-8175-CFDED2E1C7E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6A-4E83-4C4E-8175-CFDED2E1C7E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6C-4E83-4C4E-8175-CFDED2E1C7E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6E-4E83-4C4E-8175-CFDED2E1C7E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70-4E83-4C4E-8175-CFDED2E1C7E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2-4E83-4C4E-8175-CFDED2E1C7E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4-4E83-4C4E-8175-CFDED2E1C7E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6-4E83-4C4E-8175-CFDED2E1C7E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8-4E83-4C4E-8175-CFDED2E1C7E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B-0885-49DE-87EB-00C6ADD4E6F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'Refsz-Emissionen'!$C$423:$C$433</c15:sqref>
                        </c15:formulaRef>
                      </c:ext>
                    </c:extLst>
                    <c:strCache>
                      <c:ptCount val="11"/>
                      <c:pt idx="0">
                        <c:v>Elektrischer Strom</c:v>
                      </c:pt>
                      <c:pt idx="1">
                        <c:v>Wärme</c:v>
                      </c:pt>
                      <c:pt idx="2">
                        <c:v>Kälte</c:v>
                      </c:pt>
                      <c:pt idx="3">
                        <c:v>Mobilität der Institution (Fuhrpark, DR, Studierendenreisen (Outgoing), Exkursionen)</c:v>
                      </c:pt>
                      <c:pt idx="4">
                        <c:v>Mobilität außerhalb des Betriebs (Pendeln, Studierendenreisen (Incoming), An- und Abreise von Gästen)</c:v>
                      </c:pt>
                      <c:pt idx="5">
                        <c:v>Wasser (Frisch-/ Abwasser)</c:v>
                      </c:pt>
                      <c:pt idx="6">
                        <c:v>Abfall</c:v>
                      </c:pt>
                      <c:pt idx="7">
                        <c:v>Bezogene Waren und Dienstleistungen (EDV, Papier etc.)</c:v>
                      </c:pt>
                      <c:pt idx="8">
                        <c:v>Bezogene Kapitalgüter (u. A. Bau)</c:v>
                      </c:pt>
                      <c:pt idx="9">
                        <c:v>Bezogenen Kapitalgüter mit negativem GWP total</c:v>
                      </c:pt>
                      <c:pt idx="10">
                        <c:v>Kompensation</c:v>
                      </c:pt>
                    </c:strCache>
                  </c:strRef>
                </c:cat>
                <c:val>
                  <c:numRef>
                    <c:extLst xmlns:c15="http://schemas.microsoft.com/office/drawing/2012/chart">
                      <c:ext xmlns:c15="http://schemas.microsoft.com/office/drawing/2012/chart" uri="{02D57815-91ED-43cb-92C2-25804820EDAC}">
                        <c15:formulaRef>
                          <c15:sqref>'Refsz-Emissionen'!$V$423:$V$433</c15:sqref>
                        </c15:formulaRef>
                      </c:ext>
                    </c:extLst>
                    <c:numCache>
                      <c:formatCode>#,##0.00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179-4E83-4C4E-8175-CFDED2E1C7ED}"/>
                  </c:ext>
                </c:extLst>
              </c15:ser>
            </c15:filteredPieSeries>
            <c15:filteredPieSeries>
              <c15:ser>
                <c:idx val="18"/>
                <c:order val="18"/>
                <c:tx>
                  <c:strRef>
                    <c:extLst xmlns:c15="http://schemas.microsoft.com/office/drawing/2012/chart">
                      <c:ext xmlns:c15="http://schemas.microsoft.com/office/drawing/2012/chart" uri="{02D57815-91ED-43cb-92C2-25804820EDAC}">
                        <c15:formulaRef>
                          <c15:sqref>'Refsz-Emissionen'!$W$422</c15:sqref>
                        </c15:formulaRef>
                      </c:ext>
                    </c:extLst>
                    <c:strCache>
                      <c:ptCount val="1"/>
                      <c:pt idx="0">
                        <c:v>2045</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7B-4E83-4C4E-8175-CFDED2E1C7E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7D-4E83-4C4E-8175-CFDED2E1C7E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7F-4E83-4C4E-8175-CFDED2E1C7E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81-4E83-4C4E-8175-CFDED2E1C7E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83-4E83-4C4E-8175-CFDED2E1C7E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85-4E83-4C4E-8175-CFDED2E1C7E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7-4E83-4C4E-8175-CFDED2E1C7E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9-4E83-4C4E-8175-CFDED2E1C7E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B-4E83-4C4E-8175-CFDED2E1C7E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D-4E83-4C4E-8175-CFDED2E1C7E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1-0885-49DE-87EB-00C6ADD4E6F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'Refsz-Emissionen'!$C$423:$C$433</c15:sqref>
                        </c15:formulaRef>
                      </c:ext>
                    </c:extLst>
                    <c:strCache>
                      <c:ptCount val="11"/>
                      <c:pt idx="0">
                        <c:v>Elektrischer Strom</c:v>
                      </c:pt>
                      <c:pt idx="1">
                        <c:v>Wärme</c:v>
                      </c:pt>
                      <c:pt idx="2">
                        <c:v>Kälte</c:v>
                      </c:pt>
                      <c:pt idx="3">
                        <c:v>Mobilität der Institution (Fuhrpark, DR, Studierendenreisen (Outgoing), Exkursionen)</c:v>
                      </c:pt>
                      <c:pt idx="4">
                        <c:v>Mobilität außerhalb des Betriebs (Pendeln, Studierendenreisen (Incoming), An- und Abreise von Gästen)</c:v>
                      </c:pt>
                      <c:pt idx="5">
                        <c:v>Wasser (Frisch-/ Abwasser)</c:v>
                      </c:pt>
                      <c:pt idx="6">
                        <c:v>Abfall</c:v>
                      </c:pt>
                      <c:pt idx="7">
                        <c:v>Bezogene Waren und Dienstleistungen (EDV, Papier etc.)</c:v>
                      </c:pt>
                      <c:pt idx="8">
                        <c:v>Bezogene Kapitalgüter (u. A. Bau)</c:v>
                      </c:pt>
                      <c:pt idx="9">
                        <c:v>Bezogenen Kapitalgüter mit negativem GWP total</c:v>
                      </c:pt>
                      <c:pt idx="10">
                        <c:v>Kompensation</c:v>
                      </c:pt>
                    </c:strCache>
                  </c:strRef>
                </c:cat>
                <c:val>
                  <c:numRef>
                    <c:extLst xmlns:c15="http://schemas.microsoft.com/office/drawing/2012/chart">
                      <c:ext xmlns:c15="http://schemas.microsoft.com/office/drawing/2012/chart" uri="{02D57815-91ED-43cb-92C2-25804820EDAC}">
                        <c15:formulaRef>
                          <c15:sqref>'Refsz-Emissionen'!$W$423:$W$433</c15:sqref>
                        </c15:formulaRef>
                      </c:ext>
                    </c:extLst>
                    <c:numCache>
                      <c:formatCode>#,##0.00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18E-4E83-4C4E-8175-CFDED2E1C7ED}"/>
                  </c:ext>
                </c:extLst>
              </c15:ser>
            </c15:filteredPieSeries>
            <c15:filteredPieSeries>
              <c15:ser>
                <c:idx val="19"/>
                <c:order val="19"/>
                <c:tx>
                  <c:strRef>
                    <c:extLst xmlns:c15="http://schemas.microsoft.com/office/drawing/2012/chart">
                      <c:ext xmlns:c15="http://schemas.microsoft.com/office/drawing/2012/chart" uri="{02D57815-91ED-43cb-92C2-25804820EDAC}">
                        <c15:formulaRef>
                          <c15:sqref>'Refsz-Emissionen'!$X$422</c15:sqref>
                        </c15:formulaRef>
                      </c:ext>
                    </c:extLst>
                    <c:strCache>
                      <c:ptCount val="1"/>
                      <c:pt idx="0">
                        <c:v>2050</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90-4E83-4C4E-8175-CFDED2E1C7E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92-4E83-4C4E-8175-CFDED2E1C7E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94-4E83-4C4E-8175-CFDED2E1C7E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96-4E83-4C4E-8175-CFDED2E1C7E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98-4E83-4C4E-8175-CFDED2E1C7E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9A-4E83-4C4E-8175-CFDED2E1C7E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C-4E83-4C4E-8175-CFDED2E1C7E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E-4E83-4C4E-8175-CFDED2E1C7E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0-4E83-4C4E-8175-CFDED2E1C7E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2-4E83-4C4E-8175-CFDED2E1C7E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7-0885-49DE-87EB-00C6ADD4E6F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'Refsz-Emissionen'!$C$423:$C$433</c15:sqref>
                        </c15:formulaRef>
                      </c:ext>
                    </c:extLst>
                    <c:strCache>
                      <c:ptCount val="11"/>
                      <c:pt idx="0">
                        <c:v>Elektrischer Strom</c:v>
                      </c:pt>
                      <c:pt idx="1">
                        <c:v>Wärme</c:v>
                      </c:pt>
                      <c:pt idx="2">
                        <c:v>Kälte</c:v>
                      </c:pt>
                      <c:pt idx="3">
                        <c:v>Mobilität der Institution (Fuhrpark, DR, Studierendenreisen (Outgoing), Exkursionen)</c:v>
                      </c:pt>
                      <c:pt idx="4">
                        <c:v>Mobilität außerhalb des Betriebs (Pendeln, Studierendenreisen (Incoming), An- und Abreise von Gästen)</c:v>
                      </c:pt>
                      <c:pt idx="5">
                        <c:v>Wasser (Frisch-/ Abwasser)</c:v>
                      </c:pt>
                      <c:pt idx="6">
                        <c:v>Abfall</c:v>
                      </c:pt>
                      <c:pt idx="7">
                        <c:v>Bezogene Waren und Dienstleistungen (EDV, Papier etc.)</c:v>
                      </c:pt>
                      <c:pt idx="8">
                        <c:v>Bezogene Kapitalgüter (u. A. Bau)</c:v>
                      </c:pt>
                      <c:pt idx="9">
                        <c:v>Bezogenen Kapitalgüter mit negativem GWP total</c:v>
                      </c:pt>
                      <c:pt idx="10">
                        <c:v>Kompensation</c:v>
                      </c:pt>
                    </c:strCache>
                  </c:strRef>
                </c:cat>
                <c:val>
                  <c:numRef>
                    <c:extLst xmlns:c15="http://schemas.microsoft.com/office/drawing/2012/chart">
                      <c:ext xmlns:c15="http://schemas.microsoft.com/office/drawing/2012/chart" uri="{02D57815-91ED-43cb-92C2-25804820EDAC}">
                        <c15:formulaRef>
                          <c15:sqref>'Refsz-Emissionen'!$X$423:$X$433</c15:sqref>
                        </c15:formulaRef>
                      </c:ext>
                    </c:extLst>
                    <c:numCache>
                      <c:formatCode>#,##0.00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1A3-4E83-4C4E-8175-CFDED2E1C7ED}"/>
                  </c:ext>
                </c:extLst>
              </c15:ser>
            </c15:filteredPieSeries>
          </c:ext>
        </c:extLst>
      </c:pieChart>
      <c:spPr>
        <a:noFill/>
        <a:ln>
          <a:noFill/>
        </a:ln>
        <a:effectLst/>
      </c:spPr>
    </c:plotArea>
    <c:legend>
      <c:legendPos val="b"/>
      <c:layout>
        <c:manualLayout>
          <c:xMode val="edge"/>
          <c:yMode val="edge"/>
          <c:x val="2.999685883428852E-3"/>
          <c:y val="0.62563823094190096"/>
          <c:w val="0.99451159230096242"/>
          <c:h val="0.3726387749293954"/>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1400" b="0" i="0" baseline="0">
                <a:effectLst/>
              </a:rPr>
              <a:t>Klimaschutzszenarien</a:t>
            </a:r>
            <a:endParaRPr lang="en-GB" sz="105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9.4479252685276849E-2"/>
          <c:y val="0.12598167539267016"/>
          <c:w val="0.88734502989105368"/>
          <c:h val="0.67904432506684331"/>
        </c:manualLayout>
      </c:layout>
      <c:barChart>
        <c:barDir val="col"/>
        <c:grouping val="clustered"/>
        <c:varyColors val="0"/>
        <c:ser>
          <c:idx val="2"/>
          <c:order val="2"/>
          <c:tx>
            <c:v>Klimaschutzszenario Bundesmix</c:v>
          </c:tx>
          <c:spPr>
            <a:solidFill>
              <a:schemeClr val="tx1"/>
            </a:solidFill>
            <a:ln>
              <a:noFill/>
            </a:ln>
            <a:effectLst/>
          </c:spPr>
          <c:invertIfNegative val="0"/>
          <c:cat>
            <c:strRef>
              <c:extLst>
                <c:ext xmlns:c15="http://schemas.microsoft.com/office/drawing/2012/chart" uri="{02D57815-91ED-43cb-92C2-25804820EDAC}">
                  <c15:fullRef>
                    <c15:sqref>'Klisz-Emissionen'!$E$811:$X$811</c15:sqref>
                  </c15:fullRef>
                </c:ext>
              </c:extLst>
              <c:f>'Klisz-Emissionen'!$L$811:$X$811</c:f>
              <c:strCache>
                <c:ptCount val="13"/>
                <c:pt idx="0">
                  <c:v>2022</c:v>
                </c:pt>
                <c:pt idx="1">
                  <c:v>2023</c:v>
                </c:pt>
                <c:pt idx="2">
                  <c:v>2024</c:v>
                </c:pt>
                <c:pt idx="3">
                  <c:v>2025</c:v>
                </c:pt>
                <c:pt idx="4">
                  <c:v>2026</c:v>
                </c:pt>
                <c:pt idx="5">
                  <c:v>2027</c:v>
                </c:pt>
                <c:pt idx="6">
                  <c:v>2028</c:v>
                </c:pt>
                <c:pt idx="7">
                  <c:v>2029</c:v>
                </c:pt>
                <c:pt idx="8">
                  <c:v>2030</c:v>
                </c:pt>
                <c:pt idx="9">
                  <c:v>2035</c:v>
                </c:pt>
                <c:pt idx="10">
                  <c:v>2040</c:v>
                </c:pt>
                <c:pt idx="11">
                  <c:v>2045</c:v>
                </c:pt>
                <c:pt idx="12">
                  <c:v>2050</c:v>
                </c:pt>
              </c:strCache>
            </c:strRef>
          </c:cat>
          <c:val>
            <c:numRef>
              <c:extLst>
                <c:ext xmlns:c15="http://schemas.microsoft.com/office/drawing/2012/chart" uri="{02D57815-91ED-43cb-92C2-25804820EDAC}">
                  <c15:fullRef>
                    <c15:sqref>'Klisz-Emissionen'!$E$760:$X$760</c15:sqref>
                  </c15:fullRef>
                </c:ext>
              </c:extLst>
              <c:f>'Klisz-Emissionen'!$L$760:$X$760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5="http://schemas.microsoft.com/office/drawing/2012/chart">
            <c:ext xmlns:c16="http://schemas.microsoft.com/office/drawing/2014/chart" uri="{C3380CC4-5D6E-409C-BE32-E72D297353CC}">
              <c16:uniqueId val="{00000002-9C87-4FDC-8A6A-8D188590433B}"/>
            </c:ext>
          </c:extLst>
        </c:ser>
        <c:ser>
          <c:idx val="3"/>
          <c:order val="3"/>
          <c:tx>
            <c:v>Klimaschutzszenario Bundesmix KS80</c:v>
          </c:tx>
          <c:spPr>
            <a:solidFill>
              <a:schemeClr val="bg1">
                <a:lumMod val="85000"/>
              </a:schemeClr>
            </a:solidFill>
            <a:ln>
              <a:noFill/>
            </a:ln>
            <a:effectLst/>
          </c:spPr>
          <c:invertIfNegative val="0"/>
          <c:cat>
            <c:strRef>
              <c:extLst>
                <c:ext xmlns:c15="http://schemas.microsoft.com/office/drawing/2012/chart" uri="{02D57815-91ED-43cb-92C2-25804820EDAC}">
                  <c15:fullRef>
                    <c15:sqref>'Klisz-Emissionen'!$E$811:$X$811</c15:sqref>
                  </c15:fullRef>
                </c:ext>
              </c:extLst>
              <c:f>'Klisz-Emissionen'!$L$811:$X$811</c:f>
              <c:strCache>
                <c:ptCount val="13"/>
                <c:pt idx="0">
                  <c:v>2022</c:v>
                </c:pt>
                <c:pt idx="1">
                  <c:v>2023</c:v>
                </c:pt>
                <c:pt idx="2">
                  <c:v>2024</c:v>
                </c:pt>
                <c:pt idx="3">
                  <c:v>2025</c:v>
                </c:pt>
                <c:pt idx="4">
                  <c:v>2026</c:v>
                </c:pt>
                <c:pt idx="5">
                  <c:v>2027</c:v>
                </c:pt>
                <c:pt idx="6">
                  <c:v>2028</c:v>
                </c:pt>
                <c:pt idx="7">
                  <c:v>2029</c:v>
                </c:pt>
                <c:pt idx="8">
                  <c:v>2030</c:v>
                </c:pt>
                <c:pt idx="9">
                  <c:v>2035</c:v>
                </c:pt>
                <c:pt idx="10">
                  <c:v>2040</c:v>
                </c:pt>
                <c:pt idx="11">
                  <c:v>2045</c:v>
                </c:pt>
                <c:pt idx="12">
                  <c:v>2050</c:v>
                </c:pt>
              </c:strCache>
            </c:strRef>
          </c:cat>
          <c:val>
            <c:numRef>
              <c:extLst>
                <c:ext xmlns:c15="http://schemas.microsoft.com/office/drawing/2012/chart" uri="{02D57815-91ED-43cb-92C2-25804820EDAC}">
                  <c15:fullRef>
                    <c15:sqref>'Klisz-Emissionen'!$E$781:$X$781</c15:sqref>
                  </c15:fullRef>
                </c:ext>
              </c:extLst>
              <c:f>'Klisz-Emissionen'!$L$781:$X$781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5="http://schemas.microsoft.com/office/drawing/2012/chart">
            <c:ext xmlns:c16="http://schemas.microsoft.com/office/drawing/2014/chart" uri="{C3380CC4-5D6E-409C-BE32-E72D297353CC}">
              <c16:uniqueId val="{00000003-9C87-4FDC-8A6A-8D188590433B}"/>
            </c:ext>
          </c:extLst>
        </c:ser>
        <c:ser>
          <c:idx val="4"/>
          <c:order val="4"/>
          <c:tx>
            <c:v>Klimaschutzszenario Regiomix</c:v>
          </c:tx>
          <c:spPr>
            <a:solidFill>
              <a:schemeClr val="tx2">
                <a:lumMod val="60000"/>
                <a:lumOff val="40000"/>
              </a:schemeClr>
            </a:solidFill>
            <a:ln>
              <a:noFill/>
            </a:ln>
            <a:effectLst/>
          </c:spPr>
          <c:invertIfNegative val="0"/>
          <c:cat>
            <c:strRef>
              <c:extLst>
                <c:ext xmlns:c15="http://schemas.microsoft.com/office/drawing/2012/chart" uri="{02D57815-91ED-43cb-92C2-25804820EDAC}">
                  <c15:fullRef>
                    <c15:sqref>'Klisz-Emissionen'!$E$811:$X$811</c15:sqref>
                  </c15:fullRef>
                </c:ext>
              </c:extLst>
              <c:f>'Klisz-Emissionen'!$L$811:$X$811</c:f>
              <c:strCache>
                <c:ptCount val="13"/>
                <c:pt idx="0">
                  <c:v>2022</c:v>
                </c:pt>
                <c:pt idx="1">
                  <c:v>2023</c:v>
                </c:pt>
                <c:pt idx="2">
                  <c:v>2024</c:v>
                </c:pt>
                <c:pt idx="3">
                  <c:v>2025</c:v>
                </c:pt>
                <c:pt idx="4">
                  <c:v>2026</c:v>
                </c:pt>
                <c:pt idx="5">
                  <c:v>2027</c:v>
                </c:pt>
                <c:pt idx="6">
                  <c:v>2028</c:v>
                </c:pt>
                <c:pt idx="7">
                  <c:v>2029</c:v>
                </c:pt>
                <c:pt idx="8">
                  <c:v>2030</c:v>
                </c:pt>
                <c:pt idx="9">
                  <c:v>2035</c:v>
                </c:pt>
                <c:pt idx="10">
                  <c:v>2040</c:v>
                </c:pt>
                <c:pt idx="11">
                  <c:v>2045</c:v>
                </c:pt>
                <c:pt idx="12">
                  <c:v>2050</c:v>
                </c:pt>
              </c:strCache>
            </c:strRef>
          </c:cat>
          <c:val>
            <c:numRef>
              <c:extLst>
                <c:ext xmlns:c15="http://schemas.microsoft.com/office/drawing/2012/chart" uri="{02D57815-91ED-43cb-92C2-25804820EDAC}">
                  <c15:fullRef>
                    <c15:sqref>'Klisz-Emissionen'!$E$802:$X$802</c15:sqref>
                  </c15:fullRef>
                </c:ext>
              </c:extLst>
              <c:f>'Klisz-Emissionen'!$L$802:$X$802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9C87-4FDC-8A6A-8D188590433B}"/>
            </c:ext>
          </c:extLst>
        </c:ser>
        <c:ser>
          <c:idx val="5"/>
          <c:order val="5"/>
          <c:tx>
            <c:strRef>
              <c:f>'Klisz-Emissionen'!$D$810</c:f>
              <c:strCache>
                <c:ptCount val="1"/>
                <c:pt idx="0">
                  <c:v>Beispiel: Umstellung der Landesliegenschaften auf Windkraft</c:v>
                </c:pt>
              </c:strCache>
            </c:strRef>
          </c:tx>
          <c:spPr>
            <a:solidFill>
              <a:schemeClr val="accent5">
                <a:lumMod val="60000"/>
                <a:lumOff val="40000"/>
              </a:schemeClr>
            </a:solidFill>
            <a:ln>
              <a:noFill/>
            </a:ln>
            <a:effectLst/>
          </c:spPr>
          <c:invertIfNegative val="0"/>
          <c:cat>
            <c:strRef>
              <c:extLst>
                <c:ext xmlns:c15="http://schemas.microsoft.com/office/drawing/2012/chart" uri="{02D57815-91ED-43cb-92C2-25804820EDAC}">
                  <c15:fullRef>
                    <c15:sqref>'Klisz-Emissionen'!$E$811:$X$811</c15:sqref>
                  </c15:fullRef>
                </c:ext>
              </c:extLst>
              <c:f>'Klisz-Emissionen'!$L$811:$X$811</c:f>
              <c:strCache>
                <c:ptCount val="13"/>
                <c:pt idx="0">
                  <c:v>2022</c:v>
                </c:pt>
                <c:pt idx="1">
                  <c:v>2023</c:v>
                </c:pt>
                <c:pt idx="2">
                  <c:v>2024</c:v>
                </c:pt>
                <c:pt idx="3">
                  <c:v>2025</c:v>
                </c:pt>
                <c:pt idx="4">
                  <c:v>2026</c:v>
                </c:pt>
                <c:pt idx="5">
                  <c:v>2027</c:v>
                </c:pt>
                <c:pt idx="6">
                  <c:v>2028</c:v>
                </c:pt>
                <c:pt idx="7">
                  <c:v>2029</c:v>
                </c:pt>
                <c:pt idx="8">
                  <c:v>2030</c:v>
                </c:pt>
                <c:pt idx="9">
                  <c:v>2035</c:v>
                </c:pt>
                <c:pt idx="10">
                  <c:v>2040</c:v>
                </c:pt>
                <c:pt idx="11">
                  <c:v>2045</c:v>
                </c:pt>
                <c:pt idx="12">
                  <c:v>2050</c:v>
                </c:pt>
              </c:strCache>
            </c:strRef>
          </c:cat>
          <c:val>
            <c:numRef>
              <c:extLst>
                <c:ext xmlns:c15="http://schemas.microsoft.com/office/drawing/2012/chart" uri="{02D57815-91ED-43cb-92C2-25804820EDAC}">
                  <c15:fullRef>
                    <c15:sqref>'Klisz-Emissionen'!$E$823:$X$823</c15:sqref>
                  </c15:fullRef>
                </c:ext>
              </c:extLst>
              <c:f>'Klisz-Emissionen'!$L$823:$X$823</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9C87-4FDC-8A6A-8D188590433B}"/>
            </c:ext>
          </c:extLst>
        </c:ser>
        <c:dLbls>
          <c:showLegendKey val="0"/>
          <c:showVal val="0"/>
          <c:showCatName val="0"/>
          <c:showSerName val="0"/>
          <c:showPercent val="0"/>
          <c:showBubbleSize val="0"/>
        </c:dLbls>
        <c:gapWidth val="219"/>
        <c:overlap val="-27"/>
        <c:axId val="1842513472"/>
        <c:axId val="1262068768"/>
        <c:extLst>
          <c:ext xmlns:c15="http://schemas.microsoft.com/office/drawing/2012/chart" uri="{02D57815-91ED-43cb-92C2-25804820EDAC}">
            <c15:filteredBarSeries>
              <c15:ser>
                <c:idx val="0"/>
                <c:order val="0"/>
                <c:tx>
                  <c:v>Referenzszenario Bundesmix</c:v>
                </c:tx>
                <c:spPr>
                  <a:solidFill>
                    <a:schemeClr val="accent1"/>
                  </a:solidFill>
                  <a:ln>
                    <a:noFill/>
                  </a:ln>
                  <a:effectLst/>
                </c:spPr>
                <c:invertIfNegative val="0"/>
                <c:cat>
                  <c:strRef>
                    <c:extLst>
                      <c:ext uri="{02D57815-91ED-43cb-92C2-25804820EDAC}">
                        <c15:fullRef>
                          <c15:sqref>'Klisz-Emissionen'!$E$811:$X$811</c15:sqref>
                        </c15:fullRef>
                        <c15:formulaRef>
                          <c15:sqref>'Klisz-Emissionen'!$L$811:$X$811</c15:sqref>
                        </c15:formulaRef>
                      </c:ext>
                    </c:extLst>
                    <c:strCache>
                      <c:ptCount val="13"/>
                      <c:pt idx="0">
                        <c:v>2022</c:v>
                      </c:pt>
                      <c:pt idx="1">
                        <c:v>2023</c:v>
                      </c:pt>
                      <c:pt idx="2">
                        <c:v>2024</c:v>
                      </c:pt>
                      <c:pt idx="3">
                        <c:v>2025</c:v>
                      </c:pt>
                      <c:pt idx="4">
                        <c:v>2026</c:v>
                      </c:pt>
                      <c:pt idx="5">
                        <c:v>2027</c:v>
                      </c:pt>
                      <c:pt idx="6">
                        <c:v>2028</c:v>
                      </c:pt>
                      <c:pt idx="7">
                        <c:v>2029</c:v>
                      </c:pt>
                      <c:pt idx="8">
                        <c:v>2030</c:v>
                      </c:pt>
                      <c:pt idx="9">
                        <c:v>2035</c:v>
                      </c:pt>
                      <c:pt idx="10">
                        <c:v>2040</c:v>
                      </c:pt>
                      <c:pt idx="11">
                        <c:v>2045</c:v>
                      </c:pt>
                      <c:pt idx="12">
                        <c:v>2050</c:v>
                      </c:pt>
                    </c:strCache>
                  </c:strRef>
                </c:cat>
                <c:val>
                  <c:numRef>
                    <c:extLst>
                      <c:ext uri="{02D57815-91ED-43cb-92C2-25804820EDAC}">
                        <c15:fullRef>
                          <c15:sqref>'Refsz-Emissionen'!$E$413:$X$413</c15:sqref>
                        </c15:fullRef>
                        <c15:formulaRef>
                          <c15:sqref>'Refsz-Emissionen'!$L$413:$X$413</c15:sqref>
                        </c15:formulaRef>
                      </c:ext>
                    </c:extLst>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9C87-4FDC-8A6A-8D188590433B}"/>
                  </c:ext>
                </c:extLst>
              </c15:ser>
            </c15:filteredBarSeries>
            <c15:filteredBarSeries>
              <c15:ser>
                <c:idx val="1"/>
                <c:order val="1"/>
                <c:tx>
                  <c:v>Referenzszenario Regiomix</c:v>
                </c:tx>
                <c:spPr>
                  <a:solidFill>
                    <a:schemeClr val="tx1"/>
                  </a:solidFill>
                  <a:ln>
                    <a:noFill/>
                  </a:ln>
                  <a:effectLst/>
                </c:spPr>
                <c:invertIfNegative val="0"/>
                <c:cat>
                  <c:strRef>
                    <c:extLst>
                      <c:ext xmlns:c15="http://schemas.microsoft.com/office/drawing/2012/chart" uri="{02D57815-91ED-43cb-92C2-25804820EDAC}">
                        <c15:fullRef>
                          <c15:sqref>'Klisz-Emissionen'!$E$811:$X$811</c15:sqref>
                        </c15:fullRef>
                        <c15:formulaRef>
                          <c15:sqref>'Klisz-Emissionen'!$L$811:$X$811</c15:sqref>
                        </c15:formulaRef>
                      </c:ext>
                    </c:extLst>
                    <c:strCache>
                      <c:ptCount val="13"/>
                      <c:pt idx="0">
                        <c:v>2022</c:v>
                      </c:pt>
                      <c:pt idx="1">
                        <c:v>2023</c:v>
                      </c:pt>
                      <c:pt idx="2">
                        <c:v>2024</c:v>
                      </c:pt>
                      <c:pt idx="3">
                        <c:v>2025</c:v>
                      </c:pt>
                      <c:pt idx="4">
                        <c:v>2026</c:v>
                      </c:pt>
                      <c:pt idx="5">
                        <c:v>2027</c:v>
                      </c:pt>
                      <c:pt idx="6">
                        <c:v>2028</c:v>
                      </c:pt>
                      <c:pt idx="7">
                        <c:v>2029</c:v>
                      </c:pt>
                      <c:pt idx="8">
                        <c:v>2030</c:v>
                      </c:pt>
                      <c:pt idx="9">
                        <c:v>2035</c:v>
                      </c:pt>
                      <c:pt idx="10">
                        <c:v>2040</c:v>
                      </c:pt>
                      <c:pt idx="11">
                        <c:v>2045</c:v>
                      </c:pt>
                      <c:pt idx="12">
                        <c:v>2050</c:v>
                      </c:pt>
                    </c:strCache>
                  </c:strRef>
                </c:cat>
                <c:val>
                  <c:numRef>
                    <c:extLst>
                      <c:ext xmlns:c15="http://schemas.microsoft.com/office/drawing/2012/chart" uri="{02D57815-91ED-43cb-92C2-25804820EDAC}">
                        <c15:fullRef>
                          <c15:sqref>'Refsz-Emissionen'!$E$434:$X$434</c15:sqref>
                        </c15:fullRef>
                        <c15:formulaRef>
                          <c15:sqref>'Refsz-Emissionen'!$L$434:$X$434</c15:sqref>
                        </c15:formulaRef>
                      </c:ext>
                    </c:extLst>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5="http://schemas.microsoft.com/office/drawing/2012/chart">
                  <c:ext xmlns:c16="http://schemas.microsoft.com/office/drawing/2014/chart" uri="{C3380CC4-5D6E-409C-BE32-E72D297353CC}">
                    <c16:uniqueId val="{00000001-9C87-4FDC-8A6A-8D188590433B}"/>
                  </c:ext>
                </c:extLst>
              </c15:ser>
            </c15:filteredBarSeries>
          </c:ext>
        </c:extLst>
      </c:barChart>
      <c:catAx>
        <c:axId val="1842513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2068768"/>
        <c:crosses val="autoZero"/>
        <c:auto val="1"/>
        <c:lblAlgn val="ctr"/>
        <c:lblOffset val="100"/>
        <c:noMultiLvlLbl val="0"/>
      </c:catAx>
      <c:valAx>
        <c:axId val="12620687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de-DE" sz="1050" b="0" i="0" baseline="0">
                    <a:effectLst/>
                  </a:rPr>
                  <a:t>t CO</a:t>
                </a:r>
                <a:r>
                  <a:rPr lang="de-DE" sz="1050" b="0" i="0" baseline="-25000">
                    <a:effectLst/>
                  </a:rPr>
                  <a:t>2</a:t>
                </a:r>
                <a:r>
                  <a:rPr lang="de-DE" sz="1050" b="0" i="0" baseline="0">
                    <a:effectLst/>
                  </a:rPr>
                  <a:t>-Äq. </a:t>
                </a:r>
                <a:endParaRPr lang="en-GB" sz="500">
                  <a:effectLst/>
                </a:endParaRP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42513472"/>
        <c:crosses val="autoZero"/>
        <c:crossBetween val="between"/>
      </c:valAx>
      <c:spPr>
        <a:noFill/>
        <a:ln>
          <a:noFill/>
        </a:ln>
        <a:effectLst/>
      </c:spPr>
    </c:plotArea>
    <c:legend>
      <c:legendPos val="b"/>
      <c:layout>
        <c:manualLayout>
          <c:xMode val="edge"/>
          <c:yMode val="edge"/>
          <c:x val="8.7746145878725104E-2"/>
          <c:y val="0.88297691760492558"/>
          <c:w val="0.86850555875748514"/>
          <c:h val="8.811541846637803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Emissionen</a:t>
            </a:r>
            <a:r>
              <a:rPr lang="en-US" baseline="0"/>
              <a:t> des Mobilitätssektors 2019 [t</a:t>
            </a:r>
            <a:r>
              <a:rPr lang="en-GB" sz="1400" b="0" i="0" u="none" strike="noStrike" baseline="0">
                <a:effectLst/>
              </a:rPr>
              <a:t> CO</a:t>
            </a:r>
            <a:r>
              <a:rPr lang="en-GB" sz="1400" b="0" i="0" u="none" strike="noStrike" baseline="-25000">
                <a:effectLst/>
              </a:rPr>
              <a:t>2</a:t>
            </a:r>
            <a:r>
              <a:rPr lang="en-GB" sz="1400" b="0" i="0" u="none" strike="noStrike" baseline="0">
                <a:effectLst/>
              </a:rPr>
              <a:t>-Äq.</a:t>
            </a:r>
            <a:r>
              <a:rPr lang="en-US" baseline="0"/>
              <a:t>]</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4"/>
          <c:order val="4"/>
          <c:tx>
            <c:strRef>
              <c:f>'KliMax-Auswertung'!$H$247</c:f>
              <c:strCache>
                <c:ptCount val="1"/>
                <c:pt idx="0">
                  <c:v>2019</c:v>
                </c:pt>
              </c:strCache>
            </c:strRef>
          </c:tx>
          <c:spPr>
            <a:solidFill>
              <a:schemeClr val="accent5"/>
            </a:solidFill>
            <a:ln>
              <a:noFill/>
            </a:ln>
            <a:effectLst/>
          </c:spPr>
          <c:invertIfNegative val="0"/>
          <c:cat>
            <c:strRef>
              <c:f>'KliMax-Auswertung'!$B$248:$B$254</c:f>
              <c:strCache>
                <c:ptCount val="7"/>
                <c:pt idx="0">
                  <c:v>Fuhrpark</c:v>
                </c:pt>
                <c:pt idx="1">
                  <c:v>DR</c:v>
                </c:pt>
                <c:pt idx="2">
                  <c:v>Studierendenreisen (Outgoing)</c:v>
                </c:pt>
                <c:pt idx="3">
                  <c:v>Exkursionen</c:v>
                </c:pt>
                <c:pt idx="4">
                  <c:v>Pendeln</c:v>
                </c:pt>
                <c:pt idx="5">
                  <c:v>Studierendenreisen (Incoming)</c:v>
                </c:pt>
                <c:pt idx="6">
                  <c:v>An- und Abreise von Gästen</c:v>
                </c:pt>
              </c:strCache>
            </c:strRef>
          </c:cat>
          <c:val>
            <c:numRef>
              <c:f>'KliMax-Auswertung'!$H$248:$H$254</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D1B0-415A-BB4F-03EAB5F8B9D7}"/>
            </c:ext>
          </c:extLst>
        </c:ser>
        <c:dLbls>
          <c:showLegendKey val="0"/>
          <c:showVal val="0"/>
          <c:showCatName val="0"/>
          <c:showSerName val="0"/>
          <c:showPercent val="0"/>
          <c:showBubbleSize val="0"/>
        </c:dLbls>
        <c:gapWidth val="182"/>
        <c:axId val="1722277167"/>
        <c:axId val="1429315119"/>
        <c:extLst>
          <c:ext xmlns:c15="http://schemas.microsoft.com/office/drawing/2012/chart" uri="{02D57815-91ED-43cb-92C2-25804820EDAC}">
            <c15:filteredBarSeries>
              <c15:ser>
                <c:idx val="0"/>
                <c:order val="0"/>
                <c:tx>
                  <c:strRef>
                    <c:extLst>
                      <c:ext uri="{02D57815-91ED-43cb-92C2-25804820EDAC}">
                        <c15:formulaRef>
                          <c15:sqref>'KliMax-Auswertung'!$D$247</c15:sqref>
                        </c15:formulaRef>
                      </c:ext>
                    </c:extLst>
                    <c:strCache>
                      <c:ptCount val="1"/>
                      <c:pt idx="0">
                        <c:v>2015</c:v>
                      </c:pt>
                    </c:strCache>
                  </c:strRef>
                </c:tx>
                <c:spPr>
                  <a:solidFill>
                    <a:schemeClr val="accent1"/>
                  </a:solidFill>
                  <a:ln>
                    <a:noFill/>
                  </a:ln>
                  <a:effectLst/>
                </c:spPr>
                <c:invertIfNegative val="0"/>
                <c:cat>
                  <c:strRef>
                    <c:extLst>
                      <c:ext uri="{02D57815-91ED-43cb-92C2-25804820EDAC}">
                        <c15:formulaRef>
                          <c15:sqref>'KliMax-Auswertung'!$B$248:$B$254</c15:sqref>
                        </c15:formulaRef>
                      </c:ext>
                    </c:extLst>
                    <c:strCache>
                      <c:ptCount val="7"/>
                      <c:pt idx="0">
                        <c:v>Fuhrpark</c:v>
                      </c:pt>
                      <c:pt idx="1">
                        <c:v>DR</c:v>
                      </c:pt>
                      <c:pt idx="2">
                        <c:v>Studierendenreisen (Outgoing)</c:v>
                      </c:pt>
                      <c:pt idx="3">
                        <c:v>Exkursionen</c:v>
                      </c:pt>
                      <c:pt idx="4">
                        <c:v>Pendeln</c:v>
                      </c:pt>
                      <c:pt idx="5">
                        <c:v>Studierendenreisen (Incoming)</c:v>
                      </c:pt>
                      <c:pt idx="6">
                        <c:v>An- und Abreise von Gästen</c:v>
                      </c:pt>
                    </c:strCache>
                  </c:strRef>
                </c:cat>
                <c:val>
                  <c:numRef>
                    <c:extLst>
                      <c:ext uri="{02D57815-91ED-43cb-92C2-25804820EDAC}">
                        <c15:formulaRef>
                          <c15:sqref>'KliMax-Auswertung'!$D$248:$D$254</c15:sqref>
                        </c15:formulaRef>
                      </c:ext>
                    </c:extLst>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D1B0-415A-BB4F-03EAB5F8B9D7}"/>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'KliMax-Auswertung'!$E$247</c15:sqref>
                        </c15:formulaRef>
                      </c:ext>
                    </c:extLst>
                    <c:strCache>
                      <c:ptCount val="1"/>
                      <c:pt idx="0">
                        <c:v>2016</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'KliMax-Auswertung'!$B$248:$B$254</c15:sqref>
                        </c15:formulaRef>
                      </c:ext>
                    </c:extLst>
                    <c:strCache>
                      <c:ptCount val="7"/>
                      <c:pt idx="0">
                        <c:v>Fuhrpark</c:v>
                      </c:pt>
                      <c:pt idx="1">
                        <c:v>DR</c:v>
                      </c:pt>
                      <c:pt idx="2">
                        <c:v>Studierendenreisen (Outgoing)</c:v>
                      </c:pt>
                      <c:pt idx="3">
                        <c:v>Exkursionen</c:v>
                      </c:pt>
                      <c:pt idx="4">
                        <c:v>Pendeln</c:v>
                      </c:pt>
                      <c:pt idx="5">
                        <c:v>Studierendenreisen (Incoming)</c:v>
                      </c:pt>
                      <c:pt idx="6">
                        <c:v>An- und Abreise von Gästen</c:v>
                      </c:pt>
                    </c:strCache>
                  </c:strRef>
                </c:cat>
                <c:val>
                  <c:numRef>
                    <c:extLst xmlns:c15="http://schemas.microsoft.com/office/drawing/2012/chart">
                      <c:ext xmlns:c15="http://schemas.microsoft.com/office/drawing/2012/chart" uri="{02D57815-91ED-43cb-92C2-25804820EDAC}">
                        <c15:formulaRef>
                          <c15:sqref>'KliMax-Auswertung'!$E$248:$E$254</c15:sqref>
                        </c15:formulaRef>
                      </c:ext>
                    </c:extLst>
                    <c:numCache>
                      <c:formatCode>#,##0</c:formatCode>
                      <c:ptCount val="7"/>
                      <c:pt idx="0">
                        <c:v>0</c:v>
                      </c:pt>
                      <c:pt idx="1">
                        <c:v>0</c:v>
                      </c:pt>
                      <c:pt idx="2">
                        <c:v>0</c:v>
                      </c:pt>
                      <c:pt idx="3">
                        <c:v>0</c:v>
                      </c:pt>
                      <c:pt idx="4">
                        <c:v>0</c:v>
                      </c:pt>
                      <c:pt idx="5">
                        <c:v>0</c:v>
                      </c:pt>
                      <c:pt idx="6">
                        <c:v>0</c:v>
                      </c:pt>
                    </c:numCache>
                  </c:numRef>
                </c:val>
                <c:extLst xmlns:c15="http://schemas.microsoft.com/office/drawing/2012/chart">
                  <c:ext xmlns:c16="http://schemas.microsoft.com/office/drawing/2014/chart" uri="{C3380CC4-5D6E-409C-BE32-E72D297353CC}">
                    <c16:uniqueId val="{00000001-D1B0-415A-BB4F-03EAB5F8B9D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'KliMax-Auswertung'!$F$247</c15:sqref>
                        </c15:formulaRef>
                      </c:ext>
                    </c:extLst>
                    <c:strCache>
                      <c:ptCount val="1"/>
                      <c:pt idx="0">
                        <c:v>2017</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'KliMax-Auswertung'!$B$248:$B$254</c15:sqref>
                        </c15:formulaRef>
                      </c:ext>
                    </c:extLst>
                    <c:strCache>
                      <c:ptCount val="7"/>
                      <c:pt idx="0">
                        <c:v>Fuhrpark</c:v>
                      </c:pt>
                      <c:pt idx="1">
                        <c:v>DR</c:v>
                      </c:pt>
                      <c:pt idx="2">
                        <c:v>Studierendenreisen (Outgoing)</c:v>
                      </c:pt>
                      <c:pt idx="3">
                        <c:v>Exkursionen</c:v>
                      </c:pt>
                      <c:pt idx="4">
                        <c:v>Pendeln</c:v>
                      </c:pt>
                      <c:pt idx="5">
                        <c:v>Studierendenreisen (Incoming)</c:v>
                      </c:pt>
                      <c:pt idx="6">
                        <c:v>An- und Abreise von Gästen</c:v>
                      </c:pt>
                    </c:strCache>
                  </c:strRef>
                </c:cat>
                <c:val>
                  <c:numRef>
                    <c:extLst xmlns:c15="http://schemas.microsoft.com/office/drawing/2012/chart">
                      <c:ext xmlns:c15="http://schemas.microsoft.com/office/drawing/2012/chart" uri="{02D57815-91ED-43cb-92C2-25804820EDAC}">
                        <c15:formulaRef>
                          <c15:sqref>'KliMax-Auswertung'!$F$248:$F$254</c15:sqref>
                        </c15:formulaRef>
                      </c:ext>
                    </c:extLst>
                    <c:numCache>
                      <c:formatCode>#,##0</c:formatCode>
                      <c:ptCount val="7"/>
                      <c:pt idx="0">
                        <c:v>0</c:v>
                      </c:pt>
                      <c:pt idx="1">
                        <c:v>0</c:v>
                      </c:pt>
                      <c:pt idx="2">
                        <c:v>0</c:v>
                      </c:pt>
                      <c:pt idx="3">
                        <c:v>0</c:v>
                      </c:pt>
                      <c:pt idx="4">
                        <c:v>0</c:v>
                      </c:pt>
                      <c:pt idx="5">
                        <c:v>0</c:v>
                      </c:pt>
                      <c:pt idx="6">
                        <c:v>0</c:v>
                      </c:pt>
                    </c:numCache>
                  </c:numRef>
                </c:val>
                <c:extLst xmlns:c15="http://schemas.microsoft.com/office/drawing/2012/chart">
                  <c:ext xmlns:c16="http://schemas.microsoft.com/office/drawing/2014/chart" uri="{C3380CC4-5D6E-409C-BE32-E72D297353CC}">
                    <c16:uniqueId val="{00000002-D1B0-415A-BB4F-03EAB5F8B9D7}"/>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'KliMax-Auswertung'!$G$247</c15:sqref>
                        </c15:formulaRef>
                      </c:ext>
                    </c:extLst>
                    <c:strCache>
                      <c:ptCount val="1"/>
                      <c:pt idx="0">
                        <c:v>2018</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'KliMax-Auswertung'!$B$248:$B$254</c15:sqref>
                        </c15:formulaRef>
                      </c:ext>
                    </c:extLst>
                    <c:strCache>
                      <c:ptCount val="7"/>
                      <c:pt idx="0">
                        <c:v>Fuhrpark</c:v>
                      </c:pt>
                      <c:pt idx="1">
                        <c:v>DR</c:v>
                      </c:pt>
                      <c:pt idx="2">
                        <c:v>Studierendenreisen (Outgoing)</c:v>
                      </c:pt>
                      <c:pt idx="3">
                        <c:v>Exkursionen</c:v>
                      </c:pt>
                      <c:pt idx="4">
                        <c:v>Pendeln</c:v>
                      </c:pt>
                      <c:pt idx="5">
                        <c:v>Studierendenreisen (Incoming)</c:v>
                      </c:pt>
                      <c:pt idx="6">
                        <c:v>An- und Abreise von Gästen</c:v>
                      </c:pt>
                    </c:strCache>
                  </c:strRef>
                </c:cat>
                <c:val>
                  <c:numRef>
                    <c:extLst xmlns:c15="http://schemas.microsoft.com/office/drawing/2012/chart">
                      <c:ext xmlns:c15="http://schemas.microsoft.com/office/drawing/2012/chart" uri="{02D57815-91ED-43cb-92C2-25804820EDAC}">
                        <c15:formulaRef>
                          <c15:sqref>'KliMax-Auswertung'!$G$248:$G$254</c15:sqref>
                        </c15:formulaRef>
                      </c:ext>
                    </c:extLst>
                    <c:numCache>
                      <c:formatCode>#,##0</c:formatCode>
                      <c:ptCount val="7"/>
                      <c:pt idx="0">
                        <c:v>0</c:v>
                      </c:pt>
                      <c:pt idx="1">
                        <c:v>0</c:v>
                      </c:pt>
                      <c:pt idx="2">
                        <c:v>0</c:v>
                      </c:pt>
                      <c:pt idx="3">
                        <c:v>0</c:v>
                      </c:pt>
                      <c:pt idx="4">
                        <c:v>0</c:v>
                      </c:pt>
                      <c:pt idx="5">
                        <c:v>0</c:v>
                      </c:pt>
                      <c:pt idx="6">
                        <c:v>0</c:v>
                      </c:pt>
                    </c:numCache>
                  </c:numRef>
                </c:val>
                <c:extLst xmlns:c15="http://schemas.microsoft.com/office/drawing/2012/chart">
                  <c:ext xmlns:c16="http://schemas.microsoft.com/office/drawing/2014/chart" uri="{C3380CC4-5D6E-409C-BE32-E72D297353CC}">
                    <c16:uniqueId val="{00000003-D1B0-415A-BB4F-03EAB5F8B9D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'KliMax-Auswertung'!$I$247</c15:sqref>
                        </c15:formulaRef>
                      </c:ext>
                    </c:extLst>
                    <c:strCache>
                      <c:ptCount val="1"/>
                      <c:pt idx="0">
                        <c:v>2020</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'KliMax-Auswertung'!$B$248:$B$254</c15:sqref>
                        </c15:formulaRef>
                      </c:ext>
                    </c:extLst>
                    <c:strCache>
                      <c:ptCount val="7"/>
                      <c:pt idx="0">
                        <c:v>Fuhrpark</c:v>
                      </c:pt>
                      <c:pt idx="1">
                        <c:v>DR</c:v>
                      </c:pt>
                      <c:pt idx="2">
                        <c:v>Studierendenreisen (Outgoing)</c:v>
                      </c:pt>
                      <c:pt idx="3">
                        <c:v>Exkursionen</c:v>
                      </c:pt>
                      <c:pt idx="4">
                        <c:v>Pendeln</c:v>
                      </c:pt>
                      <c:pt idx="5">
                        <c:v>Studierendenreisen (Incoming)</c:v>
                      </c:pt>
                      <c:pt idx="6">
                        <c:v>An- und Abreise von Gästen</c:v>
                      </c:pt>
                    </c:strCache>
                  </c:strRef>
                </c:cat>
                <c:val>
                  <c:numRef>
                    <c:extLst xmlns:c15="http://schemas.microsoft.com/office/drawing/2012/chart">
                      <c:ext xmlns:c15="http://schemas.microsoft.com/office/drawing/2012/chart" uri="{02D57815-91ED-43cb-92C2-25804820EDAC}">
                        <c15:formulaRef>
                          <c15:sqref>'KliMax-Auswertung'!$I$248:$I$254</c15:sqref>
                        </c15:formulaRef>
                      </c:ext>
                    </c:extLst>
                    <c:numCache>
                      <c:formatCode>#,##0</c:formatCode>
                      <c:ptCount val="7"/>
                      <c:pt idx="0">
                        <c:v>0</c:v>
                      </c:pt>
                      <c:pt idx="1">
                        <c:v>0</c:v>
                      </c:pt>
                      <c:pt idx="2">
                        <c:v>0</c:v>
                      </c:pt>
                      <c:pt idx="3">
                        <c:v>0</c:v>
                      </c:pt>
                      <c:pt idx="4">
                        <c:v>0</c:v>
                      </c:pt>
                      <c:pt idx="5">
                        <c:v>0</c:v>
                      </c:pt>
                      <c:pt idx="6">
                        <c:v>0</c:v>
                      </c:pt>
                    </c:numCache>
                  </c:numRef>
                </c:val>
                <c:extLst xmlns:c15="http://schemas.microsoft.com/office/drawing/2012/chart">
                  <c:ext xmlns:c16="http://schemas.microsoft.com/office/drawing/2014/chart" uri="{C3380CC4-5D6E-409C-BE32-E72D297353CC}">
                    <c16:uniqueId val="{00000005-D1B0-415A-BB4F-03EAB5F8B9D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'KliMax-Auswertung'!$J$247</c15:sqref>
                        </c15:formulaRef>
                      </c:ext>
                    </c:extLst>
                    <c:strCache>
                      <c:ptCount val="1"/>
                      <c:pt idx="0">
                        <c:v>2021</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'KliMax-Auswertung'!$B$248:$B$254</c15:sqref>
                        </c15:formulaRef>
                      </c:ext>
                    </c:extLst>
                    <c:strCache>
                      <c:ptCount val="7"/>
                      <c:pt idx="0">
                        <c:v>Fuhrpark</c:v>
                      </c:pt>
                      <c:pt idx="1">
                        <c:v>DR</c:v>
                      </c:pt>
                      <c:pt idx="2">
                        <c:v>Studierendenreisen (Outgoing)</c:v>
                      </c:pt>
                      <c:pt idx="3">
                        <c:v>Exkursionen</c:v>
                      </c:pt>
                      <c:pt idx="4">
                        <c:v>Pendeln</c:v>
                      </c:pt>
                      <c:pt idx="5">
                        <c:v>Studierendenreisen (Incoming)</c:v>
                      </c:pt>
                      <c:pt idx="6">
                        <c:v>An- und Abreise von Gästen</c:v>
                      </c:pt>
                    </c:strCache>
                  </c:strRef>
                </c:cat>
                <c:val>
                  <c:numRef>
                    <c:extLst xmlns:c15="http://schemas.microsoft.com/office/drawing/2012/chart">
                      <c:ext xmlns:c15="http://schemas.microsoft.com/office/drawing/2012/chart" uri="{02D57815-91ED-43cb-92C2-25804820EDAC}">
                        <c15:formulaRef>
                          <c15:sqref>'KliMax-Auswertung'!$J$248:$J$254</c15:sqref>
                        </c15:formulaRef>
                      </c:ext>
                    </c:extLst>
                    <c:numCache>
                      <c:formatCode>#,##0</c:formatCode>
                      <c:ptCount val="7"/>
                      <c:pt idx="0">
                        <c:v>0</c:v>
                      </c:pt>
                      <c:pt idx="1">
                        <c:v>0</c:v>
                      </c:pt>
                      <c:pt idx="2">
                        <c:v>0</c:v>
                      </c:pt>
                      <c:pt idx="3">
                        <c:v>0</c:v>
                      </c:pt>
                      <c:pt idx="4">
                        <c:v>0</c:v>
                      </c:pt>
                      <c:pt idx="5">
                        <c:v>0</c:v>
                      </c:pt>
                      <c:pt idx="6">
                        <c:v>0</c:v>
                      </c:pt>
                    </c:numCache>
                  </c:numRef>
                </c:val>
                <c:extLst xmlns:c15="http://schemas.microsoft.com/office/drawing/2012/chart">
                  <c:ext xmlns:c16="http://schemas.microsoft.com/office/drawing/2014/chart" uri="{C3380CC4-5D6E-409C-BE32-E72D297353CC}">
                    <c16:uniqueId val="{00000006-D1B0-415A-BB4F-03EAB5F8B9D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'KliMax-Auswertung'!$K$247</c15:sqref>
                        </c15:formulaRef>
                      </c:ext>
                    </c:extLst>
                    <c:strCache>
                      <c:ptCount val="1"/>
                      <c:pt idx="0">
                        <c:v>2022</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'KliMax-Auswertung'!$B$248:$B$254</c15:sqref>
                        </c15:formulaRef>
                      </c:ext>
                    </c:extLst>
                    <c:strCache>
                      <c:ptCount val="7"/>
                      <c:pt idx="0">
                        <c:v>Fuhrpark</c:v>
                      </c:pt>
                      <c:pt idx="1">
                        <c:v>DR</c:v>
                      </c:pt>
                      <c:pt idx="2">
                        <c:v>Studierendenreisen (Outgoing)</c:v>
                      </c:pt>
                      <c:pt idx="3">
                        <c:v>Exkursionen</c:v>
                      </c:pt>
                      <c:pt idx="4">
                        <c:v>Pendeln</c:v>
                      </c:pt>
                      <c:pt idx="5">
                        <c:v>Studierendenreisen (Incoming)</c:v>
                      </c:pt>
                      <c:pt idx="6">
                        <c:v>An- und Abreise von Gästen</c:v>
                      </c:pt>
                    </c:strCache>
                  </c:strRef>
                </c:cat>
                <c:val>
                  <c:numRef>
                    <c:extLst xmlns:c15="http://schemas.microsoft.com/office/drawing/2012/chart">
                      <c:ext xmlns:c15="http://schemas.microsoft.com/office/drawing/2012/chart" uri="{02D57815-91ED-43cb-92C2-25804820EDAC}">
                        <c15:formulaRef>
                          <c15:sqref>'KliMax-Auswertung'!$K$248:$K$254</c15:sqref>
                        </c15:formulaRef>
                      </c:ext>
                    </c:extLst>
                    <c:numCache>
                      <c:formatCode>#,##0</c:formatCode>
                      <c:ptCount val="7"/>
                      <c:pt idx="0">
                        <c:v>0</c:v>
                      </c:pt>
                      <c:pt idx="1">
                        <c:v>0</c:v>
                      </c:pt>
                      <c:pt idx="2">
                        <c:v>0</c:v>
                      </c:pt>
                      <c:pt idx="3">
                        <c:v>0</c:v>
                      </c:pt>
                      <c:pt idx="4">
                        <c:v>0</c:v>
                      </c:pt>
                      <c:pt idx="5">
                        <c:v>0</c:v>
                      </c:pt>
                      <c:pt idx="6">
                        <c:v>0</c:v>
                      </c:pt>
                    </c:numCache>
                  </c:numRef>
                </c:val>
                <c:extLst xmlns:c15="http://schemas.microsoft.com/office/drawing/2012/chart">
                  <c:ext xmlns:c16="http://schemas.microsoft.com/office/drawing/2014/chart" uri="{C3380CC4-5D6E-409C-BE32-E72D297353CC}">
                    <c16:uniqueId val="{00000007-D1B0-415A-BB4F-03EAB5F8B9D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'KliMax-Auswertung'!$L$247</c15:sqref>
                        </c15:formulaRef>
                      </c:ext>
                    </c:extLst>
                    <c:strCache>
                      <c:ptCount val="1"/>
                      <c:pt idx="0">
                        <c:v>2023</c:v>
                      </c:pt>
                    </c:strCache>
                  </c:strRef>
                </c:tx>
                <c:spPr>
                  <a:solidFill>
                    <a:schemeClr val="accent3">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'KliMax-Auswertung'!$B$248:$B$254</c15:sqref>
                        </c15:formulaRef>
                      </c:ext>
                    </c:extLst>
                    <c:strCache>
                      <c:ptCount val="7"/>
                      <c:pt idx="0">
                        <c:v>Fuhrpark</c:v>
                      </c:pt>
                      <c:pt idx="1">
                        <c:v>DR</c:v>
                      </c:pt>
                      <c:pt idx="2">
                        <c:v>Studierendenreisen (Outgoing)</c:v>
                      </c:pt>
                      <c:pt idx="3">
                        <c:v>Exkursionen</c:v>
                      </c:pt>
                      <c:pt idx="4">
                        <c:v>Pendeln</c:v>
                      </c:pt>
                      <c:pt idx="5">
                        <c:v>Studierendenreisen (Incoming)</c:v>
                      </c:pt>
                      <c:pt idx="6">
                        <c:v>An- und Abreise von Gästen</c:v>
                      </c:pt>
                    </c:strCache>
                  </c:strRef>
                </c:cat>
                <c:val>
                  <c:numRef>
                    <c:extLst xmlns:c15="http://schemas.microsoft.com/office/drawing/2012/chart">
                      <c:ext xmlns:c15="http://schemas.microsoft.com/office/drawing/2012/chart" uri="{02D57815-91ED-43cb-92C2-25804820EDAC}">
                        <c15:formulaRef>
                          <c15:sqref>'KliMax-Auswertung'!$L$248:$L$254</c15:sqref>
                        </c15:formulaRef>
                      </c:ext>
                    </c:extLst>
                    <c:numCache>
                      <c:formatCode>#,##0</c:formatCode>
                      <c:ptCount val="7"/>
                      <c:pt idx="0">
                        <c:v>0</c:v>
                      </c:pt>
                      <c:pt idx="1">
                        <c:v>0</c:v>
                      </c:pt>
                      <c:pt idx="2">
                        <c:v>0</c:v>
                      </c:pt>
                      <c:pt idx="3">
                        <c:v>0</c:v>
                      </c:pt>
                      <c:pt idx="4">
                        <c:v>0</c:v>
                      </c:pt>
                      <c:pt idx="5">
                        <c:v>0</c:v>
                      </c:pt>
                      <c:pt idx="6">
                        <c:v>0</c:v>
                      </c:pt>
                    </c:numCache>
                  </c:numRef>
                </c:val>
                <c:extLst xmlns:c15="http://schemas.microsoft.com/office/drawing/2012/chart">
                  <c:ext xmlns:c16="http://schemas.microsoft.com/office/drawing/2014/chart" uri="{C3380CC4-5D6E-409C-BE32-E72D297353CC}">
                    <c16:uniqueId val="{00000008-D1B0-415A-BB4F-03EAB5F8B9D7}"/>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'KliMax-Auswertung'!$M$247</c15:sqref>
                        </c15:formulaRef>
                      </c:ext>
                    </c:extLst>
                    <c:strCache>
                      <c:ptCount val="1"/>
                      <c:pt idx="0">
                        <c:v>2024</c:v>
                      </c:pt>
                    </c:strCache>
                  </c:strRef>
                </c:tx>
                <c:spPr>
                  <a:solidFill>
                    <a:schemeClr val="accent4">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'KliMax-Auswertung'!$B$248:$B$254</c15:sqref>
                        </c15:formulaRef>
                      </c:ext>
                    </c:extLst>
                    <c:strCache>
                      <c:ptCount val="7"/>
                      <c:pt idx="0">
                        <c:v>Fuhrpark</c:v>
                      </c:pt>
                      <c:pt idx="1">
                        <c:v>DR</c:v>
                      </c:pt>
                      <c:pt idx="2">
                        <c:v>Studierendenreisen (Outgoing)</c:v>
                      </c:pt>
                      <c:pt idx="3">
                        <c:v>Exkursionen</c:v>
                      </c:pt>
                      <c:pt idx="4">
                        <c:v>Pendeln</c:v>
                      </c:pt>
                      <c:pt idx="5">
                        <c:v>Studierendenreisen (Incoming)</c:v>
                      </c:pt>
                      <c:pt idx="6">
                        <c:v>An- und Abreise von Gästen</c:v>
                      </c:pt>
                    </c:strCache>
                  </c:strRef>
                </c:cat>
                <c:val>
                  <c:numRef>
                    <c:extLst xmlns:c15="http://schemas.microsoft.com/office/drawing/2012/chart">
                      <c:ext xmlns:c15="http://schemas.microsoft.com/office/drawing/2012/chart" uri="{02D57815-91ED-43cb-92C2-25804820EDAC}">
                        <c15:formulaRef>
                          <c15:sqref>'KliMax-Auswertung'!$M$248:$M$254</c15:sqref>
                        </c15:formulaRef>
                      </c:ext>
                    </c:extLst>
                    <c:numCache>
                      <c:formatCode>#,##0</c:formatCode>
                      <c:ptCount val="7"/>
                      <c:pt idx="0">
                        <c:v>0</c:v>
                      </c:pt>
                      <c:pt idx="1">
                        <c:v>0</c:v>
                      </c:pt>
                      <c:pt idx="2">
                        <c:v>0</c:v>
                      </c:pt>
                      <c:pt idx="3">
                        <c:v>0</c:v>
                      </c:pt>
                      <c:pt idx="4">
                        <c:v>0</c:v>
                      </c:pt>
                      <c:pt idx="5">
                        <c:v>0</c:v>
                      </c:pt>
                      <c:pt idx="6">
                        <c:v>0</c:v>
                      </c:pt>
                    </c:numCache>
                  </c:numRef>
                </c:val>
                <c:extLst xmlns:c15="http://schemas.microsoft.com/office/drawing/2012/chart">
                  <c:ext xmlns:c16="http://schemas.microsoft.com/office/drawing/2014/chart" uri="{C3380CC4-5D6E-409C-BE32-E72D297353CC}">
                    <c16:uniqueId val="{00000009-D1B0-415A-BB4F-03EAB5F8B9D7}"/>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'KliMax-Auswertung'!$N$247</c15:sqref>
                        </c15:formulaRef>
                      </c:ext>
                    </c:extLst>
                    <c:strCache>
                      <c:ptCount val="1"/>
                      <c:pt idx="0">
                        <c:v>2025</c:v>
                      </c:pt>
                    </c:strCache>
                  </c:strRef>
                </c:tx>
                <c:spPr>
                  <a:solidFill>
                    <a:schemeClr val="accent5">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'KliMax-Auswertung'!$B$248:$B$254</c15:sqref>
                        </c15:formulaRef>
                      </c:ext>
                    </c:extLst>
                    <c:strCache>
                      <c:ptCount val="7"/>
                      <c:pt idx="0">
                        <c:v>Fuhrpark</c:v>
                      </c:pt>
                      <c:pt idx="1">
                        <c:v>DR</c:v>
                      </c:pt>
                      <c:pt idx="2">
                        <c:v>Studierendenreisen (Outgoing)</c:v>
                      </c:pt>
                      <c:pt idx="3">
                        <c:v>Exkursionen</c:v>
                      </c:pt>
                      <c:pt idx="4">
                        <c:v>Pendeln</c:v>
                      </c:pt>
                      <c:pt idx="5">
                        <c:v>Studierendenreisen (Incoming)</c:v>
                      </c:pt>
                      <c:pt idx="6">
                        <c:v>An- und Abreise von Gästen</c:v>
                      </c:pt>
                    </c:strCache>
                  </c:strRef>
                </c:cat>
                <c:val>
                  <c:numRef>
                    <c:extLst xmlns:c15="http://schemas.microsoft.com/office/drawing/2012/chart">
                      <c:ext xmlns:c15="http://schemas.microsoft.com/office/drawing/2012/chart" uri="{02D57815-91ED-43cb-92C2-25804820EDAC}">
                        <c15:formulaRef>
                          <c15:sqref>'KliMax-Auswertung'!$N$248:$N$254</c15:sqref>
                        </c15:formulaRef>
                      </c:ext>
                    </c:extLst>
                    <c:numCache>
                      <c:formatCode>#,##0</c:formatCode>
                      <c:ptCount val="7"/>
                      <c:pt idx="0">
                        <c:v>0</c:v>
                      </c:pt>
                      <c:pt idx="1">
                        <c:v>0</c:v>
                      </c:pt>
                      <c:pt idx="2">
                        <c:v>0</c:v>
                      </c:pt>
                      <c:pt idx="3">
                        <c:v>0</c:v>
                      </c:pt>
                      <c:pt idx="4">
                        <c:v>0</c:v>
                      </c:pt>
                      <c:pt idx="5">
                        <c:v>0</c:v>
                      </c:pt>
                      <c:pt idx="6">
                        <c:v>0</c:v>
                      </c:pt>
                    </c:numCache>
                  </c:numRef>
                </c:val>
                <c:extLst xmlns:c15="http://schemas.microsoft.com/office/drawing/2012/chart">
                  <c:ext xmlns:c16="http://schemas.microsoft.com/office/drawing/2014/chart" uri="{C3380CC4-5D6E-409C-BE32-E72D297353CC}">
                    <c16:uniqueId val="{0000000A-D1B0-415A-BB4F-03EAB5F8B9D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'KliMax-Auswertung'!$O$247</c15:sqref>
                        </c15:formulaRef>
                      </c:ext>
                    </c:extLst>
                    <c:strCache>
                      <c:ptCount val="1"/>
                      <c:pt idx="0">
                        <c:v>2026</c:v>
                      </c:pt>
                    </c:strCache>
                  </c:strRef>
                </c:tx>
                <c:spPr>
                  <a:solidFill>
                    <a:schemeClr val="accent6">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'KliMax-Auswertung'!$B$248:$B$254</c15:sqref>
                        </c15:formulaRef>
                      </c:ext>
                    </c:extLst>
                    <c:strCache>
                      <c:ptCount val="7"/>
                      <c:pt idx="0">
                        <c:v>Fuhrpark</c:v>
                      </c:pt>
                      <c:pt idx="1">
                        <c:v>DR</c:v>
                      </c:pt>
                      <c:pt idx="2">
                        <c:v>Studierendenreisen (Outgoing)</c:v>
                      </c:pt>
                      <c:pt idx="3">
                        <c:v>Exkursionen</c:v>
                      </c:pt>
                      <c:pt idx="4">
                        <c:v>Pendeln</c:v>
                      </c:pt>
                      <c:pt idx="5">
                        <c:v>Studierendenreisen (Incoming)</c:v>
                      </c:pt>
                      <c:pt idx="6">
                        <c:v>An- und Abreise von Gästen</c:v>
                      </c:pt>
                    </c:strCache>
                  </c:strRef>
                </c:cat>
                <c:val>
                  <c:numRef>
                    <c:extLst xmlns:c15="http://schemas.microsoft.com/office/drawing/2012/chart">
                      <c:ext xmlns:c15="http://schemas.microsoft.com/office/drawing/2012/chart" uri="{02D57815-91ED-43cb-92C2-25804820EDAC}">
                        <c15:formulaRef>
                          <c15:sqref>'KliMax-Auswertung'!$O$248:$O$254</c15:sqref>
                        </c15:formulaRef>
                      </c:ext>
                    </c:extLst>
                    <c:numCache>
                      <c:formatCode>#,##0</c:formatCode>
                      <c:ptCount val="7"/>
                      <c:pt idx="0">
                        <c:v>0</c:v>
                      </c:pt>
                      <c:pt idx="1">
                        <c:v>0</c:v>
                      </c:pt>
                      <c:pt idx="2">
                        <c:v>0</c:v>
                      </c:pt>
                      <c:pt idx="3">
                        <c:v>0</c:v>
                      </c:pt>
                      <c:pt idx="4">
                        <c:v>0</c:v>
                      </c:pt>
                      <c:pt idx="5">
                        <c:v>0</c:v>
                      </c:pt>
                      <c:pt idx="6">
                        <c:v>0</c:v>
                      </c:pt>
                    </c:numCache>
                  </c:numRef>
                </c:val>
                <c:extLst xmlns:c15="http://schemas.microsoft.com/office/drawing/2012/chart">
                  <c:ext xmlns:c16="http://schemas.microsoft.com/office/drawing/2014/chart" uri="{C3380CC4-5D6E-409C-BE32-E72D297353CC}">
                    <c16:uniqueId val="{0000000B-D1B0-415A-BB4F-03EAB5F8B9D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'KliMax-Auswertung'!$P$247</c15:sqref>
                        </c15:formulaRef>
                      </c:ext>
                    </c:extLst>
                    <c:strCache>
                      <c:ptCount val="1"/>
                      <c:pt idx="0">
                        <c:v>2027</c:v>
                      </c:pt>
                    </c:strCache>
                  </c:strRef>
                </c:tx>
                <c:spPr>
                  <a:solidFill>
                    <a:schemeClr val="accent1">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'KliMax-Auswertung'!$B$248:$B$254</c15:sqref>
                        </c15:formulaRef>
                      </c:ext>
                    </c:extLst>
                    <c:strCache>
                      <c:ptCount val="7"/>
                      <c:pt idx="0">
                        <c:v>Fuhrpark</c:v>
                      </c:pt>
                      <c:pt idx="1">
                        <c:v>DR</c:v>
                      </c:pt>
                      <c:pt idx="2">
                        <c:v>Studierendenreisen (Outgoing)</c:v>
                      </c:pt>
                      <c:pt idx="3">
                        <c:v>Exkursionen</c:v>
                      </c:pt>
                      <c:pt idx="4">
                        <c:v>Pendeln</c:v>
                      </c:pt>
                      <c:pt idx="5">
                        <c:v>Studierendenreisen (Incoming)</c:v>
                      </c:pt>
                      <c:pt idx="6">
                        <c:v>An- und Abreise von Gästen</c:v>
                      </c:pt>
                    </c:strCache>
                  </c:strRef>
                </c:cat>
                <c:val>
                  <c:numRef>
                    <c:extLst xmlns:c15="http://schemas.microsoft.com/office/drawing/2012/chart">
                      <c:ext xmlns:c15="http://schemas.microsoft.com/office/drawing/2012/chart" uri="{02D57815-91ED-43cb-92C2-25804820EDAC}">
                        <c15:formulaRef>
                          <c15:sqref>'KliMax-Auswertung'!$P$248:$P$254</c15:sqref>
                        </c15:formulaRef>
                      </c:ext>
                    </c:extLst>
                    <c:numCache>
                      <c:formatCode>#,##0</c:formatCode>
                      <c:ptCount val="7"/>
                      <c:pt idx="0">
                        <c:v>0</c:v>
                      </c:pt>
                      <c:pt idx="1">
                        <c:v>0</c:v>
                      </c:pt>
                      <c:pt idx="2">
                        <c:v>0</c:v>
                      </c:pt>
                      <c:pt idx="3">
                        <c:v>0</c:v>
                      </c:pt>
                      <c:pt idx="4">
                        <c:v>0</c:v>
                      </c:pt>
                      <c:pt idx="5">
                        <c:v>0</c:v>
                      </c:pt>
                      <c:pt idx="6">
                        <c:v>0</c:v>
                      </c:pt>
                    </c:numCache>
                  </c:numRef>
                </c:val>
                <c:extLst xmlns:c15="http://schemas.microsoft.com/office/drawing/2012/chart">
                  <c:ext xmlns:c16="http://schemas.microsoft.com/office/drawing/2014/chart" uri="{C3380CC4-5D6E-409C-BE32-E72D297353CC}">
                    <c16:uniqueId val="{0000000C-D1B0-415A-BB4F-03EAB5F8B9D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'KliMax-Auswertung'!$Q$247</c15:sqref>
                        </c15:formulaRef>
                      </c:ext>
                    </c:extLst>
                    <c:strCache>
                      <c:ptCount val="1"/>
                      <c:pt idx="0">
                        <c:v>2028</c:v>
                      </c:pt>
                    </c:strCache>
                  </c:strRef>
                </c:tx>
                <c:spPr>
                  <a:solidFill>
                    <a:schemeClr val="accent2">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'KliMax-Auswertung'!$B$248:$B$254</c15:sqref>
                        </c15:formulaRef>
                      </c:ext>
                    </c:extLst>
                    <c:strCache>
                      <c:ptCount val="7"/>
                      <c:pt idx="0">
                        <c:v>Fuhrpark</c:v>
                      </c:pt>
                      <c:pt idx="1">
                        <c:v>DR</c:v>
                      </c:pt>
                      <c:pt idx="2">
                        <c:v>Studierendenreisen (Outgoing)</c:v>
                      </c:pt>
                      <c:pt idx="3">
                        <c:v>Exkursionen</c:v>
                      </c:pt>
                      <c:pt idx="4">
                        <c:v>Pendeln</c:v>
                      </c:pt>
                      <c:pt idx="5">
                        <c:v>Studierendenreisen (Incoming)</c:v>
                      </c:pt>
                      <c:pt idx="6">
                        <c:v>An- und Abreise von Gästen</c:v>
                      </c:pt>
                    </c:strCache>
                  </c:strRef>
                </c:cat>
                <c:val>
                  <c:numRef>
                    <c:extLst xmlns:c15="http://schemas.microsoft.com/office/drawing/2012/chart">
                      <c:ext xmlns:c15="http://schemas.microsoft.com/office/drawing/2012/chart" uri="{02D57815-91ED-43cb-92C2-25804820EDAC}">
                        <c15:formulaRef>
                          <c15:sqref>'KliMax-Auswertung'!$Q$248:$Q$254</c15:sqref>
                        </c15:formulaRef>
                      </c:ext>
                    </c:extLst>
                    <c:numCache>
                      <c:formatCode>#,##0</c:formatCode>
                      <c:ptCount val="7"/>
                      <c:pt idx="0">
                        <c:v>0</c:v>
                      </c:pt>
                      <c:pt idx="1">
                        <c:v>0</c:v>
                      </c:pt>
                      <c:pt idx="2">
                        <c:v>0</c:v>
                      </c:pt>
                      <c:pt idx="3">
                        <c:v>0</c:v>
                      </c:pt>
                      <c:pt idx="4">
                        <c:v>0</c:v>
                      </c:pt>
                      <c:pt idx="5">
                        <c:v>0</c:v>
                      </c:pt>
                      <c:pt idx="6">
                        <c:v>0</c:v>
                      </c:pt>
                    </c:numCache>
                  </c:numRef>
                </c:val>
                <c:extLst xmlns:c15="http://schemas.microsoft.com/office/drawing/2012/chart">
                  <c:ext xmlns:c16="http://schemas.microsoft.com/office/drawing/2014/chart" uri="{C3380CC4-5D6E-409C-BE32-E72D297353CC}">
                    <c16:uniqueId val="{0000000D-D1B0-415A-BB4F-03EAB5F8B9D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'KliMax-Auswertung'!$R$247</c15:sqref>
                        </c15:formulaRef>
                      </c:ext>
                    </c:extLst>
                    <c:strCache>
                      <c:ptCount val="1"/>
                      <c:pt idx="0">
                        <c:v>2029</c:v>
                      </c:pt>
                    </c:strCache>
                  </c:strRef>
                </c:tx>
                <c:spPr>
                  <a:solidFill>
                    <a:schemeClr val="accent3">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'KliMax-Auswertung'!$B$248:$B$254</c15:sqref>
                        </c15:formulaRef>
                      </c:ext>
                    </c:extLst>
                    <c:strCache>
                      <c:ptCount val="7"/>
                      <c:pt idx="0">
                        <c:v>Fuhrpark</c:v>
                      </c:pt>
                      <c:pt idx="1">
                        <c:v>DR</c:v>
                      </c:pt>
                      <c:pt idx="2">
                        <c:v>Studierendenreisen (Outgoing)</c:v>
                      </c:pt>
                      <c:pt idx="3">
                        <c:v>Exkursionen</c:v>
                      </c:pt>
                      <c:pt idx="4">
                        <c:v>Pendeln</c:v>
                      </c:pt>
                      <c:pt idx="5">
                        <c:v>Studierendenreisen (Incoming)</c:v>
                      </c:pt>
                      <c:pt idx="6">
                        <c:v>An- und Abreise von Gästen</c:v>
                      </c:pt>
                    </c:strCache>
                  </c:strRef>
                </c:cat>
                <c:val>
                  <c:numRef>
                    <c:extLst xmlns:c15="http://schemas.microsoft.com/office/drawing/2012/chart">
                      <c:ext xmlns:c15="http://schemas.microsoft.com/office/drawing/2012/chart" uri="{02D57815-91ED-43cb-92C2-25804820EDAC}">
                        <c15:formulaRef>
                          <c15:sqref>'KliMax-Auswertung'!$R$248:$R$254</c15:sqref>
                        </c15:formulaRef>
                      </c:ext>
                    </c:extLst>
                    <c:numCache>
                      <c:formatCode>#,##0</c:formatCode>
                      <c:ptCount val="7"/>
                      <c:pt idx="0">
                        <c:v>0</c:v>
                      </c:pt>
                      <c:pt idx="1">
                        <c:v>0</c:v>
                      </c:pt>
                      <c:pt idx="2">
                        <c:v>0</c:v>
                      </c:pt>
                      <c:pt idx="3">
                        <c:v>0</c:v>
                      </c:pt>
                      <c:pt idx="4">
                        <c:v>0</c:v>
                      </c:pt>
                      <c:pt idx="5">
                        <c:v>0</c:v>
                      </c:pt>
                      <c:pt idx="6">
                        <c:v>0</c:v>
                      </c:pt>
                    </c:numCache>
                  </c:numRef>
                </c:val>
                <c:extLst xmlns:c15="http://schemas.microsoft.com/office/drawing/2012/chart">
                  <c:ext xmlns:c16="http://schemas.microsoft.com/office/drawing/2014/chart" uri="{C3380CC4-5D6E-409C-BE32-E72D297353CC}">
                    <c16:uniqueId val="{0000000E-D1B0-415A-BB4F-03EAB5F8B9D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'KliMax-Auswertung'!$S$247</c15:sqref>
                        </c15:formulaRef>
                      </c:ext>
                    </c:extLst>
                    <c:strCache>
                      <c:ptCount val="1"/>
                      <c:pt idx="0">
                        <c:v>2030</c:v>
                      </c:pt>
                    </c:strCache>
                  </c:strRef>
                </c:tx>
                <c:spPr>
                  <a:solidFill>
                    <a:schemeClr val="accent4">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'KliMax-Auswertung'!$B$248:$B$254</c15:sqref>
                        </c15:formulaRef>
                      </c:ext>
                    </c:extLst>
                    <c:strCache>
                      <c:ptCount val="7"/>
                      <c:pt idx="0">
                        <c:v>Fuhrpark</c:v>
                      </c:pt>
                      <c:pt idx="1">
                        <c:v>DR</c:v>
                      </c:pt>
                      <c:pt idx="2">
                        <c:v>Studierendenreisen (Outgoing)</c:v>
                      </c:pt>
                      <c:pt idx="3">
                        <c:v>Exkursionen</c:v>
                      </c:pt>
                      <c:pt idx="4">
                        <c:v>Pendeln</c:v>
                      </c:pt>
                      <c:pt idx="5">
                        <c:v>Studierendenreisen (Incoming)</c:v>
                      </c:pt>
                      <c:pt idx="6">
                        <c:v>An- und Abreise von Gästen</c:v>
                      </c:pt>
                    </c:strCache>
                  </c:strRef>
                </c:cat>
                <c:val>
                  <c:numRef>
                    <c:extLst xmlns:c15="http://schemas.microsoft.com/office/drawing/2012/chart">
                      <c:ext xmlns:c15="http://schemas.microsoft.com/office/drawing/2012/chart" uri="{02D57815-91ED-43cb-92C2-25804820EDAC}">
                        <c15:formulaRef>
                          <c15:sqref>'KliMax-Auswertung'!$S$248:$S$254</c15:sqref>
                        </c15:formulaRef>
                      </c:ext>
                    </c:extLst>
                    <c:numCache>
                      <c:formatCode>#,##0</c:formatCode>
                      <c:ptCount val="7"/>
                      <c:pt idx="0">
                        <c:v>0</c:v>
                      </c:pt>
                      <c:pt idx="1">
                        <c:v>0</c:v>
                      </c:pt>
                      <c:pt idx="2">
                        <c:v>0</c:v>
                      </c:pt>
                      <c:pt idx="3">
                        <c:v>0</c:v>
                      </c:pt>
                      <c:pt idx="4">
                        <c:v>0</c:v>
                      </c:pt>
                      <c:pt idx="5">
                        <c:v>0</c:v>
                      </c:pt>
                      <c:pt idx="6">
                        <c:v>0</c:v>
                      </c:pt>
                    </c:numCache>
                  </c:numRef>
                </c:val>
                <c:extLst xmlns:c15="http://schemas.microsoft.com/office/drawing/2012/chart">
                  <c:ext xmlns:c16="http://schemas.microsoft.com/office/drawing/2014/chart" uri="{C3380CC4-5D6E-409C-BE32-E72D297353CC}">
                    <c16:uniqueId val="{0000000F-D1B0-415A-BB4F-03EAB5F8B9D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'KliMax-Auswertung'!$T$247</c15:sqref>
                        </c15:formulaRef>
                      </c:ext>
                    </c:extLst>
                    <c:strCache>
                      <c:ptCount val="1"/>
                      <c:pt idx="0">
                        <c:v>2035</c:v>
                      </c:pt>
                    </c:strCache>
                  </c:strRef>
                </c:tx>
                <c:spPr>
                  <a:solidFill>
                    <a:schemeClr val="accent5">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'KliMax-Auswertung'!$B$248:$B$254</c15:sqref>
                        </c15:formulaRef>
                      </c:ext>
                    </c:extLst>
                    <c:strCache>
                      <c:ptCount val="7"/>
                      <c:pt idx="0">
                        <c:v>Fuhrpark</c:v>
                      </c:pt>
                      <c:pt idx="1">
                        <c:v>DR</c:v>
                      </c:pt>
                      <c:pt idx="2">
                        <c:v>Studierendenreisen (Outgoing)</c:v>
                      </c:pt>
                      <c:pt idx="3">
                        <c:v>Exkursionen</c:v>
                      </c:pt>
                      <c:pt idx="4">
                        <c:v>Pendeln</c:v>
                      </c:pt>
                      <c:pt idx="5">
                        <c:v>Studierendenreisen (Incoming)</c:v>
                      </c:pt>
                      <c:pt idx="6">
                        <c:v>An- und Abreise von Gästen</c:v>
                      </c:pt>
                    </c:strCache>
                  </c:strRef>
                </c:cat>
                <c:val>
                  <c:numRef>
                    <c:extLst xmlns:c15="http://schemas.microsoft.com/office/drawing/2012/chart">
                      <c:ext xmlns:c15="http://schemas.microsoft.com/office/drawing/2012/chart" uri="{02D57815-91ED-43cb-92C2-25804820EDAC}">
                        <c15:formulaRef>
                          <c15:sqref>'KliMax-Auswertung'!$T$248:$T$254</c15:sqref>
                        </c15:formulaRef>
                      </c:ext>
                    </c:extLst>
                    <c:numCache>
                      <c:formatCode>#,##0</c:formatCode>
                      <c:ptCount val="7"/>
                      <c:pt idx="0">
                        <c:v>0</c:v>
                      </c:pt>
                      <c:pt idx="1">
                        <c:v>0</c:v>
                      </c:pt>
                      <c:pt idx="2">
                        <c:v>0</c:v>
                      </c:pt>
                      <c:pt idx="3">
                        <c:v>0</c:v>
                      </c:pt>
                      <c:pt idx="4">
                        <c:v>0</c:v>
                      </c:pt>
                      <c:pt idx="5">
                        <c:v>0</c:v>
                      </c:pt>
                      <c:pt idx="6">
                        <c:v>0</c:v>
                      </c:pt>
                    </c:numCache>
                  </c:numRef>
                </c:val>
                <c:extLst xmlns:c15="http://schemas.microsoft.com/office/drawing/2012/chart">
                  <c:ext xmlns:c16="http://schemas.microsoft.com/office/drawing/2014/chart" uri="{C3380CC4-5D6E-409C-BE32-E72D297353CC}">
                    <c16:uniqueId val="{00000010-D1B0-415A-BB4F-03EAB5F8B9D7}"/>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'KliMax-Auswertung'!$U$247</c15:sqref>
                        </c15:formulaRef>
                      </c:ext>
                    </c:extLst>
                    <c:strCache>
                      <c:ptCount val="1"/>
                      <c:pt idx="0">
                        <c:v>2040</c:v>
                      </c:pt>
                    </c:strCache>
                  </c:strRef>
                </c:tx>
                <c:spPr>
                  <a:solidFill>
                    <a:schemeClr val="accent6">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'KliMax-Auswertung'!$B$248:$B$254</c15:sqref>
                        </c15:formulaRef>
                      </c:ext>
                    </c:extLst>
                    <c:strCache>
                      <c:ptCount val="7"/>
                      <c:pt idx="0">
                        <c:v>Fuhrpark</c:v>
                      </c:pt>
                      <c:pt idx="1">
                        <c:v>DR</c:v>
                      </c:pt>
                      <c:pt idx="2">
                        <c:v>Studierendenreisen (Outgoing)</c:v>
                      </c:pt>
                      <c:pt idx="3">
                        <c:v>Exkursionen</c:v>
                      </c:pt>
                      <c:pt idx="4">
                        <c:v>Pendeln</c:v>
                      </c:pt>
                      <c:pt idx="5">
                        <c:v>Studierendenreisen (Incoming)</c:v>
                      </c:pt>
                      <c:pt idx="6">
                        <c:v>An- und Abreise von Gästen</c:v>
                      </c:pt>
                    </c:strCache>
                  </c:strRef>
                </c:cat>
                <c:val>
                  <c:numRef>
                    <c:extLst xmlns:c15="http://schemas.microsoft.com/office/drawing/2012/chart">
                      <c:ext xmlns:c15="http://schemas.microsoft.com/office/drawing/2012/chart" uri="{02D57815-91ED-43cb-92C2-25804820EDAC}">
                        <c15:formulaRef>
                          <c15:sqref>'KliMax-Auswertung'!$U$248:$U$254</c15:sqref>
                        </c15:formulaRef>
                      </c:ext>
                    </c:extLst>
                    <c:numCache>
                      <c:formatCode>#,##0</c:formatCode>
                      <c:ptCount val="7"/>
                      <c:pt idx="0">
                        <c:v>0</c:v>
                      </c:pt>
                      <c:pt idx="1">
                        <c:v>0</c:v>
                      </c:pt>
                      <c:pt idx="2">
                        <c:v>0</c:v>
                      </c:pt>
                      <c:pt idx="3">
                        <c:v>0</c:v>
                      </c:pt>
                      <c:pt idx="4">
                        <c:v>0</c:v>
                      </c:pt>
                      <c:pt idx="5">
                        <c:v>0</c:v>
                      </c:pt>
                      <c:pt idx="6">
                        <c:v>0</c:v>
                      </c:pt>
                    </c:numCache>
                  </c:numRef>
                </c:val>
                <c:extLst xmlns:c15="http://schemas.microsoft.com/office/drawing/2012/chart">
                  <c:ext xmlns:c16="http://schemas.microsoft.com/office/drawing/2014/chart" uri="{C3380CC4-5D6E-409C-BE32-E72D297353CC}">
                    <c16:uniqueId val="{00000011-D1B0-415A-BB4F-03EAB5F8B9D7}"/>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'KliMax-Auswertung'!$V$247</c15:sqref>
                        </c15:formulaRef>
                      </c:ext>
                    </c:extLst>
                    <c:strCache>
                      <c:ptCount val="1"/>
                      <c:pt idx="0">
                        <c:v>2045</c:v>
                      </c:pt>
                    </c:strCache>
                  </c:strRef>
                </c:tx>
                <c:spPr>
                  <a:solidFill>
                    <a:schemeClr val="accent1">
                      <a:lumMod val="80000"/>
                    </a:schemeClr>
                  </a:solidFill>
                  <a:ln>
                    <a:noFill/>
                  </a:ln>
                  <a:effectLst/>
                </c:spPr>
                <c:invertIfNegative val="0"/>
                <c:cat>
                  <c:strRef>
                    <c:extLst xmlns:c15="http://schemas.microsoft.com/office/drawing/2012/chart">
                      <c:ext xmlns:c15="http://schemas.microsoft.com/office/drawing/2012/chart" uri="{02D57815-91ED-43cb-92C2-25804820EDAC}">
                        <c15:formulaRef>
                          <c15:sqref>'KliMax-Auswertung'!$B$248:$B$254</c15:sqref>
                        </c15:formulaRef>
                      </c:ext>
                    </c:extLst>
                    <c:strCache>
                      <c:ptCount val="7"/>
                      <c:pt idx="0">
                        <c:v>Fuhrpark</c:v>
                      </c:pt>
                      <c:pt idx="1">
                        <c:v>DR</c:v>
                      </c:pt>
                      <c:pt idx="2">
                        <c:v>Studierendenreisen (Outgoing)</c:v>
                      </c:pt>
                      <c:pt idx="3">
                        <c:v>Exkursionen</c:v>
                      </c:pt>
                      <c:pt idx="4">
                        <c:v>Pendeln</c:v>
                      </c:pt>
                      <c:pt idx="5">
                        <c:v>Studierendenreisen (Incoming)</c:v>
                      </c:pt>
                      <c:pt idx="6">
                        <c:v>An- und Abreise von Gästen</c:v>
                      </c:pt>
                    </c:strCache>
                  </c:strRef>
                </c:cat>
                <c:val>
                  <c:numRef>
                    <c:extLst xmlns:c15="http://schemas.microsoft.com/office/drawing/2012/chart">
                      <c:ext xmlns:c15="http://schemas.microsoft.com/office/drawing/2012/chart" uri="{02D57815-91ED-43cb-92C2-25804820EDAC}">
                        <c15:formulaRef>
                          <c15:sqref>'KliMax-Auswertung'!$V$248:$V$254</c15:sqref>
                        </c15:formulaRef>
                      </c:ext>
                    </c:extLst>
                    <c:numCache>
                      <c:formatCode>#,##0</c:formatCode>
                      <c:ptCount val="7"/>
                      <c:pt idx="0">
                        <c:v>0</c:v>
                      </c:pt>
                      <c:pt idx="1">
                        <c:v>0</c:v>
                      </c:pt>
                      <c:pt idx="2">
                        <c:v>0</c:v>
                      </c:pt>
                      <c:pt idx="3">
                        <c:v>0</c:v>
                      </c:pt>
                      <c:pt idx="4">
                        <c:v>0</c:v>
                      </c:pt>
                      <c:pt idx="5">
                        <c:v>0</c:v>
                      </c:pt>
                      <c:pt idx="6">
                        <c:v>0</c:v>
                      </c:pt>
                    </c:numCache>
                  </c:numRef>
                </c:val>
                <c:extLst xmlns:c15="http://schemas.microsoft.com/office/drawing/2012/chart">
                  <c:ext xmlns:c16="http://schemas.microsoft.com/office/drawing/2014/chart" uri="{C3380CC4-5D6E-409C-BE32-E72D297353CC}">
                    <c16:uniqueId val="{00000012-D1B0-415A-BB4F-03EAB5F8B9D7}"/>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'KliMax-Auswertung'!$W$247</c15:sqref>
                        </c15:formulaRef>
                      </c:ext>
                    </c:extLst>
                    <c:strCache>
                      <c:ptCount val="1"/>
                      <c:pt idx="0">
                        <c:v>2050</c:v>
                      </c:pt>
                    </c:strCache>
                  </c:strRef>
                </c:tx>
                <c:spPr>
                  <a:solidFill>
                    <a:schemeClr val="accent2">
                      <a:lumMod val="80000"/>
                    </a:schemeClr>
                  </a:solidFill>
                  <a:ln>
                    <a:noFill/>
                  </a:ln>
                  <a:effectLst/>
                </c:spPr>
                <c:invertIfNegative val="0"/>
                <c:cat>
                  <c:strRef>
                    <c:extLst xmlns:c15="http://schemas.microsoft.com/office/drawing/2012/chart">
                      <c:ext xmlns:c15="http://schemas.microsoft.com/office/drawing/2012/chart" uri="{02D57815-91ED-43cb-92C2-25804820EDAC}">
                        <c15:formulaRef>
                          <c15:sqref>'KliMax-Auswertung'!$B$248:$B$254</c15:sqref>
                        </c15:formulaRef>
                      </c:ext>
                    </c:extLst>
                    <c:strCache>
                      <c:ptCount val="7"/>
                      <c:pt idx="0">
                        <c:v>Fuhrpark</c:v>
                      </c:pt>
                      <c:pt idx="1">
                        <c:v>DR</c:v>
                      </c:pt>
                      <c:pt idx="2">
                        <c:v>Studierendenreisen (Outgoing)</c:v>
                      </c:pt>
                      <c:pt idx="3">
                        <c:v>Exkursionen</c:v>
                      </c:pt>
                      <c:pt idx="4">
                        <c:v>Pendeln</c:v>
                      </c:pt>
                      <c:pt idx="5">
                        <c:v>Studierendenreisen (Incoming)</c:v>
                      </c:pt>
                      <c:pt idx="6">
                        <c:v>An- und Abreise von Gästen</c:v>
                      </c:pt>
                    </c:strCache>
                  </c:strRef>
                </c:cat>
                <c:val>
                  <c:numRef>
                    <c:extLst xmlns:c15="http://schemas.microsoft.com/office/drawing/2012/chart">
                      <c:ext xmlns:c15="http://schemas.microsoft.com/office/drawing/2012/chart" uri="{02D57815-91ED-43cb-92C2-25804820EDAC}">
                        <c15:formulaRef>
                          <c15:sqref>'KliMax-Auswertung'!$W$248:$W$254</c15:sqref>
                        </c15:formulaRef>
                      </c:ext>
                    </c:extLst>
                    <c:numCache>
                      <c:formatCode>#,##0</c:formatCode>
                      <c:ptCount val="7"/>
                      <c:pt idx="0">
                        <c:v>0</c:v>
                      </c:pt>
                      <c:pt idx="1">
                        <c:v>0</c:v>
                      </c:pt>
                      <c:pt idx="2">
                        <c:v>0</c:v>
                      </c:pt>
                      <c:pt idx="3">
                        <c:v>0</c:v>
                      </c:pt>
                      <c:pt idx="4">
                        <c:v>0</c:v>
                      </c:pt>
                      <c:pt idx="5">
                        <c:v>0</c:v>
                      </c:pt>
                      <c:pt idx="6">
                        <c:v>0</c:v>
                      </c:pt>
                    </c:numCache>
                  </c:numRef>
                </c:val>
                <c:extLst xmlns:c15="http://schemas.microsoft.com/office/drawing/2012/chart">
                  <c:ext xmlns:c16="http://schemas.microsoft.com/office/drawing/2014/chart" uri="{C3380CC4-5D6E-409C-BE32-E72D297353CC}">
                    <c16:uniqueId val="{00000013-D1B0-415A-BB4F-03EAB5F8B9D7}"/>
                  </c:ext>
                </c:extLst>
              </c15:ser>
            </c15:filteredBarSeries>
          </c:ext>
        </c:extLst>
      </c:barChart>
      <c:catAx>
        <c:axId val="172227716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9315119"/>
        <c:crosses val="autoZero"/>
        <c:auto val="1"/>
        <c:lblAlgn val="ctr"/>
        <c:lblOffset val="100"/>
        <c:noMultiLvlLbl val="0"/>
      </c:catAx>
      <c:valAx>
        <c:axId val="1429315119"/>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000" b="0" i="0" u="none" strike="noStrike" baseline="0">
                    <a:effectLst/>
                  </a:rPr>
                  <a:t>t CO</a:t>
                </a:r>
                <a:r>
                  <a:rPr lang="en-GB" sz="1000" b="0" i="0" u="none" strike="noStrike" baseline="-25000">
                    <a:effectLst/>
                  </a:rPr>
                  <a:t>2</a:t>
                </a:r>
                <a:r>
                  <a:rPr lang="en-GB" sz="1000" b="0" i="0" u="none" strike="noStrike" baseline="0">
                    <a:effectLst/>
                  </a:rPr>
                  <a:t>-Äq.</a:t>
                </a:r>
                <a:r>
                  <a:rPr lang="en-GB" sz="1000" b="0" i="0" u="none" strike="noStrike" baseline="0"/>
                  <a:t> </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222771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Modal</a:t>
            </a:r>
            <a:r>
              <a:rPr lang="en-GB" baseline="0"/>
              <a:t> Split der Pendlermobilität 2019 </a:t>
            </a:r>
            <a:r>
              <a:rPr lang="en-US" sz="1400" b="0" i="0" u="none" strike="noStrike" baseline="0">
                <a:effectLst/>
              </a:rPr>
              <a:t>[t</a:t>
            </a:r>
            <a:r>
              <a:rPr lang="en-GB" sz="1400" b="0" i="0" u="none" strike="noStrike" baseline="0">
                <a:effectLst/>
              </a:rPr>
              <a:t> CO</a:t>
            </a:r>
            <a:r>
              <a:rPr lang="en-GB" sz="1400" b="0" i="0" u="none" strike="noStrike" baseline="-25000">
                <a:effectLst/>
              </a:rPr>
              <a:t>2</a:t>
            </a:r>
            <a:r>
              <a:rPr lang="en-GB" sz="1400" b="0" i="0" u="none" strike="noStrike" baseline="0">
                <a:effectLst/>
              </a:rPr>
              <a:t>-Äq.</a:t>
            </a:r>
            <a:r>
              <a:rPr lang="en-US" sz="1400" b="0" i="0" u="none" strike="noStrike" baseline="0">
                <a:effectLst/>
              </a:rPr>
              <a:t>]</a:t>
            </a:r>
            <a:r>
              <a:rPr lang="en-GB" baseline="0"/>
              <a:t>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'KliMax-Auswertung'!$D$201</c:f>
              <c:strCache>
                <c:ptCount val="1"/>
                <c:pt idx="0">
                  <c:v>2015</c:v>
                </c:pt>
              </c:strCache>
              <c:extLst xmlns:c15="http://schemas.microsoft.com/office/drawing/2012/chart"/>
            </c:strRef>
          </c:tx>
          <c:spPr>
            <a:solidFill>
              <a:schemeClr val="accent1"/>
            </a:solidFill>
            <a:ln>
              <a:noFill/>
            </a:ln>
            <a:effectLst/>
          </c:spPr>
          <c:invertIfNegative val="0"/>
          <c:cat>
            <c:multiLvlStrRef>
              <c:f>'KliMax-Auswertung'!$B$202:$B$243</c:f>
            </c:multiLvlStrRef>
          </c:cat>
          <c:val>
            <c:numRef>
              <c:f>'KliMax-Auswertung'!$D$202:$D$243</c:f>
            </c:numRef>
          </c:val>
          <c:extLst xmlns:c15="http://schemas.microsoft.com/office/drawing/2012/chart">
            <c:ext xmlns:c16="http://schemas.microsoft.com/office/drawing/2014/chart" uri="{C3380CC4-5D6E-409C-BE32-E72D297353CC}">
              <c16:uniqueId val="{00000001-C9F6-431F-9B3C-ABE68602F8D0}"/>
            </c:ext>
          </c:extLst>
        </c:ser>
        <c:ser>
          <c:idx val="1"/>
          <c:order val="1"/>
          <c:tx>
            <c:strRef>
              <c:f>'KliMax-Auswertung'!$E$201</c:f>
              <c:strCache>
                <c:ptCount val="1"/>
                <c:pt idx="0">
                  <c:v>2016</c:v>
                </c:pt>
              </c:strCache>
              <c:extLst xmlns:c15="http://schemas.microsoft.com/office/drawing/2012/chart"/>
            </c:strRef>
          </c:tx>
          <c:spPr>
            <a:solidFill>
              <a:schemeClr val="accent2"/>
            </a:solidFill>
            <a:ln>
              <a:noFill/>
            </a:ln>
            <a:effectLst/>
          </c:spPr>
          <c:invertIfNegative val="0"/>
          <c:cat>
            <c:multiLvlStrRef>
              <c:f>'KliMax-Auswertung'!$B$202:$B$243</c:f>
            </c:multiLvlStrRef>
          </c:cat>
          <c:val>
            <c:numRef>
              <c:f>'KliMax-Auswertung'!$E$202:$E$243</c:f>
            </c:numRef>
          </c:val>
          <c:extLst xmlns:c15="http://schemas.microsoft.com/office/drawing/2012/chart">
            <c:ext xmlns:c16="http://schemas.microsoft.com/office/drawing/2014/chart" uri="{C3380CC4-5D6E-409C-BE32-E72D297353CC}">
              <c16:uniqueId val="{00000002-C9F6-431F-9B3C-ABE68602F8D0}"/>
            </c:ext>
          </c:extLst>
        </c:ser>
        <c:ser>
          <c:idx val="2"/>
          <c:order val="2"/>
          <c:tx>
            <c:strRef>
              <c:f>'KliMax-Auswertung'!$F$201</c:f>
              <c:strCache>
                <c:ptCount val="1"/>
                <c:pt idx="0">
                  <c:v>2017</c:v>
                </c:pt>
              </c:strCache>
              <c:extLst xmlns:c15="http://schemas.microsoft.com/office/drawing/2012/chart"/>
            </c:strRef>
          </c:tx>
          <c:spPr>
            <a:solidFill>
              <a:schemeClr val="accent3"/>
            </a:solidFill>
            <a:ln>
              <a:noFill/>
            </a:ln>
            <a:effectLst/>
          </c:spPr>
          <c:invertIfNegative val="0"/>
          <c:cat>
            <c:multiLvlStrRef>
              <c:f>'KliMax-Auswertung'!$B$202:$B$243</c:f>
            </c:multiLvlStrRef>
          </c:cat>
          <c:val>
            <c:numRef>
              <c:f>'KliMax-Auswertung'!$F$202:$F$243</c:f>
            </c:numRef>
          </c:val>
          <c:extLst xmlns:c15="http://schemas.microsoft.com/office/drawing/2012/chart">
            <c:ext xmlns:c16="http://schemas.microsoft.com/office/drawing/2014/chart" uri="{C3380CC4-5D6E-409C-BE32-E72D297353CC}">
              <c16:uniqueId val="{00000003-C9F6-431F-9B3C-ABE68602F8D0}"/>
            </c:ext>
          </c:extLst>
        </c:ser>
        <c:ser>
          <c:idx val="3"/>
          <c:order val="3"/>
          <c:tx>
            <c:strRef>
              <c:f>'KliMax-Auswertung'!$G$201</c:f>
              <c:strCache>
                <c:ptCount val="1"/>
                <c:pt idx="0">
                  <c:v>2018</c:v>
                </c:pt>
              </c:strCache>
              <c:extLst xmlns:c15="http://schemas.microsoft.com/office/drawing/2012/chart"/>
            </c:strRef>
          </c:tx>
          <c:spPr>
            <a:solidFill>
              <a:schemeClr val="accent4"/>
            </a:solidFill>
            <a:ln>
              <a:noFill/>
            </a:ln>
            <a:effectLst/>
          </c:spPr>
          <c:invertIfNegative val="0"/>
          <c:cat>
            <c:multiLvlStrRef>
              <c:f>'KliMax-Auswertung'!$B$202:$B$243</c:f>
            </c:multiLvlStrRef>
          </c:cat>
          <c:val>
            <c:numRef>
              <c:f>'KliMax-Auswertung'!$G$202:$G$243</c:f>
            </c:numRef>
          </c:val>
          <c:extLst xmlns:c15="http://schemas.microsoft.com/office/drawing/2012/chart">
            <c:ext xmlns:c16="http://schemas.microsoft.com/office/drawing/2014/chart" uri="{C3380CC4-5D6E-409C-BE32-E72D297353CC}">
              <c16:uniqueId val="{00000004-C9F6-431F-9B3C-ABE68602F8D0}"/>
            </c:ext>
          </c:extLst>
        </c:ser>
        <c:ser>
          <c:idx val="4"/>
          <c:order val="4"/>
          <c:tx>
            <c:strRef>
              <c:f>'KliMax-Auswertung'!$H$201</c:f>
              <c:strCache>
                <c:ptCount val="1"/>
                <c:pt idx="0">
                  <c:v>2019</c:v>
                </c:pt>
              </c:strCache>
            </c:strRef>
          </c:tx>
          <c:spPr>
            <a:solidFill>
              <a:schemeClr val="accent5"/>
            </a:solidFill>
            <a:ln>
              <a:noFill/>
            </a:ln>
            <a:effectLst/>
          </c:spPr>
          <c:invertIfNegative val="0"/>
          <c:cat>
            <c:multiLvlStrRef>
              <c:f>'KliMax-Auswertung'!$B$202:$B$243</c:f>
            </c:multiLvlStrRef>
          </c:cat>
          <c:val>
            <c:numRef>
              <c:f>'KliMax-Auswertung'!$H$202:$H$243</c:f>
            </c:numRef>
          </c:val>
          <c:extLst>
            <c:ext xmlns:c16="http://schemas.microsoft.com/office/drawing/2014/chart" uri="{C3380CC4-5D6E-409C-BE32-E72D297353CC}">
              <c16:uniqueId val="{00000000-C9F6-431F-9B3C-ABE68602F8D0}"/>
            </c:ext>
          </c:extLst>
        </c:ser>
        <c:ser>
          <c:idx val="5"/>
          <c:order val="5"/>
          <c:tx>
            <c:strRef>
              <c:f>'KliMax-Auswertung'!$I$201</c:f>
              <c:strCache>
                <c:ptCount val="1"/>
                <c:pt idx="0">
                  <c:v>2020</c:v>
                </c:pt>
              </c:strCache>
              <c:extLst xmlns:c15="http://schemas.microsoft.com/office/drawing/2012/chart"/>
            </c:strRef>
          </c:tx>
          <c:spPr>
            <a:solidFill>
              <a:schemeClr val="accent6"/>
            </a:solidFill>
            <a:ln>
              <a:noFill/>
            </a:ln>
            <a:effectLst/>
          </c:spPr>
          <c:invertIfNegative val="0"/>
          <c:cat>
            <c:multiLvlStrRef>
              <c:f>'KliMax-Auswertung'!$B$202:$B$243</c:f>
            </c:multiLvlStrRef>
          </c:cat>
          <c:val>
            <c:numRef>
              <c:f>'KliMax-Auswertung'!$I$202:$I$243</c:f>
            </c:numRef>
          </c:val>
          <c:extLst xmlns:c15="http://schemas.microsoft.com/office/drawing/2012/chart">
            <c:ext xmlns:c16="http://schemas.microsoft.com/office/drawing/2014/chart" uri="{C3380CC4-5D6E-409C-BE32-E72D297353CC}">
              <c16:uniqueId val="{00000005-C9F6-431F-9B3C-ABE68602F8D0}"/>
            </c:ext>
          </c:extLst>
        </c:ser>
        <c:ser>
          <c:idx val="6"/>
          <c:order val="6"/>
          <c:tx>
            <c:strRef>
              <c:f>'KliMax-Auswertung'!$J$201</c:f>
              <c:strCache>
                <c:ptCount val="1"/>
                <c:pt idx="0">
                  <c:v>2021</c:v>
                </c:pt>
              </c:strCache>
              <c:extLst xmlns:c15="http://schemas.microsoft.com/office/drawing/2012/chart"/>
            </c:strRef>
          </c:tx>
          <c:spPr>
            <a:solidFill>
              <a:schemeClr val="accent1">
                <a:lumMod val="60000"/>
              </a:schemeClr>
            </a:solidFill>
            <a:ln>
              <a:noFill/>
            </a:ln>
            <a:effectLst/>
          </c:spPr>
          <c:invertIfNegative val="0"/>
          <c:cat>
            <c:multiLvlStrRef>
              <c:f>'KliMax-Auswertung'!$B$202:$B$243</c:f>
            </c:multiLvlStrRef>
          </c:cat>
          <c:val>
            <c:numRef>
              <c:f>'KliMax-Auswertung'!$J$202:$J$243</c:f>
            </c:numRef>
          </c:val>
          <c:extLst xmlns:c15="http://schemas.microsoft.com/office/drawing/2012/chart">
            <c:ext xmlns:c16="http://schemas.microsoft.com/office/drawing/2014/chart" uri="{C3380CC4-5D6E-409C-BE32-E72D297353CC}">
              <c16:uniqueId val="{00000006-C9F6-431F-9B3C-ABE68602F8D0}"/>
            </c:ext>
          </c:extLst>
        </c:ser>
        <c:ser>
          <c:idx val="7"/>
          <c:order val="7"/>
          <c:tx>
            <c:strRef>
              <c:f>'KliMax-Auswertung'!$K$201</c:f>
              <c:strCache>
                <c:ptCount val="1"/>
                <c:pt idx="0">
                  <c:v>2022</c:v>
                </c:pt>
              </c:strCache>
              <c:extLst xmlns:c15="http://schemas.microsoft.com/office/drawing/2012/chart"/>
            </c:strRef>
          </c:tx>
          <c:spPr>
            <a:solidFill>
              <a:schemeClr val="accent2">
                <a:lumMod val="60000"/>
              </a:schemeClr>
            </a:solidFill>
            <a:ln>
              <a:noFill/>
            </a:ln>
            <a:effectLst/>
          </c:spPr>
          <c:invertIfNegative val="0"/>
          <c:cat>
            <c:multiLvlStrRef>
              <c:f>'KliMax-Auswertung'!$B$202:$B$243</c:f>
            </c:multiLvlStrRef>
          </c:cat>
          <c:val>
            <c:numRef>
              <c:f>'KliMax-Auswertung'!$K$202:$K$243</c:f>
            </c:numRef>
          </c:val>
          <c:extLst xmlns:c15="http://schemas.microsoft.com/office/drawing/2012/chart">
            <c:ext xmlns:c16="http://schemas.microsoft.com/office/drawing/2014/chart" uri="{C3380CC4-5D6E-409C-BE32-E72D297353CC}">
              <c16:uniqueId val="{00000007-C9F6-431F-9B3C-ABE68602F8D0}"/>
            </c:ext>
          </c:extLst>
        </c:ser>
        <c:ser>
          <c:idx val="8"/>
          <c:order val="8"/>
          <c:tx>
            <c:strRef>
              <c:f>'KliMax-Auswertung'!$L$201</c:f>
              <c:strCache>
                <c:ptCount val="1"/>
                <c:pt idx="0">
                  <c:v>2023</c:v>
                </c:pt>
              </c:strCache>
              <c:extLst xmlns:c15="http://schemas.microsoft.com/office/drawing/2012/chart"/>
            </c:strRef>
          </c:tx>
          <c:spPr>
            <a:solidFill>
              <a:schemeClr val="accent3">
                <a:lumMod val="60000"/>
              </a:schemeClr>
            </a:solidFill>
            <a:ln>
              <a:noFill/>
            </a:ln>
            <a:effectLst/>
          </c:spPr>
          <c:invertIfNegative val="0"/>
          <c:cat>
            <c:multiLvlStrRef>
              <c:f>'KliMax-Auswertung'!$B$202:$B$243</c:f>
            </c:multiLvlStrRef>
          </c:cat>
          <c:val>
            <c:numRef>
              <c:f>'KliMax-Auswertung'!$L$202:$L$243</c:f>
            </c:numRef>
          </c:val>
          <c:extLst xmlns:c15="http://schemas.microsoft.com/office/drawing/2012/chart">
            <c:ext xmlns:c16="http://schemas.microsoft.com/office/drawing/2014/chart" uri="{C3380CC4-5D6E-409C-BE32-E72D297353CC}">
              <c16:uniqueId val="{00000008-C9F6-431F-9B3C-ABE68602F8D0}"/>
            </c:ext>
          </c:extLst>
        </c:ser>
        <c:ser>
          <c:idx val="9"/>
          <c:order val="9"/>
          <c:tx>
            <c:strRef>
              <c:f>'KliMax-Auswertung'!$M$201</c:f>
              <c:strCache>
                <c:ptCount val="1"/>
                <c:pt idx="0">
                  <c:v>2024</c:v>
                </c:pt>
              </c:strCache>
              <c:extLst xmlns:c15="http://schemas.microsoft.com/office/drawing/2012/chart"/>
            </c:strRef>
          </c:tx>
          <c:spPr>
            <a:solidFill>
              <a:schemeClr val="accent4">
                <a:lumMod val="60000"/>
              </a:schemeClr>
            </a:solidFill>
            <a:ln>
              <a:noFill/>
            </a:ln>
            <a:effectLst/>
          </c:spPr>
          <c:invertIfNegative val="0"/>
          <c:cat>
            <c:multiLvlStrRef>
              <c:f>'KliMax-Auswertung'!$B$202:$B$243</c:f>
            </c:multiLvlStrRef>
          </c:cat>
          <c:val>
            <c:numRef>
              <c:f>'KliMax-Auswertung'!$M$202:$M$243</c:f>
            </c:numRef>
          </c:val>
          <c:extLst xmlns:c15="http://schemas.microsoft.com/office/drawing/2012/chart">
            <c:ext xmlns:c16="http://schemas.microsoft.com/office/drawing/2014/chart" uri="{C3380CC4-5D6E-409C-BE32-E72D297353CC}">
              <c16:uniqueId val="{00000009-C9F6-431F-9B3C-ABE68602F8D0}"/>
            </c:ext>
          </c:extLst>
        </c:ser>
        <c:ser>
          <c:idx val="10"/>
          <c:order val="10"/>
          <c:tx>
            <c:strRef>
              <c:f>'KliMax-Auswertung'!$N$201</c:f>
              <c:strCache>
                <c:ptCount val="1"/>
                <c:pt idx="0">
                  <c:v>2025</c:v>
                </c:pt>
              </c:strCache>
              <c:extLst xmlns:c15="http://schemas.microsoft.com/office/drawing/2012/chart"/>
            </c:strRef>
          </c:tx>
          <c:spPr>
            <a:solidFill>
              <a:schemeClr val="accent5">
                <a:lumMod val="60000"/>
              </a:schemeClr>
            </a:solidFill>
            <a:ln>
              <a:noFill/>
            </a:ln>
            <a:effectLst/>
          </c:spPr>
          <c:invertIfNegative val="0"/>
          <c:cat>
            <c:multiLvlStrRef>
              <c:f>'KliMax-Auswertung'!$B$202:$B$243</c:f>
            </c:multiLvlStrRef>
          </c:cat>
          <c:val>
            <c:numRef>
              <c:f>'KliMax-Auswertung'!$N$202:$N$243</c:f>
            </c:numRef>
          </c:val>
          <c:extLst xmlns:c15="http://schemas.microsoft.com/office/drawing/2012/chart">
            <c:ext xmlns:c16="http://schemas.microsoft.com/office/drawing/2014/chart" uri="{C3380CC4-5D6E-409C-BE32-E72D297353CC}">
              <c16:uniqueId val="{0000000A-C9F6-431F-9B3C-ABE68602F8D0}"/>
            </c:ext>
          </c:extLst>
        </c:ser>
        <c:ser>
          <c:idx val="11"/>
          <c:order val="11"/>
          <c:tx>
            <c:strRef>
              <c:f>'KliMax-Auswertung'!$O$201</c:f>
              <c:strCache>
                <c:ptCount val="1"/>
                <c:pt idx="0">
                  <c:v>2026</c:v>
                </c:pt>
              </c:strCache>
              <c:extLst xmlns:c15="http://schemas.microsoft.com/office/drawing/2012/chart"/>
            </c:strRef>
          </c:tx>
          <c:spPr>
            <a:solidFill>
              <a:schemeClr val="accent6">
                <a:lumMod val="60000"/>
              </a:schemeClr>
            </a:solidFill>
            <a:ln>
              <a:noFill/>
            </a:ln>
            <a:effectLst/>
          </c:spPr>
          <c:invertIfNegative val="0"/>
          <c:cat>
            <c:multiLvlStrRef>
              <c:f>'KliMax-Auswertung'!$B$202:$B$243</c:f>
            </c:multiLvlStrRef>
          </c:cat>
          <c:val>
            <c:numRef>
              <c:f>'KliMax-Auswertung'!$O$202:$O$243</c:f>
            </c:numRef>
          </c:val>
          <c:extLst xmlns:c15="http://schemas.microsoft.com/office/drawing/2012/chart">
            <c:ext xmlns:c16="http://schemas.microsoft.com/office/drawing/2014/chart" uri="{C3380CC4-5D6E-409C-BE32-E72D297353CC}">
              <c16:uniqueId val="{0000000B-C9F6-431F-9B3C-ABE68602F8D0}"/>
            </c:ext>
          </c:extLst>
        </c:ser>
        <c:ser>
          <c:idx val="12"/>
          <c:order val="12"/>
          <c:tx>
            <c:strRef>
              <c:f>'KliMax-Auswertung'!$P$201</c:f>
              <c:strCache>
                <c:ptCount val="1"/>
                <c:pt idx="0">
                  <c:v>2027</c:v>
                </c:pt>
              </c:strCache>
              <c:extLst xmlns:c15="http://schemas.microsoft.com/office/drawing/2012/chart"/>
            </c:strRef>
          </c:tx>
          <c:spPr>
            <a:solidFill>
              <a:schemeClr val="accent1">
                <a:lumMod val="80000"/>
                <a:lumOff val="20000"/>
              </a:schemeClr>
            </a:solidFill>
            <a:ln>
              <a:noFill/>
            </a:ln>
            <a:effectLst/>
          </c:spPr>
          <c:invertIfNegative val="0"/>
          <c:cat>
            <c:multiLvlStrRef>
              <c:f>'KliMax-Auswertung'!$B$202:$B$243</c:f>
            </c:multiLvlStrRef>
          </c:cat>
          <c:val>
            <c:numRef>
              <c:f>'KliMax-Auswertung'!$P$202:$P$243</c:f>
            </c:numRef>
          </c:val>
          <c:extLst xmlns:c15="http://schemas.microsoft.com/office/drawing/2012/chart">
            <c:ext xmlns:c16="http://schemas.microsoft.com/office/drawing/2014/chart" uri="{C3380CC4-5D6E-409C-BE32-E72D297353CC}">
              <c16:uniqueId val="{0000000C-C9F6-431F-9B3C-ABE68602F8D0}"/>
            </c:ext>
          </c:extLst>
        </c:ser>
        <c:ser>
          <c:idx val="13"/>
          <c:order val="13"/>
          <c:tx>
            <c:strRef>
              <c:f>'KliMax-Auswertung'!$Q$201</c:f>
              <c:strCache>
                <c:ptCount val="1"/>
                <c:pt idx="0">
                  <c:v>2028</c:v>
                </c:pt>
              </c:strCache>
              <c:extLst xmlns:c15="http://schemas.microsoft.com/office/drawing/2012/chart"/>
            </c:strRef>
          </c:tx>
          <c:spPr>
            <a:solidFill>
              <a:schemeClr val="accent2">
                <a:lumMod val="80000"/>
                <a:lumOff val="20000"/>
              </a:schemeClr>
            </a:solidFill>
            <a:ln>
              <a:noFill/>
            </a:ln>
            <a:effectLst/>
          </c:spPr>
          <c:invertIfNegative val="0"/>
          <c:cat>
            <c:multiLvlStrRef>
              <c:f>'KliMax-Auswertung'!$B$202:$B$243</c:f>
            </c:multiLvlStrRef>
          </c:cat>
          <c:val>
            <c:numRef>
              <c:f>'KliMax-Auswertung'!$Q$202:$Q$243</c:f>
            </c:numRef>
          </c:val>
          <c:extLst xmlns:c15="http://schemas.microsoft.com/office/drawing/2012/chart">
            <c:ext xmlns:c16="http://schemas.microsoft.com/office/drawing/2014/chart" uri="{C3380CC4-5D6E-409C-BE32-E72D297353CC}">
              <c16:uniqueId val="{0000000D-C9F6-431F-9B3C-ABE68602F8D0}"/>
            </c:ext>
          </c:extLst>
        </c:ser>
        <c:ser>
          <c:idx val="14"/>
          <c:order val="14"/>
          <c:tx>
            <c:strRef>
              <c:f>'KliMax-Auswertung'!$R$201</c:f>
              <c:strCache>
                <c:ptCount val="1"/>
                <c:pt idx="0">
                  <c:v>2029</c:v>
                </c:pt>
              </c:strCache>
              <c:extLst xmlns:c15="http://schemas.microsoft.com/office/drawing/2012/chart"/>
            </c:strRef>
          </c:tx>
          <c:spPr>
            <a:solidFill>
              <a:schemeClr val="accent3">
                <a:lumMod val="80000"/>
                <a:lumOff val="20000"/>
              </a:schemeClr>
            </a:solidFill>
            <a:ln>
              <a:noFill/>
            </a:ln>
            <a:effectLst/>
          </c:spPr>
          <c:invertIfNegative val="0"/>
          <c:cat>
            <c:multiLvlStrRef>
              <c:f>'KliMax-Auswertung'!$B$202:$B$243</c:f>
            </c:multiLvlStrRef>
          </c:cat>
          <c:val>
            <c:numRef>
              <c:f>'KliMax-Auswertung'!$R$202:$R$243</c:f>
            </c:numRef>
          </c:val>
          <c:extLst xmlns:c15="http://schemas.microsoft.com/office/drawing/2012/chart">
            <c:ext xmlns:c16="http://schemas.microsoft.com/office/drawing/2014/chart" uri="{C3380CC4-5D6E-409C-BE32-E72D297353CC}">
              <c16:uniqueId val="{0000000E-C9F6-431F-9B3C-ABE68602F8D0}"/>
            </c:ext>
          </c:extLst>
        </c:ser>
        <c:ser>
          <c:idx val="15"/>
          <c:order val="15"/>
          <c:tx>
            <c:strRef>
              <c:f>'KliMax-Auswertung'!$S$201</c:f>
              <c:strCache>
                <c:ptCount val="1"/>
                <c:pt idx="0">
                  <c:v>2030</c:v>
                </c:pt>
              </c:strCache>
              <c:extLst xmlns:c15="http://schemas.microsoft.com/office/drawing/2012/chart"/>
            </c:strRef>
          </c:tx>
          <c:spPr>
            <a:solidFill>
              <a:schemeClr val="accent4">
                <a:lumMod val="80000"/>
                <a:lumOff val="20000"/>
              </a:schemeClr>
            </a:solidFill>
            <a:ln>
              <a:noFill/>
            </a:ln>
            <a:effectLst/>
          </c:spPr>
          <c:invertIfNegative val="0"/>
          <c:cat>
            <c:multiLvlStrRef>
              <c:f>'KliMax-Auswertung'!$B$202:$B$243</c:f>
            </c:multiLvlStrRef>
          </c:cat>
          <c:val>
            <c:numRef>
              <c:f>'KliMax-Auswertung'!$S$202:$S$243</c:f>
            </c:numRef>
          </c:val>
          <c:extLst xmlns:c15="http://schemas.microsoft.com/office/drawing/2012/chart">
            <c:ext xmlns:c16="http://schemas.microsoft.com/office/drawing/2014/chart" uri="{C3380CC4-5D6E-409C-BE32-E72D297353CC}">
              <c16:uniqueId val="{0000000F-C9F6-431F-9B3C-ABE68602F8D0}"/>
            </c:ext>
          </c:extLst>
        </c:ser>
        <c:ser>
          <c:idx val="16"/>
          <c:order val="16"/>
          <c:tx>
            <c:strRef>
              <c:f>'KliMax-Auswertung'!$T$201</c:f>
              <c:strCache>
                <c:ptCount val="1"/>
                <c:pt idx="0">
                  <c:v>2035</c:v>
                </c:pt>
              </c:strCache>
              <c:extLst xmlns:c15="http://schemas.microsoft.com/office/drawing/2012/chart"/>
            </c:strRef>
          </c:tx>
          <c:spPr>
            <a:solidFill>
              <a:schemeClr val="accent5">
                <a:lumMod val="80000"/>
                <a:lumOff val="20000"/>
              </a:schemeClr>
            </a:solidFill>
            <a:ln>
              <a:noFill/>
            </a:ln>
            <a:effectLst/>
          </c:spPr>
          <c:invertIfNegative val="0"/>
          <c:cat>
            <c:multiLvlStrRef>
              <c:f>'KliMax-Auswertung'!$B$202:$B$243</c:f>
            </c:multiLvlStrRef>
          </c:cat>
          <c:val>
            <c:numRef>
              <c:f>'KliMax-Auswertung'!$T$202:$T$243</c:f>
            </c:numRef>
          </c:val>
          <c:extLst xmlns:c15="http://schemas.microsoft.com/office/drawing/2012/chart">
            <c:ext xmlns:c16="http://schemas.microsoft.com/office/drawing/2014/chart" uri="{C3380CC4-5D6E-409C-BE32-E72D297353CC}">
              <c16:uniqueId val="{00000010-C9F6-431F-9B3C-ABE68602F8D0}"/>
            </c:ext>
          </c:extLst>
        </c:ser>
        <c:ser>
          <c:idx val="17"/>
          <c:order val="17"/>
          <c:tx>
            <c:strRef>
              <c:f>'KliMax-Auswertung'!$U$201</c:f>
              <c:strCache>
                <c:ptCount val="1"/>
                <c:pt idx="0">
                  <c:v>2040</c:v>
                </c:pt>
              </c:strCache>
              <c:extLst xmlns:c15="http://schemas.microsoft.com/office/drawing/2012/chart"/>
            </c:strRef>
          </c:tx>
          <c:spPr>
            <a:solidFill>
              <a:schemeClr val="accent6">
                <a:lumMod val="80000"/>
                <a:lumOff val="20000"/>
              </a:schemeClr>
            </a:solidFill>
            <a:ln>
              <a:noFill/>
            </a:ln>
            <a:effectLst/>
          </c:spPr>
          <c:invertIfNegative val="0"/>
          <c:cat>
            <c:multiLvlStrRef>
              <c:f>'KliMax-Auswertung'!$B$202:$B$243</c:f>
            </c:multiLvlStrRef>
          </c:cat>
          <c:val>
            <c:numRef>
              <c:f>'KliMax-Auswertung'!$U$202:$U$243</c:f>
            </c:numRef>
          </c:val>
          <c:extLst xmlns:c15="http://schemas.microsoft.com/office/drawing/2012/chart">
            <c:ext xmlns:c16="http://schemas.microsoft.com/office/drawing/2014/chart" uri="{C3380CC4-5D6E-409C-BE32-E72D297353CC}">
              <c16:uniqueId val="{00000011-C9F6-431F-9B3C-ABE68602F8D0}"/>
            </c:ext>
          </c:extLst>
        </c:ser>
        <c:ser>
          <c:idx val="18"/>
          <c:order val="18"/>
          <c:tx>
            <c:strRef>
              <c:f>'KliMax-Auswertung'!$V$201</c:f>
              <c:strCache>
                <c:ptCount val="1"/>
                <c:pt idx="0">
                  <c:v>2045</c:v>
                </c:pt>
              </c:strCache>
              <c:extLst xmlns:c15="http://schemas.microsoft.com/office/drawing/2012/chart"/>
            </c:strRef>
          </c:tx>
          <c:spPr>
            <a:solidFill>
              <a:schemeClr val="accent1">
                <a:lumMod val="80000"/>
              </a:schemeClr>
            </a:solidFill>
            <a:ln>
              <a:noFill/>
            </a:ln>
            <a:effectLst/>
          </c:spPr>
          <c:invertIfNegative val="0"/>
          <c:cat>
            <c:multiLvlStrRef>
              <c:f>'KliMax-Auswertung'!$B$202:$B$243</c:f>
            </c:multiLvlStrRef>
          </c:cat>
          <c:val>
            <c:numRef>
              <c:f>'KliMax-Auswertung'!$V$202:$V$243</c:f>
            </c:numRef>
          </c:val>
          <c:extLst xmlns:c15="http://schemas.microsoft.com/office/drawing/2012/chart">
            <c:ext xmlns:c16="http://schemas.microsoft.com/office/drawing/2014/chart" uri="{C3380CC4-5D6E-409C-BE32-E72D297353CC}">
              <c16:uniqueId val="{00000012-C9F6-431F-9B3C-ABE68602F8D0}"/>
            </c:ext>
          </c:extLst>
        </c:ser>
        <c:ser>
          <c:idx val="19"/>
          <c:order val="19"/>
          <c:tx>
            <c:strRef>
              <c:f>'KliMax-Auswertung'!$W$201</c:f>
              <c:strCache>
                <c:ptCount val="1"/>
                <c:pt idx="0">
                  <c:v>2050</c:v>
                </c:pt>
              </c:strCache>
              <c:extLst xmlns:c15="http://schemas.microsoft.com/office/drawing/2012/chart"/>
            </c:strRef>
          </c:tx>
          <c:spPr>
            <a:solidFill>
              <a:schemeClr val="accent2">
                <a:lumMod val="80000"/>
              </a:schemeClr>
            </a:solidFill>
            <a:ln>
              <a:noFill/>
            </a:ln>
            <a:effectLst/>
          </c:spPr>
          <c:invertIfNegative val="0"/>
          <c:cat>
            <c:multiLvlStrRef>
              <c:f>'KliMax-Auswertung'!$B$202:$B$243</c:f>
            </c:multiLvlStrRef>
          </c:cat>
          <c:val>
            <c:numRef>
              <c:f>'KliMax-Auswertung'!$W$202:$W$243</c:f>
            </c:numRef>
          </c:val>
          <c:extLst xmlns:c15="http://schemas.microsoft.com/office/drawing/2012/chart">
            <c:ext xmlns:c16="http://schemas.microsoft.com/office/drawing/2014/chart" uri="{C3380CC4-5D6E-409C-BE32-E72D297353CC}">
              <c16:uniqueId val="{00000013-C9F6-431F-9B3C-ABE68602F8D0}"/>
            </c:ext>
          </c:extLst>
        </c:ser>
        <c:dLbls>
          <c:showLegendKey val="0"/>
          <c:showVal val="0"/>
          <c:showCatName val="0"/>
          <c:showSerName val="0"/>
          <c:showPercent val="0"/>
          <c:showBubbleSize val="0"/>
        </c:dLbls>
        <c:gapWidth val="182"/>
        <c:axId val="1993992783"/>
        <c:axId val="1437547855"/>
        <c:extLst/>
      </c:barChart>
      <c:catAx>
        <c:axId val="199399278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37547855"/>
        <c:crosses val="autoZero"/>
        <c:auto val="1"/>
        <c:lblAlgn val="ctr"/>
        <c:lblOffset val="100"/>
        <c:noMultiLvlLbl val="0"/>
      </c:catAx>
      <c:valAx>
        <c:axId val="1437547855"/>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000" b="0" i="0" baseline="0">
                    <a:effectLst/>
                  </a:rPr>
                  <a:t>t CO</a:t>
                </a:r>
                <a:r>
                  <a:rPr lang="en-GB" sz="1000" b="0" i="0" baseline="-25000">
                    <a:effectLst/>
                  </a:rPr>
                  <a:t>2</a:t>
                </a:r>
                <a:r>
                  <a:rPr lang="en-GB" sz="1000" b="0" i="0" baseline="0">
                    <a:effectLst/>
                  </a:rPr>
                  <a:t>-Äq. </a:t>
                </a:r>
                <a:endParaRPr lang="en-GB" sz="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3992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Modal</a:t>
            </a:r>
            <a:r>
              <a:rPr lang="en-GB" baseline="0"/>
              <a:t> Split der Studierendenreisen 2019 </a:t>
            </a:r>
            <a:r>
              <a:rPr lang="en-US" sz="1400" b="0" i="0" u="none" strike="noStrike" baseline="0">
                <a:effectLst/>
              </a:rPr>
              <a:t>[t</a:t>
            </a:r>
            <a:r>
              <a:rPr lang="en-GB" sz="1400" b="0" i="0" u="none" strike="noStrike" baseline="0">
                <a:effectLst/>
              </a:rPr>
              <a:t> CO</a:t>
            </a:r>
            <a:r>
              <a:rPr lang="en-GB" sz="1400" b="0" i="0" u="none" strike="noStrike" baseline="-25000">
                <a:effectLst/>
              </a:rPr>
              <a:t>2</a:t>
            </a:r>
            <a:r>
              <a:rPr lang="en-GB" sz="1400" b="0" i="0" u="none" strike="noStrike" baseline="0">
                <a:effectLst/>
              </a:rPr>
              <a:t>-Äq.</a:t>
            </a:r>
            <a:r>
              <a:rPr lang="en-US" sz="1400" b="0" i="0" u="none" strike="noStrike" baseline="0">
                <a:effectLst/>
              </a:rPr>
              <a:t>]</a:t>
            </a:r>
            <a:r>
              <a:rPr lang="en-GB" baseline="0"/>
              <a:t>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'KliMax-Auswertung'!$D$201</c:f>
              <c:strCache>
                <c:ptCount val="1"/>
                <c:pt idx="0">
                  <c:v>2015</c:v>
                </c:pt>
              </c:strCache>
              <c:extLst xmlns:c15="http://schemas.microsoft.com/office/drawing/2012/chart"/>
            </c:strRef>
          </c:tx>
          <c:spPr>
            <a:solidFill>
              <a:schemeClr val="accent1"/>
            </a:solidFill>
            <a:ln>
              <a:noFill/>
            </a:ln>
            <a:effectLst/>
          </c:spPr>
          <c:invertIfNegative val="0"/>
          <c:cat>
            <c:multiLvlStrRef>
              <c:f>'KliMax-Auswertung'!$B$202:$B$243</c:f>
            </c:multiLvlStrRef>
          </c:cat>
          <c:val>
            <c:numRef>
              <c:f>'KliMax-Auswertung'!$D$202:$D$243</c:f>
            </c:numRef>
          </c:val>
          <c:extLst xmlns:c15="http://schemas.microsoft.com/office/drawing/2012/chart">
            <c:ext xmlns:c16="http://schemas.microsoft.com/office/drawing/2014/chart" uri="{C3380CC4-5D6E-409C-BE32-E72D297353CC}">
              <c16:uniqueId val="{00000001-3637-4F8E-A074-5793D6FCEC59}"/>
            </c:ext>
          </c:extLst>
        </c:ser>
        <c:ser>
          <c:idx val="1"/>
          <c:order val="1"/>
          <c:tx>
            <c:strRef>
              <c:f>'KliMax-Auswertung'!$E$201</c:f>
              <c:strCache>
                <c:ptCount val="1"/>
                <c:pt idx="0">
                  <c:v>2016</c:v>
                </c:pt>
              </c:strCache>
              <c:extLst xmlns:c15="http://schemas.microsoft.com/office/drawing/2012/chart"/>
            </c:strRef>
          </c:tx>
          <c:spPr>
            <a:solidFill>
              <a:schemeClr val="accent2"/>
            </a:solidFill>
            <a:ln>
              <a:noFill/>
            </a:ln>
            <a:effectLst/>
          </c:spPr>
          <c:invertIfNegative val="0"/>
          <c:cat>
            <c:multiLvlStrRef>
              <c:f>'KliMax-Auswertung'!$B$202:$B$243</c:f>
            </c:multiLvlStrRef>
          </c:cat>
          <c:val>
            <c:numRef>
              <c:f>'KliMax-Auswertung'!$E$202:$E$243</c:f>
            </c:numRef>
          </c:val>
          <c:extLst xmlns:c15="http://schemas.microsoft.com/office/drawing/2012/chart">
            <c:ext xmlns:c16="http://schemas.microsoft.com/office/drawing/2014/chart" uri="{C3380CC4-5D6E-409C-BE32-E72D297353CC}">
              <c16:uniqueId val="{00000002-3637-4F8E-A074-5793D6FCEC59}"/>
            </c:ext>
          </c:extLst>
        </c:ser>
        <c:ser>
          <c:idx val="2"/>
          <c:order val="2"/>
          <c:tx>
            <c:strRef>
              <c:f>'KliMax-Auswertung'!$F$201</c:f>
              <c:strCache>
                <c:ptCount val="1"/>
                <c:pt idx="0">
                  <c:v>2017</c:v>
                </c:pt>
              </c:strCache>
              <c:extLst xmlns:c15="http://schemas.microsoft.com/office/drawing/2012/chart"/>
            </c:strRef>
          </c:tx>
          <c:spPr>
            <a:solidFill>
              <a:schemeClr val="accent3"/>
            </a:solidFill>
            <a:ln>
              <a:noFill/>
            </a:ln>
            <a:effectLst/>
          </c:spPr>
          <c:invertIfNegative val="0"/>
          <c:cat>
            <c:multiLvlStrRef>
              <c:f>'KliMax-Auswertung'!$B$202:$B$243</c:f>
            </c:multiLvlStrRef>
          </c:cat>
          <c:val>
            <c:numRef>
              <c:f>'KliMax-Auswertung'!$F$202:$F$243</c:f>
            </c:numRef>
          </c:val>
          <c:extLst xmlns:c15="http://schemas.microsoft.com/office/drawing/2012/chart">
            <c:ext xmlns:c16="http://schemas.microsoft.com/office/drawing/2014/chart" uri="{C3380CC4-5D6E-409C-BE32-E72D297353CC}">
              <c16:uniqueId val="{00000003-3637-4F8E-A074-5793D6FCEC59}"/>
            </c:ext>
          </c:extLst>
        </c:ser>
        <c:ser>
          <c:idx val="3"/>
          <c:order val="3"/>
          <c:tx>
            <c:strRef>
              <c:f>'KliMax-Auswertung'!$G$201</c:f>
              <c:strCache>
                <c:ptCount val="1"/>
                <c:pt idx="0">
                  <c:v>2018</c:v>
                </c:pt>
              </c:strCache>
              <c:extLst xmlns:c15="http://schemas.microsoft.com/office/drawing/2012/chart"/>
            </c:strRef>
          </c:tx>
          <c:spPr>
            <a:solidFill>
              <a:schemeClr val="accent4"/>
            </a:solidFill>
            <a:ln>
              <a:noFill/>
            </a:ln>
            <a:effectLst/>
          </c:spPr>
          <c:invertIfNegative val="0"/>
          <c:cat>
            <c:multiLvlStrRef>
              <c:f>'KliMax-Auswertung'!$B$202:$B$243</c:f>
            </c:multiLvlStrRef>
          </c:cat>
          <c:val>
            <c:numRef>
              <c:f>'KliMax-Auswertung'!$G$202:$G$243</c:f>
            </c:numRef>
          </c:val>
          <c:extLst xmlns:c15="http://schemas.microsoft.com/office/drawing/2012/chart">
            <c:ext xmlns:c16="http://schemas.microsoft.com/office/drawing/2014/chart" uri="{C3380CC4-5D6E-409C-BE32-E72D297353CC}">
              <c16:uniqueId val="{00000004-3637-4F8E-A074-5793D6FCEC59}"/>
            </c:ext>
          </c:extLst>
        </c:ser>
        <c:ser>
          <c:idx val="4"/>
          <c:order val="4"/>
          <c:tx>
            <c:strRef>
              <c:f>'KliMax-Auswertung'!$H$201</c:f>
              <c:strCache>
                <c:ptCount val="1"/>
                <c:pt idx="0">
                  <c:v>2019</c:v>
                </c:pt>
              </c:strCache>
            </c:strRef>
          </c:tx>
          <c:spPr>
            <a:solidFill>
              <a:schemeClr val="accent5"/>
            </a:solidFill>
            <a:ln>
              <a:noFill/>
            </a:ln>
            <a:effectLst/>
          </c:spPr>
          <c:invertIfNegative val="0"/>
          <c:cat>
            <c:multiLvlStrRef>
              <c:f>'KliMax-Auswertung'!$B$202:$B$243</c:f>
            </c:multiLvlStrRef>
          </c:cat>
          <c:val>
            <c:numRef>
              <c:f>'KliMax-Auswertung'!$H$202:$H$243</c:f>
            </c:numRef>
          </c:val>
          <c:extLst>
            <c:ext xmlns:c16="http://schemas.microsoft.com/office/drawing/2014/chart" uri="{C3380CC4-5D6E-409C-BE32-E72D297353CC}">
              <c16:uniqueId val="{00000000-3637-4F8E-A074-5793D6FCEC59}"/>
            </c:ext>
          </c:extLst>
        </c:ser>
        <c:ser>
          <c:idx val="5"/>
          <c:order val="5"/>
          <c:tx>
            <c:strRef>
              <c:f>'KliMax-Auswertung'!$I$201</c:f>
              <c:strCache>
                <c:ptCount val="1"/>
                <c:pt idx="0">
                  <c:v>2020</c:v>
                </c:pt>
              </c:strCache>
              <c:extLst xmlns:c15="http://schemas.microsoft.com/office/drawing/2012/chart"/>
            </c:strRef>
          </c:tx>
          <c:spPr>
            <a:solidFill>
              <a:schemeClr val="accent6"/>
            </a:solidFill>
            <a:ln>
              <a:noFill/>
            </a:ln>
            <a:effectLst/>
          </c:spPr>
          <c:invertIfNegative val="0"/>
          <c:cat>
            <c:multiLvlStrRef>
              <c:f>'KliMax-Auswertung'!$B$202:$B$243</c:f>
            </c:multiLvlStrRef>
          </c:cat>
          <c:val>
            <c:numRef>
              <c:f>'KliMax-Auswertung'!$I$202:$I$243</c:f>
            </c:numRef>
          </c:val>
          <c:extLst xmlns:c15="http://schemas.microsoft.com/office/drawing/2012/chart">
            <c:ext xmlns:c16="http://schemas.microsoft.com/office/drawing/2014/chart" uri="{C3380CC4-5D6E-409C-BE32-E72D297353CC}">
              <c16:uniqueId val="{00000005-3637-4F8E-A074-5793D6FCEC59}"/>
            </c:ext>
          </c:extLst>
        </c:ser>
        <c:ser>
          <c:idx val="6"/>
          <c:order val="6"/>
          <c:tx>
            <c:strRef>
              <c:f>'KliMax-Auswertung'!$J$201</c:f>
              <c:strCache>
                <c:ptCount val="1"/>
                <c:pt idx="0">
                  <c:v>2021</c:v>
                </c:pt>
              </c:strCache>
              <c:extLst xmlns:c15="http://schemas.microsoft.com/office/drawing/2012/chart"/>
            </c:strRef>
          </c:tx>
          <c:spPr>
            <a:solidFill>
              <a:schemeClr val="accent1">
                <a:lumMod val="60000"/>
              </a:schemeClr>
            </a:solidFill>
            <a:ln>
              <a:noFill/>
            </a:ln>
            <a:effectLst/>
          </c:spPr>
          <c:invertIfNegative val="0"/>
          <c:cat>
            <c:multiLvlStrRef>
              <c:f>'KliMax-Auswertung'!$B$202:$B$243</c:f>
            </c:multiLvlStrRef>
          </c:cat>
          <c:val>
            <c:numRef>
              <c:f>'KliMax-Auswertung'!$J$202:$J$243</c:f>
            </c:numRef>
          </c:val>
          <c:extLst xmlns:c15="http://schemas.microsoft.com/office/drawing/2012/chart">
            <c:ext xmlns:c16="http://schemas.microsoft.com/office/drawing/2014/chart" uri="{C3380CC4-5D6E-409C-BE32-E72D297353CC}">
              <c16:uniqueId val="{00000006-3637-4F8E-A074-5793D6FCEC59}"/>
            </c:ext>
          </c:extLst>
        </c:ser>
        <c:ser>
          <c:idx val="7"/>
          <c:order val="7"/>
          <c:tx>
            <c:strRef>
              <c:f>'KliMax-Auswertung'!$K$201</c:f>
              <c:strCache>
                <c:ptCount val="1"/>
                <c:pt idx="0">
                  <c:v>2022</c:v>
                </c:pt>
              </c:strCache>
              <c:extLst xmlns:c15="http://schemas.microsoft.com/office/drawing/2012/chart"/>
            </c:strRef>
          </c:tx>
          <c:spPr>
            <a:solidFill>
              <a:schemeClr val="accent2">
                <a:lumMod val="60000"/>
              </a:schemeClr>
            </a:solidFill>
            <a:ln>
              <a:noFill/>
            </a:ln>
            <a:effectLst/>
          </c:spPr>
          <c:invertIfNegative val="0"/>
          <c:cat>
            <c:multiLvlStrRef>
              <c:f>'KliMax-Auswertung'!$B$202:$B$243</c:f>
            </c:multiLvlStrRef>
          </c:cat>
          <c:val>
            <c:numRef>
              <c:f>'KliMax-Auswertung'!$K$202:$K$243</c:f>
            </c:numRef>
          </c:val>
          <c:extLst xmlns:c15="http://schemas.microsoft.com/office/drawing/2012/chart">
            <c:ext xmlns:c16="http://schemas.microsoft.com/office/drawing/2014/chart" uri="{C3380CC4-5D6E-409C-BE32-E72D297353CC}">
              <c16:uniqueId val="{00000007-3637-4F8E-A074-5793D6FCEC59}"/>
            </c:ext>
          </c:extLst>
        </c:ser>
        <c:ser>
          <c:idx val="8"/>
          <c:order val="8"/>
          <c:tx>
            <c:strRef>
              <c:f>'KliMax-Auswertung'!$L$201</c:f>
              <c:strCache>
                <c:ptCount val="1"/>
                <c:pt idx="0">
                  <c:v>2023</c:v>
                </c:pt>
              </c:strCache>
              <c:extLst xmlns:c15="http://schemas.microsoft.com/office/drawing/2012/chart"/>
            </c:strRef>
          </c:tx>
          <c:spPr>
            <a:solidFill>
              <a:schemeClr val="accent3">
                <a:lumMod val="60000"/>
              </a:schemeClr>
            </a:solidFill>
            <a:ln>
              <a:noFill/>
            </a:ln>
            <a:effectLst/>
          </c:spPr>
          <c:invertIfNegative val="0"/>
          <c:cat>
            <c:multiLvlStrRef>
              <c:f>'KliMax-Auswertung'!$B$202:$B$243</c:f>
            </c:multiLvlStrRef>
          </c:cat>
          <c:val>
            <c:numRef>
              <c:f>'KliMax-Auswertung'!$L$202:$L$243</c:f>
            </c:numRef>
          </c:val>
          <c:extLst xmlns:c15="http://schemas.microsoft.com/office/drawing/2012/chart">
            <c:ext xmlns:c16="http://schemas.microsoft.com/office/drawing/2014/chart" uri="{C3380CC4-5D6E-409C-BE32-E72D297353CC}">
              <c16:uniqueId val="{00000008-3637-4F8E-A074-5793D6FCEC59}"/>
            </c:ext>
          </c:extLst>
        </c:ser>
        <c:ser>
          <c:idx val="9"/>
          <c:order val="9"/>
          <c:tx>
            <c:strRef>
              <c:f>'KliMax-Auswertung'!$M$201</c:f>
              <c:strCache>
                <c:ptCount val="1"/>
                <c:pt idx="0">
                  <c:v>2024</c:v>
                </c:pt>
              </c:strCache>
              <c:extLst xmlns:c15="http://schemas.microsoft.com/office/drawing/2012/chart"/>
            </c:strRef>
          </c:tx>
          <c:spPr>
            <a:solidFill>
              <a:schemeClr val="accent4">
                <a:lumMod val="60000"/>
              </a:schemeClr>
            </a:solidFill>
            <a:ln>
              <a:noFill/>
            </a:ln>
            <a:effectLst/>
          </c:spPr>
          <c:invertIfNegative val="0"/>
          <c:cat>
            <c:multiLvlStrRef>
              <c:f>'KliMax-Auswertung'!$B$202:$B$243</c:f>
            </c:multiLvlStrRef>
          </c:cat>
          <c:val>
            <c:numRef>
              <c:f>'KliMax-Auswertung'!$M$202:$M$243</c:f>
            </c:numRef>
          </c:val>
          <c:extLst xmlns:c15="http://schemas.microsoft.com/office/drawing/2012/chart">
            <c:ext xmlns:c16="http://schemas.microsoft.com/office/drawing/2014/chart" uri="{C3380CC4-5D6E-409C-BE32-E72D297353CC}">
              <c16:uniqueId val="{00000009-3637-4F8E-A074-5793D6FCEC59}"/>
            </c:ext>
          </c:extLst>
        </c:ser>
        <c:ser>
          <c:idx val="10"/>
          <c:order val="10"/>
          <c:tx>
            <c:strRef>
              <c:f>'KliMax-Auswertung'!$N$201</c:f>
              <c:strCache>
                <c:ptCount val="1"/>
                <c:pt idx="0">
                  <c:v>2025</c:v>
                </c:pt>
              </c:strCache>
              <c:extLst xmlns:c15="http://schemas.microsoft.com/office/drawing/2012/chart"/>
            </c:strRef>
          </c:tx>
          <c:spPr>
            <a:solidFill>
              <a:schemeClr val="accent5">
                <a:lumMod val="60000"/>
              </a:schemeClr>
            </a:solidFill>
            <a:ln>
              <a:noFill/>
            </a:ln>
            <a:effectLst/>
          </c:spPr>
          <c:invertIfNegative val="0"/>
          <c:cat>
            <c:multiLvlStrRef>
              <c:f>'KliMax-Auswertung'!$B$202:$B$243</c:f>
            </c:multiLvlStrRef>
          </c:cat>
          <c:val>
            <c:numRef>
              <c:f>'KliMax-Auswertung'!$N$202:$N$243</c:f>
            </c:numRef>
          </c:val>
          <c:extLst xmlns:c15="http://schemas.microsoft.com/office/drawing/2012/chart">
            <c:ext xmlns:c16="http://schemas.microsoft.com/office/drawing/2014/chart" uri="{C3380CC4-5D6E-409C-BE32-E72D297353CC}">
              <c16:uniqueId val="{0000000A-3637-4F8E-A074-5793D6FCEC59}"/>
            </c:ext>
          </c:extLst>
        </c:ser>
        <c:ser>
          <c:idx val="11"/>
          <c:order val="11"/>
          <c:tx>
            <c:strRef>
              <c:f>'KliMax-Auswertung'!$O$201</c:f>
              <c:strCache>
                <c:ptCount val="1"/>
                <c:pt idx="0">
                  <c:v>2026</c:v>
                </c:pt>
              </c:strCache>
              <c:extLst xmlns:c15="http://schemas.microsoft.com/office/drawing/2012/chart"/>
            </c:strRef>
          </c:tx>
          <c:spPr>
            <a:solidFill>
              <a:schemeClr val="accent6">
                <a:lumMod val="60000"/>
              </a:schemeClr>
            </a:solidFill>
            <a:ln>
              <a:noFill/>
            </a:ln>
            <a:effectLst/>
          </c:spPr>
          <c:invertIfNegative val="0"/>
          <c:cat>
            <c:multiLvlStrRef>
              <c:f>'KliMax-Auswertung'!$B$202:$B$243</c:f>
            </c:multiLvlStrRef>
          </c:cat>
          <c:val>
            <c:numRef>
              <c:f>'KliMax-Auswertung'!$O$202:$O$243</c:f>
            </c:numRef>
          </c:val>
          <c:extLst xmlns:c15="http://schemas.microsoft.com/office/drawing/2012/chart">
            <c:ext xmlns:c16="http://schemas.microsoft.com/office/drawing/2014/chart" uri="{C3380CC4-5D6E-409C-BE32-E72D297353CC}">
              <c16:uniqueId val="{0000000B-3637-4F8E-A074-5793D6FCEC59}"/>
            </c:ext>
          </c:extLst>
        </c:ser>
        <c:ser>
          <c:idx val="12"/>
          <c:order val="12"/>
          <c:tx>
            <c:strRef>
              <c:f>'KliMax-Auswertung'!$P$201</c:f>
              <c:strCache>
                <c:ptCount val="1"/>
                <c:pt idx="0">
                  <c:v>2027</c:v>
                </c:pt>
              </c:strCache>
              <c:extLst xmlns:c15="http://schemas.microsoft.com/office/drawing/2012/chart"/>
            </c:strRef>
          </c:tx>
          <c:spPr>
            <a:solidFill>
              <a:schemeClr val="accent1">
                <a:lumMod val="80000"/>
                <a:lumOff val="20000"/>
              </a:schemeClr>
            </a:solidFill>
            <a:ln>
              <a:noFill/>
            </a:ln>
            <a:effectLst/>
          </c:spPr>
          <c:invertIfNegative val="0"/>
          <c:cat>
            <c:multiLvlStrRef>
              <c:f>'KliMax-Auswertung'!$B$202:$B$243</c:f>
            </c:multiLvlStrRef>
          </c:cat>
          <c:val>
            <c:numRef>
              <c:f>'KliMax-Auswertung'!$P$202:$P$243</c:f>
            </c:numRef>
          </c:val>
          <c:extLst xmlns:c15="http://schemas.microsoft.com/office/drawing/2012/chart">
            <c:ext xmlns:c16="http://schemas.microsoft.com/office/drawing/2014/chart" uri="{C3380CC4-5D6E-409C-BE32-E72D297353CC}">
              <c16:uniqueId val="{0000000C-3637-4F8E-A074-5793D6FCEC59}"/>
            </c:ext>
          </c:extLst>
        </c:ser>
        <c:ser>
          <c:idx val="13"/>
          <c:order val="13"/>
          <c:tx>
            <c:strRef>
              <c:f>'KliMax-Auswertung'!$Q$201</c:f>
              <c:strCache>
                <c:ptCount val="1"/>
                <c:pt idx="0">
                  <c:v>2028</c:v>
                </c:pt>
              </c:strCache>
              <c:extLst xmlns:c15="http://schemas.microsoft.com/office/drawing/2012/chart"/>
            </c:strRef>
          </c:tx>
          <c:spPr>
            <a:solidFill>
              <a:schemeClr val="accent2">
                <a:lumMod val="80000"/>
                <a:lumOff val="20000"/>
              </a:schemeClr>
            </a:solidFill>
            <a:ln>
              <a:noFill/>
            </a:ln>
            <a:effectLst/>
          </c:spPr>
          <c:invertIfNegative val="0"/>
          <c:cat>
            <c:multiLvlStrRef>
              <c:f>'KliMax-Auswertung'!$B$202:$B$243</c:f>
            </c:multiLvlStrRef>
          </c:cat>
          <c:val>
            <c:numRef>
              <c:f>'KliMax-Auswertung'!$Q$202:$Q$243</c:f>
            </c:numRef>
          </c:val>
          <c:extLst xmlns:c15="http://schemas.microsoft.com/office/drawing/2012/chart">
            <c:ext xmlns:c16="http://schemas.microsoft.com/office/drawing/2014/chart" uri="{C3380CC4-5D6E-409C-BE32-E72D297353CC}">
              <c16:uniqueId val="{0000000D-3637-4F8E-A074-5793D6FCEC59}"/>
            </c:ext>
          </c:extLst>
        </c:ser>
        <c:ser>
          <c:idx val="14"/>
          <c:order val="14"/>
          <c:tx>
            <c:strRef>
              <c:f>'KliMax-Auswertung'!$R$201</c:f>
              <c:strCache>
                <c:ptCount val="1"/>
                <c:pt idx="0">
                  <c:v>2029</c:v>
                </c:pt>
              </c:strCache>
              <c:extLst xmlns:c15="http://schemas.microsoft.com/office/drawing/2012/chart"/>
            </c:strRef>
          </c:tx>
          <c:spPr>
            <a:solidFill>
              <a:schemeClr val="accent3">
                <a:lumMod val="80000"/>
                <a:lumOff val="20000"/>
              </a:schemeClr>
            </a:solidFill>
            <a:ln>
              <a:noFill/>
            </a:ln>
            <a:effectLst/>
          </c:spPr>
          <c:invertIfNegative val="0"/>
          <c:cat>
            <c:multiLvlStrRef>
              <c:f>'KliMax-Auswertung'!$B$202:$B$243</c:f>
            </c:multiLvlStrRef>
          </c:cat>
          <c:val>
            <c:numRef>
              <c:f>'KliMax-Auswertung'!$R$202:$R$243</c:f>
            </c:numRef>
          </c:val>
          <c:extLst xmlns:c15="http://schemas.microsoft.com/office/drawing/2012/chart">
            <c:ext xmlns:c16="http://schemas.microsoft.com/office/drawing/2014/chart" uri="{C3380CC4-5D6E-409C-BE32-E72D297353CC}">
              <c16:uniqueId val="{0000000E-3637-4F8E-A074-5793D6FCEC59}"/>
            </c:ext>
          </c:extLst>
        </c:ser>
        <c:ser>
          <c:idx val="15"/>
          <c:order val="15"/>
          <c:tx>
            <c:strRef>
              <c:f>'KliMax-Auswertung'!$S$201</c:f>
              <c:strCache>
                <c:ptCount val="1"/>
                <c:pt idx="0">
                  <c:v>2030</c:v>
                </c:pt>
              </c:strCache>
              <c:extLst xmlns:c15="http://schemas.microsoft.com/office/drawing/2012/chart"/>
            </c:strRef>
          </c:tx>
          <c:spPr>
            <a:solidFill>
              <a:schemeClr val="accent4">
                <a:lumMod val="80000"/>
                <a:lumOff val="20000"/>
              </a:schemeClr>
            </a:solidFill>
            <a:ln>
              <a:noFill/>
            </a:ln>
            <a:effectLst/>
          </c:spPr>
          <c:invertIfNegative val="0"/>
          <c:cat>
            <c:multiLvlStrRef>
              <c:f>'KliMax-Auswertung'!$B$202:$B$243</c:f>
            </c:multiLvlStrRef>
          </c:cat>
          <c:val>
            <c:numRef>
              <c:f>'KliMax-Auswertung'!$S$202:$S$243</c:f>
            </c:numRef>
          </c:val>
          <c:extLst xmlns:c15="http://schemas.microsoft.com/office/drawing/2012/chart">
            <c:ext xmlns:c16="http://schemas.microsoft.com/office/drawing/2014/chart" uri="{C3380CC4-5D6E-409C-BE32-E72D297353CC}">
              <c16:uniqueId val="{0000000F-3637-4F8E-A074-5793D6FCEC59}"/>
            </c:ext>
          </c:extLst>
        </c:ser>
        <c:ser>
          <c:idx val="16"/>
          <c:order val="16"/>
          <c:tx>
            <c:strRef>
              <c:f>'KliMax-Auswertung'!$T$201</c:f>
              <c:strCache>
                <c:ptCount val="1"/>
                <c:pt idx="0">
                  <c:v>2035</c:v>
                </c:pt>
              </c:strCache>
              <c:extLst xmlns:c15="http://schemas.microsoft.com/office/drawing/2012/chart"/>
            </c:strRef>
          </c:tx>
          <c:spPr>
            <a:solidFill>
              <a:schemeClr val="accent5">
                <a:lumMod val="80000"/>
                <a:lumOff val="20000"/>
              </a:schemeClr>
            </a:solidFill>
            <a:ln>
              <a:noFill/>
            </a:ln>
            <a:effectLst/>
          </c:spPr>
          <c:invertIfNegative val="0"/>
          <c:cat>
            <c:multiLvlStrRef>
              <c:f>'KliMax-Auswertung'!$B$202:$B$243</c:f>
            </c:multiLvlStrRef>
          </c:cat>
          <c:val>
            <c:numRef>
              <c:f>'KliMax-Auswertung'!$T$202:$T$243</c:f>
            </c:numRef>
          </c:val>
          <c:extLst xmlns:c15="http://schemas.microsoft.com/office/drawing/2012/chart">
            <c:ext xmlns:c16="http://schemas.microsoft.com/office/drawing/2014/chart" uri="{C3380CC4-5D6E-409C-BE32-E72D297353CC}">
              <c16:uniqueId val="{00000010-3637-4F8E-A074-5793D6FCEC59}"/>
            </c:ext>
          </c:extLst>
        </c:ser>
        <c:ser>
          <c:idx val="17"/>
          <c:order val="17"/>
          <c:tx>
            <c:strRef>
              <c:f>'KliMax-Auswertung'!$U$201</c:f>
              <c:strCache>
                <c:ptCount val="1"/>
                <c:pt idx="0">
                  <c:v>2040</c:v>
                </c:pt>
              </c:strCache>
              <c:extLst xmlns:c15="http://schemas.microsoft.com/office/drawing/2012/chart"/>
            </c:strRef>
          </c:tx>
          <c:spPr>
            <a:solidFill>
              <a:schemeClr val="accent6">
                <a:lumMod val="80000"/>
                <a:lumOff val="20000"/>
              </a:schemeClr>
            </a:solidFill>
            <a:ln>
              <a:noFill/>
            </a:ln>
            <a:effectLst/>
          </c:spPr>
          <c:invertIfNegative val="0"/>
          <c:cat>
            <c:multiLvlStrRef>
              <c:f>'KliMax-Auswertung'!$B$202:$B$243</c:f>
            </c:multiLvlStrRef>
          </c:cat>
          <c:val>
            <c:numRef>
              <c:f>'KliMax-Auswertung'!$U$202:$U$243</c:f>
            </c:numRef>
          </c:val>
          <c:extLst xmlns:c15="http://schemas.microsoft.com/office/drawing/2012/chart">
            <c:ext xmlns:c16="http://schemas.microsoft.com/office/drawing/2014/chart" uri="{C3380CC4-5D6E-409C-BE32-E72D297353CC}">
              <c16:uniqueId val="{00000011-3637-4F8E-A074-5793D6FCEC59}"/>
            </c:ext>
          </c:extLst>
        </c:ser>
        <c:ser>
          <c:idx val="18"/>
          <c:order val="18"/>
          <c:tx>
            <c:strRef>
              <c:f>'KliMax-Auswertung'!$V$201</c:f>
              <c:strCache>
                <c:ptCount val="1"/>
                <c:pt idx="0">
                  <c:v>2045</c:v>
                </c:pt>
              </c:strCache>
              <c:extLst xmlns:c15="http://schemas.microsoft.com/office/drawing/2012/chart"/>
            </c:strRef>
          </c:tx>
          <c:spPr>
            <a:solidFill>
              <a:schemeClr val="accent1">
                <a:lumMod val="80000"/>
              </a:schemeClr>
            </a:solidFill>
            <a:ln>
              <a:noFill/>
            </a:ln>
            <a:effectLst/>
          </c:spPr>
          <c:invertIfNegative val="0"/>
          <c:cat>
            <c:multiLvlStrRef>
              <c:f>'KliMax-Auswertung'!$B$202:$B$243</c:f>
            </c:multiLvlStrRef>
          </c:cat>
          <c:val>
            <c:numRef>
              <c:f>'KliMax-Auswertung'!$V$202:$V$243</c:f>
            </c:numRef>
          </c:val>
          <c:extLst xmlns:c15="http://schemas.microsoft.com/office/drawing/2012/chart">
            <c:ext xmlns:c16="http://schemas.microsoft.com/office/drawing/2014/chart" uri="{C3380CC4-5D6E-409C-BE32-E72D297353CC}">
              <c16:uniqueId val="{00000012-3637-4F8E-A074-5793D6FCEC59}"/>
            </c:ext>
          </c:extLst>
        </c:ser>
        <c:ser>
          <c:idx val="19"/>
          <c:order val="19"/>
          <c:tx>
            <c:strRef>
              <c:f>'KliMax-Auswertung'!$W$201</c:f>
              <c:strCache>
                <c:ptCount val="1"/>
                <c:pt idx="0">
                  <c:v>2050</c:v>
                </c:pt>
              </c:strCache>
              <c:extLst xmlns:c15="http://schemas.microsoft.com/office/drawing/2012/chart"/>
            </c:strRef>
          </c:tx>
          <c:spPr>
            <a:solidFill>
              <a:schemeClr val="accent2">
                <a:lumMod val="80000"/>
              </a:schemeClr>
            </a:solidFill>
            <a:ln>
              <a:noFill/>
            </a:ln>
            <a:effectLst/>
          </c:spPr>
          <c:invertIfNegative val="0"/>
          <c:cat>
            <c:multiLvlStrRef>
              <c:f>'KliMax-Auswertung'!$B$202:$B$243</c:f>
            </c:multiLvlStrRef>
          </c:cat>
          <c:val>
            <c:numRef>
              <c:f>'KliMax-Auswertung'!$W$202:$W$243</c:f>
            </c:numRef>
          </c:val>
          <c:extLst xmlns:c15="http://schemas.microsoft.com/office/drawing/2012/chart">
            <c:ext xmlns:c16="http://schemas.microsoft.com/office/drawing/2014/chart" uri="{C3380CC4-5D6E-409C-BE32-E72D297353CC}">
              <c16:uniqueId val="{00000013-3637-4F8E-A074-5793D6FCEC59}"/>
            </c:ext>
          </c:extLst>
        </c:ser>
        <c:dLbls>
          <c:showLegendKey val="0"/>
          <c:showVal val="0"/>
          <c:showCatName val="0"/>
          <c:showSerName val="0"/>
          <c:showPercent val="0"/>
          <c:showBubbleSize val="0"/>
        </c:dLbls>
        <c:gapWidth val="182"/>
        <c:axId val="1993992783"/>
        <c:axId val="1437547855"/>
        <c:extLst/>
      </c:barChart>
      <c:catAx>
        <c:axId val="199399278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37547855"/>
        <c:crosses val="autoZero"/>
        <c:auto val="1"/>
        <c:lblAlgn val="ctr"/>
        <c:lblOffset val="100"/>
        <c:noMultiLvlLbl val="0"/>
      </c:catAx>
      <c:valAx>
        <c:axId val="1437547855"/>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000" b="0" i="0" baseline="0">
                    <a:effectLst/>
                  </a:rPr>
                  <a:t>t CO</a:t>
                </a:r>
                <a:r>
                  <a:rPr lang="en-GB" sz="1000" b="0" i="0" baseline="-25000">
                    <a:effectLst/>
                  </a:rPr>
                  <a:t>2</a:t>
                </a:r>
                <a:r>
                  <a:rPr lang="en-GB" sz="1000" b="0" i="0" baseline="0">
                    <a:effectLst/>
                  </a:rPr>
                  <a:t>-Äq. </a:t>
                </a:r>
                <a:endParaRPr lang="en-GB" sz="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3992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Emissionen der Dienstreisen</a:t>
            </a:r>
            <a:r>
              <a:rPr lang="en-US" baseline="0"/>
              <a:t> inkl. Fuhrpark </a:t>
            </a:r>
            <a:r>
              <a:rPr lang="en-US"/>
              <a:t>2019 </a:t>
            </a:r>
            <a:r>
              <a:rPr lang="en-US" sz="1400" b="0" i="0" u="none" strike="noStrike" baseline="0">
                <a:effectLst/>
              </a:rPr>
              <a:t>[t</a:t>
            </a:r>
            <a:r>
              <a:rPr lang="en-GB" sz="1400" b="0" i="0" u="none" strike="noStrike" baseline="0">
                <a:effectLst/>
              </a:rPr>
              <a:t> CO</a:t>
            </a:r>
            <a:r>
              <a:rPr lang="en-GB" sz="1400" b="0" i="0" u="none" strike="noStrike" baseline="-25000">
                <a:effectLst/>
              </a:rPr>
              <a:t>2</a:t>
            </a:r>
            <a:r>
              <a:rPr lang="en-GB" sz="1400" b="0" i="0" u="none" strike="noStrike" baseline="0">
                <a:effectLst/>
              </a:rPr>
              <a:t>-Äq.</a:t>
            </a:r>
            <a:r>
              <a:rPr lang="en-US" sz="1400" b="0" i="0" u="none" strike="noStrike" baseline="0">
                <a:effectLst/>
              </a:rPr>
              <a:t>]</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'KliMax-Auswertung'!$D$201</c:f>
              <c:strCache>
                <c:ptCount val="1"/>
                <c:pt idx="0">
                  <c:v>2015</c:v>
                </c:pt>
              </c:strCache>
              <c:extLst xmlns:c15="http://schemas.microsoft.com/office/drawing/2012/chart"/>
            </c:strRef>
          </c:tx>
          <c:spPr>
            <a:solidFill>
              <a:schemeClr val="accent1"/>
            </a:solidFill>
            <a:ln>
              <a:noFill/>
            </a:ln>
            <a:effectLst/>
          </c:spPr>
          <c:invertIfNegative val="0"/>
          <c:cat>
            <c:multiLvlStrRef>
              <c:f>'KliMax-Auswertung'!$B$202:$B$243</c:f>
            </c:multiLvlStrRef>
          </c:cat>
          <c:val>
            <c:numRef>
              <c:f>'KliMax-Auswertung'!$D$202:$D$243</c:f>
            </c:numRef>
          </c:val>
          <c:extLst xmlns:c15="http://schemas.microsoft.com/office/drawing/2012/chart">
            <c:ext xmlns:c16="http://schemas.microsoft.com/office/drawing/2014/chart" uri="{C3380CC4-5D6E-409C-BE32-E72D297353CC}">
              <c16:uniqueId val="{00000000-D498-482A-B313-D5DFF8683E7D}"/>
            </c:ext>
          </c:extLst>
        </c:ser>
        <c:ser>
          <c:idx val="1"/>
          <c:order val="1"/>
          <c:tx>
            <c:strRef>
              <c:f>'KliMax-Auswertung'!$E$201</c:f>
              <c:strCache>
                <c:ptCount val="1"/>
                <c:pt idx="0">
                  <c:v>2016</c:v>
                </c:pt>
              </c:strCache>
              <c:extLst xmlns:c15="http://schemas.microsoft.com/office/drawing/2012/chart"/>
            </c:strRef>
          </c:tx>
          <c:spPr>
            <a:solidFill>
              <a:schemeClr val="accent2"/>
            </a:solidFill>
            <a:ln>
              <a:noFill/>
            </a:ln>
            <a:effectLst/>
          </c:spPr>
          <c:invertIfNegative val="0"/>
          <c:cat>
            <c:multiLvlStrRef>
              <c:f>'KliMax-Auswertung'!$B$202:$B$243</c:f>
            </c:multiLvlStrRef>
          </c:cat>
          <c:val>
            <c:numRef>
              <c:f>'KliMax-Auswertung'!$E$202:$E$243</c:f>
            </c:numRef>
          </c:val>
          <c:extLst xmlns:c15="http://schemas.microsoft.com/office/drawing/2012/chart">
            <c:ext xmlns:c16="http://schemas.microsoft.com/office/drawing/2014/chart" uri="{C3380CC4-5D6E-409C-BE32-E72D297353CC}">
              <c16:uniqueId val="{00000001-D498-482A-B313-D5DFF8683E7D}"/>
            </c:ext>
          </c:extLst>
        </c:ser>
        <c:ser>
          <c:idx val="2"/>
          <c:order val="2"/>
          <c:tx>
            <c:strRef>
              <c:f>'KliMax-Auswertung'!$F$201</c:f>
              <c:strCache>
                <c:ptCount val="1"/>
                <c:pt idx="0">
                  <c:v>2017</c:v>
                </c:pt>
              </c:strCache>
              <c:extLst xmlns:c15="http://schemas.microsoft.com/office/drawing/2012/chart"/>
            </c:strRef>
          </c:tx>
          <c:spPr>
            <a:solidFill>
              <a:schemeClr val="accent3"/>
            </a:solidFill>
            <a:ln>
              <a:noFill/>
            </a:ln>
            <a:effectLst/>
          </c:spPr>
          <c:invertIfNegative val="0"/>
          <c:cat>
            <c:multiLvlStrRef>
              <c:f>'KliMax-Auswertung'!$B$202:$B$243</c:f>
            </c:multiLvlStrRef>
          </c:cat>
          <c:val>
            <c:numRef>
              <c:f>'KliMax-Auswertung'!$F$202:$F$243</c:f>
            </c:numRef>
          </c:val>
          <c:extLst xmlns:c15="http://schemas.microsoft.com/office/drawing/2012/chart">
            <c:ext xmlns:c16="http://schemas.microsoft.com/office/drawing/2014/chart" uri="{C3380CC4-5D6E-409C-BE32-E72D297353CC}">
              <c16:uniqueId val="{00000002-D498-482A-B313-D5DFF8683E7D}"/>
            </c:ext>
          </c:extLst>
        </c:ser>
        <c:ser>
          <c:idx val="3"/>
          <c:order val="3"/>
          <c:tx>
            <c:strRef>
              <c:f>'KliMax-Auswertung'!$G$201</c:f>
              <c:strCache>
                <c:ptCount val="1"/>
                <c:pt idx="0">
                  <c:v>2018</c:v>
                </c:pt>
              </c:strCache>
              <c:extLst xmlns:c15="http://schemas.microsoft.com/office/drawing/2012/chart"/>
            </c:strRef>
          </c:tx>
          <c:spPr>
            <a:solidFill>
              <a:schemeClr val="accent4"/>
            </a:solidFill>
            <a:ln>
              <a:noFill/>
            </a:ln>
            <a:effectLst/>
          </c:spPr>
          <c:invertIfNegative val="0"/>
          <c:cat>
            <c:multiLvlStrRef>
              <c:f>'KliMax-Auswertung'!$B$202:$B$243</c:f>
            </c:multiLvlStrRef>
          </c:cat>
          <c:val>
            <c:numRef>
              <c:f>'KliMax-Auswertung'!$G$202:$G$243</c:f>
            </c:numRef>
          </c:val>
          <c:extLst xmlns:c15="http://schemas.microsoft.com/office/drawing/2012/chart">
            <c:ext xmlns:c16="http://schemas.microsoft.com/office/drawing/2014/chart" uri="{C3380CC4-5D6E-409C-BE32-E72D297353CC}">
              <c16:uniqueId val="{00000003-D498-482A-B313-D5DFF8683E7D}"/>
            </c:ext>
          </c:extLst>
        </c:ser>
        <c:ser>
          <c:idx val="4"/>
          <c:order val="4"/>
          <c:tx>
            <c:strRef>
              <c:f>'KliMax-Auswertung'!$H$201</c:f>
              <c:strCache>
                <c:ptCount val="1"/>
                <c:pt idx="0">
                  <c:v>2019</c:v>
                </c:pt>
              </c:strCache>
            </c:strRef>
          </c:tx>
          <c:spPr>
            <a:solidFill>
              <a:schemeClr val="accent5"/>
            </a:solidFill>
            <a:ln>
              <a:noFill/>
            </a:ln>
            <a:effectLst/>
          </c:spPr>
          <c:invertIfNegative val="0"/>
          <c:cat>
            <c:multiLvlStrRef>
              <c:f>'KliMax-Auswertung'!$B$202:$B$243</c:f>
            </c:multiLvlStrRef>
          </c:cat>
          <c:val>
            <c:numRef>
              <c:f>'KliMax-Auswertung'!$H$202:$H$243</c:f>
            </c:numRef>
          </c:val>
          <c:extLst>
            <c:ext xmlns:c16="http://schemas.microsoft.com/office/drawing/2014/chart" uri="{C3380CC4-5D6E-409C-BE32-E72D297353CC}">
              <c16:uniqueId val="{00000004-D498-482A-B313-D5DFF8683E7D}"/>
            </c:ext>
          </c:extLst>
        </c:ser>
        <c:ser>
          <c:idx val="5"/>
          <c:order val="5"/>
          <c:tx>
            <c:strRef>
              <c:f>'KliMax-Auswertung'!$I$201</c:f>
              <c:strCache>
                <c:ptCount val="1"/>
                <c:pt idx="0">
                  <c:v>2020</c:v>
                </c:pt>
              </c:strCache>
              <c:extLst xmlns:c15="http://schemas.microsoft.com/office/drawing/2012/chart"/>
            </c:strRef>
          </c:tx>
          <c:spPr>
            <a:solidFill>
              <a:schemeClr val="accent6"/>
            </a:solidFill>
            <a:ln>
              <a:noFill/>
            </a:ln>
            <a:effectLst/>
          </c:spPr>
          <c:invertIfNegative val="0"/>
          <c:cat>
            <c:multiLvlStrRef>
              <c:f>'KliMax-Auswertung'!$B$202:$B$243</c:f>
            </c:multiLvlStrRef>
          </c:cat>
          <c:val>
            <c:numRef>
              <c:f>'KliMax-Auswertung'!$I$202:$I$243</c:f>
            </c:numRef>
          </c:val>
          <c:extLst xmlns:c15="http://schemas.microsoft.com/office/drawing/2012/chart">
            <c:ext xmlns:c16="http://schemas.microsoft.com/office/drawing/2014/chart" uri="{C3380CC4-5D6E-409C-BE32-E72D297353CC}">
              <c16:uniqueId val="{00000005-D498-482A-B313-D5DFF8683E7D}"/>
            </c:ext>
          </c:extLst>
        </c:ser>
        <c:ser>
          <c:idx val="6"/>
          <c:order val="6"/>
          <c:tx>
            <c:strRef>
              <c:f>'KliMax-Auswertung'!$J$201</c:f>
              <c:strCache>
                <c:ptCount val="1"/>
                <c:pt idx="0">
                  <c:v>2021</c:v>
                </c:pt>
              </c:strCache>
              <c:extLst xmlns:c15="http://schemas.microsoft.com/office/drawing/2012/chart"/>
            </c:strRef>
          </c:tx>
          <c:spPr>
            <a:solidFill>
              <a:schemeClr val="accent1">
                <a:lumMod val="60000"/>
              </a:schemeClr>
            </a:solidFill>
            <a:ln>
              <a:noFill/>
            </a:ln>
            <a:effectLst/>
          </c:spPr>
          <c:invertIfNegative val="0"/>
          <c:cat>
            <c:multiLvlStrRef>
              <c:f>'KliMax-Auswertung'!$B$202:$B$243</c:f>
            </c:multiLvlStrRef>
          </c:cat>
          <c:val>
            <c:numRef>
              <c:f>'KliMax-Auswertung'!$J$202:$J$243</c:f>
            </c:numRef>
          </c:val>
          <c:extLst xmlns:c15="http://schemas.microsoft.com/office/drawing/2012/chart">
            <c:ext xmlns:c16="http://schemas.microsoft.com/office/drawing/2014/chart" uri="{C3380CC4-5D6E-409C-BE32-E72D297353CC}">
              <c16:uniqueId val="{00000006-D498-482A-B313-D5DFF8683E7D}"/>
            </c:ext>
          </c:extLst>
        </c:ser>
        <c:ser>
          <c:idx val="7"/>
          <c:order val="7"/>
          <c:tx>
            <c:strRef>
              <c:f>'KliMax-Auswertung'!$K$201</c:f>
              <c:strCache>
                <c:ptCount val="1"/>
                <c:pt idx="0">
                  <c:v>2022</c:v>
                </c:pt>
              </c:strCache>
              <c:extLst xmlns:c15="http://schemas.microsoft.com/office/drawing/2012/chart"/>
            </c:strRef>
          </c:tx>
          <c:spPr>
            <a:solidFill>
              <a:schemeClr val="accent2">
                <a:lumMod val="60000"/>
              </a:schemeClr>
            </a:solidFill>
            <a:ln>
              <a:noFill/>
            </a:ln>
            <a:effectLst/>
          </c:spPr>
          <c:invertIfNegative val="0"/>
          <c:cat>
            <c:multiLvlStrRef>
              <c:f>'KliMax-Auswertung'!$B$202:$B$243</c:f>
            </c:multiLvlStrRef>
          </c:cat>
          <c:val>
            <c:numRef>
              <c:f>'KliMax-Auswertung'!$K$202:$K$243</c:f>
            </c:numRef>
          </c:val>
          <c:extLst xmlns:c15="http://schemas.microsoft.com/office/drawing/2012/chart">
            <c:ext xmlns:c16="http://schemas.microsoft.com/office/drawing/2014/chart" uri="{C3380CC4-5D6E-409C-BE32-E72D297353CC}">
              <c16:uniqueId val="{00000007-D498-482A-B313-D5DFF8683E7D}"/>
            </c:ext>
          </c:extLst>
        </c:ser>
        <c:ser>
          <c:idx val="8"/>
          <c:order val="8"/>
          <c:tx>
            <c:strRef>
              <c:f>'KliMax-Auswertung'!$L$201</c:f>
              <c:strCache>
                <c:ptCount val="1"/>
                <c:pt idx="0">
                  <c:v>2023</c:v>
                </c:pt>
              </c:strCache>
              <c:extLst xmlns:c15="http://schemas.microsoft.com/office/drawing/2012/chart"/>
            </c:strRef>
          </c:tx>
          <c:spPr>
            <a:solidFill>
              <a:schemeClr val="accent3">
                <a:lumMod val="60000"/>
              </a:schemeClr>
            </a:solidFill>
            <a:ln>
              <a:noFill/>
            </a:ln>
            <a:effectLst/>
          </c:spPr>
          <c:invertIfNegative val="0"/>
          <c:cat>
            <c:multiLvlStrRef>
              <c:f>'KliMax-Auswertung'!$B$202:$B$243</c:f>
            </c:multiLvlStrRef>
          </c:cat>
          <c:val>
            <c:numRef>
              <c:f>'KliMax-Auswertung'!$L$202:$L$243</c:f>
            </c:numRef>
          </c:val>
          <c:extLst xmlns:c15="http://schemas.microsoft.com/office/drawing/2012/chart">
            <c:ext xmlns:c16="http://schemas.microsoft.com/office/drawing/2014/chart" uri="{C3380CC4-5D6E-409C-BE32-E72D297353CC}">
              <c16:uniqueId val="{00000008-D498-482A-B313-D5DFF8683E7D}"/>
            </c:ext>
          </c:extLst>
        </c:ser>
        <c:ser>
          <c:idx val="9"/>
          <c:order val="9"/>
          <c:tx>
            <c:strRef>
              <c:f>'KliMax-Auswertung'!$M$201</c:f>
              <c:strCache>
                <c:ptCount val="1"/>
                <c:pt idx="0">
                  <c:v>2024</c:v>
                </c:pt>
              </c:strCache>
              <c:extLst xmlns:c15="http://schemas.microsoft.com/office/drawing/2012/chart"/>
            </c:strRef>
          </c:tx>
          <c:spPr>
            <a:solidFill>
              <a:schemeClr val="accent4">
                <a:lumMod val="60000"/>
              </a:schemeClr>
            </a:solidFill>
            <a:ln>
              <a:noFill/>
            </a:ln>
            <a:effectLst/>
          </c:spPr>
          <c:invertIfNegative val="0"/>
          <c:cat>
            <c:multiLvlStrRef>
              <c:f>'KliMax-Auswertung'!$B$202:$B$243</c:f>
            </c:multiLvlStrRef>
          </c:cat>
          <c:val>
            <c:numRef>
              <c:f>'KliMax-Auswertung'!$M$202:$M$243</c:f>
            </c:numRef>
          </c:val>
          <c:extLst xmlns:c15="http://schemas.microsoft.com/office/drawing/2012/chart">
            <c:ext xmlns:c16="http://schemas.microsoft.com/office/drawing/2014/chart" uri="{C3380CC4-5D6E-409C-BE32-E72D297353CC}">
              <c16:uniqueId val="{00000009-D498-482A-B313-D5DFF8683E7D}"/>
            </c:ext>
          </c:extLst>
        </c:ser>
        <c:ser>
          <c:idx val="10"/>
          <c:order val="10"/>
          <c:tx>
            <c:strRef>
              <c:f>'KliMax-Auswertung'!$N$201</c:f>
              <c:strCache>
                <c:ptCount val="1"/>
                <c:pt idx="0">
                  <c:v>2025</c:v>
                </c:pt>
              </c:strCache>
              <c:extLst xmlns:c15="http://schemas.microsoft.com/office/drawing/2012/chart"/>
            </c:strRef>
          </c:tx>
          <c:spPr>
            <a:solidFill>
              <a:schemeClr val="accent5">
                <a:lumMod val="60000"/>
              </a:schemeClr>
            </a:solidFill>
            <a:ln>
              <a:noFill/>
            </a:ln>
            <a:effectLst/>
          </c:spPr>
          <c:invertIfNegative val="0"/>
          <c:cat>
            <c:multiLvlStrRef>
              <c:f>'KliMax-Auswertung'!$B$202:$B$243</c:f>
            </c:multiLvlStrRef>
          </c:cat>
          <c:val>
            <c:numRef>
              <c:f>'KliMax-Auswertung'!$N$202:$N$243</c:f>
            </c:numRef>
          </c:val>
          <c:extLst xmlns:c15="http://schemas.microsoft.com/office/drawing/2012/chart">
            <c:ext xmlns:c16="http://schemas.microsoft.com/office/drawing/2014/chart" uri="{C3380CC4-5D6E-409C-BE32-E72D297353CC}">
              <c16:uniqueId val="{0000000A-D498-482A-B313-D5DFF8683E7D}"/>
            </c:ext>
          </c:extLst>
        </c:ser>
        <c:ser>
          <c:idx val="11"/>
          <c:order val="11"/>
          <c:tx>
            <c:strRef>
              <c:f>'KliMax-Auswertung'!$O$201</c:f>
              <c:strCache>
                <c:ptCount val="1"/>
                <c:pt idx="0">
                  <c:v>2026</c:v>
                </c:pt>
              </c:strCache>
              <c:extLst xmlns:c15="http://schemas.microsoft.com/office/drawing/2012/chart"/>
            </c:strRef>
          </c:tx>
          <c:spPr>
            <a:solidFill>
              <a:schemeClr val="accent6">
                <a:lumMod val="60000"/>
              </a:schemeClr>
            </a:solidFill>
            <a:ln>
              <a:noFill/>
            </a:ln>
            <a:effectLst/>
          </c:spPr>
          <c:invertIfNegative val="0"/>
          <c:cat>
            <c:multiLvlStrRef>
              <c:f>'KliMax-Auswertung'!$B$202:$B$243</c:f>
            </c:multiLvlStrRef>
          </c:cat>
          <c:val>
            <c:numRef>
              <c:f>'KliMax-Auswertung'!$O$202:$O$243</c:f>
            </c:numRef>
          </c:val>
          <c:extLst xmlns:c15="http://schemas.microsoft.com/office/drawing/2012/chart">
            <c:ext xmlns:c16="http://schemas.microsoft.com/office/drawing/2014/chart" uri="{C3380CC4-5D6E-409C-BE32-E72D297353CC}">
              <c16:uniqueId val="{0000000B-D498-482A-B313-D5DFF8683E7D}"/>
            </c:ext>
          </c:extLst>
        </c:ser>
        <c:ser>
          <c:idx val="12"/>
          <c:order val="12"/>
          <c:tx>
            <c:strRef>
              <c:f>'KliMax-Auswertung'!$P$201</c:f>
              <c:strCache>
                <c:ptCount val="1"/>
                <c:pt idx="0">
                  <c:v>2027</c:v>
                </c:pt>
              </c:strCache>
              <c:extLst xmlns:c15="http://schemas.microsoft.com/office/drawing/2012/chart"/>
            </c:strRef>
          </c:tx>
          <c:spPr>
            <a:solidFill>
              <a:schemeClr val="accent1">
                <a:lumMod val="80000"/>
                <a:lumOff val="20000"/>
              </a:schemeClr>
            </a:solidFill>
            <a:ln>
              <a:noFill/>
            </a:ln>
            <a:effectLst/>
          </c:spPr>
          <c:invertIfNegative val="0"/>
          <c:cat>
            <c:multiLvlStrRef>
              <c:f>'KliMax-Auswertung'!$B$202:$B$243</c:f>
            </c:multiLvlStrRef>
          </c:cat>
          <c:val>
            <c:numRef>
              <c:f>'KliMax-Auswertung'!$P$202:$P$243</c:f>
            </c:numRef>
          </c:val>
          <c:extLst xmlns:c15="http://schemas.microsoft.com/office/drawing/2012/chart">
            <c:ext xmlns:c16="http://schemas.microsoft.com/office/drawing/2014/chart" uri="{C3380CC4-5D6E-409C-BE32-E72D297353CC}">
              <c16:uniqueId val="{0000000C-D498-482A-B313-D5DFF8683E7D}"/>
            </c:ext>
          </c:extLst>
        </c:ser>
        <c:ser>
          <c:idx val="13"/>
          <c:order val="13"/>
          <c:tx>
            <c:strRef>
              <c:f>'KliMax-Auswertung'!$Q$201</c:f>
              <c:strCache>
                <c:ptCount val="1"/>
                <c:pt idx="0">
                  <c:v>2028</c:v>
                </c:pt>
              </c:strCache>
              <c:extLst xmlns:c15="http://schemas.microsoft.com/office/drawing/2012/chart"/>
            </c:strRef>
          </c:tx>
          <c:spPr>
            <a:solidFill>
              <a:schemeClr val="accent2">
                <a:lumMod val="80000"/>
                <a:lumOff val="20000"/>
              </a:schemeClr>
            </a:solidFill>
            <a:ln>
              <a:noFill/>
            </a:ln>
            <a:effectLst/>
          </c:spPr>
          <c:invertIfNegative val="0"/>
          <c:cat>
            <c:multiLvlStrRef>
              <c:f>'KliMax-Auswertung'!$B$202:$B$243</c:f>
            </c:multiLvlStrRef>
          </c:cat>
          <c:val>
            <c:numRef>
              <c:f>'KliMax-Auswertung'!$Q$202:$Q$243</c:f>
            </c:numRef>
          </c:val>
          <c:extLst xmlns:c15="http://schemas.microsoft.com/office/drawing/2012/chart">
            <c:ext xmlns:c16="http://schemas.microsoft.com/office/drawing/2014/chart" uri="{C3380CC4-5D6E-409C-BE32-E72D297353CC}">
              <c16:uniqueId val="{0000000D-D498-482A-B313-D5DFF8683E7D}"/>
            </c:ext>
          </c:extLst>
        </c:ser>
        <c:ser>
          <c:idx val="14"/>
          <c:order val="14"/>
          <c:tx>
            <c:strRef>
              <c:f>'KliMax-Auswertung'!$R$201</c:f>
              <c:strCache>
                <c:ptCount val="1"/>
                <c:pt idx="0">
                  <c:v>2029</c:v>
                </c:pt>
              </c:strCache>
              <c:extLst xmlns:c15="http://schemas.microsoft.com/office/drawing/2012/chart"/>
            </c:strRef>
          </c:tx>
          <c:spPr>
            <a:solidFill>
              <a:schemeClr val="accent3">
                <a:lumMod val="80000"/>
                <a:lumOff val="20000"/>
              </a:schemeClr>
            </a:solidFill>
            <a:ln>
              <a:noFill/>
            </a:ln>
            <a:effectLst/>
          </c:spPr>
          <c:invertIfNegative val="0"/>
          <c:cat>
            <c:multiLvlStrRef>
              <c:f>'KliMax-Auswertung'!$B$202:$B$243</c:f>
            </c:multiLvlStrRef>
          </c:cat>
          <c:val>
            <c:numRef>
              <c:f>'KliMax-Auswertung'!$R$202:$R$243</c:f>
            </c:numRef>
          </c:val>
          <c:extLst xmlns:c15="http://schemas.microsoft.com/office/drawing/2012/chart">
            <c:ext xmlns:c16="http://schemas.microsoft.com/office/drawing/2014/chart" uri="{C3380CC4-5D6E-409C-BE32-E72D297353CC}">
              <c16:uniqueId val="{0000000E-D498-482A-B313-D5DFF8683E7D}"/>
            </c:ext>
          </c:extLst>
        </c:ser>
        <c:ser>
          <c:idx val="15"/>
          <c:order val="15"/>
          <c:tx>
            <c:strRef>
              <c:f>'KliMax-Auswertung'!$S$201</c:f>
              <c:strCache>
                <c:ptCount val="1"/>
                <c:pt idx="0">
                  <c:v>2030</c:v>
                </c:pt>
              </c:strCache>
              <c:extLst xmlns:c15="http://schemas.microsoft.com/office/drawing/2012/chart"/>
            </c:strRef>
          </c:tx>
          <c:spPr>
            <a:solidFill>
              <a:schemeClr val="accent4">
                <a:lumMod val="80000"/>
                <a:lumOff val="20000"/>
              </a:schemeClr>
            </a:solidFill>
            <a:ln>
              <a:noFill/>
            </a:ln>
            <a:effectLst/>
          </c:spPr>
          <c:invertIfNegative val="0"/>
          <c:cat>
            <c:multiLvlStrRef>
              <c:f>'KliMax-Auswertung'!$B$202:$B$243</c:f>
            </c:multiLvlStrRef>
          </c:cat>
          <c:val>
            <c:numRef>
              <c:f>'KliMax-Auswertung'!$S$202:$S$243</c:f>
            </c:numRef>
          </c:val>
          <c:extLst xmlns:c15="http://schemas.microsoft.com/office/drawing/2012/chart">
            <c:ext xmlns:c16="http://schemas.microsoft.com/office/drawing/2014/chart" uri="{C3380CC4-5D6E-409C-BE32-E72D297353CC}">
              <c16:uniqueId val="{0000000F-D498-482A-B313-D5DFF8683E7D}"/>
            </c:ext>
          </c:extLst>
        </c:ser>
        <c:ser>
          <c:idx val="16"/>
          <c:order val="16"/>
          <c:tx>
            <c:strRef>
              <c:f>'KliMax-Auswertung'!$T$201</c:f>
              <c:strCache>
                <c:ptCount val="1"/>
                <c:pt idx="0">
                  <c:v>2035</c:v>
                </c:pt>
              </c:strCache>
              <c:extLst xmlns:c15="http://schemas.microsoft.com/office/drawing/2012/chart"/>
            </c:strRef>
          </c:tx>
          <c:spPr>
            <a:solidFill>
              <a:schemeClr val="accent5">
                <a:lumMod val="80000"/>
                <a:lumOff val="20000"/>
              </a:schemeClr>
            </a:solidFill>
            <a:ln>
              <a:noFill/>
            </a:ln>
            <a:effectLst/>
          </c:spPr>
          <c:invertIfNegative val="0"/>
          <c:cat>
            <c:multiLvlStrRef>
              <c:f>'KliMax-Auswertung'!$B$202:$B$243</c:f>
            </c:multiLvlStrRef>
          </c:cat>
          <c:val>
            <c:numRef>
              <c:f>'KliMax-Auswertung'!$T$202:$T$243</c:f>
            </c:numRef>
          </c:val>
          <c:extLst xmlns:c15="http://schemas.microsoft.com/office/drawing/2012/chart">
            <c:ext xmlns:c16="http://schemas.microsoft.com/office/drawing/2014/chart" uri="{C3380CC4-5D6E-409C-BE32-E72D297353CC}">
              <c16:uniqueId val="{00000010-D498-482A-B313-D5DFF8683E7D}"/>
            </c:ext>
          </c:extLst>
        </c:ser>
        <c:ser>
          <c:idx val="17"/>
          <c:order val="17"/>
          <c:tx>
            <c:strRef>
              <c:f>'KliMax-Auswertung'!$U$201</c:f>
              <c:strCache>
                <c:ptCount val="1"/>
                <c:pt idx="0">
                  <c:v>2040</c:v>
                </c:pt>
              </c:strCache>
              <c:extLst xmlns:c15="http://schemas.microsoft.com/office/drawing/2012/chart"/>
            </c:strRef>
          </c:tx>
          <c:spPr>
            <a:solidFill>
              <a:schemeClr val="accent6">
                <a:lumMod val="80000"/>
                <a:lumOff val="20000"/>
              </a:schemeClr>
            </a:solidFill>
            <a:ln>
              <a:noFill/>
            </a:ln>
            <a:effectLst/>
          </c:spPr>
          <c:invertIfNegative val="0"/>
          <c:cat>
            <c:multiLvlStrRef>
              <c:f>'KliMax-Auswertung'!$B$202:$B$243</c:f>
            </c:multiLvlStrRef>
          </c:cat>
          <c:val>
            <c:numRef>
              <c:f>'KliMax-Auswertung'!$U$202:$U$243</c:f>
            </c:numRef>
          </c:val>
          <c:extLst xmlns:c15="http://schemas.microsoft.com/office/drawing/2012/chart">
            <c:ext xmlns:c16="http://schemas.microsoft.com/office/drawing/2014/chart" uri="{C3380CC4-5D6E-409C-BE32-E72D297353CC}">
              <c16:uniqueId val="{00000011-D498-482A-B313-D5DFF8683E7D}"/>
            </c:ext>
          </c:extLst>
        </c:ser>
        <c:ser>
          <c:idx val="18"/>
          <c:order val="18"/>
          <c:tx>
            <c:strRef>
              <c:f>'KliMax-Auswertung'!$V$201</c:f>
              <c:strCache>
                <c:ptCount val="1"/>
                <c:pt idx="0">
                  <c:v>2045</c:v>
                </c:pt>
              </c:strCache>
              <c:extLst xmlns:c15="http://schemas.microsoft.com/office/drawing/2012/chart"/>
            </c:strRef>
          </c:tx>
          <c:spPr>
            <a:solidFill>
              <a:schemeClr val="accent1">
                <a:lumMod val="80000"/>
              </a:schemeClr>
            </a:solidFill>
            <a:ln>
              <a:noFill/>
            </a:ln>
            <a:effectLst/>
          </c:spPr>
          <c:invertIfNegative val="0"/>
          <c:cat>
            <c:multiLvlStrRef>
              <c:f>'KliMax-Auswertung'!$B$202:$B$243</c:f>
            </c:multiLvlStrRef>
          </c:cat>
          <c:val>
            <c:numRef>
              <c:f>'KliMax-Auswertung'!$V$202:$V$243</c:f>
            </c:numRef>
          </c:val>
          <c:extLst xmlns:c15="http://schemas.microsoft.com/office/drawing/2012/chart">
            <c:ext xmlns:c16="http://schemas.microsoft.com/office/drawing/2014/chart" uri="{C3380CC4-5D6E-409C-BE32-E72D297353CC}">
              <c16:uniqueId val="{00000012-D498-482A-B313-D5DFF8683E7D}"/>
            </c:ext>
          </c:extLst>
        </c:ser>
        <c:ser>
          <c:idx val="19"/>
          <c:order val="19"/>
          <c:tx>
            <c:strRef>
              <c:f>'KliMax-Auswertung'!$W$201</c:f>
              <c:strCache>
                <c:ptCount val="1"/>
                <c:pt idx="0">
                  <c:v>2050</c:v>
                </c:pt>
              </c:strCache>
              <c:extLst xmlns:c15="http://schemas.microsoft.com/office/drawing/2012/chart"/>
            </c:strRef>
          </c:tx>
          <c:spPr>
            <a:solidFill>
              <a:schemeClr val="accent2">
                <a:lumMod val="80000"/>
              </a:schemeClr>
            </a:solidFill>
            <a:ln>
              <a:noFill/>
            </a:ln>
            <a:effectLst/>
          </c:spPr>
          <c:invertIfNegative val="0"/>
          <c:cat>
            <c:multiLvlStrRef>
              <c:f>'KliMax-Auswertung'!$B$202:$B$243</c:f>
            </c:multiLvlStrRef>
          </c:cat>
          <c:val>
            <c:numRef>
              <c:f>'KliMax-Auswertung'!$W$202:$W$243</c:f>
            </c:numRef>
          </c:val>
          <c:extLst xmlns:c15="http://schemas.microsoft.com/office/drawing/2012/chart">
            <c:ext xmlns:c16="http://schemas.microsoft.com/office/drawing/2014/chart" uri="{C3380CC4-5D6E-409C-BE32-E72D297353CC}">
              <c16:uniqueId val="{00000013-D498-482A-B313-D5DFF8683E7D}"/>
            </c:ext>
          </c:extLst>
        </c:ser>
        <c:dLbls>
          <c:showLegendKey val="0"/>
          <c:showVal val="0"/>
          <c:showCatName val="0"/>
          <c:showSerName val="0"/>
          <c:showPercent val="0"/>
          <c:showBubbleSize val="0"/>
        </c:dLbls>
        <c:gapWidth val="182"/>
        <c:axId val="1679157055"/>
        <c:axId val="1980261375"/>
        <c:extLst/>
      </c:barChart>
      <c:catAx>
        <c:axId val="167915705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0261375"/>
        <c:crosses val="autoZero"/>
        <c:auto val="1"/>
        <c:lblAlgn val="ctr"/>
        <c:lblOffset val="100"/>
        <c:noMultiLvlLbl val="0"/>
      </c:catAx>
      <c:valAx>
        <c:axId val="1980261375"/>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79157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fmlaLink="D17" lockText="1" noThreeD="1"/>
</file>

<file path=xl/ctrlProps/ctrlProp10.xml><?xml version="1.0" encoding="utf-8"?>
<formControlPr xmlns="http://schemas.microsoft.com/office/spreadsheetml/2009/9/main" objectType="CheckBox" fmlaLink="E19" lockText="1" noThreeD="1"/>
</file>

<file path=xl/ctrlProps/ctrlProp11.xml><?xml version="1.0" encoding="utf-8"?>
<formControlPr xmlns="http://schemas.microsoft.com/office/spreadsheetml/2009/9/main" objectType="CheckBox" fmlaLink="E20" lockText="1" noThreeD="1"/>
</file>

<file path=xl/ctrlProps/ctrlProp12.xml><?xml version="1.0" encoding="utf-8"?>
<formControlPr xmlns="http://schemas.microsoft.com/office/spreadsheetml/2009/9/main" objectType="CheckBox" fmlaLink="E21" lockText="1" noThreeD="1"/>
</file>

<file path=xl/ctrlProps/ctrlProp13.xml><?xml version="1.0" encoding="utf-8"?>
<formControlPr xmlns="http://schemas.microsoft.com/office/spreadsheetml/2009/9/main" objectType="CheckBox" fmlaLink="E18" lockText="1" noThreeD="1"/>
</file>

<file path=xl/ctrlProps/ctrlProp14.xml><?xml version="1.0" encoding="utf-8"?>
<formControlPr xmlns="http://schemas.microsoft.com/office/spreadsheetml/2009/9/main" objectType="CheckBox" fmlaLink="E23" lockText="1" noThreeD="1"/>
</file>

<file path=xl/ctrlProps/ctrlProp15.xml><?xml version="1.0" encoding="utf-8"?>
<formControlPr xmlns="http://schemas.microsoft.com/office/spreadsheetml/2009/9/main" objectType="CheckBox" fmlaLink="F18" lockText="1" noThreeD="1"/>
</file>

<file path=xl/ctrlProps/ctrlProp16.xml><?xml version="1.0" encoding="utf-8"?>
<formControlPr xmlns="http://schemas.microsoft.com/office/spreadsheetml/2009/9/main" objectType="CheckBox" fmlaLink="F19" lockText="1" noThreeD="1"/>
</file>

<file path=xl/ctrlProps/ctrlProp17.xml><?xml version="1.0" encoding="utf-8"?>
<formControlPr xmlns="http://schemas.microsoft.com/office/spreadsheetml/2009/9/main" objectType="CheckBox" fmlaLink="F20" lockText="1" noThreeD="1"/>
</file>

<file path=xl/ctrlProps/ctrlProp18.xml><?xml version="1.0" encoding="utf-8"?>
<formControlPr xmlns="http://schemas.microsoft.com/office/spreadsheetml/2009/9/main" objectType="CheckBox" fmlaLink="F21" lockText="1" noThreeD="1"/>
</file>

<file path=xl/ctrlProps/ctrlProp19.xml><?xml version="1.0" encoding="utf-8"?>
<formControlPr xmlns="http://schemas.microsoft.com/office/spreadsheetml/2009/9/main" objectType="CheckBox" fmlaLink="E22" lockText="1" noThreeD="1"/>
</file>

<file path=xl/ctrlProps/ctrlProp2.xml><?xml version="1.0" encoding="utf-8"?>
<formControlPr xmlns="http://schemas.microsoft.com/office/spreadsheetml/2009/9/main" objectType="CheckBox" checked="Checked" fmlaLink="D18" lockText="1" noThreeD="1"/>
</file>

<file path=xl/ctrlProps/ctrlProp20.xml><?xml version="1.0" encoding="utf-8"?>
<formControlPr xmlns="http://schemas.microsoft.com/office/spreadsheetml/2009/9/main" objectType="CheckBox" fmlaLink="F22" lockText="1" noThreeD="1"/>
</file>

<file path=xl/ctrlProps/ctrlProp21.xml><?xml version="1.0" encoding="utf-8"?>
<formControlPr xmlns="http://schemas.microsoft.com/office/spreadsheetml/2009/9/main" objectType="CheckBox" fmlaLink="F23" lockText="1" noThreeD="1"/>
</file>

<file path=xl/ctrlProps/ctrlProp22.xml><?xml version="1.0" encoding="utf-8"?>
<formControlPr xmlns="http://schemas.microsoft.com/office/spreadsheetml/2009/9/main" objectType="CheckBox" checked="Checked" fmlaLink="D17" lockText="1" noThreeD="1"/>
</file>

<file path=xl/ctrlProps/ctrlProp23.xml><?xml version="1.0" encoding="utf-8"?>
<formControlPr xmlns="http://schemas.microsoft.com/office/spreadsheetml/2009/9/main" objectType="CheckBox" checked="Checked" fmlaLink="D18" lockText="1" noThreeD="1"/>
</file>

<file path=xl/ctrlProps/ctrlProp24.xml><?xml version="1.0" encoding="utf-8"?>
<formControlPr xmlns="http://schemas.microsoft.com/office/spreadsheetml/2009/9/main" objectType="CheckBox" checked="Checked" fmlaLink="D19" lockText="1" noThreeD="1"/>
</file>

<file path=xl/ctrlProps/ctrlProp25.xml><?xml version="1.0" encoding="utf-8"?>
<formControlPr xmlns="http://schemas.microsoft.com/office/spreadsheetml/2009/9/main" objectType="CheckBox" checked="Checked" fmlaLink="D20" lockText="1" noThreeD="1"/>
</file>

<file path=xl/ctrlProps/ctrlProp26.xml><?xml version="1.0" encoding="utf-8"?>
<formControlPr xmlns="http://schemas.microsoft.com/office/spreadsheetml/2009/9/main" objectType="CheckBox" checked="Checked" fmlaLink="D21" lockText="1" noThreeD="1"/>
</file>

<file path=xl/ctrlProps/ctrlProp27.xml><?xml version="1.0" encoding="utf-8"?>
<formControlPr xmlns="http://schemas.microsoft.com/office/spreadsheetml/2009/9/main" objectType="CheckBox" checked="Checked" fmlaLink="D22" lockText="1" noThreeD="1"/>
</file>

<file path=xl/ctrlProps/ctrlProp28.xml><?xml version="1.0" encoding="utf-8"?>
<formControlPr xmlns="http://schemas.microsoft.com/office/spreadsheetml/2009/9/main" objectType="CheckBox" checked="Checked" fmlaLink="D23" lockText="1" noThreeD="1"/>
</file>

<file path=xl/ctrlProps/ctrlProp29.xml><?xml version="1.0" encoding="utf-8"?>
<formControlPr xmlns="http://schemas.microsoft.com/office/spreadsheetml/2009/9/main" objectType="CheckBox" fmlaLink="E17" lockText="1" noThreeD="1"/>
</file>

<file path=xl/ctrlProps/ctrlProp3.xml><?xml version="1.0" encoding="utf-8"?>
<formControlPr xmlns="http://schemas.microsoft.com/office/spreadsheetml/2009/9/main" objectType="CheckBox" checked="Checked" fmlaLink="D19" lockText="1" noThreeD="1"/>
</file>

<file path=xl/ctrlProps/ctrlProp30.xml><?xml version="1.0" encoding="utf-8"?>
<formControlPr xmlns="http://schemas.microsoft.com/office/spreadsheetml/2009/9/main" objectType="CheckBox" fmlaLink="E18" lockText="1" noThreeD="1"/>
</file>

<file path=xl/ctrlProps/ctrlProp31.xml><?xml version="1.0" encoding="utf-8"?>
<formControlPr xmlns="http://schemas.microsoft.com/office/spreadsheetml/2009/9/main" objectType="CheckBox" fmlaLink="E19" lockText="1" noThreeD="1"/>
</file>

<file path=xl/ctrlProps/ctrlProp32.xml><?xml version="1.0" encoding="utf-8"?>
<formControlPr xmlns="http://schemas.microsoft.com/office/spreadsheetml/2009/9/main" objectType="CheckBox" fmlaLink="E20" lockText="1" noThreeD="1"/>
</file>

<file path=xl/ctrlProps/ctrlProp33.xml><?xml version="1.0" encoding="utf-8"?>
<formControlPr xmlns="http://schemas.microsoft.com/office/spreadsheetml/2009/9/main" objectType="CheckBox" fmlaLink="E21" lockText="1" noThreeD="1"/>
</file>

<file path=xl/ctrlProps/ctrlProp34.xml><?xml version="1.0" encoding="utf-8"?>
<formControlPr xmlns="http://schemas.microsoft.com/office/spreadsheetml/2009/9/main" objectType="CheckBox" fmlaLink="E18" lockText="1" noThreeD="1"/>
</file>

<file path=xl/ctrlProps/ctrlProp35.xml><?xml version="1.0" encoding="utf-8"?>
<formControlPr xmlns="http://schemas.microsoft.com/office/spreadsheetml/2009/9/main" objectType="CheckBox" fmlaLink="E23" lockText="1" noThreeD="1"/>
</file>

<file path=xl/ctrlProps/ctrlProp36.xml><?xml version="1.0" encoding="utf-8"?>
<formControlPr xmlns="http://schemas.microsoft.com/office/spreadsheetml/2009/9/main" objectType="CheckBox" fmlaLink="F18" lockText="1" noThreeD="1"/>
</file>

<file path=xl/ctrlProps/ctrlProp37.xml><?xml version="1.0" encoding="utf-8"?>
<formControlPr xmlns="http://schemas.microsoft.com/office/spreadsheetml/2009/9/main" objectType="CheckBox" fmlaLink="F19" lockText="1" noThreeD="1"/>
</file>

<file path=xl/ctrlProps/ctrlProp38.xml><?xml version="1.0" encoding="utf-8"?>
<formControlPr xmlns="http://schemas.microsoft.com/office/spreadsheetml/2009/9/main" objectType="CheckBox" fmlaLink="F20" lockText="1" noThreeD="1"/>
</file>

<file path=xl/ctrlProps/ctrlProp39.xml><?xml version="1.0" encoding="utf-8"?>
<formControlPr xmlns="http://schemas.microsoft.com/office/spreadsheetml/2009/9/main" objectType="CheckBox" fmlaLink="F21" lockText="1" noThreeD="1"/>
</file>

<file path=xl/ctrlProps/ctrlProp4.xml><?xml version="1.0" encoding="utf-8"?>
<formControlPr xmlns="http://schemas.microsoft.com/office/spreadsheetml/2009/9/main" objectType="CheckBox" checked="Checked" fmlaLink="D20" lockText="1" noThreeD="1"/>
</file>

<file path=xl/ctrlProps/ctrlProp40.xml><?xml version="1.0" encoding="utf-8"?>
<formControlPr xmlns="http://schemas.microsoft.com/office/spreadsheetml/2009/9/main" objectType="CheckBox" fmlaLink="E22" lockText="1" noThreeD="1"/>
</file>

<file path=xl/ctrlProps/ctrlProp41.xml><?xml version="1.0" encoding="utf-8"?>
<formControlPr xmlns="http://schemas.microsoft.com/office/spreadsheetml/2009/9/main" objectType="CheckBox" fmlaLink="F22" lockText="1" noThreeD="1"/>
</file>

<file path=xl/ctrlProps/ctrlProp42.xml><?xml version="1.0" encoding="utf-8"?>
<formControlPr xmlns="http://schemas.microsoft.com/office/spreadsheetml/2009/9/main" objectType="CheckBox" fmlaLink="F23" lockText="1" noThreeD="1"/>
</file>

<file path=xl/ctrlProps/ctrlProp5.xml><?xml version="1.0" encoding="utf-8"?>
<formControlPr xmlns="http://schemas.microsoft.com/office/spreadsheetml/2009/9/main" objectType="CheckBox" checked="Checked" fmlaLink="D21" lockText="1" noThreeD="1"/>
</file>

<file path=xl/ctrlProps/ctrlProp6.xml><?xml version="1.0" encoding="utf-8"?>
<formControlPr xmlns="http://schemas.microsoft.com/office/spreadsheetml/2009/9/main" objectType="CheckBox" checked="Checked" fmlaLink="D22" lockText="1" noThreeD="1"/>
</file>

<file path=xl/ctrlProps/ctrlProp7.xml><?xml version="1.0" encoding="utf-8"?>
<formControlPr xmlns="http://schemas.microsoft.com/office/spreadsheetml/2009/9/main" objectType="CheckBox" checked="Checked" fmlaLink="D23" lockText="1" noThreeD="1"/>
</file>

<file path=xl/ctrlProps/ctrlProp8.xml><?xml version="1.0" encoding="utf-8"?>
<formControlPr xmlns="http://schemas.microsoft.com/office/spreadsheetml/2009/9/main" objectType="CheckBox" fmlaLink="E17" lockText="1" noThreeD="1"/>
</file>

<file path=xl/ctrlProps/ctrlProp9.xml><?xml version="1.0" encoding="utf-8"?>
<formControlPr xmlns="http://schemas.microsoft.com/office/spreadsheetml/2009/9/main" objectType="CheckBox" fmlaLink="E18"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158590</xdr:colOff>
      <xdr:row>11</xdr:row>
      <xdr:rowOff>137193</xdr:rowOff>
    </xdr:from>
    <xdr:to>
      <xdr:col>11</xdr:col>
      <xdr:colOff>168943</xdr:colOff>
      <xdr:row>52</xdr:row>
      <xdr:rowOff>97088</xdr:rowOff>
    </xdr:to>
    <xdr:sp macro="" textlink="">
      <xdr:nvSpPr>
        <xdr:cNvPr id="2" name="Textfeld 1">
          <a:extLst>
            <a:ext uri="{FF2B5EF4-FFF2-40B4-BE49-F238E27FC236}">
              <a16:creationId xmlns:a16="http://schemas.microsoft.com/office/drawing/2014/main" id="{00000000-0008-0000-0000-000002000000}"/>
            </a:ext>
          </a:extLst>
        </xdr:cNvPr>
        <xdr:cNvSpPr txBox="1"/>
      </xdr:nvSpPr>
      <xdr:spPr>
        <a:xfrm>
          <a:off x="158590" y="2122404"/>
          <a:ext cx="8602906" cy="73593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2000" b="1">
              <a:ln>
                <a:noFill/>
              </a:ln>
            </a:rPr>
            <a:t>Kli</a:t>
          </a:r>
          <a:r>
            <a:rPr lang="de-DE" sz="2000" b="1" baseline="0">
              <a:ln>
                <a:noFill/>
              </a:ln>
            </a:rPr>
            <a:t>Max-Tool Version 1.3</a:t>
          </a:r>
          <a:endParaRPr lang="de-DE" sz="2000" b="1">
            <a:ln>
              <a:noFill/>
            </a:ln>
          </a:endParaRPr>
        </a:p>
        <a:p>
          <a:r>
            <a:rPr lang="de-DE" sz="1400" b="1">
              <a:ln>
                <a:noFill/>
              </a:ln>
            </a:rPr>
            <a:t>Excel-Tool für Institutionen</a:t>
          </a:r>
          <a:r>
            <a:rPr lang="de-DE" sz="1400" b="1" baseline="0">
              <a:ln>
                <a:noFill/>
              </a:ln>
            </a:rPr>
            <a:t> zur Erstellung von Treibhausgas-Bilanzen und Zukunftszenarien</a:t>
          </a:r>
          <a:endParaRPr lang="de-DE" sz="1400" b="1">
            <a:ln>
              <a:noFill/>
            </a:ln>
          </a:endParaRPr>
        </a:p>
        <a:p>
          <a:endParaRPr lang="de-DE" sz="1100" b="1">
            <a:ln>
              <a:noFill/>
            </a:ln>
          </a:endParaRPr>
        </a:p>
        <a:p>
          <a:r>
            <a:rPr lang="de-DE" sz="1400" b="1">
              <a:ln>
                <a:noFill/>
              </a:ln>
            </a:rPr>
            <a:t>Einleitung</a:t>
          </a:r>
        </a:p>
        <a:p>
          <a:endParaRPr lang="de-DE" sz="1100" b="1">
            <a:ln>
              <a:noFill/>
            </a:ln>
          </a:endParaRPr>
        </a:p>
        <a:p>
          <a:r>
            <a:rPr lang="de-DE" sz="1100">
              <a:ln>
                <a:noFill/>
              </a:ln>
              <a:solidFill>
                <a:schemeClr val="dk1"/>
              </a:solidFill>
              <a:effectLst/>
              <a:latin typeface="+mn-lt"/>
              <a:ea typeface="+mn-ea"/>
              <a:cs typeface="+mn-cs"/>
            </a:rPr>
            <a:t>Das KliMax-Tool</a:t>
          </a:r>
          <a:r>
            <a:rPr lang="de-DE" sz="1100" baseline="0">
              <a:ln>
                <a:noFill/>
              </a:ln>
              <a:solidFill>
                <a:schemeClr val="dk1"/>
              </a:solidFill>
              <a:effectLst/>
              <a:latin typeface="+mn-lt"/>
              <a:ea typeface="+mn-ea"/>
              <a:cs typeface="+mn-cs"/>
            </a:rPr>
            <a:t> (kurz: KliMax)</a:t>
          </a:r>
          <a:r>
            <a:rPr lang="de-DE" sz="1100">
              <a:ln>
                <a:noFill/>
              </a:ln>
              <a:solidFill>
                <a:schemeClr val="dk1"/>
              </a:solidFill>
              <a:effectLst/>
              <a:latin typeface="+mn-lt"/>
              <a:ea typeface="+mn-ea"/>
              <a:cs typeface="+mn-cs"/>
            </a:rPr>
            <a:t> ist ein Treibhausgasbilanzierungstool, das weit über die Funktionalität einer herkömmlichen Ist-Bilanz hinausgeht. Dieses bietet nicht nur eine detaillierte Analyse des Status quo, sondern ermöglicht Institutionen auch, zukünftige Emissionstrends bis 2050 systematisch zu erfassen. KliMax zeichnet sich dadurch</a:t>
          </a:r>
          <a:r>
            <a:rPr lang="de-DE" sz="1100" baseline="0">
              <a:ln>
                <a:noFill/>
              </a:ln>
              <a:solidFill>
                <a:schemeClr val="dk1"/>
              </a:solidFill>
              <a:effectLst/>
              <a:latin typeface="+mn-lt"/>
              <a:ea typeface="+mn-ea"/>
              <a:cs typeface="+mn-cs"/>
            </a:rPr>
            <a:t> aus</a:t>
          </a:r>
          <a:r>
            <a:rPr lang="de-DE" sz="1100">
              <a:ln>
                <a:noFill/>
              </a:ln>
              <a:solidFill>
                <a:schemeClr val="dk1"/>
              </a:solidFill>
              <a:effectLst/>
              <a:latin typeface="+mn-lt"/>
              <a:ea typeface="+mn-ea"/>
              <a:cs typeface="+mn-cs"/>
            </a:rPr>
            <a:t>, maßgeschneiderte Bilanzen zu erstellen, die Institutionen dabei unterstützen, ihre individuellen Klimaziele und Systemgrenzen zu definieren und zu evaluieren. </a:t>
          </a:r>
          <a:endParaRPr lang="en-GB" sz="1100">
            <a:ln>
              <a:noFill/>
            </a:ln>
            <a:solidFill>
              <a:schemeClr val="dk1"/>
            </a:solidFill>
            <a:effectLst/>
            <a:latin typeface="+mn-lt"/>
            <a:ea typeface="+mn-ea"/>
            <a:cs typeface="+mn-cs"/>
          </a:endParaRPr>
        </a:p>
        <a:p>
          <a:endParaRPr lang="de-DE" sz="1100" b="1">
            <a:ln>
              <a:noFill/>
            </a:ln>
          </a:endParaRPr>
        </a:p>
        <a:p>
          <a:r>
            <a:rPr lang="de-DE" sz="1100">
              <a:ln>
                <a:noFill/>
              </a:ln>
              <a:solidFill>
                <a:schemeClr val="dk1"/>
              </a:solidFill>
              <a:effectLst/>
              <a:latin typeface="+mn-lt"/>
              <a:ea typeface="+mn-ea"/>
              <a:cs typeface="+mn-cs"/>
            </a:rPr>
            <a:t>Zielgruppe: </a:t>
          </a:r>
          <a:r>
            <a:rPr lang="en-GB"/>
            <a:t>KliMax ist hauptsächlich darauf ausgerichtet, Institutionen innerhalb Deutschlands die Möglichkeit zu bieten, gezielt verschiedene Handlungsfelder im Bereich des Klimaschutzes zu analysieren. KliMax erfüllt für Institutionen die Anforderungen des technischen Annexes der Kommunalrichtlinie (für</a:t>
          </a:r>
          <a:r>
            <a:rPr lang="en-GB" baseline="0"/>
            <a:t> Institutionen)</a:t>
          </a:r>
          <a:r>
            <a:rPr lang="en-GB"/>
            <a:t>, weitgehend die Kriterien des BISKO-Standards und des GHG-Protocols. Als Excel-basiertes Tool bietet KliMax den klaren Vorteil einer kostenfreien Nutzung und einer benutzerfreundlichen Handhabung ohne aufwändige Einarbeitung. </a:t>
          </a:r>
        </a:p>
        <a:p>
          <a:endParaRPr lang="de-DE" sz="1100">
            <a:ln>
              <a:noFill/>
            </a:ln>
            <a:solidFill>
              <a:schemeClr val="dk1"/>
            </a:solidFill>
            <a:effectLst/>
            <a:latin typeface="+mn-lt"/>
            <a:ea typeface="+mn-ea"/>
            <a:cs typeface="+mn-cs"/>
          </a:endParaRPr>
        </a:p>
        <a:p>
          <a:r>
            <a:rPr lang="de-DE" sz="1100">
              <a:ln>
                <a:noFill/>
              </a:ln>
              <a:solidFill>
                <a:schemeClr val="dk1"/>
              </a:solidFill>
              <a:effectLst/>
              <a:latin typeface="+mn-lt"/>
              <a:ea typeface="+mn-ea"/>
              <a:cs typeface="+mn-cs"/>
            </a:rPr>
            <a:t>Handlungsfelder: </a:t>
          </a:r>
          <a:r>
            <a:rPr lang="en-GB"/>
            <a:t>Die Handlungsfelder, die bilanziert werden können, umfassen</a:t>
          </a:r>
          <a:r>
            <a:rPr lang="en-GB" baseline="0"/>
            <a:t>  E</a:t>
          </a:r>
          <a:r>
            <a:rPr lang="en-GB"/>
            <a:t>lektrische Energie,</a:t>
          </a:r>
          <a:r>
            <a:rPr lang="en-GB" baseline="0"/>
            <a:t> </a:t>
          </a:r>
          <a:r>
            <a:rPr lang="en-GB"/>
            <a:t>Wärme,</a:t>
          </a:r>
          <a:r>
            <a:rPr lang="en-GB" baseline="0"/>
            <a:t> </a:t>
          </a:r>
          <a:r>
            <a:rPr lang="en-GB"/>
            <a:t>Kälte,-</a:t>
          </a:r>
          <a:r>
            <a:rPr lang="en-GB" baseline="0"/>
            <a:t> </a:t>
          </a:r>
          <a:r>
            <a:rPr lang="en-GB"/>
            <a:t>Mobilität,</a:t>
          </a:r>
          <a:r>
            <a:rPr lang="en-GB" baseline="0"/>
            <a:t> </a:t>
          </a:r>
          <a:r>
            <a:rPr lang="en-GB"/>
            <a:t>Frisch- und Abwasser,</a:t>
          </a:r>
          <a:r>
            <a:rPr lang="en-GB" baseline="0"/>
            <a:t> </a:t>
          </a:r>
          <a:r>
            <a:rPr lang="en-GB"/>
            <a:t>Abfall,</a:t>
          </a:r>
          <a:r>
            <a:rPr lang="en-GB" baseline="0"/>
            <a:t> </a:t>
          </a:r>
          <a:r>
            <a:rPr lang="en-GB"/>
            <a:t>bezogene Waren und Dienstleistungen</a:t>
          </a:r>
          <a:r>
            <a:rPr lang="en-GB" baseline="0"/>
            <a:t> und</a:t>
          </a:r>
          <a:r>
            <a:rPr lang="en-GB"/>
            <a:t> Kompensation. Eine besondere Herausforderung besteht in der Bilanzierung von</a:t>
          </a:r>
          <a:r>
            <a:rPr lang="en-GB" baseline="0"/>
            <a:t> </a:t>
          </a:r>
          <a:r>
            <a:rPr lang="en-GB"/>
            <a:t>bezogenen Waren und Dienstleistungen. Aufgrund der Komplexität und begrenzter Datenverfügbarkeit wurde im Tool eine Auswahl aus dem Bereich Abfall, bezogene Waren und Dienstleistungen getroffen. </a:t>
          </a:r>
          <a:r>
            <a:rPr lang="en-GB" sz="1100">
              <a:solidFill>
                <a:schemeClr val="dk1"/>
              </a:solidFill>
              <a:effectLst/>
              <a:latin typeface="+mn-lt"/>
              <a:ea typeface="+mn-ea"/>
              <a:cs typeface="+mn-cs"/>
            </a:rPr>
            <a:t>Das Tool ermöglicht auch die eigenständige Eingabe weiterer Handlungsfelder. </a:t>
          </a:r>
          <a:endParaRPr lang="en-GB"/>
        </a:p>
        <a:p>
          <a:pPr marL="0" marR="0" lvl="0" indent="0" defTabSz="914400" eaLnBrk="1" fontAlgn="auto" latinLnBrk="0" hangingPunct="1">
            <a:lnSpc>
              <a:spcPct val="100000"/>
            </a:lnSpc>
            <a:spcBef>
              <a:spcPts val="0"/>
            </a:spcBef>
            <a:spcAft>
              <a:spcPts val="0"/>
            </a:spcAft>
            <a:buClrTx/>
            <a:buSzTx/>
            <a:buFontTx/>
            <a:buNone/>
            <a:tabLst/>
            <a:defRPr/>
          </a:pPr>
          <a:endParaRPr lang="en-GB"/>
        </a:p>
        <a:p>
          <a:pPr marL="0" marR="0" lvl="0" indent="0" defTabSz="914400" eaLnBrk="1" fontAlgn="auto" latinLnBrk="0" hangingPunct="1">
            <a:lnSpc>
              <a:spcPct val="100000"/>
            </a:lnSpc>
            <a:spcBef>
              <a:spcPts val="0"/>
            </a:spcBef>
            <a:spcAft>
              <a:spcPts val="0"/>
            </a:spcAft>
            <a:buClrTx/>
            <a:buSzTx/>
            <a:buFontTx/>
            <a:buNone/>
            <a:tabLst/>
            <a:defRPr/>
          </a:pPr>
          <a:r>
            <a:rPr lang="en-GB"/>
            <a:t>Download:</a:t>
          </a:r>
          <a:r>
            <a:rPr lang="en-GB" baseline="0"/>
            <a:t> </a:t>
          </a:r>
          <a:r>
            <a:rPr lang="en-GB"/>
            <a:t>Das Tool kann von der folgenden Webseite heruntergeladen werden: </a:t>
          </a:r>
          <a:r>
            <a:rPr lang="en-GB">
              <a:hlinkClick xmlns:r="http://schemas.openxmlformats.org/officeDocument/2006/relationships" r:id=""/>
            </a:rPr>
            <a:t>www.h2.de/klimax</a:t>
          </a:r>
          <a:r>
            <a:rPr lang="en-GB"/>
            <a:t>.</a:t>
          </a: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Das</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KliMax-Tool © 2024 von Julia Zigann (Hochschule Magdeburg-Stendal) ist lizensiert nach CC BY-NC-SA 4.0. Um eine Kopie dieser Lizenz einzusehen, besuchen Sie: </a:t>
          </a:r>
          <a:r>
            <a:rPr lang="en-GB" sz="1100">
              <a:solidFill>
                <a:schemeClr val="dk1"/>
              </a:solidFill>
              <a:effectLst/>
              <a:latin typeface="+mn-lt"/>
              <a:ea typeface="+mn-ea"/>
              <a:cs typeface="+mn-cs"/>
              <a:hlinkClick xmlns:r="http://schemas.openxmlformats.org/officeDocument/2006/relationships" r:id=""/>
            </a:rPr>
            <a:t>http://creativecommons.org/licenses/by-nc-sa/4.0/</a:t>
          </a:r>
          <a:r>
            <a:rPr lang="en-GB" sz="1100">
              <a:solidFill>
                <a:schemeClr val="dk1"/>
              </a:solidFill>
              <a:effectLst/>
              <a:latin typeface="+mn-lt"/>
              <a:ea typeface="+mn-ea"/>
              <a:cs typeface="+mn-cs"/>
            </a:rPr>
            <a:t>.</a:t>
          </a:r>
          <a:endParaRPr lang="en-GB">
            <a:effectLst/>
          </a:endParaRPr>
        </a:p>
        <a:p>
          <a:endParaRPr lang="de-DE" sz="1100">
            <a:ln>
              <a:noFill/>
            </a:ln>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de-DE" sz="1100">
              <a:ln>
                <a:noFill/>
              </a:ln>
              <a:solidFill>
                <a:schemeClr val="dk1"/>
              </a:solidFill>
              <a:effectLst/>
              <a:latin typeface="+mn-lt"/>
              <a:ea typeface="+mn-ea"/>
              <a:cs typeface="+mn-cs"/>
            </a:rPr>
            <a:t>Hinweis:</a:t>
          </a:r>
          <a:r>
            <a:rPr lang="de-DE" sz="1100" baseline="0">
              <a:ln>
                <a:noFill/>
              </a:ln>
              <a:solidFill>
                <a:schemeClr val="dk1"/>
              </a:solidFill>
              <a:effectLst/>
              <a:latin typeface="+mn-lt"/>
              <a:ea typeface="+mn-ea"/>
              <a:cs typeface="+mn-cs"/>
            </a:rPr>
            <a:t> </a:t>
          </a:r>
          <a:r>
            <a:rPr lang="de-DE" sz="1100">
              <a:ln>
                <a:noFill/>
              </a:ln>
              <a:solidFill>
                <a:schemeClr val="dk1"/>
              </a:solidFill>
              <a:effectLst/>
              <a:latin typeface="+mn-lt"/>
              <a:ea typeface="+mn-ea"/>
              <a:cs typeface="+mn-cs"/>
            </a:rPr>
            <a:t>KliMax stellt im Rahmen der Überlassung keine Art von Kundendienst zur Verfügung.</a:t>
          </a:r>
          <a:r>
            <a:rPr lang="en-GB" sz="1100" baseline="0">
              <a:ln>
                <a:noFill/>
              </a:ln>
              <a:solidFill>
                <a:schemeClr val="dk1"/>
              </a:solidFill>
              <a:effectLst/>
              <a:latin typeface="+mn-lt"/>
              <a:ea typeface="+mn-ea"/>
              <a:cs typeface="+mn-cs"/>
            </a:rPr>
            <a:t> </a:t>
          </a:r>
          <a:r>
            <a:rPr lang="en-GB"/>
            <a:t>Es wird keine Gewähr für die Richtigkeit und Vollständigkeit der Ergebnisse übernommen. </a:t>
          </a:r>
          <a:r>
            <a:rPr lang="de-DE" sz="1100">
              <a:ln>
                <a:noFill/>
              </a:ln>
              <a:solidFill>
                <a:schemeClr val="dk1"/>
              </a:solidFill>
              <a:effectLst/>
              <a:latin typeface="+mn-lt"/>
              <a:ea typeface="+mn-ea"/>
              <a:cs typeface="+mn-cs"/>
            </a:rPr>
            <a:t>Jedes Ergebnis sollte daher auf</a:t>
          </a:r>
          <a:r>
            <a:rPr lang="de-DE" sz="1100" baseline="0">
              <a:ln>
                <a:noFill/>
              </a:ln>
              <a:solidFill>
                <a:schemeClr val="dk1"/>
              </a:solidFill>
              <a:effectLst/>
              <a:latin typeface="+mn-lt"/>
              <a:ea typeface="+mn-ea"/>
              <a:cs typeface="+mn-cs"/>
            </a:rPr>
            <a:t> Plausibilität überprüft werden.</a:t>
          </a:r>
          <a:r>
            <a:rPr lang="de-DE" sz="1100">
              <a:ln>
                <a:noFill/>
              </a:ln>
              <a:solidFill>
                <a:schemeClr val="dk1"/>
              </a:solidFill>
              <a:effectLst/>
              <a:latin typeface="+mn-lt"/>
              <a:ea typeface="+mn-ea"/>
              <a:cs typeface="+mn-cs"/>
            </a:rPr>
            <a:t> Trotz der Nützlichkeit von Ist-Bilanzen und Zukunftsszenarien sollten Nutzer:innen bedenken, dass sie gewisse Grenzen in Bezug auf ihre Aussagekraft haben. Sie liefern grobe Tendenzen, die stark von der Qualität der Datengrundlage (einerseits Ihrer Daten und andererseits der Emissionsfaktoren) abhängen, und können ein umfassendes Klimaschutz-Controlling nicht ersetzen. Dies stellt eine Einschränkung bei der Bewertung und Interpretation von Ergebnissen dar. Für die Entwicklung gezielter Maßnahmen sind weiterführende Analysen, beispielsweise Potenzialanalysen im Bereich Energieeffizienz, unter Berücksichtigung sämtlicher relevanter Rahmenbedingungen unerlässlich.</a:t>
          </a:r>
        </a:p>
        <a:p>
          <a:endParaRPr lang="de-DE" sz="1100" baseline="0">
            <a:ln>
              <a:noFill/>
            </a:ln>
          </a:endParaRPr>
        </a:p>
        <a:p>
          <a:pPr marL="0" marR="0" lvl="0" indent="0" defTabSz="914400" eaLnBrk="1" fontAlgn="auto" latinLnBrk="0" hangingPunct="1">
            <a:lnSpc>
              <a:spcPct val="100000"/>
            </a:lnSpc>
            <a:spcBef>
              <a:spcPts val="0"/>
            </a:spcBef>
            <a:spcAft>
              <a:spcPts val="0"/>
            </a:spcAft>
            <a:buClrTx/>
            <a:buSzTx/>
            <a:buFontTx/>
            <a:buNone/>
            <a:tabLst/>
            <a:defRPr/>
          </a:pPr>
          <a:r>
            <a:rPr lang="de-DE" sz="1100">
              <a:ln>
                <a:noFill/>
              </a:ln>
            </a:rPr>
            <a:t>Kontakt: Bei Fragen, technischen Problemen</a:t>
          </a:r>
          <a:r>
            <a:rPr lang="de-DE" sz="1100" baseline="0">
              <a:ln>
                <a:noFill/>
              </a:ln>
            </a:rPr>
            <a:t> oder Verbesserungsvorschlägen</a:t>
          </a:r>
          <a:r>
            <a:rPr lang="de-DE" sz="1100">
              <a:ln>
                <a:noFill/>
              </a:ln>
            </a:rPr>
            <a:t> melden Sie sich gerne jederzeit bei:</a:t>
          </a:r>
          <a:br>
            <a:rPr lang="de-DE" sz="1100">
              <a:ln>
                <a:noFill/>
              </a:ln>
            </a:rPr>
          </a:br>
          <a:r>
            <a:rPr lang="de-DE" sz="1100" b="0">
              <a:ln>
                <a:noFill/>
              </a:ln>
            </a:rPr>
            <a:t>Julia Zigann (julia-marie.zigann@h2.de</a:t>
          </a:r>
          <a:r>
            <a:rPr lang="de-DE" sz="1100" b="0" baseline="0">
              <a:ln>
                <a:noFill/>
              </a:ln>
            </a:rPr>
            <a:t> oder 0391 886 45 33) oder suchen Sie nach einer Ansprechperson unter: </a:t>
          </a:r>
          <a:r>
            <a:rPr lang="en-GB" sz="1100">
              <a:solidFill>
                <a:schemeClr val="dk1"/>
              </a:solidFill>
              <a:effectLst/>
              <a:latin typeface="+mn-lt"/>
              <a:ea typeface="+mn-ea"/>
              <a:cs typeface="+mn-cs"/>
            </a:rPr>
            <a:t>www.h2.de/klimax</a:t>
          </a:r>
          <a:r>
            <a:rPr lang="de-DE" sz="1100" b="0" baseline="0">
              <a:ln>
                <a:noFill/>
              </a:ln>
            </a:rPr>
            <a:t>. </a:t>
          </a:r>
        </a:p>
        <a:p>
          <a:endParaRPr lang="de-DE" sz="1100">
            <a:ln>
              <a:noFill/>
            </a:ln>
          </a:endParaRPr>
        </a:p>
        <a:p>
          <a:pPr marL="0" marR="0" lvl="0" indent="0" defTabSz="914400" eaLnBrk="1" fontAlgn="auto" latinLnBrk="0" hangingPunct="1">
            <a:lnSpc>
              <a:spcPct val="100000"/>
            </a:lnSpc>
            <a:spcBef>
              <a:spcPts val="0"/>
            </a:spcBef>
            <a:spcAft>
              <a:spcPts val="0"/>
            </a:spcAft>
            <a:buClrTx/>
            <a:buSzTx/>
            <a:buFontTx/>
            <a:buNone/>
            <a:tabLst/>
            <a:defRPr/>
          </a:pPr>
          <a:r>
            <a:rPr lang="de-DE" sz="1100" baseline="0">
              <a:ln>
                <a:noFill/>
              </a:ln>
              <a:solidFill>
                <a:schemeClr val="dk1"/>
              </a:solidFill>
              <a:effectLst/>
              <a:latin typeface="+mn-lt"/>
              <a:ea typeface="+mn-ea"/>
              <a:cs typeface="+mn-cs"/>
            </a:rPr>
            <a:t>Herausgeber: Klimaschutzmanagement der Hochschule Magdeburg-Stendal</a:t>
          </a:r>
          <a:endParaRPr lang="de-DE" sz="1100">
            <a:ln>
              <a:noFill/>
            </a:ln>
          </a:endParaRPr>
        </a:p>
        <a:p>
          <a:r>
            <a:rPr lang="de-DE">
              <a:ln>
                <a:noFill/>
              </a:ln>
            </a:rPr>
            <a:t>Autorin: Julia Marie Zigann (M. Sc. Ing.),</a:t>
          </a:r>
          <a:r>
            <a:rPr lang="de-DE" baseline="0">
              <a:ln>
                <a:noFill/>
              </a:ln>
            </a:rPr>
            <a:t> </a:t>
          </a:r>
          <a:r>
            <a:rPr lang="de-DE">
              <a:ln>
                <a:noFill/>
              </a:ln>
            </a:rPr>
            <a:t>Klimaschutzmanagerin der Hochschule Magdeburg-Stendal</a:t>
          </a:r>
        </a:p>
        <a:p>
          <a:r>
            <a:rPr lang="de-DE">
              <a:ln>
                <a:noFill/>
              </a:ln>
            </a:rPr>
            <a:t>Fachliche</a:t>
          </a:r>
          <a:r>
            <a:rPr lang="de-DE" baseline="0">
              <a:ln>
                <a:noFill/>
              </a:ln>
            </a:rPr>
            <a:t> Beratung: </a:t>
          </a:r>
          <a:r>
            <a:rPr lang="de-DE" sz="1100" baseline="0">
              <a:solidFill>
                <a:schemeClr val="dk1"/>
              </a:solidFill>
              <a:effectLst/>
              <a:latin typeface="+mn-lt"/>
              <a:ea typeface="+mn-ea"/>
              <a:cs typeface="+mn-cs"/>
            </a:rPr>
            <a:t>Philipp Wachter (ifeu Institut), </a:t>
          </a:r>
          <a:r>
            <a:rPr lang="de-DE" baseline="0">
              <a:ln>
                <a:noFill/>
              </a:ln>
            </a:rPr>
            <a:t>Prof. Dr. Ute Urban (Hochschule Harz), Cord Wöhning (HIS-HE), Prof. Dr.-Ing. Kati Jagnow (Hochschule Magdeburg-Stendal)</a:t>
          </a:r>
          <a:br>
            <a:rPr lang="de-DE">
              <a:ln>
                <a:noFill/>
              </a:ln>
            </a:rPr>
          </a:br>
          <a:r>
            <a:rPr lang="de-DE">
              <a:ln>
                <a:noFill/>
              </a:ln>
            </a:rPr>
            <a:t>Projektleitung: Prof. Dr. rer. nat.</a:t>
          </a:r>
          <a:r>
            <a:rPr lang="de-DE" baseline="0">
              <a:ln>
                <a:noFill/>
              </a:ln>
            </a:rPr>
            <a:t> Petra Schneider (Hochschule Magdeburg-Stendal)</a:t>
          </a:r>
          <a:br>
            <a:rPr lang="de-DE">
              <a:ln>
                <a:noFill/>
              </a:ln>
            </a:rPr>
          </a:br>
          <a:r>
            <a:rPr lang="de-DE">
              <a:ln>
                <a:noFill/>
              </a:ln>
            </a:rPr>
            <a:t>Redaktionelle Beratung: Ingo Elstner </a:t>
          </a:r>
        </a:p>
      </xdr:txBody>
    </xdr:sp>
    <xdr:clientData/>
  </xdr:twoCellAnchor>
  <xdr:twoCellAnchor editAs="oneCell">
    <xdr:from>
      <xdr:col>9</xdr:col>
      <xdr:colOff>336550</xdr:colOff>
      <xdr:row>1</xdr:row>
      <xdr:rowOff>63500</xdr:rowOff>
    </xdr:from>
    <xdr:to>
      <xdr:col>11</xdr:col>
      <xdr:colOff>245515</xdr:colOff>
      <xdr:row>5</xdr:row>
      <xdr:rowOff>44450</xdr:rowOff>
    </xdr:to>
    <xdr:pic>
      <xdr:nvPicPr>
        <xdr:cNvPr id="3" name="Grafik 2" descr="Ein Bild, das Text, Logo, Schrift, Grafiken enthält.&#10;&#10;Automatisch generierte Beschreibu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16800" y="247650"/>
          <a:ext cx="1432965" cy="723900"/>
        </a:xfrm>
        <a:prstGeom prst="rect">
          <a:avLst/>
        </a:prstGeom>
      </xdr:spPr>
    </xdr:pic>
    <xdr:clientData/>
  </xdr:twoCellAnchor>
  <xdr:twoCellAnchor editAs="oneCell">
    <xdr:from>
      <xdr:col>1</xdr:col>
      <xdr:colOff>146325</xdr:colOff>
      <xdr:row>1</xdr:row>
      <xdr:rowOff>69850</xdr:rowOff>
    </xdr:from>
    <xdr:to>
      <xdr:col>2</xdr:col>
      <xdr:colOff>793016</xdr:colOff>
      <xdr:row>7</xdr:row>
      <xdr:rowOff>145780</xdr:rowOff>
    </xdr:to>
    <xdr:pic>
      <xdr:nvPicPr>
        <xdr:cNvPr id="11" name="Grafik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6825" y="255465"/>
          <a:ext cx="1309289" cy="1192798"/>
        </a:xfrm>
        <a:prstGeom prst="rect">
          <a:avLst/>
        </a:prstGeom>
      </xdr:spPr>
    </xdr:pic>
    <xdr:clientData/>
  </xdr:twoCellAnchor>
  <xdr:twoCellAnchor editAs="oneCell">
    <xdr:from>
      <xdr:col>9</xdr:col>
      <xdr:colOff>313221</xdr:colOff>
      <xdr:row>5</xdr:row>
      <xdr:rowOff>107504</xdr:rowOff>
    </xdr:from>
    <xdr:to>
      <xdr:col>11</xdr:col>
      <xdr:colOff>246784</xdr:colOff>
      <xdr:row>6</xdr:row>
      <xdr:rowOff>86009</xdr:rowOff>
    </xdr:to>
    <xdr:pic>
      <xdr:nvPicPr>
        <xdr:cNvPr id="5" name="Grafi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78286" y="1018591"/>
          <a:ext cx="1457563" cy="160722"/>
        </a:xfrm>
        <a:prstGeom prst="rect">
          <a:avLst/>
        </a:prstGeom>
      </xdr:spPr>
    </xdr:pic>
    <xdr:clientData/>
  </xdr:twoCellAnchor>
  <xdr:twoCellAnchor editAs="oneCell">
    <xdr:from>
      <xdr:col>9</xdr:col>
      <xdr:colOff>334102</xdr:colOff>
      <xdr:row>6</xdr:row>
      <xdr:rowOff>62736</xdr:rowOff>
    </xdr:from>
    <xdr:to>
      <xdr:col>11</xdr:col>
      <xdr:colOff>239279</xdr:colOff>
      <xdr:row>10</xdr:row>
      <xdr:rowOff>64567</xdr:rowOff>
    </xdr:to>
    <xdr:pic>
      <xdr:nvPicPr>
        <xdr:cNvPr id="7" name="Grafik 6">
          <a:extLst>
            <a:ext uri="{FF2B5EF4-FFF2-40B4-BE49-F238E27FC236}">
              <a16:creationId xmlns:a16="http://schemas.microsoft.com/office/drawing/2014/main" id="{00000000-0008-0000-0000-000007000000}"/>
            </a:ext>
          </a:extLst>
        </xdr:cNvPr>
        <xdr:cNvPicPr/>
      </xdr:nvPicPr>
      <xdr:blipFill>
        <a:blip xmlns:r="http://schemas.openxmlformats.org/officeDocument/2006/relationships" r:embed="rId4"/>
        <a:stretch>
          <a:fillRect/>
        </a:stretch>
      </xdr:blipFill>
      <xdr:spPr>
        <a:xfrm>
          <a:off x="7399167" y="1156040"/>
          <a:ext cx="1429177" cy="7307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69050</xdr:colOff>
      <xdr:row>3</xdr:row>
      <xdr:rowOff>28023</xdr:rowOff>
    </xdr:from>
    <xdr:to>
      <xdr:col>8</xdr:col>
      <xdr:colOff>686025</xdr:colOff>
      <xdr:row>26</xdr:row>
      <xdr:rowOff>119063</xdr:rowOff>
    </xdr:to>
    <xdr:sp macro="" textlink="">
      <xdr:nvSpPr>
        <xdr:cNvPr id="2" name="Textfeld 1">
          <a:extLst>
            <a:ext uri="{FF2B5EF4-FFF2-40B4-BE49-F238E27FC236}">
              <a16:creationId xmlns:a16="http://schemas.microsoft.com/office/drawing/2014/main" id="{00000000-0008-0000-0A00-000002000000}"/>
            </a:ext>
          </a:extLst>
        </xdr:cNvPr>
        <xdr:cNvSpPr txBox="1"/>
      </xdr:nvSpPr>
      <xdr:spPr>
        <a:xfrm>
          <a:off x="240202" y="623336"/>
          <a:ext cx="8378362" cy="42210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de-DE" sz="1100" b="1">
              <a:solidFill>
                <a:schemeClr val="dk1"/>
              </a:solidFill>
              <a:effectLst/>
              <a:latin typeface="+mn-lt"/>
              <a:ea typeface="+mn-ea"/>
              <a:cs typeface="+mn-cs"/>
            </a:rPr>
            <a:t>Hinweise</a:t>
          </a:r>
          <a:r>
            <a:rPr lang="de-DE" sz="1100" b="1" baseline="0">
              <a:solidFill>
                <a:schemeClr val="dk1"/>
              </a:solidFill>
              <a:effectLst/>
              <a:latin typeface="+mn-lt"/>
              <a:ea typeface="+mn-ea"/>
              <a:cs typeface="+mn-cs"/>
            </a:rPr>
            <a:t> zur </a:t>
          </a:r>
          <a:r>
            <a:rPr lang="de-DE" sz="1100" b="1">
              <a:solidFill>
                <a:schemeClr val="dk1"/>
              </a:solidFill>
              <a:effectLst/>
              <a:latin typeface="+mn-lt"/>
              <a:ea typeface="+mn-ea"/>
              <a:cs typeface="+mn-cs"/>
            </a:rPr>
            <a:t>Dateneingabe</a:t>
          </a:r>
          <a:br>
            <a:rPr lang="de-DE" sz="1100" b="1">
              <a:solidFill>
                <a:schemeClr val="dk1"/>
              </a:solidFill>
              <a:effectLst/>
              <a:latin typeface="+mn-lt"/>
              <a:ea typeface="+mn-ea"/>
              <a:cs typeface="+mn-cs"/>
            </a:rPr>
          </a:br>
          <a:r>
            <a:rPr lang="de-DE" sz="1100" b="1">
              <a:solidFill>
                <a:schemeClr val="dk1"/>
              </a:solidFill>
              <a:effectLst/>
              <a:latin typeface="+mn-lt"/>
              <a:ea typeface="+mn-ea"/>
              <a:cs typeface="+mn-cs"/>
            </a:rPr>
            <a:t>Individuelle Emissionsfaktoren:</a:t>
          </a:r>
          <a:r>
            <a:rPr lang="de-DE" sz="1100" b="1" baseline="0">
              <a:solidFill>
                <a:schemeClr val="dk1"/>
              </a:solidFill>
              <a:effectLst/>
              <a:latin typeface="+mn-lt"/>
              <a:ea typeface="+mn-ea"/>
              <a:cs typeface="+mn-cs"/>
            </a:rPr>
            <a:t> </a:t>
          </a:r>
          <a:r>
            <a:rPr lang="de-DE" sz="1100" b="0">
              <a:solidFill>
                <a:schemeClr val="dk1"/>
              </a:solidFill>
              <a:effectLst/>
              <a:latin typeface="+mn-lt"/>
              <a:ea typeface="+mn-ea"/>
              <a:cs typeface="+mn-cs"/>
            </a:rPr>
            <a:t>In</a:t>
          </a:r>
          <a:r>
            <a:rPr lang="de-DE" sz="1100" b="0" baseline="0">
              <a:solidFill>
                <a:schemeClr val="dk1"/>
              </a:solidFill>
              <a:effectLst/>
              <a:latin typeface="+mn-lt"/>
              <a:ea typeface="+mn-ea"/>
              <a:cs typeface="+mn-cs"/>
            </a:rPr>
            <a:t> dieser Tab. können eigene Emissionsfaktoren (EF) für weitere Datenpunkte eingetragen werden (ID 149-161). </a:t>
          </a:r>
          <a:endParaRPr lang="de-DE" sz="1100" b="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de-DE" sz="1100" b="1">
              <a:solidFill>
                <a:schemeClr val="dk1"/>
              </a:solidFill>
              <a:effectLst/>
              <a:latin typeface="+mn-lt"/>
              <a:ea typeface="+mn-ea"/>
              <a:cs typeface="+mn-cs"/>
            </a:rPr>
            <a:t>Wärme</a:t>
          </a:r>
          <a:r>
            <a:rPr lang="de-DE" sz="1100" baseline="0">
              <a:solidFill>
                <a:schemeClr val="dk1"/>
              </a:solidFill>
              <a:effectLst/>
              <a:latin typeface="+mn-lt"/>
              <a:ea typeface="+mn-ea"/>
              <a:cs typeface="+mn-cs"/>
            </a:rPr>
            <a:t> (ID 15):</a:t>
          </a:r>
          <a:r>
            <a:rPr lang="en-GB" sz="1100" baseline="0">
              <a:solidFill>
                <a:schemeClr val="dk1"/>
              </a:solidFill>
              <a:effectLst/>
              <a:latin typeface="+mn-lt"/>
              <a:ea typeface="+mn-ea"/>
              <a:cs typeface="+mn-cs"/>
            </a:rPr>
            <a:t> </a:t>
          </a:r>
          <a:r>
            <a:rPr lang="en-GB"/>
            <a:t>In dieser Zeile können die Emissionsfaktoren (EF) der Stadtwerke eingetragen werden. Falls diese nicht verfügbar sind, tragen Sie den Verbrauch bei den entsprechenden Energieträgern ein oder ergänzen Sie den fehlenden Energieträger gegebenenfalls eigenständig</a:t>
          </a:r>
          <a:r>
            <a:rPr lang="de-DE" sz="1100">
              <a:solidFill>
                <a:schemeClr val="dk1"/>
              </a:solidFill>
              <a:effectLst/>
              <a:latin typeface="+mn-lt"/>
              <a:ea typeface="+mn-ea"/>
              <a:cs typeface="+mn-cs"/>
            </a:rPr>
            <a:t>.</a:t>
          </a:r>
          <a:endParaRPr lang="de-DE" b="1">
            <a:solidFill>
              <a:sysClr val="windowText" lastClr="000000"/>
            </a:solidFill>
          </a:endParaRPr>
        </a:p>
        <a:p>
          <a:endParaRPr lang="de-DE" b="1">
            <a:solidFill>
              <a:sysClr val="windowText" lastClr="000000"/>
            </a:solidFill>
          </a:endParaRPr>
        </a:p>
        <a:p>
          <a:r>
            <a:rPr lang="de-DE" sz="1100" b="1">
              <a:solidFill>
                <a:schemeClr val="dk1"/>
              </a:solidFill>
              <a:effectLst/>
              <a:latin typeface="+mn-lt"/>
              <a:ea typeface="+mn-ea"/>
              <a:cs typeface="+mn-cs"/>
            </a:rPr>
            <a:t>Arten des Strommixes</a:t>
          </a:r>
          <a:br>
            <a:rPr lang="de-DE" sz="1100" b="1">
              <a:solidFill>
                <a:schemeClr val="dk1"/>
              </a:solidFill>
              <a:effectLst/>
              <a:latin typeface="+mn-lt"/>
              <a:ea typeface="+mn-ea"/>
              <a:cs typeface="+mn-cs"/>
            </a:rPr>
          </a:br>
          <a:r>
            <a:rPr lang="de-DE" sz="1100" b="1">
              <a:solidFill>
                <a:schemeClr val="dk1"/>
              </a:solidFill>
              <a:effectLst/>
              <a:latin typeface="+mn-lt"/>
              <a:ea typeface="+mn-ea"/>
              <a:cs typeface="+mn-cs"/>
            </a:rPr>
            <a:t>Bundesmix:</a:t>
          </a:r>
          <a:r>
            <a:rPr lang="de-DE" sz="1100" b="1" baseline="0">
              <a:solidFill>
                <a:schemeClr val="dk1"/>
              </a:solidFill>
              <a:effectLst/>
              <a:latin typeface="+mn-lt"/>
              <a:ea typeface="+mn-ea"/>
              <a:cs typeface="+mn-cs"/>
            </a:rPr>
            <a:t> </a:t>
          </a:r>
          <a:r>
            <a:rPr lang="de-DE" sz="1100">
              <a:solidFill>
                <a:schemeClr val="dk1"/>
              </a:solidFill>
              <a:effectLst/>
              <a:latin typeface="+mn-lt"/>
              <a:ea typeface="+mn-ea"/>
              <a:cs typeface="+mn-cs"/>
            </a:rPr>
            <a:t>Die Bilanzierung nach dem Bundesmix ist laut BISKO-Standard eine Mindestvoraussetzung. Sie erfolgt mit dem bundesweiten EF für Strom, um die Emissionseinsparungen durch umgesetzte Maßnahmen und ein verändertes Nutzerverhalten darzustellen, ohne Verfälschung durch die Verwendung der Energieträger.</a:t>
          </a:r>
          <a:endParaRPr lang="en-GB">
            <a:effectLst/>
          </a:endParaRPr>
        </a:p>
        <a:p>
          <a:r>
            <a:rPr lang="de-DE" sz="1100" b="1">
              <a:solidFill>
                <a:schemeClr val="dk1"/>
              </a:solidFill>
              <a:effectLst/>
              <a:latin typeface="+mn-lt"/>
              <a:ea typeface="+mn-ea"/>
              <a:cs typeface="+mn-cs"/>
            </a:rPr>
            <a:t>Regiomix:</a:t>
          </a:r>
          <a:r>
            <a:rPr lang="de-DE" sz="1100" b="1" baseline="0">
              <a:solidFill>
                <a:schemeClr val="dk1"/>
              </a:solidFill>
              <a:effectLst/>
              <a:latin typeface="+mn-lt"/>
              <a:ea typeface="+mn-ea"/>
              <a:cs typeface="+mn-cs"/>
            </a:rPr>
            <a:t> </a:t>
          </a:r>
          <a:r>
            <a:rPr lang="de-DE" sz="1100">
              <a:solidFill>
                <a:schemeClr val="dk1"/>
              </a:solidFill>
              <a:effectLst/>
              <a:latin typeface="+mn-lt"/>
              <a:ea typeface="+mn-ea"/>
              <a:cs typeface="+mn-cs"/>
            </a:rPr>
            <a:t>Gemäß den Vorgaben des GHG-Protocols und des BISKO-Standards ist auch die Bilanzierung nach dem Regiomix ergänzend möglich ("Dual Reporting"). Bilanzen gemäß Regiomix stellen die Bemühungen durch das Nutzungsverhalten, der umgesetzten Maßnahmen </a:t>
          </a:r>
          <a:r>
            <a:rPr lang="de-DE" sz="1100" b="1">
              <a:solidFill>
                <a:schemeClr val="dk1"/>
              </a:solidFill>
              <a:effectLst/>
              <a:latin typeface="+mn-lt"/>
              <a:ea typeface="+mn-ea"/>
              <a:cs typeface="+mn-cs"/>
            </a:rPr>
            <a:t>und</a:t>
          </a:r>
          <a:r>
            <a:rPr lang="de-DE" sz="1100">
              <a:solidFill>
                <a:schemeClr val="dk1"/>
              </a:solidFill>
              <a:effectLst/>
              <a:latin typeface="+mn-lt"/>
              <a:ea typeface="+mn-ea"/>
              <a:cs typeface="+mn-cs"/>
            </a:rPr>
            <a:t> der verwendeten Energieträger dar. </a:t>
          </a:r>
          <a:r>
            <a:rPr lang="en-GB"/>
            <a:t>Die IDs 2 bis 11 werden dabei mit ihren realen Emissionsfaktoren anstelle des Bundesmix-EF berücksichtigt.</a:t>
          </a:r>
          <a:br>
            <a:rPr lang="en-GB"/>
          </a:br>
          <a:r>
            <a:rPr lang="de-DE" sz="1100" b="1">
              <a:solidFill>
                <a:schemeClr val="dk1"/>
              </a:solidFill>
              <a:effectLst/>
              <a:latin typeface="+mn-lt"/>
              <a:ea typeface="+mn-ea"/>
              <a:cs typeface="+mn-cs"/>
            </a:rPr>
            <a:t>Bundesmix</a:t>
          </a:r>
          <a:r>
            <a:rPr lang="de-DE" sz="1100" b="1" baseline="0">
              <a:solidFill>
                <a:schemeClr val="dk1"/>
              </a:solidFill>
              <a:effectLst/>
              <a:latin typeface="+mn-lt"/>
              <a:ea typeface="+mn-ea"/>
              <a:cs typeface="+mn-cs"/>
            </a:rPr>
            <a:t> KS80</a:t>
          </a:r>
          <a:r>
            <a:rPr lang="en-GB" sz="1100" b="0" baseline="0">
              <a:solidFill>
                <a:schemeClr val="dk1"/>
              </a:solidFill>
              <a:effectLst/>
              <a:latin typeface="+mn-lt"/>
              <a:ea typeface="+mn-ea"/>
              <a:cs typeface="+mn-cs"/>
            </a:rPr>
            <a:t>: </a:t>
          </a:r>
          <a:r>
            <a:rPr lang="de-DE" sz="1100">
              <a:solidFill>
                <a:schemeClr val="dk1"/>
              </a:solidFill>
              <a:effectLst/>
              <a:latin typeface="+mn-lt"/>
              <a:ea typeface="+mn-ea"/>
              <a:cs typeface="+mn-cs"/>
            </a:rPr>
            <a:t>Für die Zukunftsszenarien steht zudem die Bilanzierung nach dem Bundesmix KS80 zur Verfügung. Dieses Szenario spiegelt die THG-Minderung bei Umsetzung einer konsequenten Klimaschutzpolitik durch die Bundesregierung wider, wobei die im Energiekonzept der Bundesregierung festgelegten Ziele angestrebt werden.</a:t>
          </a:r>
          <a:endParaRPr lang="en-GB" sz="1100">
            <a:solidFill>
              <a:schemeClr val="dk1"/>
            </a:solidFill>
            <a:effectLst/>
            <a:latin typeface="+mn-lt"/>
            <a:ea typeface="+mn-ea"/>
            <a:cs typeface="+mn-cs"/>
          </a:endParaRPr>
        </a:p>
        <a:p>
          <a:endParaRPr lang="en-GB" sz="1100" b="1">
            <a:solidFill>
              <a:schemeClr val="dk1"/>
            </a:solidFill>
            <a:effectLst/>
            <a:latin typeface="+mn-lt"/>
            <a:ea typeface="+mn-ea"/>
            <a:cs typeface="+mn-cs"/>
          </a:endParaRPr>
        </a:p>
        <a:p>
          <a:r>
            <a:rPr lang="de-DE" sz="1100" b="1">
              <a:solidFill>
                <a:schemeClr val="dk1"/>
              </a:solidFill>
              <a:effectLst/>
              <a:latin typeface="+mn-lt"/>
              <a:ea typeface="+mn-ea"/>
              <a:cs typeface="+mn-cs"/>
            </a:rPr>
            <a:t>Literaturnachweis</a:t>
          </a:r>
          <a:endParaRPr lang="en-GB">
            <a:effectLst/>
          </a:endParaRPr>
        </a:p>
        <a:p>
          <a:pPr eaLnBrk="1" fontAlgn="auto" latinLnBrk="0" hangingPunct="1"/>
          <a:r>
            <a:rPr lang="de-DE" sz="1100">
              <a:solidFill>
                <a:schemeClr val="dk1"/>
              </a:solidFill>
              <a:effectLst/>
              <a:latin typeface="+mn-lt"/>
              <a:ea typeface="+mn-ea"/>
              <a:cs typeface="+mn-cs"/>
            </a:rPr>
            <a:t>Die hinterlegten</a:t>
          </a:r>
          <a:r>
            <a:rPr lang="de-DE" sz="1100" b="0" baseline="0">
              <a:solidFill>
                <a:schemeClr val="dk1"/>
              </a:solidFill>
              <a:effectLst/>
              <a:latin typeface="+mn-lt"/>
              <a:ea typeface="+mn-ea"/>
              <a:cs typeface="+mn-cs"/>
            </a:rPr>
            <a:t> </a:t>
          </a:r>
          <a:r>
            <a:rPr lang="de-DE" sz="1100" b="0">
              <a:solidFill>
                <a:schemeClr val="dk1"/>
              </a:solidFill>
              <a:effectLst/>
              <a:latin typeface="+mn-lt"/>
              <a:ea typeface="+mn-ea"/>
              <a:cs typeface="+mn-cs"/>
            </a:rPr>
            <a:t>EF</a:t>
          </a:r>
          <a:r>
            <a:rPr lang="de-DE" sz="1100" b="0" baseline="0">
              <a:solidFill>
                <a:schemeClr val="dk1"/>
              </a:solidFill>
              <a:effectLst/>
              <a:latin typeface="+mn-lt"/>
              <a:ea typeface="+mn-ea"/>
              <a:cs typeface="+mn-cs"/>
            </a:rPr>
            <a:t> </a:t>
          </a:r>
          <a:r>
            <a:rPr lang="de-DE" sz="1100">
              <a:solidFill>
                <a:schemeClr val="dk1"/>
              </a:solidFill>
              <a:effectLst/>
              <a:latin typeface="+mn-lt"/>
              <a:ea typeface="+mn-ea"/>
              <a:cs typeface="+mn-cs"/>
            </a:rPr>
            <a:t>stammen aus wissenschaftlichen Datenbanken und Studien</a:t>
          </a:r>
          <a:r>
            <a:rPr lang="de-DE" sz="1100" baseline="0">
              <a:solidFill>
                <a:schemeClr val="dk1"/>
              </a:solidFill>
              <a:effectLst/>
              <a:latin typeface="+mn-lt"/>
              <a:ea typeface="+mn-ea"/>
              <a:cs typeface="+mn-cs"/>
            </a:rPr>
            <a:t> (s. Spalte Y und Z). </a:t>
          </a:r>
          <a:r>
            <a:rPr lang="de-DE" sz="1100">
              <a:solidFill>
                <a:schemeClr val="dk1"/>
              </a:solidFill>
              <a:effectLst/>
              <a:latin typeface="+mn-lt"/>
              <a:ea typeface="+mn-ea"/>
              <a:cs typeface="+mn-cs"/>
            </a:rPr>
            <a:t>Alle zwischen 2015 und 2050 verfügbaren EF wurden im KliMax integriert. Für Jahre ohne verfügbaren EF wurde in der Regel der jeweils letzte genutzt. Das Tool wird jährlich aktualisiert, sofern aktuellere EF vorliegen. Die im KliMax hinterlegten EF berücksichtigen die Vorketten, was gemäß BISKO-Standard und dem GHG-Protocol vorgeschrieben ist.</a:t>
          </a:r>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Umrechnung </a:t>
          </a:r>
          <a:endParaRPr lang="en-GB">
            <a:effectLst/>
          </a:endParaRPr>
        </a:p>
        <a:p>
          <a:pPr eaLnBrk="1" fontAlgn="auto" latinLnBrk="0" hangingPunct="1"/>
          <a:r>
            <a:rPr lang="de-DE" sz="1100">
              <a:solidFill>
                <a:schemeClr val="dk1"/>
              </a:solidFill>
              <a:effectLst/>
              <a:latin typeface="+mn-lt"/>
              <a:ea typeface="+mn-ea"/>
              <a:cs typeface="+mn-cs"/>
            </a:rPr>
            <a:t>Lag der EF in den Datenbanken in kg</a:t>
          </a:r>
          <a:r>
            <a:rPr lang="de-DE" sz="1100" b="1">
              <a:solidFill>
                <a:schemeClr val="dk1"/>
              </a:solidFill>
              <a:effectLst/>
              <a:latin typeface="+mn-lt"/>
              <a:ea typeface="+mn-ea"/>
              <a:cs typeface="+mn-cs"/>
            </a:rPr>
            <a:t> </a:t>
          </a:r>
          <a:r>
            <a:rPr lang="de-DE" sz="1100">
              <a:solidFill>
                <a:schemeClr val="dk1"/>
              </a:solidFill>
              <a:effectLst/>
              <a:latin typeface="+mn-lt"/>
              <a:ea typeface="+mn-ea"/>
              <a:cs typeface="+mn-cs"/>
            </a:rPr>
            <a:t>CO</a:t>
          </a:r>
          <a:r>
            <a:rPr lang="de-DE" sz="1100" baseline="-25000">
              <a:solidFill>
                <a:schemeClr val="dk1"/>
              </a:solidFill>
              <a:effectLst/>
              <a:latin typeface="+mn-lt"/>
              <a:ea typeface="+mn-ea"/>
              <a:cs typeface="+mn-cs"/>
            </a:rPr>
            <a:t>2</a:t>
          </a:r>
          <a:r>
            <a:rPr lang="de-DE" sz="1100">
              <a:solidFill>
                <a:schemeClr val="dk1"/>
              </a:solidFill>
              <a:effectLst/>
              <a:latin typeface="+mn-lt"/>
              <a:ea typeface="+mn-ea"/>
              <a:cs typeface="+mn-cs"/>
            </a:rPr>
            <a:t>-Äq./TJ</a:t>
          </a:r>
          <a:r>
            <a:rPr lang="de-DE" sz="1100" baseline="0">
              <a:solidFill>
                <a:schemeClr val="dk1"/>
              </a:solidFill>
              <a:effectLst/>
              <a:latin typeface="+mn-lt"/>
              <a:ea typeface="+mn-ea"/>
              <a:cs typeface="+mn-cs"/>
            </a:rPr>
            <a:t> vor, wurde dieser</a:t>
          </a:r>
          <a:r>
            <a:rPr lang="de-DE" sz="1100">
              <a:solidFill>
                <a:schemeClr val="dk1"/>
              </a:solidFill>
              <a:effectLst/>
              <a:latin typeface="+mn-lt"/>
              <a:ea typeface="+mn-ea"/>
              <a:cs typeface="+mn-cs"/>
            </a:rPr>
            <a:t> in kg CO</a:t>
          </a:r>
          <a:r>
            <a:rPr lang="de-DE" sz="1100" baseline="-25000">
              <a:solidFill>
                <a:schemeClr val="dk1"/>
              </a:solidFill>
              <a:effectLst/>
              <a:latin typeface="+mn-lt"/>
              <a:ea typeface="+mn-ea"/>
              <a:cs typeface="+mn-cs"/>
            </a:rPr>
            <a:t>2</a:t>
          </a:r>
          <a:r>
            <a:rPr lang="de-DE" sz="1100">
              <a:solidFill>
                <a:schemeClr val="dk1"/>
              </a:solidFill>
              <a:effectLst/>
              <a:latin typeface="+mn-lt"/>
              <a:ea typeface="+mn-ea"/>
              <a:cs typeface="+mn-cs"/>
            </a:rPr>
            <a:t>-Äq./MWh mit dem Faktor 277,77777 umgerechnet.</a:t>
          </a:r>
          <a:endParaRPr lang="de-DE" sz="1100" b="1">
            <a:solidFill>
              <a:schemeClr val="dk1"/>
            </a:solidFill>
            <a:effectLst/>
            <a:latin typeface="+mn-lt"/>
            <a:ea typeface="+mn-ea"/>
            <a:cs typeface="+mn-cs"/>
          </a:endParaRPr>
        </a:p>
        <a:p>
          <a:endParaRPr lang="de-DE" sz="1100" b="1">
            <a:solidFill>
              <a:schemeClr val="dk1"/>
            </a:solidFill>
            <a:effectLst/>
            <a:latin typeface="+mn-lt"/>
            <a:ea typeface="+mn-ea"/>
            <a:cs typeface="+mn-cs"/>
          </a:endParaRPr>
        </a:p>
        <a:p>
          <a:endParaRPr lang="de-DE" sz="1100"/>
        </a:p>
        <a:p>
          <a:endParaRPr lang="de-DE" sz="1100" baseline="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114839</xdr:colOff>
      <xdr:row>3</xdr:row>
      <xdr:rowOff>131777</xdr:rowOff>
    </xdr:from>
    <xdr:to>
      <xdr:col>9</xdr:col>
      <xdr:colOff>472109</xdr:colOff>
      <xdr:row>37</xdr:row>
      <xdr:rowOff>122338</xdr:rowOff>
    </xdr:to>
    <xdr:sp macro="" textlink="">
      <xdr:nvSpPr>
        <xdr:cNvPr id="5" name="Textfeld 4">
          <a:extLst>
            <a:ext uri="{FF2B5EF4-FFF2-40B4-BE49-F238E27FC236}">
              <a16:creationId xmlns:a16="http://schemas.microsoft.com/office/drawing/2014/main" id="{00000000-0008-0000-0100-000005000000}"/>
            </a:ext>
          </a:extLst>
        </xdr:cNvPr>
        <xdr:cNvSpPr txBox="1"/>
      </xdr:nvSpPr>
      <xdr:spPr>
        <a:xfrm>
          <a:off x="305339" y="736407"/>
          <a:ext cx="8871792" cy="64509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de-DE" sz="1200" b="1">
              <a:solidFill>
                <a:schemeClr val="dk1"/>
              </a:solidFill>
              <a:effectLst/>
              <a:latin typeface="+mn-lt"/>
              <a:ea typeface="+mn-ea"/>
              <a:cs typeface="+mn-cs"/>
            </a:rPr>
            <a:t>Ziel</a:t>
          </a:r>
          <a:br>
            <a:rPr lang="de-DE" sz="1100" b="1">
              <a:solidFill>
                <a:schemeClr val="dk1"/>
              </a:solidFill>
              <a:effectLst/>
              <a:latin typeface="+mn-lt"/>
              <a:ea typeface="+mn-ea"/>
              <a:cs typeface="+mn-cs"/>
            </a:rPr>
          </a:br>
          <a:r>
            <a:rPr lang="de-DE" sz="1100" b="1">
              <a:solidFill>
                <a:schemeClr val="dk1"/>
              </a:solidFill>
              <a:effectLst/>
              <a:latin typeface="+mn-lt"/>
              <a:ea typeface="+mn-ea"/>
              <a:cs typeface="+mn-cs"/>
            </a:rPr>
            <a:t>Mit</a:t>
          </a:r>
          <a:r>
            <a:rPr lang="de-DE" sz="1100" b="1" baseline="0">
              <a:solidFill>
                <a:schemeClr val="dk1"/>
              </a:solidFill>
              <a:effectLst/>
              <a:latin typeface="+mn-lt"/>
              <a:ea typeface="+mn-ea"/>
              <a:cs typeface="+mn-cs"/>
            </a:rPr>
            <a:t> diesem Tool können Sie Ist-Bilanzen und Zukunftsszenarien erstellen. Die Zukunftsszenarien unterteilen sich in Referenz- und Klimaschutzszenarien. </a:t>
          </a:r>
          <a:r>
            <a:rPr lang="de-DE" sz="1100" b="0" baseline="0">
              <a:solidFill>
                <a:schemeClr val="dk1"/>
              </a:solidFill>
              <a:effectLst/>
              <a:latin typeface="+mn-lt"/>
              <a:ea typeface="+mn-ea"/>
              <a:cs typeface="+mn-cs"/>
            </a:rPr>
            <a:t>Das Referenzszenario stellt dabei die Treibhausgas-Emissionen (in t </a:t>
          </a:r>
          <a:r>
            <a:rPr lang="de-DE" sz="1100" b="0" i="0">
              <a:solidFill>
                <a:schemeClr val="dk1"/>
              </a:solidFill>
              <a:effectLst/>
              <a:latin typeface="+mn-lt"/>
              <a:ea typeface="+mn-ea"/>
              <a:cs typeface="+mn-cs"/>
            </a:rPr>
            <a:t>CO</a:t>
          </a:r>
          <a:r>
            <a:rPr lang="de-DE" sz="1100" b="0" i="0" baseline="-25000">
              <a:solidFill>
                <a:schemeClr val="dk1"/>
              </a:solidFill>
              <a:effectLst/>
              <a:latin typeface="+mn-lt"/>
              <a:ea typeface="+mn-ea"/>
              <a:cs typeface="+mn-cs"/>
            </a:rPr>
            <a:t>2</a:t>
          </a:r>
          <a:r>
            <a:rPr lang="de-DE" sz="1100" b="0" i="0">
              <a:solidFill>
                <a:schemeClr val="dk1"/>
              </a:solidFill>
              <a:effectLst/>
              <a:latin typeface="+mn-lt"/>
              <a:ea typeface="+mn-ea"/>
              <a:cs typeface="+mn-cs"/>
            </a:rPr>
            <a:t>-Äquivalente)</a:t>
          </a:r>
          <a:r>
            <a:rPr lang="de-DE" sz="1100" b="0" baseline="0">
              <a:solidFill>
                <a:schemeClr val="dk1"/>
              </a:solidFill>
              <a:effectLst/>
              <a:latin typeface="+mn-lt"/>
              <a:ea typeface="+mn-ea"/>
              <a:cs typeface="+mn-cs"/>
            </a:rPr>
            <a:t> dar, für den Fall, das keine weiteren Maßnahmen durchgeführt werden und die Rahmenbedingungen gleichbleiben.</a:t>
          </a:r>
          <a:r>
            <a:rPr lang="de-DE" sz="1100" b="1" baseline="0">
              <a:solidFill>
                <a:schemeClr val="dk1"/>
              </a:solidFill>
              <a:effectLst/>
              <a:latin typeface="+mn-lt"/>
              <a:ea typeface="+mn-ea"/>
              <a:cs typeface="+mn-cs"/>
            </a:rPr>
            <a:t> </a:t>
          </a:r>
          <a:r>
            <a:rPr lang="de-DE" sz="1100" b="0" baseline="0">
              <a:solidFill>
                <a:schemeClr val="dk1"/>
              </a:solidFill>
              <a:effectLst/>
              <a:latin typeface="+mn-lt"/>
              <a:ea typeface="+mn-ea"/>
              <a:cs typeface="+mn-cs"/>
            </a:rPr>
            <a:t>In diesem Tabellenblatt "Refsz-Verbräuche" können Sie die Daten für eine Ist-Bilanz für einen ausgewählten Zeitraum sowie für das Referenzszenario eintragen.</a:t>
          </a:r>
          <a:endParaRPr lang="en-GB" sz="1100" b="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de-DE" sz="1100" b="0" baseline="0">
            <a:solidFill>
              <a:schemeClr val="dk1"/>
            </a:solidFill>
            <a:effectLst/>
            <a:latin typeface="+mn-lt"/>
            <a:ea typeface="+mn-ea"/>
            <a:cs typeface="+mn-cs"/>
          </a:endParaRPr>
        </a:p>
        <a:p>
          <a:r>
            <a:rPr lang="de-DE" sz="1200" b="1" baseline="0">
              <a:solidFill>
                <a:schemeClr val="dk1"/>
              </a:solidFill>
              <a:effectLst/>
              <a:latin typeface="+mn-lt"/>
              <a:ea typeface="+mn-ea"/>
              <a:cs typeface="+mn-cs"/>
            </a:rPr>
            <a:t>Berechnungsmethode Referenzszenario</a:t>
          </a:r>
          <a:br>
            <a:rPr lang="de-DE" sz="1100" b="0" baseline="0">
              <a:solidFill>
                <a:schemeClr val="dk1"/>
              </a:solidFill>
              <a:effectLst/>
              <a:latin typeface="+mn-lt"/>
              <a:ea typeface="+mn-ea"/>
              <a:cs typeface="+mn-cs"/>
            </a:rPr>
          </a:br>
          <a:r>
            <a:rPr lang="de-DE" sz="1100" b="0" baseline="0">
              <a:solidFill>
                <a:schemeClr val="dk1"/>
              </a:solidFill>
              <a:effectLst/>
              <a:latin typeface="+mn-lt"/>
              <a:ea typeface="+mn-ea"/>
              <a:cs typeface="+mn-cs"/>
            </a:rPr>
            <a:t>Das Referenzszenario setzt voraus, dass der bisherige Verbrauch im Durchschnitt in der Zukunft gleichbleibt. Sie können das Referenzszenario auch nach Ihren eigenen Kriterien erstellen (bspw. steigender Verbrauch an elektr. Strom), indem Sie die Formeln der orangenen Felder ändern.</a:t>
          </a:r>
        </a:p>
        <a:p>
          <a:endParaRPr lang="de-DE" sz="1100" b="0" baseline="0">
            <a:solidFill>
              <a:schemeClr val="dk1"/>
            </a:solidFill>
            <a:effectLst/>
            <a:latin typeface="+mn-lt"/>
            <a:ea typeface="+mn-ea"/>
            <a:cs typeface="+mn-cs"/>
          </a:endParaRPr>
        </a:p>
        <a:p>
          <a:r>
            <a:rPr lang="de-DE" sz="1400" b="1" baseline="0">
              <a:solidFill>
                <a:schemeClr val="dk1"/>
              </a:solidFill>
              <a:effectLst/>
              <a:latin typeface="+mn-lt"/>
              <a:ea typeface="+mn-ea"/>
              <a:cs typeface="+mn-cs"/>
            </a:rPr>
            <a:t>Wichtige Hinweise zur Dateneingabe</a:t>
          </a:r>
          <a:endParaRPr lang="de-DE" sz="14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de-DE" sz="1100" b="1">
              <a:solidFill>
                <a:schemeClr val="dk1"/>
              </a:solidFill>
              <a:effectLst/>
              <a:latin typeface="+mn-lt"/>
              <a:ea typeface="+mn-ea"/>
              <a:cs typeface="+mn-cs"/>
            </a:rPr>
            <a:t>Ist-Analyse:</a:t>
          </a:r>
          <a:r>
            <a:rPr lang="de-DE" sz="1100" b="1" baseline="0">
              <a:solidFill>
                <a:schemeClr val="dk1"/>
              </a:solidFill>
              <a:effectLst/>
              <a:latin typeface="+mn-lt"/>
              <a:ea typeface="+mn-ea"/>
              <a:cs typeface="+mn-cs"/>
            </a:rPr>
            <a:t> </a:t>
          </a:r>
          <a:r>
            <a:rPr lang="de-DE" sz="1100">
              <a:solidFill>
                <a:schemeClr val="dk1"/>
              </a:solidFill>
              <a:effectLst/>
              <a:latin typeface="+mn-lt"/>
              <a:ea typeface="+mn-ea"/>
              <a:cs typeface="+mn-cs"/>
            </a:rPr>
            <a:t>Wählen Sie ein Referenzjahr</a:t>
          </a:r>
          <a:r>
            <a:rPr lang="de-DE" sz="1100" baseline="0">
              <a:solidFill>
                <a:schemeClr val="dk1"/>
              </a:solidFill>
              <a:effectLst/>
              <a:latin typeface="+mn-lt"/>
              <a:ea typeface="+mn-ea"/>
              <a:cs typeface="+mn-cs"/>
            </a:rPr>
            <a:t> für die Ist-Analyse aus, in welchem Sie möglichst alle Daten eingeben (Eingabe in B41). In die Spalten Y und Z können Sie Angaben zur Datenerhebung dokumentieren. Für Kapitalgüter ist das Verkaufsdatum relevant (und nicht der Erhalt). </a:t>
          </a:r>
          <a:endParaRPr lang="de-DE" sz="1100" b="1"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de-DE" sz="1100" b="1" baseline="0">
              <a:solidFill>
                <a:schemeClr val="dk1"/>
              </a:solidFill>
              <a:effectLst/>
              <a:latin typeface="+mn-lt"/>
              <a:ea typeface="+mn-ea"/>
              <a:cs typeface="+mn-cs"/>
            </a:rPr>
            <a:t>Zukunftsszenarien: </a:t>
          </a:r>
          <a:r>
            <a:rPr lang="de-DE" sz="1100" b="0" baseline="0">
              <a:solidFill>
                <a:schemeClr val="dk1"/>
              </a:solidFill>
              <a:effectLst/>
              <a:latin typeface="+mn-lt"/>
              <a:ea typeface="+mn-ea"/>
              <a:cs typeface="+mn-cs"/>
            </a:rPr>
            <a:t>Den Beginn der Zukunftsszenarien stellen Sie in B43 ein. Für die Vorjahre geben Sie alle vorliegenden Daten ein. </a:t>
          </a:r>
          <a:r>
            <a:rPr lang="de-DE" sz="1100" baseline="0">
              <a:solidFill>
                <a:schemeClr val="dk1"/>
              </a:solidFill>
              <a:effectLst/>
              <a:latin typeface="+mn-lt"/>
              <a:ea typeface="+mn-ea"/>
              <a:cs typeface="+mn-cs"/>
            </a:rPr>
            <a:t>Je mehr Daten desto besser. So ist z. B. ein Mittelwert aus 5 Vorjahren für die Zukunftsszenarien genauer als aus 3 Jahren. </a:t>
          </a:r>
          <a:endParaRPr lang="de-DE" sz="1100" b="1"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de-DE" sz="1100" b="1" i="0">
              <a:solidFill>
                <a:schemeClr val="dk1"/>
              </a:solidFill>
              <a:effectLst/>
              <a:latin typeface="+mn-lt"/>
              <a:ea typeface="+mn-ea"/>
              <a:cs typeface="+mn-cs"/>
            </a:rPr>
            <a:t>Einheiten: </a:t>
          </a:r>
          <a:r>
            <a:rPr lang="de-DE" sz="1100" b="0" i="0">
              <a:solidFill>
                <a:schemeClr val="dk1"/>
              </a:solidFill>
              <a:effectLst/>
              <a:latin typeface="+mn-lt"/>
              <a:ea typeface="+mn-ea"/>
              <a:cs typeface="+mn-cs"/>
            </a:rPr>
            <a:t>Bitte tragen Sie den Verbrauch</a:t>
          </a:r>
          <a:r>
            <a:rPr lang="de-DE" sz="1100" b="0" i="0" baseline="0">
              <a:solidFill>
                <a:schemeClr val="dk1"/>
              </a:solidFill>
              <a:effectLst/>
              <a:latin typeface="+mn-lt"/>
              <a:ea typeface="+mn-ea"/>
              <a:cs typeface="+mn-cs"/>
            </a:rPr>
            <a:t> in der angegebenen Einheit</a:t>
          </a:r>
          <a:r>
            <a:rPr lang="de-DE" sz="1100" b="0" i="0">
              <a:solidFill>
                <a:schemeClr val="dk1"/>
              </a:solidFill>
              <a:effectLst/>
              <a:latin typeface="+mn-lt"/>
              <a:ea typeface="+mn-ea"/>
              <a:cs typeface="+mn-cs"/>
            </a:rPr>
            <a:t> in die Zellen ein.</a:t>
          </a:r>
          <a:r>
            <a:rPr lang="de-DE" sz="1100" baseline="0">
              <a:solidFill>
                <a:schemeClr val="dk1"/>
              </a:solidFill>
              <a:effectLst/>
              <a:latin typeface="+mn-lt"/>
              <a:ea typeface="+mn-ea"/>
              <a:cs typeface="+mn-cs"/>
            </a:rPr>
            <a:t> Bei Bedarf können Einheiten im Tabellenblatt "Umrechnen" umgerechnet werden. Für Energieemissionen dürfen gemäß BISKO-Standard keine Witterungskorrekturen vorgenommen werden.</a:t>
          </a:r>
          <a:endParaRPr lang="de-DE" sz="1100" b="1">
            <a:solidFill>
              <a:schemeClr val="dk1"/>
            </a:solidFill>
            <a:effectLst/>
            <a:latin typeface="+mn-lt"/>
            <a:ea typeface="+mn-ea"/>
            <a:cs typeface="+mn-cs"/>
          </a:endParaRPr>
        </a:p>
        <a:p>
          <a:pPr eaLnBrk="1" fontAlgn="auto" latinLnBrk="0" hangingPunct="1"/>
          <a:r>
            <a:rPr lang="de-DE" sz="1100" b="1">
              <a:solidFill>
                <a:schemeClr val="dk1"/>
              </a:solidFill>
              <a:effectLst/>
              <a:latin typeface="+mn-lt"/>
              <a:ea typeface="+mn-ea"/>
              <a:cs typeface="+mn-cs"/>
            </a:rPr>
            <a:t>Bilanzgrenze: </a:t>
          </a:r>
          <a:r>
            <a:rPr lang="de-DE" sz="1100" b="0" baseline="0">
              <a:solidFill>
                <a:schemeClr val="dk1"/>
              </a:solidFill>
              <a:effectLst/>
              <a:latin typeface="+mn-lt"/>
              <a:ea typeface="+mn-ea"/>
              <a:cs typeface="+mn-cs"/>
            </a:rPr>
            <a:t>Füllen Sie alle Datenpunkte der Handlungsfelder aus, die durch die Vorgaben des Landes, der Institution und weiteren Rahmenbedingungen notwendig sind. </a:t>
          </a:r>
          <a:r>
            <a:rPr lang="en-GB"/>
            <a:t>In der Regel sind alle Aktivitäten auf dem Gelände der Institution verpflichtend (ID 1-36, entsprechend dem </a:t>
          </a:r>
          <a:r>
            <a:rPr lang="en-GB" b="1"/>
            <a:t>endenergiebasierten Territorialprinzip gemäß BISKO</a:t>
          </a:r>
          <a:r>
            <a:rPr lang="en-GB"/>
            <a:t>), einschließlich externer Aktivitäten, die für den Betrieb der Institution relevant sind (</a:t>
          </a:r>
          <a:r>
            <a:rPr lang="en-GB" b="1"/>
            <a:t>Verursacherprinzip</a:t>
          </a:r>
          <a:r>
            <a:rPr lang="en-GB"/>
            <a:t>)</a:t>
          </a:r>
          <a:r>
            <a:rPr lang="de-DE" sz="1100">
              <a:solidFill>
                <a:schemeClr val="dk1"/>
              </a:solidFill>
              <a:effectLst/>
              <a:latin typeface="+mn-lt"/>
              <a:ea typeface="+mn-ea"/>
              <a:cs typeface="+mn-cs"/>
            </a:rPr>
            <a:t>.</a:t>
          </a:r>
          <a:r>
            <a:rPr lang="de-DE" sz="1100" b="1" baseline="0">
              <a:solidFill>
                <a:schemeClr val="dk1"/>
              </a:solidFill>
              <a:effectLst/>
              <a:latin typeface="+mn-lt"/>
              <a:ea typeface="+mn-ea"/>
              <a:cs typeface="+mn-cs"/>
            </a:rPr>
            <a:t> </a:t>
          </a:r>
          <a:r>
            <a:rPr lang="de-DE" sz="1100" b="0">
              <a:solidFill>
                <a:schemeClr val="dk1"/>
              </a:solidFill>
              <a:effectLst/>
              <a:latin typeface="+mn-lt"/>
              <a:ea typeface="+mn-ea"/>
              <a:cs typeface="+mn-cs"/>
            </a:rPr>
            <a:t>G</a:t>
          </a:r>
          <a:r>
            <a:rPr lang="de-DE" sz="1100" baseline="0">
              <a:solidFill>
                <a:schemeClr val="dk1"/>
              </a:solidFill>
              <a:effectLst/>
              <a:latin typeface="+mn-lt"/>
              <a:ea typeface="+mn-ea"/>
              <a:cs typeface="+mn-cs"/>
            </a:rPr>
            <a:t>emäß </a:t>
          </a:r>
          <a:r>
            <a:rPr lang="de-DE" sz="1100" b="1" baseline="0">
              <a:solidFill>
                <a:schemeClr val="dk1"/>
              </a:solidFill>
              <a:effectLst/>
              <a:latin typeface="+mn-lt"/>
              <a:ea typeface="+mn-ea"/>
              <a:cs typeface="+mn-cs"/>
            </a:rPr>
            <a:t>GHG-Protocol</a:t>
          </a:r>
          <a:r>
            <a:rPr lang="de-DE" sz="1100" baseline="0">
              <a:solidFill>
                <a:schemeClr val="dk1"/>
              </a:solidFill>
              <a:effectLst/>
              <a:latin typeface="+mn-lt"/>
              <a:ea typeface="+mn-ea"/>
              <a:cs typeface="+mn-cs"/>
            </a:rPr>
            <a:t> ist mindestens die Bilanzierung nach Scope 1 und 2 (ebenfalls </a:t>
          </a:r>
          <a:r>
            <a:rPr lang="de-DE" sz="1100" baseline="0">
              <a:solidFill>
                <a:sysClr val="windowText" lastClr="000000"/>
              </a:solidFill>
              <a:effectLst/>
              <a:latin typeface="+mn-lt"/>
              <a:ea typeface="+mn-ea"/>
              <a:cs typeface="+mn-cs"/>
            </a:rPr>
            <a:t>ID 1-36) </a:t>
          </a:r>
          <a:r>
            <a:rPr lang="de-DE" sz="1100" baseline="0">
              <a:solidFill>
                <a:schemeClr val="dk1"/>
              </a:solidFill>
              <a:effectLst/>
              <a:latin typeface="+mn-lt"/>
              <a:ea typeface="+mn-ea"/>
              <a:cs typeface="+mn-cs"/>
            </a:rPr>
            <a:t>verpflichtend. </a:t>
          </a:r>
          <a:r>
            <a:rPr lang="de-DE" sz="1100">
              <a:solidFill>
                <a:schemeClr val="dk1"/>
              </a:solidFill>
              <a:effectLst/>
              <a:latin typeface="+mn-lt"/>
              <a:ea typeface="+mn-ea"/>
              <a:cs typeface="+mn-cs"/>
            </a:rPr>
            <a:t>Aus praktischen Gründen erfolgt im Tool keine Aufteilung der Emissionen nach den Scopes, was allerdings im GHG-Protocol üblich ist. Die Unterscheidung zwischen stationären Emissionen durch Verbrennung (Scope 1), der Vorkette des Brennstoffs (2) sowie allen anderen indirekten Emissionen (3) beeinflusst weder die Maßnahmenentwicklung noch erhöht sie die Transparenz der Auswertung, sofern die Systemgrenzen beschrieben und die Vorketten bilanziert werden. KliMax unterscheidet daher ausschließlich nach den Datenpunkten und Jahren. Dennoch werden nach</a:t>
          </a:r>
          <a:r>
            <a:rPr lang="de-DE" sz="1100" baseline="0">
              <a:solidFill>
                <a:schemeClr val="dk1"/>
              </a:solidFill>
              <a:effectLst/>
              <a:latin typeface="+mn-lt"/>
              <a:ea typeface="+mn-ea"/>
              <a:cs typeface="+mn-cs"/>
            </a:rPr>
            <a:t> dem</a:t>
          </a:r>
          <a:r>
            <a:rPr lang="de-DE" sz="1100">
              <a:solidFill>
                <a:schemeClr val="dk1"/>
              </a:solidFill>
              <a:effectLst/>
              <a:latin typeface="+mn-lt"/>
              <a:ea typeface="+mn-ea"/>
              <a:cs typeface="+mn-cs"/>
            </a:rPr>
            <a:t> GHG-Protocol und</a:t>
          </a:r>
          <a:r>
            <a:rPr lang="de-DE" sz="1100" baseline="0">
              <a:solidFill>
                <a:schemeClr val="dk1"/>
              </a:solidFill>
              <a:effectLst/>
              <a:latin typeface="+mn-lt"/>
              <a:ea typeface="+mn-ea"/>
              <a:cs typeface="+mn-cs"/>
            </a:rPr>
            <a:t> dem</a:t>
          </a:r>
          <a:r>
            <a:rPr lang="de-DE" sz="1100">
              <a:solidFill>
                <a:schemeClr val="dk1"/>
              </a:solidFill>
              <a:effectLst/>
              <a:latin typeface="+mn-lt"/>
              <a:ea typeface="+mn-ea"/>
              <a:cs typeface="+mn-cs"/>
            </a:rPr>
            <a:t> endenergiebasierten Territorialprinzip alle verpflichtenden Datenpunkte der meisten Institutionen im KliMax bilanziert und </a:t>
          </a:r>
          <a:r>
            <a:rPr lang="de-DE" sz="1100" b="1">
              <a:solidFill>
                <a:schemeClr val="dk1"/>
              </a:solidFill>
              <a:effectLst/>
              <a:latin typeface="+mn-lt"/>
              <a:ea typeface="+mn-ea"/>
              <a:cs typeface="+mn-cs"/>
            </a:rPr>
            <a:t>fett gedruckt</a:t>
          </a:r>
          <a:r>
            <a:rPr lang="de-DE" sz="1100" b="1" baseline="0">
              <a:solidFill>
                <a:schemeClr val="dk1"/>
              </a:solidFill>
              <a:effectLst/>
              <a:latin typeface="+mn-lt"/>
              <a:ea typeface="+mn-ea"/>
              <a:cs typeface="+mn-cs"/>
            </a:rPr>
            <a:t> </a:t>
          </a:r>
          <a:r>
            <a:rPr lang="de-DE" sz="1100">
              <a:solidFill>
                <a:schemeClr val="dk1"/>
              </a:solidFill>
              <a:effectLst/>
              <a:latin typeface="+mn-lt"/>
              <a:ea typeface="+mn-ea"/>
              <a:cs typeface="+mn-cs"/>
            </a:rPr>
            <a:t>kenntlich gemacht.</a:t>
          </a:r>
          <a:r>
            <a:rPr lang="en-GB" sz="1100" baseline="0">
              <a:solidFill>
                <a:schemeClr val="dk1"/>
              </a:solidFill>
              <a:effectLst/>
              <a:latin typeface="+mn-lt"/>
              <a:ea typeface="+mn-ea"/>
              <a:cs typeface="+mn-cs"/>
            </a:rPr>
            <a:t> </a:t>
          </a:r>
          <a:r>
            <a:rPr lang="de-DE" sz="1100" baseline="0">
              <a:solidFill>
                <a:schemeClr val="dk1"/>
              </a:solidFill>
              <a:effectLst/>
              <a:latin typeface="+mn-lt"/>
              <a:ea typeface="+mn-ea"/>
              <a:cs typeface="+mn-cs"/>
            </a:rPr>
            <a:t>Die verpflichtenden Handlungsfelder, können allerdings je nach Rahmenbedingungen der Institution abweichen und sollten überprüft werden. </a:t>
          </a:r>
          <a:endParaRPr lang="en-GB">
            <a:effectLst/>
          </a:endParaRPr>
        </a:p>
        <a:p>
          <a:r>
            <a:rPr lang="de-DE" sz="1100" b="1" baseline="0">
              <a:solidFill>
                <a:schemeClr val="dk1"/>
              </a:solidFill>
              <a:effectLst/>
              <a:latin typeface="+mn-lt"/>
              <a:ea typeface="+mn-ea"/>
              <a:cs typeface="+mn-cs"/>
            </a:rPr>
            <a:t>Individuelle Datenpunkte:</a:t>
          </a:r>
          <a:r>
            <a:rPr lang="de-DE" sz="1100" baseline="0">
              <a:solidFill>
                <a:schemeClr val="dk1"/>
              </a:solidFill>
              <a:effectLst/>
              <a:latin typeface="+mn-lt"/>
              <a:ea typeface="+mn-ea"/>
              <a:cs typeface="+mn-cs"/>
            </a:rPr>
            <a:t> Ergänzen Sie bei Bedarf in den leeren Zeilen eigene Datenpunkte (bspw. weitere Energieträger)</a:t>
          </a:r>
          <a:r>
            <a:rPr lang="de-DE" sz="1100" b="0" baseline="0">
              <a:solidFill>
                <a:schemeClr val="dk1"/>
              </a:solidFill>
              <a:effectLst/>
              <a:latin typeface="+mn-lt"/>
              <a:ea typeface="+mn-ea"/>
              <a:cs typeface="+mn-cs"/>
            </a:rPr>
            <a:t> und beachten Sie die Hinweise im Tabellenblatt "Refz-Emissionen" und "Klisz-Emissionen".</a:t>
          </a:r>
          <a:br>
            <a:rPr lang="de-DE" sz="1100" b="1" baseline="0">
              <a:solidFill>
                <a:schemeClr val="dk1"/>
              </a:solidFill>
              <a:effectLst/>
              <a:latin typeface="+mn-lt"/>
              <a:ea typeface="+mn-ea"/>
              <a:cs typeface="+mn-cs"/>
            </a:rPr>
          </a:br>
          <a:r>
            <a:rPr lang="de-DE" sz="1100" b="1" baseline="0">
              <a:solidFill>
                <a:schemeClr val="dk1"/>
              </a:solidFill>
              <a:effectLst/>
              <a:latin typeface="+mn-lt"/>
              <a:ea typeface="+mn-ea"/>
              <a:cs typeface="+mn-cs"/>
            </a:rPr>
            <a:t>Fehlende Daten: </a:t>
          </a:r>
          <a:r>
            <a:rPr lang="de-DE" sz="1100" b="0" baseline="0">
              <a:solidFill>
                <a:schemeClr val="dk1"/>
              </a:solidFill>
              <a:effectLst/>
              <a:latin typeface="+mn-lt"/>
              <a:ea typeface="+mn-ea"/>
              <a:cs typeface="+mn-cs"/>
            </a:rPr>
            <a:t>Falls Daten eines Jahres oder ganzen Handlungsfelds </a:t>
          </a:r>
          <a:r>
            <a:rPr lang="de-DE" sz="1100" b="1" baseline="0">
              <a:solidFill>
                <a:schemeClr val="dk1"/>
              </a:solidFill>
              <a:effectLst/>
              <a:latin typeface="+mn-lt"/>
              <a:ea typeface="+mn-ea"/>
              <a:cs typeface="+mn-cs"/>
            </a:rPr>
            <a:t>nicht</a:t>
          </a:r>
          <a:r>
            <a:rPr lang="de-DE" sz="1100" b="0" baseline="0">
              <a:solidFill>
                <a:schemeClr val="dk1"/>
              </a:solidFill>
              <a:effectLst/>
              <a:latin typeface="+mn-lt"/>
              <a:ea typeface="+mn-ea"/>
              <a:cs typeface="+mn-cs"/>
            </a:rPr>
            <a:t> ausgefüllt werden können, lassen Sie die Zellen leer und beschreiben die Datenlücken in Ihrer Auswertung. </a:t>
          </a:r>
          <a:endParaRPr lang="en-GB">
            <a:effectLst/>
          </a:endParaRPr>
        </a:p>
        <a:p>
          <a:r>
            <a:rPr lang="de-DE" sz="1100" b="1" baseline="0">
              <a:solidFill>
                <a:schemeClr val="dk1"/>
              </a:solidFill>
              <a:effectLst/>
              <a:latin typeface="+mn-lt"/>
              <a:ea typeface="+mn-ea"/>
              <a:cs typeface="+mn-cs"/>
            </a:rPr>
            <a:t>Verbrauch = 0:</a:t>
          </a:r>
          <a:r>
            <a:rPr lang="de-DE" sz="1100" b="0" baseline="0">
              <a:solidFill>
                <a:schemeClr val="dk1"/>
              </a:solidFill>
              <a:effectLst/>
              <a:latin typeface="+mn-lt"/>
              <a:ea typeface="+mn-ea"/>
              <a:cs typeface="+mn-cs"/>
            </a:rPr>
            <a:t> </a:t>
          </a:r>
          <a:r>
            <a:rPr lang="en-GB"/>
            <a:t>Die Eingabe von 0 ist nur dann erforderlich, wenn der Verbrauch tatsächlich 0 betrug. Falls der Wert unbekannt ist, bleiben die Zellen leer. Grund dafür ist, dass bei der Berechnung des Mittelwerts für Zukunftsszenarien die Nullen berücksichtigt werden.</a:t>
          </a:r>
        </a:p>
        <a:p>
          <a:pPr eaLnBrk="1" fontAlgn="auto" latinLnBrk="0" hangingPunct="1"/>
          <a:r>
            <a:rPr lang="de-DE" sz="1100" b="1" baseline="0">
              <a:solidFill>
                <a:schemeClr val="dk1"/>
              </a:solidFill>
              <a:effectLst/>
              <a:latin typeface="+mn-lt"/>
              <a:ea typeface="+mn-ea"/>
              <a:cs typeface="+mn-cs"/>
            </a:rPr>
            <a:t>Strom:</a:t>
          </a:r>
          <a:r>
            <a:rPr lang="de-DE" sz="1100" b="0" baseline="0">
              <a:solidFill>
                <a:schemeClr val="dk1"/>
              </a:solidFill>
              <a:effectLst/>
              <a:latin typeface="+mn-lt"/>
              <a:ea typeface="+mn-ea"/>
              <a:cs typeface="+mn-cs"/>
            </a:rPr>
            <a:t> bei unbekannten Strommix: Eingabe in ID 1 "Bundesmix". Ist der Strommix bekannt (bspw. gemäß Abrechnung) sollte </a:t>
          </a:r>
          <a:r>
            <a:rPr lang="de-DE" sz="1100" baseline="0">
              <a:solidFill>
                <a:schemeClr val="dk1"/>
              </a:solidFill>
              <a:effectLst/>
              <a:latin typeface="+mn-lt"/>
              <a:ea typeface="+mn-ea"/>
              <a:cs typeface="+mn-cs"/>
            </a:rPr>
            <a:t>der Verbrauch in die Zeilen der ID 2 bis 8 und </a:t>
          </a:r>
          <a:r>
            <a:rPr lang="de-DE" sz="1100" b="0" baseline="0">
              <a:solidFill>
                <a:schemeClr val="dk1"/>
              </a:solidFill>
              <a:effectLst/>
              <a:latin typeface="+mn-lt"/>
              <a:ea typeface="+mn-ea"/>
              <a:cs typeface="+mn-cs"/>
            </a:rPr>
            <a:t>die Daten zur Stromzusammensetzung im Tabellenblatt </a:t>
          </a:r>
          <a:r>
            <a:rPr lang="de-DE" sz="1100" baseline="0">
              <a:solidFill>
                <a:schemeClr val="dk1"/>
              </a:solidFill>
              <a:effectLst/>
              <a:latin typeface="+mn-lt"/>
              <a:ea typeface="+mn-ea"/>
              <a:cs typeface="+mn-cs"/>
            </a:rPr>
            <a:t>"Strommix &amp; BHKW" eingetragen werden.</a:t>
          </a:r>
          <a:endParaRPr lang="en-GB">
            <a:effectLst/>
          </a:endParaRPr>
        </a:p>
        <a:p>
          <a:pPr eaLnBrk="1" fontAlgn="auto" latinLnBrk="0" hangingPunct="1"/>
          <a:r>
            <a:rPr lang="de-DE" sz="1100" b="1" baseline="0">
              <a:solidFill>
                <a:schemeClr val="dk1"/>
              </a:solidFill>
              <a:effectLst/>
              <a:latin typeface="+mn-lt"/>
              <a:ea typeface="+mn-ea"/>
              <a:cs typeface="+mn-cs"/>
            </a:rPr>
            <a:t>Institutionseigenes BHKW: </a:t>
          </a:r>
          <a:r>
            <a:rPr lang="de-DE" sz="1100" baseline="0">
              <a:solidFill>
                <a:schemeClr val="dk1"/>
              </a:solidFill>
              <a:effectLst/>
              <a:latin typeface="+mn-lt"/>
              <a:ea typeface="+mn-ea"/>
              <a:cs typeface="+mn-cs"/>
            </a:rPr>
            <a:t>Bei der Nutzung eines institutionseigenen BHKW's, tragen Sie den Verbrauch im Tabellenblatt "Strommix &amp; BHKW" ein. </a:t>
          </a:r>
          <a:endParaRPr lang="de-DE"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148228</xdr:colOff>
      <xdr:row>3</xdr:row>
      <xdr:rowOff>146123</xdr:rowOff>
    </xdr:from>
    <xdr:to>
      <xdr:col>10</xdr:col>
      <xdr:colOff>433869</xdr:colOff>
      <xdr:row>28</xdr:row>
      <xdr:rowOff>160545</xdr:rowOff>
    </xdr:to>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347011" y="750753"/>
          <a:ext cx="9346815" cy="45698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b="1" i="0">
              <a:solidFill>
                <a:schemeClr val="dk1"/>
              </a:solidFill>
              <a:effectLst/>
              <a:latin typeface="+mn-lt"/>
              <a:ea typeface="+mn-ea"/>
              <a:cs typeface="+mn-cs"/>
            </a:rPr>
            <a:t>Ziel</a:t>
          </a:r>
          <a:endParaRPr lang="en-GB" sz="1100" b="0"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dk1"/>
              </a:solidFill>
              <a:effectLst/>
              <a:latin typeface="+mn-lt"/>
              <a:ea typeface="+mn-ea"/>
              <a:cs typeface="+mn-cs"/>
            </a:rPr>
            <a:t>Die Klimaschutzszenarien zeigen</a:t>
          </a:r>
          <a:r>
            <a:rPr lang="en-GB" sz="1100" b="0" i="0">
              <a:solidFill>
                <a:schemeClr val="dk1"/>
              </a:solidFill>
              <a:effectLst/>
              <a:latin typeface="+mn-lt"/>
              <a:ea typeface="+mn-ea"/>
              <a:cs typeface="+mn-cs"/>
            </a:rPr>
            <a:t> die Minderung der Treibhausgas-Emissionen bei Umsetzung einer konsequenten Klimaschutzpolitik in der Institution an.</a:t>
          </a:r>
          <a:endParaRPr lang="en-GB">
            <a:effectLst/>
          </a:endParaRPr>
        </a:p>
        <a:p>
          <a:endParaRPr lang="en-GB" sz="1100" b="1" i="0">
            <a:solidFill>
              <a:schemeClr val="dk1"/>
            </a:solidFill>
            <a:effectLst/>
            <a:latin typeface="+mn-lt"/>
            <a:ea typeface="+mn-ea"/>
            <a:cs typeface="+mn-cs"/>
          </a:endParaRPr>
        </a:p>
        <a:p>
          <a:r>
            <a:rPr lang="en-GB" sz="1100" b="1" i="0" baseline="0">
              <a:solidFill>
                <a:schemeClr val="dk1"/>
              </a:solidFill>
              <a:effectLst/>
              <a:latin typeface="+mn-lt"/>
              <a:ea typeface="+mn-ea"/>
              <a:cs typeface="+mn-cs"/>
            </a:rPr>
            <a:t>Arten der Klimaschutzs</a:t>
          </a:r>
          <a:r>
            <a:rPr lang="en-GB" sz="1100" b="1" i="0">
              <a:solidFill>
                <a:schemeClr val="dk1"/>
              </a:solidFill>
              <a:effectLst/>
              <a:latin typeface="+mn-lt"/>
              <a:ea typeface="+mn-ea"/>
              <a:cs typeface="+mn-cs"/>
            </a:rPr>
            <a:t>zenarien in der Auswertung</a:t>
          </a:r>
          <a:br>
            <a:rPr lang="en-GB" sz="1100" b="1" i="0">
              <a:solidFill>
                <a:schemeClr val="dk1"/>
              </a:solidFill>
              <a:effectLst/>
              <a:latin typeface="+mn-lt"/>
              <a:ea typeface="+mn-ea"/>
              <a:cs typeface="+mn-cs"/>
            </a:rPr>
          </a:br>
          <a:r>
            <a:rPr lang="en-GB" sz="1100" b="0" i="0">
              <a:solidFill>
                <a:schemeClr val="dk1"/>
              </a:solidFill>
              <a:effectLst/>
              <a:latin typeface="+mn-lt"/>
              <a:ea typeface="+mn-ea"/>
              <a:cs typeface="+mn-cs"/>
            </a:rPr>
            <a:t>1. Klimaschutzszenario Bundesmix: </a:t>
          </a:r>
          <a:r>
            <a:rPr lang="en-GB" sz="1100" b="0" i="0" baseline="0">
              <a:solidFill>
                <a:schemeClr val="dk1"/>
              </a:solidFill>
              <a:effectLst/>
              <a:latin typeface="+mn-lt"/>
              <a:ea typeface="+mn-ea"/>
              <a:cs typeface="+mn-cs"/>
            </a:rPr>
            <a:t>THG-Minderung bei Umsetzung einer konsequenten Klimaschutzpolitik in der Institution, bilanziert nach dem Bundesmix</a:t>
          </a:r>
          <a:endParaRPr lang="en-GB">
            <a:effectLst/>
          </a:endParaRPr>
        </a:p>
        <a:p>
          <a:pPr eaLnBrk="1" fontAlgn="auto" latinLnBrk="0" hangingPunct="1"/>
          <a:r>
            <a:rPr lang="en-GB" sz="1100" b="0" i="0">
              <a:solidFill>
                <a:schemeClr val="dk1"/>
              </a:solidFill>
              <a:effectLst/>
              <a:latin typeface="+mn-lt"/>
              <a:ea typeface="+mn-ea"/>
              <a:cs typeface="+mn-cs"/>
            </a:rPr>
            <a:t>2. Klimaschutzszenario Bundesmix KS80: </a:t>
          </a:r>
          <a:r>
            <a:rPr lang="en-GB" sz="1100" b="0" i="0" baseline="0">
              <a:solidFill>
                <a:schemeClr val="dk1"/>
              </a:solidFill>
              <a:effectLst/>
              <a:latin typeface="+mn-lt"/>
              <a:ea typeface="+mn-ea"/>
              <a:cs typeface="+mn-cs"/>
            </a:rPr>
            <a:t>THG-Minderung bei Umsetzung einer konsequenten Klimaschutzpolitik durch die Bundesregierung und der Institution</a:t>
          </a:r>
          <a:endParaRPr lang="en-GB">
            <a:effectLst/>
          </a:endParaRPr>
        </a:p>
        <a:p>
          <a:r>
            <a:rPr lang="en-GB" sz="1100" b="0" i="0">
              <a:solidFill>
                <a:schemeClr val="dk1"/>
              </a:solidFill>
              <a:effectLst/>
              <a:latin typeface="+mn-lt"/>
              <a:ea typeface="+mn-ea"/>
              <a:cs typeface="+mn-cs"/>
            </a:rPr>
            <a:t>3. Klimaschutzszenario Regiomix: </a:t>
          </a:r>
          <a:r>
            <a:rPr lang="en-GB" sz="1100" b="0" i="0" baseline="0">
              <a:solidFill>
                <a:schemeClr val="dk1"/>
              </a:solidFill>
              <a:effectLst/>
              <a:latin typeface="+mn-lt"/>
              <a:ea typeface="+mn-ea"/>
              <a:cs typeface="+mn-cs"/>
            </a:rPr>
            <a:t>THG-Minderung bei Umsetzung einer konsequenten Klimaschutzpolitik durch die Hochschule auch im Bereich der nachhaltigeren Stromversorgung </a:t>
          </a:r>
          <a:endParaRPr lang="en-GB">
            <a:effectLst/>
          </a:endParaRPr>
        </a:p>
        <a:p>
          <a:r>
            <a:rPr lang="en-GB" sz="1100" b="0" i="0">
              <a:solidFill>
                <a:schemeClr val="dk1"/>
              </a:solidFill>
              <a:effectLst/>
              <a:latin typeface="+mn-lt"/>
              <a:ea typeface="+mn-ea"/>
              <a:cs typeface="+mn-cs"/>
            </a:rPr>
            <a:t>4. Eigenes</a:t>
          </a:r>
          <a:r>
            <a:rPr lang="en-GB" sz="1100" b="0" i="0" baseline="0">
              <a:solidFill>
                <a:schemeClr val="dk1"/>
              </a:solidFill>
              <a:effectLst/>
              <a:latin typeface="+mn-lt"/>
              <a:ea typeface="+mn-ea"/>
              <a:cs typeface="+mn-cs"/>
            </a:rPr>
            <a:t> Klimaschutzszenario: Mit diesem Szenario können selbst Annahmen getroffen werden. Dieses wird im Tabellenblatt Klisz-Emissionen (Abschnitt 1.4) bearbeitet. </a:t>
          </a:r>
          <a:endParaRPr lang="en-GB">
            <a:effectLst/>
          </a:endParaRPr>
        </a:p>
        <a:p>
          <a:endParaRPr lang="de-DE" sz="1100" baseline="0">
            <a:solidFill>
              <a:srgbClr val="FF0000"/>
            </a:solidFill>
          </a:endParaRPr>
        </a:p>
        <a:p>
          <a:r>
            <a:rPr lang="en-GB" sz="1100" b="1" i="0">
              <a:solidFill>
                <a:schemeClr val="dk1"/>
              </a:solidFill>
              <a:effectLst/>
              <a:latin typeface="+mn-lt"/>
              <a:ea typeface="+mn-ea"/>
              <a:cs typeface="+mn-cs"/>
            </a:rPr>
            <a:t>Methode</a:t>
          </a:r>
          <a:endParaRPr lang="en-GB" sz="1100" b="0" i="0">
            <a:solidFill>
              <a:schemeClr val="dk1"/>
            </a:solidFill>
            <a:effectLst/>
            <a:latin typeface="+mn-lt"/>
            <a:ea typeface="+mn-ea"/>
            <a:cs typeface="+mn-cs"/>
          </a:endParaRPr>
        </a:p>
        <a:p>
          <a:r>
            <a:rPr lang="en-GB" sz="1100" b="0" i="0">
              <a:solidFill>
                <a:schemeClr val="dk1"/>
              </a:solidFill>
              <a:effectLst/>
              <a:latin typeface="+mn-lt"/>
              <a:ea typeface="+mn-ea"/>
              <a:cs typeface="+mn-cs"/>
            </a:rPr>
            <a:t>Die</a:t>
          </a:r>
          <a:r>
            <a:rPr lang="en-GB" sz="1100" b="0" i="0" baseline="0">
              <a:solidFill>
                <a:schemeClr val="dk1"/>
              </a:solidFill>
              <a:effectLst/>
              <a:latin typeface="+mn-lt"/>
              <a:ea typeface="+mn-ea"/>
              <a:cs typeface="+mn-cs"/>
            </a:rPr>
            <a:t> Verbrauchsdaten der Vorjahre wurden aus dem Tabellenblatt "Refsz-Verbräuche" übernommen. </a:t>
          </a:r>
          <a:r>
            <a:rPr lang="en-GB" sz="1100" b="0" i="0">
              <a:solidFill>
                <a:schemeClr val="dk1"/>
              </a:solidFill>
              <a:effectLst/>
              <a:latin typeface="+mn-lt"/>
              <a:ea typeface="+mn-ea"/>
              <a:cs typeface="+mn-cs"/>
            </a:rPr>
            <a:t>Die Zukunftsszenarien</a:t>
          </a:r>
          <a:r>
            <a:rPr lang="en-GB" sz="1100" b="0" i="0" baseline="0">
              <a:solidFill>
                <a:schemeClr val="dk1"/>
              </a:solidFill>
              <a:effectLst/>
              <a:latin typeface="+mn-lt"/>
              <a:ea typeface="+mn-ea"/>
              <a:cs typeface="+mn-cs"/>
            </a:rPr>
            <a:t> (Klimaschutzszenarien)</a:t>
          </a:r>
          <a:r>
            <a:rPr lang="en-GB" sz="1100" b="0" i="0">
              <a:solidFill>
                <a:schemeClr val="dk1"/>
              </a:solidFill>
              <a:effectLst/>
              <a:latin typeface="+mn-lt"/>
              <a:ea typeface="+mn-ea"/>
              <a:cs typeface="+mn-cs"/>
            </a:rPr>
            <a:t> basieren auf Minderungsberechnungen gemäß des jährlichen Minderungsfaktors (Zinses-Zins Rechnung), welcher gemäß der Klimaziele der Institution eingetragen werden können.</a:t>
          </a:r>
          <a:r>
            <a:rPr lang="en-GB" sz="1100" b="0" i="0" baseline="0">
              <a:solidFill>
                <a:schemeClr val="dk1"/>
              </a:solidFill>
              <a:effectLst/>
              <a:latin typeface="+mn-lt"/>
              <a:ea typeface="+mn-ea"/>
              <a:cs typeface="+mn-cs"/>
            </a:rPr>
            <a:t> </a:t>
          </a:r>
          <a:r>
            <a:rPr lang="en-GB" sz="1100" b="0" i="0">
              <a:solidFill>
                <a:schemeClr val="dk1"/>
              </a:solidFill>
              <a:effectLst/>
              <a:latin typeface="+mn-lt"/>
              <a:ea typeface="+mn-ea"/>
              <a:cs typeface="+mn-cs"/>
            </a:rPr>
            <a:t>Erlaubt sind auch Eingaben weiterer Annahmen für die Szenarien, z. B. der Verzicht auf Diesel-Fahrzeuge im Fuhrpark ab 2025.</a:t>
          </a:r>
          <a:br>
            <a:rPr lang="en-GB" sz="1100" b="0" i="0">
              <a:solidFill>
                <a:schemeClr val="dk1"/>
              </a:solidFill>
              <a:effectLst/>
              <a:latin typeface="+mn-lt"/>
              <a:ea typeface="+mn-ea"/>
              <a:cs typeface="+mn-cs"/>
            </a:rPr>
          </a:br>
          <a:endParaRPr lang="en-GB" sz="1100" b="0" i="0">
            <a:solidFill>
              <a:schemeClr val="dk1"/>
            </a:solidFill>
            <a:effectLst/>
            <a:latin typeface="+mn-lt"/>
            <a:ea typeface="+mn-ea"/>
            <a:cs typeface="+mn-cs"/>
          </a:endParaRPr>
        </a:p>
        <a:p>
          <a:r>
            <a:rPr lang="en-GB" sz="1100" b="1" i="0">
              <a:solidFill>
                <a:schemeClr val="dk1"/>
              </a:solidFill>
              <a:effectLst/>
              <a:latin typeface="+mn-lt"/>
              <a:ea typeface="+mn-ea"/>
              <a:cs typeface="+mn-cs"/>
            </a:rPr>
            <a:t>Hinweise</a:t>
          </a:r>
          <a:r>
            <a:rPr lang="en-GB" sz="1100" b="1" i="0" baseline="0">
              <a:solidFill>
                <a:schemeClr val="dk1"/>
              </a:solidFill>
              <a:effectLst/>
              <a:latin typeface="+mn-lt"/>
              <a:ea typeface="+mn-ea"/>
              <a:cs typeface="+mn-cs"/>
            </a:rPr>
            <a:t> zur Dateneingabe</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a:solidFill>
                <a:schemeClr val="dk1"/>
              </a:solidFill>
              <a:effectLst/>
              <a:latin typeface="+mn-lt"/>
              <a:ea typeface="+mn-ea"/>
              <a:cs typeface="+mn-cs"/>
            </a:rPr>
            <a:t>Tragen</a:t>
          </a:r>
          <a:r>
            <a:rPr lang="en-GB" sz="1100" b="0" i="0" baseline="0">
              <a:solidFill>
                <a:schemeClr val="dk1"/>
              </a:solidFill>
              <a:effectLst/>
              <a:latin typeface="+mn-lt"/>
              <a:ea typeface="+mn-ea"/>
              <a:cs typeface="+mn-cs"/>
            </a:rPr>
            <a:t> Sie in diesem Tabellenblatt den Minderungsfaktor aller Handlungsfelder ein, von denen Daten vorliegen. Einen künftig steigenden Verbrauch geben Sie mit einem negativen Minderungsfaktor an (bspw. -1%, um darzustellen, dass die Nutzung des ÖPV steigt). In Spalte Z sollten die dazugehörigen Annahmen dokumentiert werden. </a:t>
          </a:r>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0" i="0">
              <a:solidFill>
                <a:schemeClr val="dk1"/>
              </a:solidFill>
              <a:effectLst/>
              <a:latin typeface="+mn-lt"/>
              <a:ea typeface="+mn-ea"/>
              <a:cs typeface="+mn-cs"/>
            </a:rPr>
            <a:t>Beispiel</a:t>
          </a:r>
          <a:r>
            <a:rPr lang="en-GB" sz="1100" b="0" i="0" baseline="0">
              <a:solidFill>
                <a:schemeClr val="dk1"/>
              </a:solidFill>
              <a:effectLst/>
              <a:latin typeface="+mn-lt"/>
              <a:ea typeface="+mn-ea"/>
              <a:cs typeface="+mn-cs"/>
            </a:rPr>
            <a:t> für Minderungsfaktoren: </a:t>
          </a:r>
          <a:r>
            <a:rPr lang="en-GB" sz="1100" b="0" i="0">
              <a:solidFill>
                <a:schemeClr val="dk1"/>
              </a:solidFill>
              <a:effectLst/>
              <a:latin typeface="+mn-lt"/>
              <a:ea typeface="+mn-ea"/>
              <a:cs typeface="+mn-cs"/>
            </a:rPr>
            <a:t>Gemäß EnEfG sind witschaftliche Unternehmen mit einem Gesamtendenergieverbrauch von &lt;1 GWh/a verpflichtet, mindestens 2%/a der Endenergie einzusparen. Dies könnte ein möglicher Faktor sein. </a:t>
          </a:r>
        </a:p>
        <a:p>
          <a:pPr marL="0" marR="0" lvl="0" indent="0" defTabSz="914400" eaLnBrk="1" fontAlgn="auto" latinLnBrk="0" hangingPunct="1">
            <a:lnSpc>
              <a:spcPct val="100000"/>
            </a:lnSpc>
            <a:spcBef>
              <a:spcPts val="0"/>
            </a:spcBef>
            <a:spcAft>
              <a:spcPts val="0"/>
            </a:spcAft>
            <a:buClrTx/>
            <a:buSzTx/>
            <a:buFontTx/>
            <a:buNone/>
            <a:tabLst/>
            <a:defRPr/>
          </a:pPr>
          <a:br>
            <a:rPr lang="en-GB" sz="1100" b="0" i="0">
              <a:solidFill>
                <a:schemeClr val="dk1"/>
              </a:solidFill>
              <a:effectLst/>
              <a:latin typeface="+mn-lt"/>
              <a:ea typeface="+mn-ea"/>
              <a:cs typeface="+mn-cs"/>
            </a:rPr>
          </a:br>
          <a:r>
            <a:rPr lang="en-GB" sz="1100" b="0" i="0">
              <a:solidFill>
                <a:schemeClr val="dk1"/>
              </a:solidFill>
              <a:effectLst/>
              <a:latin typeface="+mn-lt"/>
              <a:ea typeface="+mn-ea"/>
              <a:cs typeface="+mn-cs"/>
            </a:rPr>
            <a:t>Die</a:t>
          </a:r>
          <a:r>
            <a:rPr lang="en-GB" sz="1100" b="0" i="0" baseline="0">
              <a:solidFill>
                <a:schemeClr val="dk1"/>
              </a:solidFill>
              <a:effectLst/>
              <a:latin typeface="+mn-lt"/>
              <a:ea typeface="+mn-ea"/>
              <a:cs typeface="+mn-cs"/>
            </a:rPr>
            <a:t> Zukunftsszenarien beruhen auf einer Zinses-Zins-Rechnung. </a:t>
          </a:r>
          <a:r>
            <a:rPr lang="en-GB" sz="1100" b="0" i="0">
              <a:solidFill>
                <a:schemeClr val="dk1"/>
              </a:solidFill>
              <a:effectLst/>
              <a:latin typeface="+mn-lt"/>
              <a:ea typeface="+mn-ea"/>
              <a:cs typeface="+mn-cs"/>
            </a:rPr>
            <a:t>Sie</a:t>
          </a:r>
          <a:r>
            <a:rPr lang="en-GB" sz="1100" b="0" i="0" baseline="0">
              <a:solidFill>
                <a:schemeClr val="dk1"/>
              </a:solidFill>
              <a:effectLst/>
              <a:latin typeface="+mn-lt"/>
              <a:ea typeface="+mn-ea"/>
              <a:cs typeface="+mn-cs"/>
            </a:rPr>
            <a:t> können die Zukunftsszenarien allerdings auch nach eigenen Bedarfen anpassen, indem </a:t>
          </a:r>
          <a:r>
            <a:rPr lang="en-GB" sz="1100" b="0" i="0">
              <a:solidFill>
                <a:schemeClr val="dk1"/>
              </a:solidFill>
              <a:effectLst/>
              <a:latin typeface="+mn-lt"/>
              <a:ea typeface="+mn-ea"/>
              <a:cs typeface="+mn-cs"/>
            </a:rPr>
            <a:t>Sie</a:t>
          </a:r>
          <a:r>
            <a:rPr lang="en-GB" sz="1100" b="0" i="0" baseline="0">
              <a:solidFill>
                <a:schemeClr val="dk1"/>
              </a:solidFill>
              <a:effectLst/>
              <a:latin typeface="+mn-lt"/>
              <a:ea typeface="+mn-ea"/>
              <a:cs typeface="+mn-cs"/>
            </a:rPr>
            <a:t> die Formeln der orangenen Felder ändern und die Methode in Ihrem Bericht beschreiben. Ein Beispiel wäre: ab 2030 werden keine Dieselfahrzeuge mehr genutzt (dann geben Sie in diesen Zellen den Wert 0 ein). Achten Sie darauf, dass eine Einsparung einen höheren Verbrauch an einer anderen Stellen bedeuten könnte.</a:t>
          </a:r>
          <a:endParaRPr lang="en-GB">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107961</xdr:colOff>
      <xdr:row>3</xdr:row>
      <xdr:rowOff>170473</xdr:rowOff>
    </xdr:from>
    <xdr:to>
      <xdr:col>8</xdr:col>
      <xdr:colOff>669932</xdr:colOff>
      <xdr:row>11</xdr:row>
      <xdr:rowOff>179615</xdr:rowOff>
    </xdr:to>
    <xdr:sp macro="" textlink="">
      <xdr:nvSpPr>
        <xdr:cNvPr id="2" name="Textfeld 1">
          <a:extLst>
            <a:ext uri="{FF2B5EF4-FFF2-40B4-BE49-F238E27FC236}">
              <a16:creationId xmlns:a16="http://schemas.microsoft.com/office/drawing/2014/main" id="{00000000-0008-0000-0300-000002000000}"/>
            </a:ext>
          </a:extLst>
        </xdr:cNvPr>
        <xdr:cNvSpPr txBox="1"/>
      </xdr:nvSpPr>
      <xdr:spPr>
        <a:xfrm>
          <a:off x="363775" y="752859"/>
          <a:ext cx="9069157" cy="15440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u="none" strike="noStrike">
              <a:solidFill>
                <a:schemeClr val="dk1"/>
              </a:solidFill>
              <a:effectLst/>
              <a:latin typeface="+mn-lt"/>
              <a:ea typeface="+mn-ea"/>
              <a:cs typeface="+mn-cs"/>
            </a:rPr>
            <a:t>Ziel</a:t>
          </a:r>
          <a:endParaRPr lang="en-GB" sz="1100" b="0" i="0" u="none" strike="noStrike">
            <a:solidFill>
              <a:schemeClr val="dk1"/>
            </a:solidFill>
            <a:effectLst/>
            <a:latin typeface="+mn-lt"/>
            <a:ea typeface="+mn-ea"/>
            <a:cs typeface="+mn-cs"/>
          </a:endParaRPr>
        </a:p>
        <a:p>
          <a:r>
            <a:rPr lang="en-GB"/>
            <a:t>Gemäß dem BISKO-Standard wird empfohlen, die Datenqualität für die Endenergieträger zu bestimmen. Damit erfolgt eine qualitative Einschätzung des Endergebnisses. Der BISKO-Standard verweist dabei auf die Methode des ifeu-Instituts, welche in diesem Tool angewendet wird (Quelle: difu (2023): Leitfaden Kommunaler Klimaschutz. Abrufbar unter: </a:t>
          </a:r>
          <a:r>
            <a:rPr lang="en-GB">
              <a:hlinkClick xmlns:r="http://schemas.openxmlformats.org/officeDocument/2006/relationships" r:id=""/>
            </a:rPr>
            <a:t>https://leitfaden.kommunaler-klimaschutz.de/?smd_process_download=1&amp;download_id=769</a:t>
          </a:r>
          <a:r>
            <a:rPr lang="en-GB"/>
            <a:t>, S. 147).</a:t>
          </a:r>
        </a:p>
        <a:p>
          <a:endParaRPr lang="en-GB" sz="1100" b="1" i="0" u="none" strike="noStrike">
            <a:solidFill>
              <a:schemeClr val="dk1"/>
            </a:solidFill>
            <a:effectLst/>
            <a:latin typeface="+mn-lt"/>
            <a:ea typeface="+mn-ea"/>
            <a:cs typeface="+mn-cs"/>
          </a:endParaRPr>
        </a:p>
        <a:p>
          <a:r>
            <a:rPr lang="en-GB" sz="1100" b="1" i="0" u="none" strike="noStrike">
              <a:solidFill>
                <a:schemeClr val="dk1"/>
              </a:solidFill>
              <a:effectLst/>
              <a:latin typeface="+mn-lt"/>
              <a:ea typeface="+mn-ea"/>
              <a:cs typeface="+mn-cs"/>
            </a:rPr>
            <a:t>Hinweise zur Dateneingabe</a:t>
          </a:r>
          <a:endParaRPr lang="en-GB" sz="1100" b="1" i="0" u="none" strike="noStrike" baseline="0">
            <a:solidFill>
              <a:schemeClr val="dk1"/>
            </a:solidFill>
            <a:effectLst/>
            <a:latin typeface="+mn-lt"/>
            <a:ea typeface="+mn-ea"/>
            <a:cs typeface="+mn-cs"/>
          </a:endParaRPr>
        </a:p>
        <a:p>
          <a:r>
            <a:rPr lang="en-GB" sz="1100" b="0" i="0" u="none" strike="noStrike" baseline="0">
              <a:solidFill>
                <a:schemeClr val="dk1"/>
              </a:solidFill>
              <a:effectLst/>
              <a:latin typeface="+mn-lt"/>
              <a:ea typeface="+mn-ea"/>
              <a:cs typeface="+mn-cs"/>
            </a:rPr>
            <a:t>Geben Sie für jeden Energieträger und jedes Jahr, in dem Verbrauchswerte vorliegen, den Faktor (zwischen 0 und 1) ein. Die </a:t>
          </a:r>
          <a:r>
            <a:rPr lang="en-GB" sz="1100" b="0" i="0" u="none" strike="noStrike">
              <a:solidFill>
                <a:schemeClr val="dk1"/>
              </a:solidFill>
              <a:effectLst/>
              <a:latin typeface="+mn-lt"/>
              <a:ea typeface="+mn-ea"/>
              <a:cs typeface="+mn-cs"/>
            </a:rPr>
            <a:t>Eingabe erfolgt mindestens für das Referenzjahr. Die</a:t>
          </a:r>
          <a:r>
            <a:rPr lang="en-GB" sz="1100" b="0" i="0" u="none" strike="noStrike" baseline="0">
              <a:solidFill>
                <a:schemeClr val="dk1"/>
              </a:solidFill>
              <a:effectLst/>
              <a:latin typeface="+mn-lt"/>
              <a:ea typeface="+mn-ea"/>
              <a:cs typeface="+mn-cs"/>
            </a:rPr>
            <a:t> Datengüte der Zukunftsszenarien (orangene Felder) beträgt immer 0,25 bzw. bedingt belastbar.</a:t>
          </a:r>
          <a:endParaRPr lang="en-GB" b="0">
            <a:effectLst/>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114300</xdr:colOff>
      <xdr:row>94</xdr:row>
      <xdr:rowOff>104155</xdr:rowOff>
    </xdr:from>
    <xdr:to>
      <xdr:col>4</xdr:col>
      <xdr:colOff>450751</xdr:colOff>
      <xdr:row>113</xdr:row>
      <xdr:rowOff>177799</xdr:rowOff>
    </xdr:to>
    <xdr:graphicFrame macro="">
      <xdr:nvGraphicFramePr>
        <xdr:cNvPr id="5" name="Diagramm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38098</xdr:colOff>
      <xdr:row>68</xdr:row>
      <xdr:rowOff>66675</xdr:rowOff>
    </xdr:from>
    <xdr:to>
      <xdr:col>2</xdr:col>
      <xdr:colOff>146539</xdr:colOff>
      <xdr:row>91</xdr:row>
      <xdr:rowOff>345</xdr:rowOff>
    </xdr:to>
    <xdr:graphicFrame macro="">
      <xdr:nvGraphicFramePr>
        <xdr:cNvPr id="2" name="Diagramm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287057</xdr:colOff>
      <xdr:row>68</xdr:row>
      <xdr:rowOff>144638</xdr:rowOff>
    </xdr:from>
    <xdr:to>
      <xdr:col>10</xdr:col>
      <xdr:colOff>56258</xdr:colOff>
      <xdr:row>91</xdr:row>
      <xdr:rowOff>40129</xdr:rowOff>
    </xdr:to>
    <xdr:graphicFrame macro="">
      <xdr:nvGraphicFramePr>
        <xdr:cNvPr id="4" name="Diagramm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477666</xdr:colOff>
      <xdr:row>94</xdr:row>
      <xdr:rowOff>71068</xdr:rowOff>
    </xdr:from>
    <xdr:to>
      <xdr:col>14</xdr:col>
      <xdr:colOff>248157</xdr:colOff>
      <xdr:row>113</xdr:row>
      <xdr:rowOff>130057</xdr:rowOff>
    </xdr:to>
    <xdr:graphicFrame macro="">
      <xdr:nvGraphicFramePr>
        <xdr:cNvPr id="6" name="Diagramm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28088</xdr:colOff>
      <xdr:row>259</xdr:row>
      <xdr:rowOff>106310</xdr:rowOff>
    </xdr:from>
    <xdr:to>
      <xdr:col>1</xdr:col>
      <xdr:colOff>4730750</xdr:colOff>
      <xdr:row>274</xdr:row>
      <xdr:rowOff>123825</xdr:rowOff>
    </xdr:to>
    <xdr:graphicFrame macro="">
      <xdr:nvGraphicFramePr>
        <xdr:cNvPr id="8" name="Diagramm 7">
          <a:extLst>
            <a:ext uri="{FF2B5EF4-FFF2-40B4-BE49-F238E27FC236}">
              <a16:creationId xmlns:a16="http://schemas.microsoft.com/office/drawing/2014/main" id="{00000000-0008-0000-04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650105</xdr:colOff>
      <xdr:row>259</xdr:row>
      <xdr:rowOff>77656</xdr:rowOff>
    </xdr:from>
    <xdr:to>
      <xdr:col>22</xdr:col>
      <xdr:colOff>466722</xdr:colOff>
      <xdr:row>274</xdr:row>
      <xdr:rowOff>123825</xdr:rowOff>
    </xdr:to>
    <xdr:graphicFrame macro="">
      <xdr:nvGraphicFramePr>
        <xdr:cNvPr id="10" name="Diagramm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637846</xdr:colOff>
      <xdr:row>259</xdr:row>
      <xdr:rowOff>85726</xdr:rowOff>
    </xdr:from>
    <xdr:to>
      <xdr:col>15</xdr:col>
      <xdr:colOff>444938</xdr:colOff>
      <xdr:row>274</xdr:row>
      <xdr:rowOff>123825</xdr:rowOff>
    </xdr:to>
    <xdr:graphicFrame macro="">
      <xdr:nvGraphicFramePr>
        <xdr:cNvPr id="11" name="Diagramm 10">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65087</xdr:colOff>
      <xdr:row>23</xdr:row>
      <xdr:rowOff>111521</xdr:rowOff>
    </xdr:from>
    <xdr:to>
      <xdr:col>10</xdr:col>
      <xdr:colOff>50402</xdr:colOff>
      <xdr:row>30</xdr:row>
      <xdr:rowOff>140468</xdr:rowOff>
    </xdr:to>
    <xdr:sp macro="" textlink="">
      <xdr:nvSpPr>
        <xdr:cNvPr id="7" name="Textfeld 6">
          <a:extLst>
            <a:ext uri="{FF2B5EF4-FFF2-40B4-BE49-F238E27FC236}">
              <a16:creationId xmlns:a16="http://schemas.microsoft.com/office/drawing/2014/main" id="{00000000-0008-0000-0400-000007000000}"/>
            </a:ext>
          </a:extLst>
        </xdr:cNvPr>
        <xdr:cNvSpPr txBox="1"/>
      </xdr:nvSpPr>
      <xdr:spPr>
        <a:xfrm>
          <a:off x="223837" y="4149724"/>
          <a:ext cx="11514534" cy="135847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0" i="0">
              <a:solidFill>
                <a:schemeClr val="dk1"/>
              </a:solidFill>
              <a:effectLst/>
              <a:latin typeface="+mn-lt"/>
              <a:ea typeface="+mn-ea"/>
              <a:cs typeface="+mn-cs"/>
            </a:rPr>
            <a:t>Nachfolgend sind einige</a:t>
          </a:r>
          <a:r>
            <a:rPr lang="en-GB" sz="1100" b="0" i="0" baseline="0">
              <a:solidFill>
                <a:schemeClr val="dk1"/>
              </a:solidFill>
              <a:effectLst/>
              <a:latin typeface="+mn-lt"/>
              <a:ea typeface="+mn-ea"/>
              <a:cs typeface="+mn-cs"/>
            </a:rPr>
            <a:t> Ideen für die Berichterstattung. </a:t>
          </a:r>
          <a:endParaRPr lang="en-GB" sz="1100" b="1" i="0" u="none" strike="noStrike">
            <a:ln>
              <a:noFill/>
            </a:ln>
            <a:solidFill>
              <a:schemeClr val="dk1"/>
            </a:solidFill>
            <a:effectLst/>
            <a:latin typeface="+mn-lt"/>
            <a:ea typeface="+mn-ea"/>
            <a:cs typeface="+mn-cs"/>
          </a:endParaRPr>
        </a:p>
        <a:p>
          <a:endParaRPr lang="en-GB" sz="1100" b="1" i="0" u="none" strike="noStrike">
            <a:ln>
              <a:noFill/>
            </a:ln>
            <a:solidFill>
              <a:schemeClr val="dk1"/>
            </a:solidFill>
            <a:effectLst/>
            <a:latin typeface="+mn-lt"/>
            <a:ea typeface="+mn-ea"/>
            <a:cs typeface="+mn-cs"/>
          </a:endParaRPr>
        </a:p>
        <a:p>
          <a:r>
            <a:rPr lang="en-GB" sz="1100" b="1" i="0" u="none" strike="noStrike">
              <a:ln>
                <a:noFill/>
              </a:ln>
              <a:solidFill>
                <a:schemeClr val="dk1"/>
              </a:solidFill>
              <a:effectLst/>
              <a:latin typeface="+mn-lt"/>
              <a:ea typeface="+mn-ea"/>
              <a:cs typeface="+mn-cs"/>
            </a:rPr>
            <a:t>Hinweise zur Dateneingabe</a:t>
          </a:r>
        </a:p>
        <a:p>
          <a:r>
            <a:rPr lang="en-GB" sz="1100" b="0" i="0" u="none" strike="noStrike" baseline="0">
              <a:ln>
                <a:noFill/>
              </a:ln>
              <a:solidFill>
                <a:schemeClr val="dk1"/>
              </a:solidFill>
              <a:effectLst/>
              <a:latin typeface="+mn-lt"/>
              <a:ea typeface="+mn-ea"/>
              <a:cs typeface="+mn-cs"/>
            </a:rPr>
            <a:t>Im Tabellenkopf können die Jahre ausgewählt werden, die verglichen werden sollen. </a:t>
          </a:r>
          <a:endParaRPr lang="en-GB" sz="1100" b="1" i="0" u="none" strike="noStrike">
            <a:ln>
              <a:noFill/>
            </a:ln>
            <a:solidFill>
              <a:schemeClr val="dk1"/>
            </a:solidFill>
            <a:effectLst/>
            <a:latin typeface="+mn-lt"/>
            <a:ea typeface="+mn-ea"/>
            <a:cs typeface="+mn-cs"/>
          </a:endParaRPr>
        </a:p>
        <a:p>
          <a:endParaRPr lang="en-GB" sz="1100" b="1" i="0" u="none" strike="noStrike">
            <a:ln>
              <a:noFill/>
            </a:ln>
            <a:solidFill>
              <a:schemeClr val="dk1"/>
            </a:solidFill>
            <a:effectLst/>
            <a:latin typeface="+mn-lt"/>
            <a:ea typeface="+mn-ea"/>
            <a:cs typeface="+mn-cs"/>
          </a:endParaRPr>
        </a:p>
        <a:p>
          <a:r>
            <a:rPr lang="en-GB" sz="1100" b="1" i="0" u="none" strike="noStrike">
              <a:ln>
                <a:noFill/>
              </a:ln>
              <a:solidFill>
                <a:schemeClr val="dk1"/>
              </a:solidFill>
              <a:effectLst/>
              <a:latin typeface="+mn-lt"/>
              <a:ea typeface="+mn-ea"/>
              <a:cs typeface="+mn-cs"/>
            </a:rPr>
            <a:t>Plausibilitätsprüfung für Hochschulen</a:t>
          </a:r>
          <a:br>
            <a:rPr lang="en-GB" sz="1100" b="0" i="0" u="none" strike="noStrike">
              <a:ln>
                <a:noFill/>
              </a:ln>
              <a:solidFill>
                <a:schemeClr val="dk1"/>
              </a:solidFill>
              <a:effectLst/>
              <a:latin typeface="+mn-lt"/>
              <a:ea typeface="+mn-ea"/>
              <a:cs typeface="+mn-cs"/>
            </a:rPr>
          </a:br>
          <a:r>
            <a:rPr lang="en-GB" sz="1100" b="0" i="0" u="none" strike="noStrike">
              <a:ln>
                <a:noFill/>
              </a:ln>
              <a:solidFill>
                <a:schemeClr val="dk1"/>
              </a:solidFill>
              <a:effectLst/>
              <a:latin typeface="+mn-lt"/>
              <a:ea typeface="+mn-ea"/>
              <a:cs typeface="+mn-cs"/>
            </a:rPr>
            <a:t>Die HIS-HE wird im Frühjahr 2024 den Vergleich der Treibhausgasbilanzen von deutschen Hochschulen veröffentlichen. Damit können die Ergebnisse der Emissionen auf Plausibilität geprüft werden. </a:t>
          </a:r>
          <a:r>
            <a:rPr lang="en-GB">
              <a:ln>
                <a:noFill/>
              </a:ln>
            </a:rPr>
            <a:t> </a:t>
          </a:r>
          <a:endParaRPr lang="en-GB" sz="1100">
            <a:ln>
              <a:noFill/>
            </a:ln>
          </a:endParaRPr>
        </a:p>
      </xdr:txBody>
    </xdr:sp>
    <xdr:clientData/>
  </xdr:twoCellAnchor>
  <xdr:twoCellAnchor>
    <xdr:from>
      <xdr:col>0</xdr:col>
      <xdr:colOff>127977</xdr:colOff>
      <xdr:row>64</xdr:row>
      <xdr:rowOff>149957</xdr:rowOff>
    </xdr:from>
    <xdr:to>
      <xdr:col>9</xdr:col>
      <xdr:colOff>721702</xdr:colOff>
      <xdr:row>67</xdr:row>
      <xdr:rowOff>95982</xdr:rowOff>
    </xdr:to>
    <xdr:sp macro="" textlink="">
      <xdr:nvSpPr>
        <xdr:cNvPr id="12" name="Textfeld 11">
          <a:extLst>
            <a:ext uri="{FF2B5EF4-FFF2-40B4-BE49-F238E27FC236}">
              <a16:creationId xmlns:a16="http://schemas.microsoft.com/office/drawing/2014/main" id="{00000000-0008-0000-0400-00000C000000}"/>
            </a:ext>
          </a:extLst>
        </xdr:cNvPr>
        <xdr:cNvSpPr txBox="1"/>
      </xdr:nvSpPr>
      <xdr:spPr>
        <a:xfrm>
          <a:off x="127977" y="12847515"/>
          <a:ext cx="11496187" cy="4955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u="none" strike="noStrike">
              <a:ln>
                <a:noFill/>
              </a:ln>
              <a:solidFill>
                <a:schemeClr val="dk1"/>
              </a:solidFill>
              <a:effectLst/>
              <a:latin typeface="+mn-lt"/>
              <a:ea typeface="+mn-ea"/>
              <a:cs typeface="+mn-cs"/>
            </a:rPr>
            <a:t>Hinweise zur Dateneingabe (Diagramme)</a:t>
          </a:r>
          <a:br>
            <a:rPr lang="en-GB" sz="1100" b="1" i="0" u="none" strike="noStrike">
              <a:ln>
                <a:noFill/>
              </a:ln>
              <a:solidFill>
                <a:schemeClr val="dk1"/>
              </a:solidFill>
              <a:effectLst/>
              <a:latin typeface="+mn-lt"/>
              <a:ea typeface="+mn-ea"/>
              <a:cs typeface="+mn-cs"/>
            </a:rPr>
          </a:br>
          <a:r>
            <a:rPr lang="en-GB" sz="1100" b="0" i="0" u="none" strike="noStrike">
              <a:solidFill>
                <a:schemeClr val="dk1"/>
              </a:solidFill>
              <a:effectLst/>
              <a:latin typeface="+mn-lt"/>
              <a:ea typeface="+mn-ea"/>
              <a:cs typeface="+mn-cs"/>
            </a:rPr>
            <a:t>Auswahl des dargestellten Jahres:   1. Rechtsklick auf das Diagramm</a:t>
          </a:r>
          <a:r>
            <a:rPr lang="en-GB" sz="1100" b="0" i="0" u="none" strike="noStrike" baseline="0">
              <a:solidFill>
                <a:schemeClr val="dk1"/>
              </a:solidFill>
              <a:effectLst/>
              <a:latin typeface="+mn-lt"/>
              <a:ea typeface="+mn-ea"/>
              <a:cs typeface="+mn-cs"/>
            </a:rPr>
            <a:t>   2. "</a:t>
          </a:r>
          <a:r>
            <a:rPr lang="en-GB" sz="1100" b="0" i="0" u="none" strike="noStrike">
              <a:solidFill>
                <a:schemeClr val="dk1"/>
              </a:solidFill>
              <a:effectLst/>
              <a:latin typeface="+mn-lt"/>
              <a:ea typeface="+mn-ea"/>
              <a:cs typeface="+mn-cs"/>
            </a:rPr>
            <a:t>Daten auswählen"</a:t>
          </a:r>
          <a:r>
            <a:rPr lang="en-GB" sz="1100" b="0" i="0" u="none" strike="noStrike" baseline="0">
              <a:solidFill>
                <a:schemeClr val="dk1"/>
              </a:solidFill>
              <a:effectLst/>
              <a:latin typeface="+mn-lt"/>
              <a:ea typeface="+mn-ea"/>
              <a:cs typeface="+mn-cs"/>
            </a:rPr>
            <a:t>    3. </a:t>
          </a:r>
          <a:r>
            <a:rPr lang="en-GB" sz="1100" b="0" i="0" u="none" strike="noStrike">
              <a:solidFill>
                <a:schemeClr val="dk1"/>
              </a:solidFill>
              <a:effectLst/>
              <a:latin typeface="+mn-lt"/>
              <a:ea typeface="+mn-ea"/>
              <a:cs typeface="+mn-cs"/>
            </a:rPr>
            <a:t>Häkchen setzen</a:t>
          </a:r>
          <a:r>
            <a:rPr lang="en-GB"/>
            <a:t>   4. "OK"   5.</a:t>
          </a:r>
          <a:r>
            <a:rPr lang="en-GB" baseline="0"/>
            <a:t> Ggf. Achsen skalieren</a:t>
          </a:r>
          <a:endParaRPr lang="en-GB" sz="1100" b="1" i="0" u="none" strike="noStrike">
            <a:ln>
              <a:noFill/>
            </a:ln>
            <a:solidFill>
              <a:schemeClr val="dk1"/>
            </a:solidFill>
            <a:effectLst/>
            <a:latin typeface="+mn-lt"/>
            <a:ea typeface="+mn-ea"/>
            <a:cs typeface="+mn-cs"/>
          </a:endParaRPr>
        </a:p>
      </xdr:txBody>
    </xdr:sp>
    <xdr:clientData/>
  </xdr:twoCellAnchor>
  <xdr:twoCellAnchor>
    <xdr:from>
      <xdr:col>0</xdr:col>
      <xdr:colOff>149225</xdr:colOff>
      <xdr:row>256</xdr:row>
      <xdr:rowOff>53976</xdr:rowOff>
    </xdr:from>
    <xdr:to>
      <xdr:col>12</xdr:col>
      <xdr:colOff>152399</xdr:colOff>
      <xdr:row>259</xdr:row>
      <xdr:rowOff>44450</xdr:rowOff>
    </xdr:to>
    <xdr:sp macro="" textlink="">
      <xdr:nvSpPr>
        <xdr:cNvPr id="13" name="Textfeld 12">
          <a:extLst>
            <a:ext uri="{FF2B5EF4-FFF2-40B4-BE49-F238E27FC236}">
              <a16:creationId xmlns:a16="http://schemas.microsoft.com/office/drawing/2014/main" id="{00000000-0008-0000-0400-00000D000000}"/>
            </a:ext>
          </a:extLst>
        </xdr:cNvPr>
        <xdr:cNvSpPr txBox="1"/>
      </xdr:nvSpPr>
      <xdr:spPr>
        <a:xfrm>
          <a:off x="149225" y="38782626"/>
          <a:ext cx="13195299" cy="5333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u="none" strike="noStrike">
              <a:solidFill>
                <a:schemeClr val="dk1"/>
              </a:solidFill>
              <a:effectLst/>
              <a:latin typeface="+mn-lt"/>
              <a:ea typeface="+mn-ea"/>
              <a:cs typeface="+mn-cs"/>
            </a:rPr>
            <a:t>Hinweise zur Dateneingabe</a:t>
          </a:r>
          <a:r>
            <a:rPr lang="en-GB" sz="1100" b="1" i="0" u="none" strike="noStrike" baseline="0">
              <a:solidFill>
                <a:schemeClr val="dk1"/>
              </a:solidFill>
              <a:effectLst/>
              <a:latin typeface="+mn-lt"/>
              <a:ea typeface="+mn-ea"/>
              <a:cs typeface="+mn-cs"/>
            </a:rPr>
            <a:t> (Diagramme)</a:t>
          </a:r>
          <a:endParaRPr lang="en-GB" sz="1100" b="1" i="0" u="none" strike="noStrike">
            <a:solidFill>
              <a:schemeClr val="dk1"/>
            </a:solidFill>
            <a:effectLst/>
            <a:latin typeface="+mn-lt"/>
            <a:ea typeface="+mn-ea"/>
            <a:cs typeface="+mn-cs"/>
          </a:endParaRPr>
        </a:p>
        <a:p>
          <a:r>
            <a:rPr lang="en-GB" sz="1100" b="0" i="0">
              <a:solidFill>
                <a:schemeClr val="dk1"/>
              </a:solidFill>
              <a:effectLst/>
              <a:latin typeface="+mn-lt"/>
              <a:ea typeface="+mn-ea"/>
              <a:cs typeface="+mn-cs"/>
            </a:rPr>
            <a:t>Auswahl der</a:t>
          </a:r>
          <a:r>
            <a:rPr lang="en-GB" sz="1100" b="0" i="0" baseline="0">
              <a:solidFill>
                <a:schemeClr val="dk1"/>
              </a:solidFill>
              <a:effectLst/>
              <a:latin typeface="+mn-lt"/>
              <a:ea typeface="+mn-ea"/>
              <a:cs typeface="+mn-cs"/>
            </a:rPr>
            <a:t> Daten</a:t>
          </a:r>
          <a:r>
            <a:rPr lang="en-GB" sz="1100" b="0" i="0">
              <a:solidFill>
                <a:schemeClr val="dk1"/>
              </a:solidFill>
              <a:effectLst/>
              <a:latin typeface="+mn-lt"/>
              <a:ea typeface="+mn-ea"/>
              <a:cs typeface="+mn-cs"/>
            </a:rPr>
            <a:t>:   1. Zeilen 200 bis 2044 einblenden 2. Rechtsklick auf das Diagramm</a:t>
          </a:r>
          <a:r>
            <a:rPr lang="en-GB" sz="1100" b="0" i="0" baseline="0">
              <a:solidFill>
                <a:schemeClr val="dk1"/>
              </a:solidFill>
              <a:effectLst/>
              <a:latin typeface="+mn-lt"/>
              <a:ea typeface="+mn-ea"/>
              <a:cs typeface="+mn-cs"/>
            </a:rPr>
            <a:t>   3. "</a:t>
          </a:r>
          <a:r>
            <a:rPr lang="en-GB" sz="1100" b="0" i="0">
              <a:solidFill>
                <a:schemeClr val="dk1"/>
              </a:solidFill>
              <a:effectLst/>
              <a:latin typeface="+mn-lt"/>
              <a:ea typeface="+mn-ea"/>
              <a:cs typeface="+mn-cs"/>
            </a:rPr>
            <a:t>Daten auswählen"</a:t>
          </a:r>
          <a:r>
            <a:rPr lang="en-GB" sz="1100" b="0" i="0" baseline="0">
              <a:solidFill>
                <a:schemeClr val="dk1"/>
              </a:solidFill>
              <a:effectLst/>
              <a:latin typeface="+mn-lt"/>
              <a:ea typeface="+mn-ea"/>
              <a:cs typeface="+mn-cs"/>
            </a:rPr>
            <a:t>    4. </a:t>
          </a:r>
          <a:r>
            <a:rPr lang="en-GB" sz="1100" b="0" i="0">
              <a:solidFill>
                <a:schemeClr val="dk1"/>
              </a:solidFill>
              <a:effectLst/>
              <a:latin typeface="+mn-lt"/>
              <a:ea typeface="+mn-ea"/>
              <a:cs typeface="+mn-cs"/>
            </a:rPr>
            <a:t>Jah</a:t>
          </a:r>
          <a:r>
            <a:rPr lang="en-GB" sz="1100" b="0" i="0" baseline="0">
              <a:solidFill>
                <a:schemeClr val="dk1"/>
              </a:solidFill>
              <a:effectLst/>
              <a:latin typeface="+mn-lt"/>
              <a:ea typeface="+mn-ea"/>
              <a:cs typeface="+mn-cs"/>
            </a:rPr>
            <a:t>r und </a:t>
          </a:r>
          <a:r>
            <a:rPr lang="en-GB" sz="1100" b="0" i="0">
              <a:solidFill>
                <a:schemeClr val="dk1"/>
              </a:solidFill>
              <a:effectLst/>
              <a:latin typeface="+mn-lt"/>
              <a:ea typeface="+mn-ea"/>
              <a:cs typeface="+mn-cs"/>
            </a:rPr>
            <a:t>Kategorien auswählen </a:t>
          </a:r>
          <a:r>
            <a:rPr lang="en-GB" sz="1100" b="0" i="0" baseline="0">
              <a:solidFill>
                <a:schemeClr val="dk1"/>
              </a:solidFill>
              <a:effectLst/>
              <a:latin typeface="+mn-lt"/>
              <a:ea typeface="+mn-ea"/>
              <a:cs typeface="+mn-cs"/>
            </a:rPr>
            <a:t>  5</a:t>
          </a:r>
          <a:r>
            <a:rPr lang="en-GB" sz="1100">
              <a:solidFill>
                <a:schemeClr val="dk1"/>
              </a:solidFill>
              <a:effectLst/>
              <a:latin typeface="+mn-lt"/>
              <a:ea typeface="+mn-ea"/>
              <a:cs typeface="+mn-cs"/>
            </a:rPr>
            <a:t>. "OK"    6.</a:t>
          </a:r>
          <a:r>
            <a:rPr lang="en-GB" sz="1100" b="0" i="0">
              <a:solidFill>
                <a:schemeClr val="dk1"/>
              </a:solidFill>
              <a:effectLst/>
              <a:latin typeface="+mn-lt"/>
              <a:ea typeface="+mn-ea"/>
              <a:cs typeface="+mn-cs"/>
            </a:rPr>
            <a:t> Diagrammtitel anpassen</a:t>
          </a:r>
          <a:r>
            <a:rPr lang="en-GB" sz="1100">
              <a:solidFill>
                <a:schemeClr val="dk1"/>
              </a:solidFill>
              <a:effectLst/>
              <a:latin typeface="+mn-lt"/>
              <a:ea typeface="+mn-ea"/>
              <a:cs typeface="+mn-cs"/>
            </a:rPr>
            <a:t> </a:t>
          </a:r>
          <a:endParaRPr lang="en-GB">
            <a:effectLst/>
          </a:endParaRPr>
        </a:p>
      </xdr:txBody>
    </xdr:sp>
    <xdr:clientData/>
  </xdr:twoCellAnchor>
  <xdr:twoCellAnchor>
    <xdr:from>
      <xdr:col>1</xdr:col>
      <xdr:colOff>4876800</xdr:colOff>
      <xdr:row>259</xdr:row>
      <xdr:rowOff>106362</xdr:rowOff>
    </xdr:from>
    <xdr:to>
      <xdr:col>8</xdr:col>
      <xdr:colOff>387350</xdr:colOff>
      <xdr:row>274</xdr:row>
      <xdr:rowOff>131762</xdr:rowOff>
    </xdr:to>
    <xdr:graphicFrame macro="">
      <xdr:nvGraphicFramePr>
        <xdr:cNvPr id="14" name="Diagramm 13">
          <a:extLst>
            <a:ext uri="{FF2B5EF4-FFF2-40B4-BE49-F238E27FC236}">
              <a16:creationId xmlns:a16="http://schemas.microsoft.com/office/drawing/2014/main" id="{00000000-0008-0000-04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408330</xdr:colOff>
      <xdr:row>46</xdr:row>
      <xdr:rowOff>149332</xdr:rowOff>
    </xdr:from>
    <xdr:to>
      <xdr:col>10</xdr:col>
      <xdr:colOff>255140</xdr:colOff>
      <xdr:row>49</xdr:row>
      <xdr:rowOff>122636</xdr:rowOff>
    </xdr:to>
    <xdr:pic>
      <xdr:nvPicPr>
        <xdr:cNvPr id="15" name="Grafik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324808" y="8937180"/>
          <a:ext cx="608810" cy="567719"/>
        </a:xfrm>
        <a:prstGeom prst="rect">
          <a:avLst/>
        </a:prstGeom>
      </xdr:spPr>
    </xdr:pic>
    <xdr:clientData/>
  </xdr:twoCellAnchor>
  <xdr:twoCellAnchor>
    <xdr:from>
      <xdr:col>10</xdr:col>
      <xdr:colOff>123701</xdr:colOff>
      <xdr:row>46</xdr:row>
      <xdr:rowOff>2622</xdr:rowOff>
    </xdr:from>
    <xdr:to>
      <xdr:col>10</xdr:col>
      <xdr:colOff>321848</xdr:colOff>
      <xdr:row>47</xdr:row>
      <xdr:rowOff>28075</xdr:rowOff>
    </xdr:to>
    <xdr:sp macro="" textlink="">
      <xdr:nvSpPr>
        <xdr:cNvPr id="9" name="Gleichschenkliges Dreieck 8">
          <a:extLst>
            <a:ext uri="{FF2B5EF4-FFF2-40B4-BE49-F238E27FC236}">
              <a16:creationId xmlns:a16="http://schemas.microsoft.com/office/drawing/2014/main" id="{00000000-0008-0000-0400-000009000000}"/>
            </a:ext>
          </a:extLst>
        </xdr:cNvPr>
        <xdr:cNvSpPr/>
      </xdr:nvSpPr>
      <xdr:spPr>
        <a:xfrm rot="10800000">
          <a:off x="11798966" y="8855664"/>
          <a:ext cx="198147" cy="210242"/>
        </a:xfrm>
        <a:prstGeom prst="triangle">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9</xdr:col>
      <xdr:colOff>327436</xdr:colOff>
      <xdr:row>34</xdr:row>
      <xdr:rowOff>107919</xdr:rowOff>
    </xdr:from>
    <xdr:ext cx="613236" cy="567142"/>
    <xdr:pic>
      <xdr:nvPicPr>
        <xdr:cNvPr id="16" name="Grafik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228269" y="8901707"/>
          <a:ext cx="613236" cy="567142"/>
        </a:xfrm>
        <a:prstGeom prst="rect">
          <a:avLst/>
        </a:prstGeom>
      </xdr:spPr>
    </xdr:pic>
    <xdr:clientData/>
  </xdr:oneCellAnchor>
  <xdr:twoCellAnchor>
    <xdr:from>
      <xdr:col>10</xdr:col>
      <xdr:colOff>123701</xdr:colOff>
      <xdr:row>34</xdr:row>
      <xdr:rowOff>2622</xdr:rowOff>
    </xdr:from>
    <xdr:to>
      <xdr:col>10</xdr:col>
      <xdr:colOff>321848</xdr:colOff>
      <xdr:row>35</xdr:row>
      <xdr:rowOff>28075</xdr:rowOff>
    </xdr:to>
    <xdr:sp macro="" textlink="">
      <xdr:nvSpPr>
        <xdr:cNvPr id="17" name="Gleichschenkliges Dreieck 16">
          <a:extLst>
            <a:ext uri="{FF2B5EF4-FFF2-40B4-BE49-F238E27FC236}">
              <a16:creationId xmlns:a16="http://schemas.microsoft.com/office/drawing/2014/main" id="{00000000-0008-0000-0400-000011000000}"/>
            </a:ext>
          </a:extLst>
        </xdr:cNvPr>
        <xdr:cNvSpPr/>
      </xdr:nvSpPr>
      <xdr:spPr>
        <a:xfrm rot="10800000">
          <a:off x="11784610" y="6314137"/>
          <a:ext cx="198147" cy="237120"/>
        </a:xfrm>
        <a:prstGeom prst="triangle">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289895</xdr:colOff>
      <xdr:row>47</xdr:row>
      <xdr:rowOff>123862</xdr:rowOff>
    </xdr:from>
    <xdr:to>
      <xdr:col>11</xdr:col>
      <xdr:colOff>7071</xdr:colOff>
      <xdr:row>48</xdr:row>
      <xdr:rowOff>99390</xdr:rowOff>
    </xdr:to>
    <xdr:sp macro="" textlink="">
      <xdr:nvSpPr>
        <xdr:cNvPr id="18" name="Gleichschenkliges Dreieck 17">
          <a:extLst>
            <a:ext uri="{FF2B5EF4-FFF2-40B4-BE49-F238E27FC236}">
              <a16:creationId xmlns:a16="http://schemas.microsoft.com/office/drawing/2014/main" id="{00000000-0008-0000-0400-000012000000}"/>
            </a:ext>
          </a:extLst>
        </xdr:cNvPr>
        <xdr:cNvSpPr/>
      </xdr:nvSpPr>
      <xdr:spPr>
        <a:xfrm rot="16200000">
          <a:off x="12120805" y="8941495"/>
          <a:ext cx="174311" cy="479176"/>
        </a:xfrm>
        <a:prstGeom prst="triangle">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10</xdr:col>
      <xdr:colOff>327436</xdr:colOff>
      <xdr:row>120</xdr:row>
      <xdr:rowOff>137802</xdr:rowOff>
    </xdr:from>
    <xdr:ext cx="613236" cy="567142"/>
    <xdr:pic>
      <xdr:nvPicPr>
        <xdr:cNvPr id="21" name="Grafik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989024" y="23214449"/>
          <a:ext cx="613236" cy="567142"/>
        </a:xfrm>
        <a:prstGeom prst="rect">
          <a:avLst/>
        </a:prstGeom>
      </xdr:spPr>
    </xdr:pic>
    <xdr:clientData/>
  </xdr:oneCellAnchor>
  <xdr:twoCellAnchor>
    <xdr:from>
      <xdr:col>11</xdr:col>
      <xdr:colOff>123701</xdr:colOff>
      <xdr:row>120</xdr:row>
      <xdr:rowOff>2622</xdr:rowOff>
    </xdr:from>
    <xdr:to>
      <xdr:col>11</xdr:col>
      <xdr:colOff>321848</xdr:colOff>
      <xdr:row>121</xdr:row>
      <xdr:rowOff>28075</xdr:rowOff>
    </xdr:to>
    <xdr:sp macro="" textlink="">
      <xdr:nvSpPr>
        <xdr:cNvPr id="22" name="Gleichschenkliges Dreieck 21">
          <a:extLst>
            <a:ext uri="{FF2B5EF4-FFF2-40B4-BE49-F238E27FC236}">
              <a16:creationId xmlns:a16="http://schemas.microsoft.com/office/drawing/2014/main" id="{00000000-0008-0000-0400-000016000000}"/>
            </a:ext>
          </a:extLst>
        </xdr:cNvPr>
        <xdr:cNvSpPr/>
      </xdr:nvSpPr>
      <xdr:spPr>
        <a:xfrm rot="10800000">
          <a:off x="11805354" y="6338818"/>
          <a:ext cx="194972" cy="235693"/>
        </a:xfrm>
        <a:prstGeom prst="triangle">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103843</xdr:colOff>
      <xdr:row>50</xdr:row>
      <xdr:rowOff>58351</xdr:rowOff>
    </xdr:from>
    <xdr:to>
      <xdr:col>6</xdr:col>
      <xdr:colOff>268941</xdr:colOff>
      <xdr:row>52</xdr:row>
      <xdr:rowOff>171823</xdr:rowOff>
    </xdr:to>
    <xdr:sp macro="" textlink="">
      <xdr:nvSpPr>
        <xdr:cNvPr id="2" name="Textfeld 1">
          <a:extLst>
            <a:ext uri="{FF2B5EF4-FFF2-40B4-BE49-F238E27FC236}">
              <a16:creationId xmlns:a16="http://schemas.microsoft.com/office/drawing/2014/main" id="{00000000-0008-0000-0500-000002000000}"/>
            </a:ext>
          </a:extLst>
        </xdr:cNvPr>
        <xdr:cNvSpPr txBox="1"/>
      </xdr:nvSpPr>
      <xdr:spPr>
        <a:xfrm>
          <a:off x="283137" y="2687998"/>
          <a:ext cx="6320863" cy="501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1100" b="0" i="0" baseline="0">
              <a:solidFill>
                <a:schemeClr val="dk1"/>
              </a:solidFill>
              <a:effectLst/>
              <a:latin typeface="+mn-lt"/>
              <a:ea typeface="+mn-ea"/>
              <a:cs typeface="+mn-cs"/>
            </a:rPr>
            <a:t>Wenn Sie detaillierte Teilergebnisse prüfen und auswerten möchten, blenden Sie die Zeilen 54 bis 387 ein.</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In</a:t>
          </a:r>
          <a:r>
            <a:rPr lang="en-GB" sz="1100" baseline="0">
              <a:solidFill>
                <a:schemeClr val="dk1"/>
              </a:solidFill>
              <a:effectLst/>
              <a:latin typeface="+mn-lt"/>
              <a:ea typeface="+mn-ea"/>
              <a:cs typeface="+mn-cs"/>
            </a:rPr>
            <a:t> dieses Tabellenblatt muss nichts eingetragen werden.</a:t>
          </a:r>
          <a:endParaRPr lang="en-GB">
            <a:effectLst/>
          </a:endParaRPr>
        </a:p>
      </xdr:txBody>
    </xdr:sp>
    <xdr:clientData/>
  </xdr:twoCellAnchor>
  <xdr:twoCellAnchor>
    <xdr:from>
      <xdr:col>1</xdr:col>
      <xdr:colOff>104947</xdr:colOff>
      <xdr:row>389</xdr:row>
      <xdr:rowOff>53176</xdr:rowOff>
    </xdr:from>
    <xdr:to>
      <xdr:col>16</xdr:col>
      <xdr:colOff>187911</xdr:colOff>
      <xdr:row>397</xdr:row>
      <xdr:rowOff>44823</xdr:rowOff>
    </xdr:to>
    <xdr:sp macro="" textlink="">
      <xdr:nvSpPr>
        <xdr:cNvPr id="3" name="Textfeld 2">
          <a:extLst>
            <a:ext uri="{FF2B5EF4-FFF2-40B4-BE49-F238E27FC236}">
              <a16:creationId xmlns:a16="http://schemas.microsoft.com/office/drawing/2014/main" id="{00000000-0008-0000-0500-000003000000}"/>
            </a:ext>
          </a:extLst>
        </xdr:cNvPr>
        <xdr:cNvSpPr txBox="1"/>
      </xdr:nvSpPr>
      <xdr:spPr>
        <a:xfrm>
          <a:off x="284241" y="3646529"/>
          <a:ext cx="13858729" cy="20012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Ziel</a:t>
          </a:r>
        </a:p>
        <a:p>
          <a:r>
            <a:rPr lang="en-GB" sz="1100"/>
            <a:t>Folgend sind die Gesamtemissionen</a:t>
          </a:r>
          <a:r>
            <a:rPr lang="en-GB" sz="1100" baseline="0"/>
            <a:t> je Referenzszenario (Bundesmix und Regiomix) nach den Handlungsfeldern und Jahren aufgeschlüsselt. </a:t>
          </a:r>
        </a:p>
        <a:p>
          <a:endParaRPr lang="en-GB" sz="1100" b="1" baseline="0">
            <a:solidFill>
              <a:schemeClr val="dk1"/>
            </a:solidFill>
            <a:effectLst/>
            <a:latin typeface="+mn-lt"/>
            <a:ea typeface="+mn-ea"/>
            <a:cs typeface="+mn-cs"/>
          </a:endParaRPr>
        </a:p>
        <a:p>
          <a:r>
            <a:rPr lang="en-GB" sz="1100" b="1" baseline="0">
              <a:solidFill>
                <a:schemeClr val="dk1"/>
              </a:solidFill>
              <a:effectLst/>
              <a:latin typeface="+mn-lt"/>
              <a:ea typeface="+mn-ea"/>
              <a:cs typeface="+mn-cs"/>
            </a:rPr>
            <a:t>Hinweise zur Eingabe</a:t>
          </a:r>
          <a:endParaRPr lang="en-GB">
            <a:effectLst/>
          </a:endParaRPr>
        </a:p>
        <a:p>
          <a:r>
            <a:rPr lang="en-GB" sz="1100" baseline="0">
              <a:solidFill>
                <a:schemeClr val="dk1"/>
              </a:solidFill>
              <a:effectLst/>
              <a:latin typeface="+mn-lt"/>
              <a:ea typeface="+mn-ea"/>
              <a:cs typeface="+mn-cs"/>
            </a:rPr>
            <a:t>Wurden individuelle Datenpunkte eingetragen, müssen diese in folgender Zusammenfassung der zugehörigen Kategorie addiert werden. Wurden eigene Handlungsfelder ergänzt, müssen die einzelnen Datenpunkte dieser hier ergänzt werden.</a:t>
          </a:r>
          <a:br>
            <a:rPr lang="en-GB" sz="1100" baseline="0">
              <a:solidFill>
                <a:schemeClr val="dk1"/>
              </a:solidFill>
              <a:effectLst/>
              <a:latin typeface="+mn-lt"/>
              <a:ea typeface="+mn-ea"/>
              <a:cs typeface="+mn-cs"/>
            </a:rPr>
          </a:br>
          <a:endParaRPr lang="en-GB">
            <a:effectLst/>
          </a:endParaRPr>
        </a:p>
        <a:p>
          <a:r>
            <a:rPr lang="en-GB" sz="1100" b="1" baseline="0">
              <a:solidFill>
                <a:schemeClr val="dk1"/>
              </a:solidFill>
              <a:effectLst/>
              <a:latin typeface="+mn-lt"/>
              <a:ea typeface="+mn-ea"/>
              <a:cs typeface="+mn-cs"/>
            </a:rPr>
            <a:t>Auswertungshinweise</a:t>
          </a:r>
          <a:endParaRPr lang="en-GB">
            <a:effectLst/>
          </a:endParaRPr>
        </a:p>
        <a:p>
          <a:pPr eaLnBrk="1" fontAlgn="auto" latinLnBrk="0" hangingPunct="1"/>
          <a:r>
            <a:rPr lang="en-GB" sz="1100" b="0" baseline="0">
              <a:solidFill>
                <a:schemeClr val="dk1"/>
              </a:solidFill>
              <a:effectLst/>
              <a:latin typeface="+mn-lt"/>
              <a:ea typeface="+mn-ea"/>
              <a:cs typeface="+mn-cs"/>
            </a:rPr>
            <a:t>Nach dem BISKO-Standard und dem GHG-Protocoll ist die Bilanzeriung nach dem </a:t>
          </a:r>
          <a:r>
            <a:rPr lang="en-GB" sz="1100" b="1" i="0">
              <a:solidFill>
                <a:schemeClr val="dk1"/>
              </a:solidFill>
              <a:effectLst/>
              <a:latin typeface="+mn-lt"/>
              <a:ea typeface="+mn-ea"/>
              <a:cs typeface="+mn-cs"/>
            </a:rPr>
            <a:t>Bundesmix</a:t>
          </a:r>
          <a:r>
            <a:rPr lang="en-GB" sz="1100" b="0" i="0" baseline="0">
              <a:solidFill>
                <a:schemeClr val="dk1"/>
              </a:solidFill>
              <a:effectLst/>
              <a:latin typeface="+mn-lt"/>
              <a:ea typeface="+mn-ea"/>
              <a:cs typeface="+mn-cs"/>
            </a:rPr>
            <a:t> verpflichtend. Der </a:t>
          </a:r>
          <a:r>
            <a:rPr lang="en-GB" sz="1100" b="0" i="0">
              <a:solidFill>
                <a:schemeClr val="dk1"/>
              </a:solidFill>
              <a:effectLst/>
              <a:latin typeface="+mn-lt"/>
              <a:ea typeface="+mn-ea"/>
              <a:cs typeface="+mn-cs"/>
            </a:rPr>
            <a:t>Regiomix ist optional</a:t>
          </a:r>
          <a:r>
            <a:rPr lang="en-GB" sz="1100" b="0" i="0" baseline="0">
              <a:solidFill>
                <a:schemeClr val="dk1"/>
              </a:solidFill>
              <a:effectLst/>
              <a:latin typeface="+mn-lt"/>
              <a:ea typeface="+mn-ea"/>
              <a:cs typeface="+mn-cs"/>
            </a:rPr>
            <a:t> und kann sinnvoll sein, wenn bspw. ein institutseigenes </a:t>
          </a:r>
          <a:r>
            <a:rPr lang="en-GB" sz="1100" b="0" i="0">
              <a:solidFill>
                <a:schemeClr val="dk1"/>
              </a:solidFill>
              <a:effectLst/>
              <a:latin typeface="+mn-lt"/>
              <a:ea typeface="+mn-ea"/>
              <a:cs typeface="+mn-cs"/>
            </a:rPr>
            <a:t>BHKW, die Ökostrom-Nutzung</a:t>
          </a:r>
          <a:r>
            <a:rPr lang="en-GB" sz="1100" b="0" i="0" baseline="0">
              <a:solidFill>
                <a:schemeClr val="dk1"/>
              </a:solidFill>
              <a:effectLst/>
              <a:latin typeface="+mn-lt"/>
              <a:ea typeface="+mn-ea"/>
              <a:cs typeface="+mn-cs"/>
            </a:rPr>
            <a:t> oder</a:t>
          </a:r>
          <a:r>
            <a:rPr lang="en-GB" sz="1100" b="0" i="0">
              <a:solidFill>
                <a:schemeClr val="dk1"/>
              </a:solidFill>
              <a:effectLst/>
              <a:latin typeface="+mn-lt"/>
              <a:ea typeface="+mn-ea"/>
              <a:cs typeface="+mn-cs"/>
            </a:rPr>
            <a:t> PV vorliegen. Der Bundesmix</a:t>
          </a:r>
          <a:r>
            <a:rPr lang="en-GB" sz="1100" b="0" i="0" baseline="0">
              <a:solidFill>
                <a:schemeClr val="dk1"/>
              </a:solidFill>
              <a:effectLst/>
              <a:latin typeface="+mn-lt"/>
              <a:ea typeface="+mn-ea"/>
              <a:cs typeface="+mn-cs"/>
            </a:rPr>
            <a:t> KS80 und das eigene Szenario sind ebenfalls optional.</a:t>
          </a:r>
          <a:br>
            <a:rPr lang="en-GB" sz="1100" b="0" i="0" baseline="0">
              <a:solidFill>
                <a:schemeClr val="dk1"/>
              </a:solidFill>
              <a:effectLst/>
              <a:latin typeface="+mn-lt"/>
              <a:ea typeface="+mn-ea"/>
              <a:cs typeface="+mn-cs"/>
            </a:rPr>
          </a:br>
          <a:r>
            <a:rPr lang="en-GB" sz="1100" baseline="0">
              <a:solidFill>
                <a:schemeClr val="dk1"/>
              </a:solidFill>
              <a:effectLst/>
              <a:latin typeface="+mn-lt"/>
              <a:ea typeface="+mn-ea"/>
              <a:cs typeface="+mn-cs"/>
            </a:rPr>
            <a:t>Falls Sie kompensieren oder Senken eingetragen haben, müssen Sie diese gemäß GHG-Protocol in der Auswertung gesondert angeben. </a:t>
          </a:r>
          <a:endParaRPr lang="en-GB">
            <a:effectLst/>
          </a:endParaRPr>
        </a:p>
        <a:p>
          <a:endParaRPr lang="en-GB" sz="1100" baseline="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151717</xdr:colOff>
      <xdr:row>554</xdr:row>
      <xdr:rowOff>122460</xdr:rowOff>
    </xdr:from>
    <xdr:to>
      <xdr:col>13</xdr:col>
      <xdr:colOff>266017</xdr:colOff>
      <xdr:row>558</xdr:row>
      <xdr:rowOff>133350</xdr:rowOff>
    </xdr:to>
    <xdr:sp macro="" textlink="">
      <xdr:nvSpPr>
        <xdr:cNvPr id="4" name="Textfeld 3">
          <a:extLst>
            <a:ext uri="{FF2B5EF4-FFF2-40B4-BE49-F238E27FC236}">
              <a16:creationId xmlns:a16="http://schemas.microsoft.com/office/drawing/2014/main" id="{00000000-0008-0000-0600-000004000000}"/>
            </a:ext>
          </a:extLst>
        </xdr:cNvPr>
        <xdr:cNvSpPr txBox="1"/>
      </xdr:nvSpPr>
      <xdr:spPr>
        <a:xfrm>
          <a:off x="151717" y="107535885"/>
          <a:ext cx="12696825" cy="7347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u="none" strike="noStrike">
              <a:solidFill>
                <a:schemeClr val="dk1"/>
              </a:solidFill>
              <a:effectLst/>
              <a:latin typeface="+mn-lt"/>
              <a:ea typeface="+mn-ea"/>
              <a:cs typeface="+mn-cs"/>
            </a:rPr>
            <a:t>Hinweise zur Dateineingabe</a:t>
          </a:r>
        </a:p>
        <a:p>
          <a:r>
            <a:rPr lang="en-GB" sz="1100" b="0" i="0" u="none" strike="noStrike">
              <a:solidFill>
                <a:schemeClr val="dk1"/>
              </a:solidFill>
              <a:effectLst/>
              <a:latin typeface="+mn-lt"/>
              <a:ea typeface="+mn-ea"/>
              <a:cs typeface="+mn-cs"/>
            </a:rPr>
            <a:t>Für ein</a:t>
          </a:r>
          <a:r>
            <a:rPr lang="en-GB" sz="1100" b="0" i="0" u="none" strike="noStrike" baseline="0">
              <a:solidFill>
                <a:schemeClr val="dk1"/>
              </a:solidFill>
              <a:effectLst/>
              <a:latin typeface="+mn-lt"/>
              <a:ea typeface="+mn-ea"/>
              <a:cs typeface="+mn-cs"/>
            </a:rPr>
            <a:t> eigenes Szenario können auch Sonder-</a:t>
          </a:r>
          <a:r>
            <a:rPr lang="en-GB" sz="1100" b="0" i="0" u="none" strike="noStrike">
              <a:solidFill>
                <a:schemeClr val="dk1"/>
              </a:solidFill>
              <a:effectLst/>
              <a:latin typeface="+mn-lt"/>
              <a:ea typeface="+mn-ea"/>
              <a:cs typeface="+mn-cs"/>
            </a:rPr>
            <a:t>Emissionsfaktoren</a:t>
          </a:r>
          <a:r>
            <a:rPr lang="en-GB" sz="1100" b="0" i="0" u="none" strike="noStrike" baseline="0">
              <a:solidFill>
                <a:schemeClr val="dk1"/>
              </a:solidFill>
              <a:effectLst/>
              <a:latin typeface="+mn-lt"/>
              <a:ea typeface="+mn-ea"/>
              <a:cs typeface="+mn-cs"/>
            </a:rPr>
            <a:t> und </a:t>
          </a:r>
          <a:r>
            <a:rPr lang="en-GB" sz="1100" b="0" i="0" u="none" strike="noStrike">
              <a:solidFill>
                <a:schemeClr val="dk1"/>
              </a:solidFill>
              <a:effectLst/>
              <a:latin typeface="+mn-lt"/>
              <a:ea typeface="+mn-ea"/>
              <a:cs typeface="+mn-cs"/>
            </a:rPr>
            <a:t>je nach Änderungen</a:t>
          </a:r>
          <a:r>
            <a:rPr lang="en-GB" sz="1100" b="0" i="0" u="none" strike="noStrike" baseline="0">
              <a:solidFill>
                <a:schemeClr val="dk1"/>
              </a:solidFill>
              <a:effectLst/>
              <a:latin typeface="+mn-lt"/>
              <a:ea typeface="+mn-ea"/>
              <a:cs typeface="+mn-cs"/>
            </a:rPr>
            <a:t> müssen die Formeln zur Berechnung der Emissionen </a:t>
          </a:r>
          <a:r>
            <a:rPr lang="en-GB" sz="1100" b="0" i="0" u="none" strike="noStrike">
              <a:solidFill>
                <a:schemeClr val="dk1"/>
              </a:solidFill>
              <a:effectLst/>
              <a:latin typeface="+mn-lt"/>
              <a:ea typeface="+mn-ea"/>
              <a:cs typeface="+mn-cs"/>
            </a:rPr>
            <a:t>in der Tabelle geändert werden (Achtung bei Änderungen</a:t>
          </a:r>
          <a:r>
            <a:rPr lang="en-GB" sz="1100" b="0" i="0" u="none" strike="noStrike" baseline="0">
              <a:solidFill>
                <a:schemeClr val="dk1"/>
              </a:solidFill>
              <a:effectLst/>
              <a:latin typeface="+mn-lt"/>
              <a:ea typeface="+mn-ea"/>
              <a:cs typeface="+mn-cs"/>
            </a:rPr>
            <a:t> im Bereich elektrischen Strom müssen ggf. die Summe der Verbräuche verwendet oder aufgelöst werden. In diesem Bsp. wurden in ID1 die Verbräuche der ID 2 bis 10 summiert gelöscht). </a:t>
          </a:r>
          <a:endParaRPr lang="en-GB" baseline="0">
            <a:latin typeface="+mn-lt"/>
          </a:endParaRPr>
        </a:p>
        <a:p>
          <a:endParaRPr lang="de-DE" sz="1100">
            <a:latin typeface="+mn-lt"/>
          </a:endParaRPr>
        </a:p>
      </xdr:txBody>
    </xdr:sp>
    <xdr:clientData/>
  </xdr:twoCellAnchor>
  <xdr:twoCellAnchor>
    <xdr:from>
      <xdr:col>1</xdr:col>
      <xdr:colOff>74664</xdr:colOff>
      <xdr:row>734</xdr:row>
      <xdr:rowOff>77420</xdr:rowOff>
    </xdr:from>
    <xdr:to>
      <xdr:col>15</xdr:col>
      <xdr:colOff>29896</xdr:colOff>
      <xdr:row>745</xdr:row>
      <xdr:rowOff>0</xdr:rowOff>
    </xdr:to>
    <xdr:sp macro="" textlink="">
      <xdr:nvSpPr>
        <xdr:cNvPr id="6" name="Textfeld 5">
          <a:extLst>
            <a:ext uri="{FF2B5EF4-FFF2-40B4-BE49-F238E27FC236}">
              <a16:creationId xmlns:a16="http://schemas.microsoft.com/office/drawing/2014/main" id="{00000000-0008-0000-0600-000006000000}"/>
            </a:ext>
          </a:extLst>
        </xdr:cNvPr>
        <xdr:cNvSpPr txBox="1"/>
      </xdr:nvSpPr>
      <xdr:spPr>
        <a:xfrm>
          <a:off x="284005" y="4166541"/>
          <a:ext cx="13834517" cy="19182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Ziel</a:t>
          </a:r>
        </a:p>
        <a:p>
          <a:r>
            <a:rPr lang="en-GB" sz="1100">
              <a:solidFill>
                <a:schemeClr val="dk1"/>
              </a:solidFill>
              <a:effectLst/>
              <a:latin typeface="+mn-lt"/>
              <a:ea typeface="+mn-ea"/>
              <a:cs typeface="+mn-cs"/>
            </a:rPr>
            <a:t>Folgend sind die Gesamtemissionen</a:t>
          </a:r>
          <a:r>
            <a:rPr lang="en-GB" sz="1100" baseline="0">
              <a:solidFill>
                <a:schemeClr val="dk1"/>
              </a:solidFill>
              <a:effectLst/>
              <a:latin typeface="+mn-lt"/>
              <a:ea typeface="+mn-ea"/>
              <a:cs typeface="+mn-cs"/>
            </a:rPr>
            <a:t> je Klimaschutzszenario nach den Handlungsfeldern und Jahren aufgeschlüsselt. </a:t>
          </a:r>
          <a:endParaRPr lang="en-GB">
            <a:effectLst/>
          </a:endParaRPr>
        </a:p>
        <a:p>
          <a:endParaRPr lang="en-GB" sz="1100" baseline="0"/>
        </a:p>
        <a:p>
          <a:r>
            <a:rPr lang="en-GB" sz="1100" b="1" baseline="0"/>
            <a:t>Hinweise zur Eingabe</a:t>
          </a:r>
        </a:p>
        <a:p>
          <a:r>
            <a:rPr lang="en-GB" sz="1100" baseline="0">
              <a:solidFill>
                <a:schemeClr val="dk1"/>
              </a:solidFill>
              <a:effectLst/>
              <a:latin typeface="+mn-lt"/>
              <a:ea typeface="+mn-ea"/>
              <a:cs typeface="+mn-cs"/>
            </a:rPr>
            <a:t>Wurden eigene  Handlungsfelder eingetragen, müssen diese in folgender Zusammenfassung der zugehörigen Kategorie addiert werden. </a:t>
          </a:r>
          <a:br>
            <a:rPr lang="en-GB" sz="1100" baseline="0">
              <a:solidFill>
                <a:schemeClr val="dk1"/>
              </a:solidFill>
              <a:effectLst/>
              <a:latin typeface="+mn-lt"/>
              <a:ea typeface="+mn-ea"/>
              <a:cs typeface="+mn-cs"/>
            </a:rPr>
          </a:br>
          <a:endParaRPr lang="en-GB" sz="1100" b="1" baseline="0"/>
        </a:p>
        <a:p>
          <a:r>
            <a:rPr lang="en-GB" sz="1100" b="1" baseline="0"/>
            <a:t>Auswertungshinweise</a:t>
          </a:r>
        </a:p>
        <a:p>
          <a:pPr marL="0" marR="0" lvl="0" indent="0" defTabSz="914400" eaLnBrk="1" fontAlgn="auto" latinLnBrk="0" hangingPunct="1">
            <a:lnSpc>
              <a:spcPct val="100000"/>
            </a:lnSpc>
            <a:spcBef>
              <a:spcPts val="0"/>
            </a:spcBef>
            <a:spcAft>
              <a:spcPts val="0"/>
            </a:spcAft>
            <a:buClrTx/>
            <a:buSzTx/>
            <a:buFontTx/>
            <a:buNone/>
            <a:tabLst/>
            <a:defRPr/>
          </a:pPr>
          <a:r>
            <a:rPr lang="en-GB" sz="1100" b="0" baseline="0"/>
            <a:t>Nach dem BISKO-Standard und dem GHG-Protocol ist die Bilanzeriung nach dem </a:t>
          </a:r>
          <a:r>
            <a:rPr lang="en-GB" sz="1100" b="1" i="0">
              <a:solidFill>
                <a:schemeClr val="dk1"/>
              </a:solidFill>
              <a:effectLst/>
              <a:latin typeface="+mn-lt"/>
              <a:ea typeface="+mn-ea"/>
              <a:cs typeface="+mn-cs"/>
            </a:rPr>
            <a:t>Bundesmix</a:t>
          </a:r>
          <a:r>
            <a:rPr lang="en-GB" sz="1100" b="0" i="0" baseline="0">
              <a:solidFill>
                <a:schemeClr val="dk1"/>
              </a:solidFill>
              <a:effectLst/>
              <a:latin typeface="+mn-lt"/>
              <a:ea typeface="+mn-ea"/>
              <a:cs typeface="+mn-cs"/>
            </a:rPr>
            <a:t> verpflichtend. Der </a:t>
          </a:r>
          <a:r>
            <a:rPr lang="en-GB" sz="1100" b="0" i="0">
              <a:solidFill>
                <a:schemeClr val="dk1"/>
              </a:solidFill>
              <a:effectLst/>
              <a:latin typeface="+mn-lt"/>
              <a:ea typeface="+mn-ea"/>
              <a:cs typeface="+mn-cs"/>
            </a:rPr>
            <a:t>Regiomix ist optional</a:t>
          </a:r>
          <a:r>
            <a:rPr lang="en-GB" sz="1100" b="0" i="0" baseline="0">
              <a:solidFill>
                <a:schemeClr val="dk1"/>
              </a:solidFill>
              <a:effectLst/>
              <a:latin typeface="+mn-lt"/>
              <a:ea typeface="+mn-ea"/>
              <a:cs typeface="+mn-cs"/>
            </a:rPr>
            <a:t> und kann sinnvoll sein, wenn bspw. ein institutseigenes </a:t>
          </a:r>
          <a:r>
            <a:rPr lang="en-GB" sz="1100" b="0" i="0">
              <a:solidFill>
                <a:schemeClr val="dk1"/>
              </a:solidFill>
              <a:effectLst/>
              <a:latin typeface="+mn-lt"/>
              <a:ea typeface="+mn-ea"/>
              <a:cs typeface="+mn-cs"/>
            </a:rPr>
            <a:t>BHKW, die Ökostrom-Nutzung</a:t>
          </a:r>
          <a:r>
            <a:rPr lang="en-GB" sz="1100" b="0" i="0" baseline="0">
              <a:solidFill>
                <a:schemeClr val="dk1"/>
              </a:solidFill>
              <a:effectLst/>
              <a:latin typeface="+mn-lt"/>
              <a:ea typeface="+mn-ea"/>
              <a:cs typeface="+mn-cs"/>
            </a:rPr>
            <a:t> oder</a:t>
          </a:r>
          <a:r>
            <a:rPr lang="en-GB" sz="1100" b="0" i="0">
              <a:solidFill>
                <a:schemeClr val="dk1"/>
              </a:solidFill>
              <a:effectLst/>
              <a:latin typeface="+mn-lt"/>
              <a:ea typeface="+mn-ea"/>
              <a:cs typeface="+mn-cs"/>
            </a:rPr>
            <a:t> PV vorliegen. Der Bundesmix</a:t>
          </a:r>
          <a:r>
            <a:rPr lang="en-GB" sz="1100" b="0" i="0" baseline="0">
              <a:solidFill>
                <a:schemeClr val="dk1"/>
              </a:solidFill>
              <a:effectLst/>
              <a:latin typeface="+mn-lt"/>
              <a:ea typeface="+mn-ea"/>
              <a:cs typeface="+mn-cs"/>
            </a:rPr>
            <a:t> KS80 und das eigene Szenario sind ebenfalls optional.</a:t>
          </a:r>
          <a:br>
            <a:rPr lang="en-GB" sz="1100" b="0" i="0" baseline="0">
              <a:solidFill>
                <a:schemeClr val="dk1"/>
              </a:solidFill>
              <a:effectLst/>
              <a:latin typeface="+mn-lt"/>
              <a:ea typeface="+mn-ea"/>
              <a:cs typeface="+mn-cs"/>
            </a:rPr>
          </a:br>
          <a:r>
            <a:rPr lang="en-GB" sz="1100" baseline="0">
              <a:solidFill>
                <a:schemeClr val="dk1"/>
              </a:solidFill>
              <a:effectLst/>
              <a:latin typeface="+mn-lt"/>
              <a:ea typeface="+mn-ea"/>
              <a:cs typeface="+mn-cs"/>
            </a:rPr>
            <a:t>Falls Sie kompensieren oder Senken eingetragen haben, müssen Sie diese gemäß GHG-Protocol in der Auswertung gesondert angeben. </a:t>
          </a:r>
          <a:endParaRPr lang="en-GB">
            <a:effectLst/>
          </a:endParaRPr>
        </a:p>
      </xdr:txBody>
    </xdr:sp>
    <xdr:clientData/>
  </xdr:twoCellAnchor>
  <xdr:twoCellAnchor>
    <xdr:from>
      <xdr:col>1</xdr:col>
      <xdr:colOff>94558</xdr:colOff>
      <xdr:row>50</xdr:row>
      <xdr:rowOff>69713</xdr:rowOff>
    </xdr:from>
    <xdr:to>
      <xdr:col>5</xdr:col>
      <xdr:colOff>136858</xdr:colOff>
      <xdr:row>52</xdr:row>
      <xdr:rowOff>168476</xdr:rowOff>
    </xdr:to>
    <xdr:sp macro="" textlink="">
      <xdr:nvSpPr>
        <xdr:cNvPr id="5" name="Textfeld 4">
          <a:extLst>
            <a:ext uri="{FF2B5EF4-FFF2-40B4-BE49-F238E27FC236}">
              <a16:creationId xmlns:a16="http://schemas.microsoft.com/office/drawing/2014/main" id="{00000000-0008-0000-0600-000005000000}"/>
            </a:ext>
          </a:extLst>
        </xdr:cNvPr>
        <xdr:cNvSpPr txBox="1"/>
      </xdr:nvSpPr>
      <xdr:spPr>
        <a:xfrm>
          <a:off x="303899" y="3949493"/>
          <a:ext cx="6315541" cy="4616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1100" b="0" i="0" baseline="0">
              <a:solidFill>
                <a:schemeClr val="dk1"/>
              </a:solidFill>
              <a:effectLst/>
              <a:latin typeface="+mn-lt"/>
              <a:ea typeface="+mn-ea"/>
              <a:cs typeface="+mn-cs"/>
            </a:rPr>
            <a:t>Wenn Sie detaillierte Teilergebnisse prüfen und auswerten möchten, blenden Sie die Zeilen 54 bis 732 ein.</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In</a:t>
          </a:r>
          <a:r>
            <a:rPr lang="en-GB" sz="1100" baseline="0">
              <a:solidFill>
                <a:schemeClr val="dk1"/>
              </a:solidFill>
              <a:effectLst/>
              <a:latin typeface="+mn-lt"/>
              <a:ea typeface="+mn-ea"/>
              <a:cs typeface="+mn-cs"/>
            </a:rPr>
            <a:t> dieses Tabellenblatt muss nichts eingetragen werden.</a:t>
          </a:r>
          <a:endParaRPr lang="en-GB">
            <a:effectLs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92075</xdr:colOff>
      <xdr:row>12</xdr:row>
      <xdr:rowOff>44450</xdr:rowOff>
    </xdr:from>
    <xdr:to>
      <xdr:col>9</xdr:col>
      <xdr:colOff>282512</xdr:colOff>
      <xdr:row>31</xdr:row>
      <xdr:rowOff>127000</xdr:rowOff>
    </xdr:to>
    <xdr:sp macro="" textlink="">
      <xdr:nvSpPr>
        <xdr:cNvPr id="2" name="Textfeld 1">
          <a:extLst>
            <a:ext uri="{FF2B5EF4-FFF2-40B4-BE49-F238E27FC236}">
              <a16:creationId xmlns:a16="http://schemas.microsoft.com/office/drawing/2014/main" id="{00000000-0008-0000-0800-000002000000}"/>
            </a:ext>
          </a:extLst>
        </xdr:cNvPr>
        <xdr:cNvSpPr txBox="1"/>
      </xdr:nvSpPr>
      <xdr:spPr>
        <a:xfrm>
          <a:off x="339725" y="2247900"/>
          <a:ext cx="8140637" cy="3581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Ziel</a:t>
          </a:r>
        </a:p>
        <a:p>
          <a:r>
            <a:rPr lang="de-DE" sz="1100" b="0">
              <a:solidFill>
                <a:schemeClr val="dk1"/>
              </a:solidFill>
              <a:effectLst/>
              <a:latin typeface="+mn-lt"/>
              <a:ea typeface="+mn-ea"/>
              <a:cs typeface="+mn-cs"/>
            </a:rPr>
            <a:t>In</a:t>
          </a:r>
          <a:r>
            <a:rPr lang="de-DE" sz="1100" b="0" baseline="0">
              <a:solidFill>
                <a:schemeClr val="dk1"/>
              </a:solidFill>
              <a:effectLst/>
              <a:latin typeface="+mn-lt"/>
              <a:ea typeface="+mn-ea"/>
              <a:cs typeface="+mn-cs"/>
            </a:rPr>
            <a:t> diesem Abschnitt</a:t>
          </a:r>
          <a:r>
            <a:rPr lang="de-DE" sz="1100" b="0">
              <a:solidFill>
                <a:schemeClr val="dk1"/>
              </a:solidFill>
              <a:effectLst/>
              <a:latin typeface="+mn-lt"/>
              <a:ea typeface="+mn-ea"/>
              <a:cs typeface="+mn-cs"/>
            </a:rPr>
            <a:t> kann der individuelle Emissionsfaktor Ihrer bisherigen Stromabrechnungen</a:t>
          </a:r>
          <a:r>
            <a:rPr lang="de-DE" sz="1100" b="0" baseline="0">
              <a:solidFill>
                <a:schemeClr val="dk1"/>
              </a:solidFill>
              <a:effectLst/>
              <a:latin typeface="+mn-lt"/>
              <a:ea typeface="+mn-ea"/>
              <a:cs typeface="+mn-cs"/>
            </a:rPr>
            <a:t> in t </a:t>
          </a:r>
          <a:r>
            <a:rPr lang="de-DE" sz="1100">
              <a:solidFill>
                <a:schemeClr val="dk1"/>
              </a:solidFill>
              <a:effectLst/>
              <a:latin typeface="+mn-lt"/>
              <a:ea typeface="+mn-ea"/>
              <a:cs typeface="+mn-cs"/>
            </a:rPr>
            <a:t>CO</a:t>
          </a:r>
          <a:r>
            <a:rPr lang="de-DE" sz="1100" baseline="-25000">
              <a:solidFill>
                <a:schemeClr val="dk1"/>
              </a:solidFill>
              <a:effectLst/>
              <a:latin typeface="+mn-lt"/>
              <a:ea typeface="+mn-ea"/>
              <a:cs typeface="+mn-cs"/>
            </a:rPr>
            <a:t>2</a:t>
          </a:r>
          <a:r>
            <a:rPr lang="de-DE" sz="1100" b="0" baseline="0">
              <a:solidFill>
                <a:schemeClr val="dk1"/>
              </a:solidFill>
              <a:effectLst/>
              <a:latin typeface="+mn-lt"/>
              <a:ea typeface="+mn-ea"/>
              <a:cs typeface="+mn-cs"/>
            </a:rPr>
            <a:t>-Äquivalente berechnet werden. </a:t>
          </a:r>
          <a:endParaRPr lang="de-DE" sz="1100" b="1">
            <a:solidFill>
              <a:schemeClr val="dk1"/>
            </a:solidFill>
            <a:effectLst/>
            <a:latin typeface="+mn-lt"/>
            <a:ea typeface="+mn-ea"/>
            <a:cs typeface="+mn-cs"/>
          </a:endParaRPr>
        </a:p>
        <a:p>
          <a:endParaRPr lang="de-DE" sz="1100" b="1">
            <a:solidFill>
              <a:schemeClr val="dk1"/>
            </a:solidFill>
            <a:effectLst/>
            <a:latin typeface="+mn-lt"/>
            <a:ea typeface="+mn-ea"/>
            <a:cs typeface="+mn-cs"/>
          </a:endParaRPr>
        </a:p>
        <a:p>
          <a:r>
            <a:rPr lang="de-DE" sz="1100" b="1">
              <a:solidFill>
                <a:schemeClr val="dk1"/>
              </a:solidFill>
              <a:effectLst/>
              <a:latin typeface="+mn-lt"/>
              <a:ea typeface="+mn-ea"/>
              <a:cs typeface="+mn-cs"/>
            </a:rPr>
            <a:t>Hinweise zur Dateneingabe</a:t>
          </a:r>
        </a:p>
        <a:p>
          <a:pPr marL="0" marR="0" lvl="0" indent="0" defTabSz="914400" eaLnBrk="1" fontAlgn="auto" latinLnBrk="0" hangingPunct="1">
            <a:lnSpc>
              <a:spcPct val="100000"/>
            </a:lnSpc>
            <a:spcBef>
              <a:spcPts val="0"/>
            </a:spcBef>
            <a:spcAft>
              <a:spcPts val="0"/>
            </a:spcAft>
            <a:buClrTx/>
            <a:buSzTx/>
            <a:buFontTx/>
            <a:buNone/>
            <a:tabLst/>
            <a:defRPr/>
          </a:pPr>
          <a:r>
            <a:rPr lang="en-GB"/>
            <a:t>Bitte tragen Sie die prozentuale Verteilung der Energieträger basierend auf den Stromabrechnungsdaten in die entsprechenden Zellen ein. Geben Sie den Stromverbrauch für einen individuellen Strommix ausschließlich im Tabellenblatt "Refsz-Verbräuche" für das entsprechende Jahr ein, in dem Sie hier auch den Emissionsfaktor berechnet haben. Falls Ihnen nicht alle Stromabrechnungen vorliegen, tragen Sie die Verbrauchswerte mit den fehlenden Abrechnungen im Tabellenblatt "Refsz-Verbräuche" unter ID 1 (Bundesmix) ein.</a:t>
          </a:r>
        </a:p>
        <a:p>
          <a:endParaRPr lang="en-GB"/>
        </a:p>
        <a:p>
          <a:pPr marL="0" marR="0" lvl="0" indent="0" defTabSz="914400" eaLnBrk="1" fontAlgn="auto" latinLnBrk="0" hangingPunct="1">
            <a:lnSpc>
              <a:spcPct val="100000"/>
            </a:lnSpc>
            <a:spcBef>
              <a:spcPts val="0"/>
            </a:spcBef>
            <a:spcAft>
              <a:spcPts val="0"/>
            </a:spcAft>
            <a:buClrTx/>
            <a:buSzTx/>
            <a:buFontTx/>
            <a:buNone/>
            <a:tabLst/>
            <a:defRPr/>
          </a:pPr>
          <a:r>
            <a:rPr lang="de-DE" sz="1100" b="1">
              <a:solidFill>
                <a:sysClr val="windowText" lastClr="000000"/>
              </a:solidFill>
              <a:effectLst/>
              <a:latin typeface="+mn-lt"/>
              <a:ea typeface="+mn-ea"/>
              <a:cs typeface="+mn-cs"/>
            </a:rPr>
            <a:t>Methode</a:t>
          </a:r>
        </a:p>
        <a:p>
          <a:pPr marL="0" marR="0" lvl="0" indent="0" defTabSz="914400" eaLnBrk="1" fontAlgn="auto" latinLnBrk="0" hangingPunct="1">
            <a:lnSpc>
              <a:spcPct val="100000"/>
            </a:lnSpc>
            <a:spcBef>
              <a:spcPts val="0"/>
            </a:spcBef>
            <a:spcAft>
              <a:spcPts val="0"/>
            </a:spcAft>
            <a:buClrTx/>
            <a:buSzTx/>
            <a:buFontTx/>
            <a:buNone/>
            <a:tabLst/>
            <a:defRPr/>
          </a:pPr>
          <a:r>
            <a:rPr lang="de-DE" sz="1100">
              <a:solidFill>
                <a:sysClr val="windowText" lastClr="000000"/>
              </a:solidFill>
              <a:effectLst/>
              <a:latin typeface="+mn-lt"/>
              <a:ea typeface="+mn-ea"/>
              <a:cs typeface="+mn-cs"/>
            </a:rPr>
            <a:t>Die Berechnung der</a:t>
          </a:r>
          <a:r>
            <a:rPr lang="de-DE" sz="1100" baseline="0">
              <a:solidFill>
                <a:sysClr val="windowText" lastClr="000000"/>
              </a:solidFill>
              <a:effectLst/>
              <a:latin typeface="+mn-lt"/>
              <a:ea typeface="+mn-ea"/>
              <a:cs typeface="+mn-cs"/>
            </a:rPr>
            <a:t> Emissionsfaktoren der Energieträgerkategorien berufen auf die Emissionsfaktoren der GEMIS Datenbank (V. 5.1), die mit Hilfe des jährlichen Strommixes kalkuliert wurden. Hierfür wurde der Bundesmix </a:t>
          </a:r>
          <a:r>
            <a:rPr lang="de-DE" sz="1100" baseline="0">
              <a:solidFill>
                <a:schemeClr val="dk1"/>
              </a:solidFill>
              <a:effectLst/>
              <a:latin typeface="+mn-lt"/>
              <a:ea typeface="+mn-ea"/>
              <a:cs typeface="+mn-cs"/>
            </a:rPr>
            <a:t>"el-mix-DE-[Jahr]" für die Jahre: 2015-2021 und ab 2030 (LSB) genutzt. </a:t>
          </a:r>
          <a:endParaRPr lang="de-DE" sz="1100">
            <a:solidFill>
              <a:srgbClr val="FF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de-DE" sz="1100">
              <a:solidFill>
                <a:sysClr val="windowText" lastClr="000000"/>
              </a:solidFill>
              <a:effectLst/>
              <a:latin typeface="+mn-lt"/>
              <a:ea typeface="+mn-ea"/>
              <a:cs typeface="+mn-cs"/>
            </a:rPr>
            <a:t>Es erfolgte</a:t>
          </a:r>
          <a:r>
            <a:rPr lang="de-DE" sz="1100" baseline="0">
              <a:solidFill>
                <a:sysClr val="windowText" lastClr="000000"/>
              </a:solidFill>
              <a:effectLst/>
              <a:latin typeface="+mn-lt"/>
              <a:ea typeface="+mn-ea"/>
              <a:cs typeface="+mn-cs"/>
            </a:rPr>
            <a:t> </a:t>
          </a:r>
          <a:r>
            <a:rPr lang="de-DE" sz="1100">
              <a:solidFill>
                <a:sysClr val="windowText" lastClr="000000"/>
              </a:solidFill>
              <a:effectLst/>
              <a:latin typeface="+mn-lt"/>
              <a:ea typeface="+mn-ea"/>
              <a:cs typeface="+mn-cs"/>
            </a:rPr>
            <a:t>eine Umrechnung von kg</a:t>
          </a:r>
          <a:r>
            <a:rPr lang="de-DE" sz="1100" b="1">
              <a:solidFill>
                <a:sysClr val="windowText" lastClr="000000"/>
              </a:solidFill>
              <a:effectLst/>
              <a:latin typeface="+mn-lt"/>
              <a:ea typeface="+mn-ea"/>
              <a:cs typeface="+mn-cs"/>
            </a:rPr>
            <a:t> </a:t>
          </a:r>
          <a:r>
            <a:rPr lang="de-DE" sz="1100">
              <a:solidFill>
                <a:sysClr val="windowText" lastClr="000000"/>
              </a:solidFill>
              <a:effectLst/>
              <a:latin typeface="+mn-lt"/>
              <a:ea typeface="+mn-ea"/>
              <a:cs typeface="+mn-cs"/>
            </a:rPr>
            <a:t>CO</a:t>
          </a:r>
          <a:r>
            <a:rPr lang="de-DE" sz="1100" baseline="-25000">
              <a:solidFill>
                <a:sysClr val="windowText" lastClr="000000"/>
              </a:solidFill>
              <a:effectLst/>
              <a:latin typeface="+mn-lt"/>
              <a:ea typeface="+mn-ea"/>
              <a:cs typeface="+mn-cs"/>
            </a:rPr>
            <a:t>2</a:t>
          </a:r>
          <a:r>
            <a:rPr lang="de-DE" sz="1100">
              <a:solidFill>
                <a:sysClr val="windowText" lastClr="000000"/>
              </a:solidFill>
              <a:effectLst/>
              <a:latin typeface="+mn-lt"/>
              <a:ea typeface="+mn-ea"/>
              <a:cs typeface="+mn-cs"/>
            </a:rPr>
            <a:t>-Äq./TJ in kg CO</a:t>
          </a:r>
          <a:r>
            <a:rPr lang="de-DE" sz="1100" baseline="-25000">
              <a:solidFill>
                <a:sysClr val="windowText" lastClr="000000"/>
              </a:solidFill>
              <a:effectLst/>
              <a:latin typeface="+mn-lt"/>
              <a:ea typeface="+mn-ea"/>
              <a:cs typeface="+mn-cs"/>
            </a:rPr>
            <a:t>2</a:t>
          </a:r>
          <a:r>
            <a:rPr lang="de-DE" sz="1100">
              <a:solidFill>
                <a:sysClr val="windowText" lastClr="000000"/>
              </a:solidFill>
              <a:effectLst/>
              <a:latin typeface="+mn-lt"/>
              <a:ea typeface="+mn-ea"/>
              <a:cs typeface="+mn-cs"/>
            </a:rPr>
            <a:t>-Äq./MWh bzw. g CO</a:t>
          </a:r>
          <a:r>
            <a:rPr lang="de-DE" sz="1100" baseline="-25000">
              <a:solidFill>
                <a:sysClr val="windowText" lastClr="000000"/>
              </a:solidFill>
              <a:effectLst/>
              <a:latin typeface="+mn-lt"/>
              <a:ea typeface="+mn-ea"/>
              <a:cs typeface="+mn-cs"/>
            </a:rPr>
            <a:t>2</a:t>
          </a:r>
          <a:r>
            <a:rPr lang="de-DE" sz="1100">
              <a:solidFill>
                <a:sysClr val="windowText" lastClr="000000"/>
              </a:solidFill>
              <a:effectLst/>
              <a:latin typeface="+mn-lt"/>
              <a:ea typeface="+mn-ea"/>
              <a:cs typeface="+mn-cs"/>
            </a:rPr>
            <a:t>-Äq./kWh mit dem Faktor 277,77777.</a:t>
          </a:r>
        </a:p>
        <a:p>
          <a:pPr marL="0" marR="0" lvl="0" indent="0" defTabSz="914400" eaLnBrk="1" fontAlgn="auto" latinLnBrk="0" hangingPunct="1">
            <a:lnSpc>
              <a:spcPct val="100000"/>
            </a:lnSpc>
            <a:spcBef>
              <a:spcPts val="0"/>
            </a:spcBef>
            <a:spcAft>
              <a:spcPts val="0"/>
            </a:spcAft>
            <a:buClrTx/>
            <a:buSzTx/>
            <a:buFontTx/>
            <a:buNone/>
            <a:tabLst/>
            <a:defRPr/>
          </a:pPr>
          <a:r>
            <a:rPr lang="de-DE" sz="1100" baseline="0">
              <a:solidFill>
                <a:schemeClr val="dk1"/>
              </a:solidFill>
              <a:effectLst/>
              <a:latin typeface="+mn-lt"/>
              <a:ea typeface="+mn-ea"/>
              <a:cs typeface="+mn-cs"/>
            </a:rPr>
            <a:t>Die </a:t>
          </a:r>
          <a:r>
            <a:rPr lang="de-DE" sz="1100">
              <a:solidFill>
                <a:schemeClr val="dk1"/>
              </a:solidFill>
              <a:effectLst/>
              <a:latin typeface="+mn-lt"/>
              <a:ea typeface="+mn-ea"/>
              <a:cs typeface="+mn-cs"/>
            </a:rPr>
            <a:t>Berechnungsgrundlagen in Zeile 102</a:t>
          </a:r>
          <a:r>
            <a:rPr lang="de-DE" sz="1100" baseline="0">
              <a:solidFill>
                <a:schemeClr val="dk1"/>
              </a:solidFill>
              <a:effectLst/>
              <a:latin typeface="+mn-lt"/>
              <a:ea typeface="+mn-ea"/>
              <a:cs typeface="+mn-cs"/>
            </a:rPr>
            <a:t> bis 150</a:t>
          </a:r>
          <a:r>
            <a:rPr lang="de-DE" sz="1100">
              <a:solidFill>
                <a:schemeClr val="dk1"/>
              </a:solidFill>
              <a:effectLst/>
              <a:latin typeface="+mn-lt"/>
              <a:ea typeface="+mn-ea"/>
              <a:cs typeface="+mn-cs"/>
            </a:rPr>
            <a:t> wurden ausgeblendet. </a:t>
          </a:r>
        </a:p>
        <a:p>
          <a:pPr marL="0" marR="0" lvl="0" indent="0" defTabSz="914400" eaLnBrk="1" fontAlgn="auto" latinLnBrk="0" hangingPunct="1">
            <a:lnSpc>
              <a:spcPct val="100000"/>
            </a:lnSpc>
            <a:spcBef>
              <a:spcPts val="0"/>
            </a:spcBef>
            <a:spcAft>
              <a:spcPts val="0"/>
            </a:spcAft>
            <a:buClrTx/>
            <a:buSzTx/>
            <a:buFontTx/>
            <a:buNone/>
            <a:tabLst/>
            <a:defRPr/>
          </a:pPr>
          <a:endParaRPr lang="de-DE"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de-DE" sz="1100" b="1">
              <a:solidFill>
                <a:schemeClr val="dk1"/>
              </a:solidFill>
              <a:effectLst/>
              <a:latin typeface="+mn-lt"/>
              <a:ea typeface="+mn-ea"/>
              <a:cs typeface="+mn-cs"/>
            </a:rPr>
            <a:t>Zukunftsszenarien</a:t>
          </a:r>
          <a:br>
            <a:rPr lang="de-DE" sz="1100" b="1">
              <a:solidFill>
                <a:schemeClr val="dk1"/>
              </a:solidFill>
              <a:effectLst/>
              <a:latin typeface="+mn-lt"/>
              <a:ea typeface="+mn-ea"/>
              <a:cs typeface="+mn-cs"/>
            </a:rPr>
          </a:br>
          <a:r>
            <a:rPr lang="en-GB"/>
            <a:t>Bitte tragen Sie keine Werte für die Zukunft (orangene Felder) ein, da andernfalls die Emissionen doppelt erfasst werden könnten. Die Zukunftsszenarien "Bundesmix" und "Regiomix" berücksichtigen den Verbrauch des individuellen Strommixes unter Verwendung des Emissionsfaktors des Bundesmixes. Das Zukunftsszenario "Bundesmix KS80" verwendet den KS80-Mix (vgl. GEMIS) für die Berechnungen.</a:t>
          </a:r>
          <a:endParaRPr lang="de-DE" sz="1100" b="1">
            <a:solidFill>
              <a:sysClr val="windowText" lastClr="000000"/>
            </a:solidFill>
            <a:effectLst/>
            <a:latin typeface="+mn-lt"/>
            <a:ea typeface="+mn-ea"/>
            <a:cs typeface="+mn-cs"/>
          </a:endParaRPr>
        </a:p>
      </xdr:txBody>
    </xdr:sp>
    <xdr:clientData/>
  </xdr:twoCellAnchor>
  <xdr:twoCellAnchor>
    <xdr:from>
      <xdr:col>1</xdr:col>
      <xdr:colOff>218199</xdr:colOff>
      <xdr:row>153</xdr:row>
      <xdr:rowOff>172323</xdr:rowOff>
    </xdr:from>
    <xdr:to>
      <xdr:col>12</xdr:col>
      <xdr:colOff>227724</xdr:colOff>
      <xdr:row>162</xdr:row>
      <xdr:rowOff>144516</xdr:rowOff>
    </xdr:to>
    <xdr:sp macro="" textlink="">
      <xdr:nvSpPr>
        <xdr:cNvPr id="3" name="Textfeld 2">
          <a:extLst>
            <a:ext uri="{FF2B5EF4-FFF2-40B4-BE49-F238E27FC236}">
              <a16:creationId xmlns:a16="http://schemas.microsoft.com/office/drawing/2014/main" id="{00000000-0008-0000-0800-000003000000}"/>
            </a:ext>
          </a:extLst>
        </xdr:cNvPr>
        <xdr:cNvSpPr txBox="1"/>
      </xdr:nvSpPr>
      <xdr:spPr>
        <a:xfrm>
          <a:off x="454682" y="29338530"/>
          <a:ext cx="10125732" cy="16866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u="none" strike="noStrike">
              <a:solidFill>
                <a:sysClr val="windowText" lastClr="000000"/>
              </a:solidFill>
              <a:effectLst/>
              <a:latin typeface="+mn-lt"/>
              <a:ea typeface="+mn-ea"/>
              <a:cs typeface="+mn-cs"/>
            </a:rPr>
            <a:t>Ziel</a:t>
          </a:r>
        </a:p>
        <a:p>
          <a:r>
            <a:rPr lang="en-GB" sz="1100" b="0" i="0" u="none" strike="noStrike">
              <a:solidFill>
                <a:sysClr val="windowText" lastClr="000000"/>
              </a:solidFill>
              <a:effectLst/>
              <a:latin typeface="+mn-lt"/>
              <a:ea typeface="+mn-ea"/>
              <a:cs typeface="+mn-cs"/>
            </a:rPr>
            <a:t>Diese Tabellen dienen</a:t>
          </a:r>
          <a:r>
            <a:rPr lang="en-GB" sz="1100" b="0" i="0" u="none" strike="noStrike" baseline="0">
              <a:solidFill>
                <a:sysClr val="windowText" lastClr="000000"/>
              </a:solidFill>
              <a:effectLst/>
              <a:latin typeface="+mn-lt"/>
              <a:ea typeface="+mn-ea"/>
              <a:cs typeface="+mn-cs"/>
            </a:rPr>
            <a:t> der Bilanzeirung eines institutseigenen BHKW nach dem </a:t>
          </a:r>
          <a:r>
            <a:rPr lang="en-GB" sz="1100" b="0" i="0" u="none" strike="noStrike">
              <a:solidFill>
                <a:sysClr val="windowText" lastClr="000000"/>
              </a:solidFill>
              <a:effectLst/>
              <a:latin typeface="+mn-lt"/>
              <a:ea typeface="+mn-ea"/>
              <a:cs typeface="+mn-cs"/>
            </a:rPr>
            <a:t>BISKO-Standard.</a:t>
          </a:r>
          <a:endParaRPr lang="en-GB" sz="1100" b="0" i="0" u="none" strike="noStrike" baseline="0">
            <a:solidFill>
              <a:srgbClr val="FF0000"/>
            </a:solidFill>
            <a:effectLst/>
            <a:latin typeface="+mn-lt"/>
            <a:ea typeface="+mn-ea"/>
            <a:cs typeface="+mn-cs"/>
          </a:endParaRPr>
        </a:p>
        <a:p>
          <a:endParaRPr lang="en-GB" sz="1100" b="0" i="0" u="none" strike="noStrike">
            <a:solidFill>
              <a:srgbClr val="FF0000"/>
            </a:solidFill>
            <a:effectLst/>
            <a:latin typeface="+mn-lt"/>
            <a:ea typeface="+mn-ea"/>
            <a:cs typeface="+mn-cs"/>
          </a:endParaRPr>
        </a:p>
        <a:p>
          <a:r>
            <a:rPr lang="en-GB" sz="1100" b="1" i="0" u="none" strike="noStrike">
              <a:solidFill>
                <a:sysClr val="windowText" lastClr="000000"/>
              </a:solidFill>
              <a:effectLst/>
              <a:latin typeface="+mn-lt"/>
              <a:ea typeface="+mn-ea"/>
              <a:cs typeface="+mn-cs"/>
            </a:rPr>
            <a:t>Methode</a:t>
          </a:r>
        </a:p>
        <a:p>
          <a:r>
            <a:rPr lang="en-GB" sz="1100" b="0" i="0" u="none" strike="noStrike">
              <a:solidFill>
                <a:sysClr val="windowText" lastClr="000000"/>
              </a:solidFill>
              <a:effectLst/>
              <a:latin typeface="+mn-lt"/>
              <a:ea typeface="+mn-ea"/>
              <a:cs typeface="+mn-cs"/>
            </a:rPr>
            <a:t>Die Methode stammt vom</a:t>
          </a:r>
          <a:r>
            <a:rPr lang="en-GB" sz="1100" b="0" i="0" u="none" strike="noStrike" baseline="0">
              <a:solidFill>
                <a:sysClr val="windowText" lastClr="000000"/>
              </a:solidFill>
              <a:effectLst/>
              <a:latin typeface="+mn-lt"/>
              <a:ea typeface="+mn-ea"/>
              <a:cs typeface="+mn-cs"/>
            </a:rPr>
            <a:t> </a:t>
          </a:r>
          <a:r>
            <a:rPr lang="en-GB" sz="1100" b="0" i="0" u="none" strike="noStrike">
              <a:solidFill>
                <a:sysClr val="windowText" lastClr="000000"/>
              </a:solidFill>
              <a:effectLst/>
              <a:latin typeface="+mn-lt"/>
              <a:ea typeface="+mn-ea"/>
              <a:cs typeface="+mn-cs"/>
            </a:rPr>
            <a:t>ifeu (Mail vom 8. Januar 2024, Philipp Wachter,</a:t>
          </a:r>
          <a:r>
            <a:rPr lang="en-GB" sz="1100" b="0" i="0" u="none" strike="noStrike" baseline="0">
              <a:solidFill>
                <a:sysClr val="windowText" lastClr="000000"/>
              </a:solidFill>
              <a:effectLst/>
              <a:latin typeface="+mn-lt"/>
              <a:ea typeface="+mn-ea"/>
              <a:cs typeface="+mn-cs"/>
            </a:rPr>
            <a:t> Excel: "Beispiel exergetische Allokation Carnot-Methode") und in KliMax integriert. </a:t>
          </a:r>
          <a:br>
            <a:rPr lang="en-GB" sz="1100" b="0" i="0" u="none" strike="noStrike" baseline="0">
              <a:solidFill>
                <a:sysClr val="windowText" lastClr="000000"/>
              </a:solidFill>
              <a:effectLst/>
              <a:latin typeface="+mn-lt"/>
              <a:ea typeface="+mn-ea"/>
              <a:cs typeface="+mn-cs"/>
            </a:rPr>
          </a:br>
          <a:r>
            <a:rPr lang="en-GB" sz="1100" b="0" i="0" u="none" strike="noStrike" baseline="0">
              <a:solidFill>
                <a:sysClr val="windowText" lastClr="000000"/>
              </a:solidFill>
              <a:effectLst/>
              <a:latin typeface="+mn-lt"/>
              <a:ea typeface="+mn-ea"/>
              <a:cs typeface="+mn-cs"/>
            </a:rPr>
            <a:t>Die Berechungsgrundlagen sind teilweise ausgeblendet.</a:t>
          </a:r>
        </a:p>
        <a:p>
          <a:endParaRPr lang="en-GB" sz="1100" b="0" i="0" u="none" strike="noStrike" baseline="0">
            <a:solidFill>
              <a:sysClr val="windowText" lastClr="000000"/>
            </a:solidFill>
            <a:effectLst/>
            <a:latin typeface="+mn-lt"/>
            <a:ea typeface="+mn-ea"/>
            <a:cs typeface="+mn-cs"/>
          </a:endParaRPr>
        </a:p>
        <a:p>
          <a:r>
            <a:rPr lang="en-GB" sz="1100" b="1" i="0" u="none" strike="noStrike" baseline="0">
              <a:solidFill>
                <a:sysClr val="windowText" lastClr="000000"/>
              </a:solidFill>
              <a:effectLst/>
              <a:latin typeface="+mn-lt"/>
              <a:ea typeface="+mn-ea"/>
              <a:cs typeface="+mn-cs"/>
            </a:rPr>
            <a:t>Zukunftsszenarien</a:t>
          </a:r>
        </a:p>
        <a:p>
          <a:r>
            <a:rPr lang="en-GB" sz="1100" b="0" i="0" u="none" strike="noStrike">
              <a:solidFill>
                <a:sysClr val="windowText" lastClr="000000"/>
              </a:solidFill>
              <a:effectLst/>
              <a:latin typeface="+mn-lt"/>
              <a:ea typeface="+mn-ea"/>
              <a:cs typeface="+mn-cs"/>
            </a:rPr>
            <a:t>Die Berechnung der künftigen</a:t>
          </a:r>
          <a:r>
            <a:rPr lang="en-GB" sz="1100" b="0" i="0" u="none" strike="noStrike" baseline="0">
              <a:solidFill>
                <a:sysClr val="windowText" lastClr="000000"/>
              </a:solidFill>
              <a:effectLst/>
              <a:latin typeface="+mn-lt"/>
              <a:ea typeface="+mn-ea"/>
              <a:cs typeface="+mn-cs"/>
            </a:rPr>
            <a:t> Emissionen durch ein institutseigenens BHKW erfolgt ebenfalls in der folgenden Tabelle. Wählen Sie nur das Wärmenetz ein.</a:t>
          </a:r>
          <a:endParaRPr lang="en-GB" sz="1100" b="0" i="0" u="none" strike="noStrike">
            <a:solidFill>
              <a:sysClr val="windowText" lastClr="000000"/>
            </a:solidFill>
            <a:effectLst/>
            <a:latin typeface="+mn-lt"/>
            <a:ea typeface="+mn-ea"/>
            <a:cs typeface="+mn-cs"/>
          </a:endParaRPr>
        </a:p>
      </xdr:txBody>
    </xdr:sp>
    <xdr:clientData/>
  </xdr:twoCellAnchor>
  <xdr:twoCellAnchor>
    <xdr:from>
      <xdr:col>1</xdr:col>
      <xdr:colOff>216996</xdr:colOff>
      <xdr:row>209</xdr:row>
      <xdr:rowOff>82550</xdr:rowOff>
    </xdr:from>
    <xdr:to>
      <xdr:col>11</xdr:col>
      <xdr:colOff>228599</xdr:colOff>
      <xdr:row>215</xdr:row>
      <xdr:rowOff>63500</xdr:rowOff>
    </xdr:to>
    <xdr:sp macro="" textlink="">
      <xdr:nvSpPr>
        <xdr:cNvPr id="5" name="Textfeld 4">
          <a:extLst>
            <a:ext uri="{FF2B5EF4-FFF2-40B4-BE49-F238E27FC236}">
              <a16:creationId xmlns:a16="http://schemas.microsoft.com/office/drawing/2014/main" id="{00000000-0008-0000-0800-000005000000}"/>
            </a:ext>
          </a:extLst>
        </xdr:cNvPr>
        <xdr:cNvSpPr txBox="1"/>
      </xdr:nvSpPr>
      <xdr:spPr>
        <a:xfrm>
          <a:off x="464646" y="24606250"/>
          <a:ext cx="9485803" cy="1187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u="none" strike="noStrike">
              <a:solidFill>
                <a:sysClr val="windowText" lastClr="000000"/>
              </a:solidFill>
              <a:effectLst/>
              <a:latin typeface="+mn-lt"/>
              <a:ea typeface="+mn-ea"/>
              <a:cs typeface="+mn-cs"/>
            </a:rPr>
            <a:t>Ziel</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a:solidFill>
                <a:schemeClr val="dk1"/>
              </a:solidFill>
              <a:effectLst/>
              <a:latin typeface="+mn-lt"/>
              <a:ea typeface="+mn-ea"/>
              <a:cs typeface="+mn-cs"/>
            </a:rPr>
            <a:t>Diese Tabellen dienen</a:t>
          </a:r>
          <a:r>
            <a:rPr lang="en-GB" sz="1100" b="0" i="0" baseline="0">
              <a:solidFill>
                <a:schemeClr val="dk1"/>
              </a:solidFill>
              <a:effectLst/>
              <a:latin typeface="+mn-lt"/>
              <a:ea typeface="+mn-ea"/>
              <a:cs typeface="+mn-cs"/>
            </a:rPr>
            <a:t> der Bilanzierung eines institutseigenen BHKW nach der finnischen Methode (ohne Berücksichtigung der Wärmeverluste). Sie ist ungenauer als die Carnot-Methode und sollte nur verwendet werden, wenn keine Bilanzierung nach der Carnot-Methode möglich ist. Sie ist allerdings nicht BISKO-konform.</a:t>
          </a:r>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b="1"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1" i="0">
              <a:solidFill>
                <a:schemeClr val="dk1"/>
              </a:solidFill>
              <a:effectLst/>
              <a:latin typeface="+mn-lt"/>
              <a:ea typeface="+mn-ea"/>
              <a:cs typeface="+mn-cs"/>
            </a:rPr>
            <a:t>Methode</a:t>
          </a:r>
          <a:endParaRPr lang="en-GB" sz="1100" b="0" i="0" u="none" strike="noStrike">
            <a:solidFill>
              <a:srgbClr val="FF0000"/>
            </a:solidFill>
            <a:effectLst/>
            <a:latin typeface="+mn-lt"/>
            <a:ea typeface="+mn-ea"/>
            <a:cs typeface="+mn-cs"/>
          </a:endParaRPr>
        </a:p>
        <a:p>
          <a:r>
            <a:rPr lang="en-GB" sz="1100" b="0" i="0" baseline="0">
              <a:solidFill>
                <a:schemeClr val="dk1"/>
              </a:solidFill>
              <a:effectLst/>
              <a:latin typeface="+mn-lt"/>
              <a:ea typeface="+mn-ea"/>
              <a:cs typeface="+mn-cs"/>
            </a:rPr>
            <a:t>Die Berechungsgrundlagen sind teilweise ausgeblendet.</a:t>
          </a:r>
          <a:endParaRPr lang="en-GB" sz="1100" b="0" i="0" u="none" strike="noStrike">
            <a:solidFill>
              <a:srgbClr val="FF0000"/>
            </a:solidFill>
            <a:effectLst/>
            <a:latin typeface="+mn-lt"/>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69850</xdr:colOff>
          <xdr:row>16</xdr:row>
          <xdr:rowOff>12700</xdr:rowOff>
        </xdr:from>
        <xdr:to>
          <xdr:col>4</xdr:col>
          <xdr:colOff>31750</xdr:colOff>
          <xdr:row>16</xdr:row>
          <xdr:rowOff>336550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17</xdr:row>
          <xdr:rowOff>31750</xdr:rowOff>
        </xdr:from>
        <xdr:to>
          <xdr:col>4</xdr:col>
          <xdr:colOff>19050</xdr:colOff>
          <xdr:row>17</xdr:row>
          <xdr:rowOff>355600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9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Nie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18</xdr:row>
          <xdr:rowOff>31750</xdr:rowOff>
        </xdr:from>
        <xdr:to>
          <xdr:col>4</xdr:col>
          <xdr:colOff>31750</xdr:colOff>
          <xdr:row>18</xdr:row>
          <xdr:rowOff>355600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9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Nie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19</xdr:row>
          <xdr:rowOff>31750</xdr:rowOff>
        </xdr:from>
        <xdr:to>
          <xdr:col>4</xdr:col>
          <xdr:colOff>19050</xdr:colOff>
          <xdr:row>19</xdr:row>
          <xdr:rowOff>355600</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9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Nie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xdr:colOff>
          <xdr:row>20</xdr:row>
          <xdr:rowOff>31750</xdr:rowOff>
        </xdr:from>
        <xdr:to>
          <xdr:col>4</xdr:col>
          <xdr:colOff>12700</xdr:colOff>
          <xdr:row>21</xdr:row>
          <xdr:rowOff>38100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9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Keins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xdr:colOff>
          <xdr:row>21</xdr:row>
          <xdr:rowOff>31750</xdr:rowOff>
        </xdr:from>
        <xdr:to>
          <xdr:col>4</xdr:col>
          <xdr:colOff>12700</xdr:colOff>
          <xdr:row>22</xdr:row>
          <xdr:rowOff>50800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9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Gar nicht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xdr:colOff>
          <xdr:row>22</xdr:row>
          <xdr:rowOff>31750</xdr:rowOff>
        </xdr:from>
        <xdr:to>
          <xdr:col>4</xdr:col>
          <xdr:colOff>12700</xdr:colOff>
          <xdr:row>23</xdr:row>
          <xdr:rowOff>31750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9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Gar nicht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50800</xdr:colOff>
          <xdr:row>16</xdr:row>
          <xdr:rowOff>31750</xdr:rowOff>
        </xdr:from>
        <xdr:to>
          <xdr:col>5</xdr:col>
          <xdr:colOff>12700</xdr:colOff>
          <xdr:row>16</xdr:row>
          <xdr:rowOff>355600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9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50800</xdr:colOff>
          <xdr:row>17</xdr:row>
          <xdr:rowOff>31750</xdr:rowOff>
        </xdr:from>
        <xdr:to>
          <xdr:col>5</xdr:col>
          <xdr:colOff>12700</xdr:colOff>
          <xdr:row>17</xdr:row>
          <xdr:rowOff>355600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9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Vereinzelt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50800</xdr:colOff>
          <xdr:row>18</xdr:row>
          <xdr:rowOff>31750</xdr:rowOff>
        </xdr:from>
        <xdr:to>
          <xdr:col>5</xdr:col>
          <xdr:colOff>12700</xdr:colOff>
          <xdr:row>18</xdr:row>
          <xdr:rowOff>355600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9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Vereinzelt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50800</xdr:colOff>
          <xdr:row>19</xdr:row>
          <xdr:rowOff>31750</xdr:rowOff>
        </xdr:from>
        <xdr:to>
          <xdr:col>5</xdr:col>
          <xdr:colOff>12700</xdr:colOff>
          <xdr:row>19</xdr:row>
          <xdr:rowOff>355600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9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Vereinzelt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50800</xdr:colOff>
          <xdr:row>20</xdr:row>
          <xdr:rowOff>31750</xdr:rowOff>
        </xdr:from>
        <xdr:to>
          <xdr:col>5</xdr:col>
          <xdr:colOff>12700</xdr:colOff>
          <xdr:row>21</xdr:row>
          <xdr:rowOff>38100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9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Unter 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50800</xdr:colOff>
          <xdr:row>21</xdr:row>
          <xdr:rowOff>31750</xdr:rowOff>
        </xdr:from>
        <xdr:to>
          <xdr:col>5</xdr:col>
          <xdr:colOff>12700</xdr:colOff>
          <xdr:row>22</xdr:row>
          <xdr:rowOff>50800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9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Unter 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50800</xdr:colOff>
          <xdr:row>22</xdr:row>
          <xdr:rowOff>31750</xdr:rowOff>
        </xdr:from>
        <xdr:to>
          <xdr:col>5</xdr:col>
          <xdr:colOff>12700</xdr:colOff>
          <xdr:row>23</xdr:row>
          <xdr:rowOff>31750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9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Teilweise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50800</xdr:colOff>
          <xdr:row>17</xdr:row>
          <xdr:rowOff>31750</xdr:rowOff>
        </xdr:from>
        <xdr:to>
          <xdr:col>6</xdr:col>
          <xdr:colOff>12700</xdr:colOff>
          <xdr:row>17</xdr:row>
          <xdr:rowOff>355600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9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Regelmäßig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50800</xdr:colOff>
          <xdr:row>18</xdr:row>
          <xdr:rowOff>31750</xdr:rowOff>
        </xdr:from>
        <xdr:to>
          <xdr:col>6</xdr:col>
          <xdr:colOff>12700</xdr:colOff>
          <xdr:row>18</xdr:row>
          <xdr:rowOff>355600</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0900-00001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Regelmäßig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50800</xdr:colOff>
          <xdr:row>19</xdr:row>
          <xdr:rowOff>31750</xdr:rowOff>
        </xdr:from>
        <xdr:to>
          <xdr:col>6</xdr:col>
          <xdr:colOff>12700</xdr:colOff>
          <xdr:row>19</xdr:row>
          <xdr:rowOff>355600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09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Oft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50800</xdr:colOff>
          <xdr:row>20</xdr:row>
          <xdr:rowOff>31750</xdr:rowOff>
        </xdr:from>
        <xdr:to>
          <xdr:col>6</xdr:col>
          <xdr:colOff>12700</xdr:colOff>
          <xdr:row>21</xdr:row>
          <xdr:rowOff>38100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0900-00001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Über 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50800</xdr:colOff>
          <xdr:row>21</xdr:row>
          <xdr:rowOff>31750</xdr:rowOff>
        </xdr:from>
        <xdr:to>
          <xdr:col>5</xdr:col>
          <xdr:colOff>12700</xdr:colOff>
          <xdr:row>22</xdr:row>
          <xdr:rowOff>50800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900-00001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Unter 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50800</xdr:colOff>
          <xdr:row>21</xdr:row>
          <xdr:rowOff>31750</xdr:rowOff>
        </xdr:from>
        <xdr:to>
          <xdr:col>6</xdr:col>
          <xdr:colOff>12700</xdr:colOff>
          <xdr:row>22</xdr:row>
          <xdr:rowOff>50800</xdr:rowOff>
        </xdr:to>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900-00001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Über 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50800</xdr:colOff>
          <xdr:row>22</xdr:row>
          <xdr:rowOff>31750</xdr:rowOff>
        </xdr:from>
        <xdr:to>
          <xdr:col>6</xdr:col>
          <xdr:colOff>12700</xdr:colOff>
          <xdr:row>23</xdr:row>
          <xdr:rowOff>31750</xdr:rowOff>
        </xdr:to>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900-00001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Größtenteils</a:t>
              </a:r>
            </a:p>
          </xdr:txBody>
        </xdr:sp>
        <xdr:clientData/>
      </xdr:twoCellAnchor>
    </mc:Choice>
    <mc:Fallback/>
  </mc:AlternateContent>
  <xdr:twoCellAnchor>
    <xdr:from>
      <xdr:col>1</xdr:col>
      <xdr:colOff>150285</xdr:colOff>
      <xdr:row>3</xdr:row>
      <xdr:rowOff>137182</xdr:rowOff>
    </xdr:from>
    <xdr:to>
      <xdr:col>7</xdr:col>
      <xdr:colOff>458698</xdr:colOff>
      <xdr:row>13</xdr:row>
      <xdr:rowOff>114841</xdr:rowOff>
    </xdr:to>
    <xdr:sp macro="" textlink="">
      <xdr:nvSpPr>
        <xdr:cNvPr id="23" name="Textfeld 22">
          <a:extLst>
            <a:ext uri="{FF2B5EF4-FFF2-40B4-BE49-F238E27FC236}">
              <a16:creationId xmlns:a16="http://schemas.microsoft.com/office/drawing/2014/main" id="{00000000-0008-0000-0900-000017000000}"/>
            </a:ext>
          </a:extLst>
        </xdr:cNvPr>
        <xdr:cNvSpPr txBox="1"/>
      </xdr:nvSpPr>
      <xdr:spPr>
        <a:xfrm>
          <a:off x="413742" y="738405"/>
          <a:ext cx="8617456" cy="18015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b="1"/>
            <a:t>Ziel</a:t>
          </a:r>
          <a:br>
            <a:rPr lang="en-GB"/>
          </a:br>
          <a:r>
            <a:rPr lang="en-GB"/>
            <a:t>Das Ziel dieser Untersuchung besteht darin zu prüfen, inwieweit bestimmte Einheiten oder Organisationen, wie Mensen, An-Institute, Forschungsinstitute, Vereine, Kliniken usw., mit einer Institution verbunden sind. Basierend darauf wird eine Empfehlung erstellt, ob die Emissionen dieser Einheiten in die institutionelle Bilanz aufgenommen werden sollten.</a:t>
          </a:r>
        </a:p>
        <a:p>
          <a:endParaRPr lang="en-GB"/>
        </a:p>
        <a:p>
          <a:r>
            <a:rPr lang="en-GB" b="1"/>
            <a:t>Methode</a:t>
          </a:r>
          <a:endParaRPr lang="en-GB" b="0"/>
        </a:p>
        <a:p>
          <a:r>
            <a:rPr lang="en-GB"/>
            <a:t>Die Bilanzierung der Emissionen dieser Einheiten hängt von der Art ihrer Verbindungen zur Institution ab. Nur die Emissionen einer rechtlich eigenständigen Einheit, die nur eine lose Verbindung zur Institution aufweist, können von der institutionellen Bilanz ausgeschlossen werden. Alle anderen Einheiten werden in die institutionelle Bilanz einbezogen. Die angewandte Methode wurde aus dem "BayCalc</a:t>
          </a:r>
          <a:r>
            <a:rPr lang="en-GB" baseline="0"/>
            <a:t> </a:t>
          </a:r>
          <a:r>
            <a:rPr lang="en-GB"/>
            <a:t>Tool Version 1.6 (2023.05.08)-final" (</a:t>
          </a:r>
          <a:r>
            <a:rPr lang="en-GB" sz="1100">
              <a:solidFill>
                <a:schemeClr val="dk1"/>
              </a:solidFill>
              <a:effectLst/>
              <a:latin typeface="+mn-lt"/>
              <a:ea typeface="+mn-ea"/>
              <a:cs typeface="+mn-cs"/>
            </a:rPr>
            <a:t>https://www.nachhaltigehochschule.de/arbeitsgruppen/ag-thg-bilanzierung/)</a:t>
          </a:r>
          <a:r>
            <a:rPr lang="en-GB"/>
            <a:t> übernommen</a:t>
          </a:r>
          <a:r>
            <a:rPr lang="en-GB" baseline="0"/>
            <a:t> und</a:t>
          </a:r>
          <a:r>
            <a:rPr lang="en-GB"/>
            <a:t> modifiziert.</a:t>
          </a:r>
        </a:p>
      </xdr:txBody>
    </xdr:sp>
    <xdr:clientData/>
  </xdr:twoCellAnchor>
  <mc:AlternateContent xmlns:mc="http://schemas.openxmlformats.org/markup-compatibility/2006">
    <mc:Choice xmlns:a14="http://schemas.microsoft.com/office/drawing/2010/main" Requires="a14">
      <xdr:twoCellAnchor editAs="oneCell">
        <xdr:from>
          <xdr:col>3</xdr:col>
          <xdr:colOff>69850</xdr:colOff>
          <xdr:row>32</xdr:row>
          <xdr:rowOff>12700</xdr:rowOff>
        </xdr:from>
        <xdr:to>
          <xdr:col>4</xdr:col>
          <xdr:colOff>31750</xdr:colOff>
          <xdr:row>32</xdr:row>
          <xdr:rowOff>336550</xdr:rowOff>
        </xdr:to>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900-00001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33</xdr:row>
          <xdr:rowOff>31750</xdr:rowOff>
        </xdr:from>
        <xdr:to>
          <xdr:col>4</xdr:col>
          <xdr:colOff>19050</xdr:colOff>
          <xdr:row>33</xdr:row>
          <xdr:rowOff>355600</xdr:rowOff>
        </xdr:to>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900-00001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Nie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34</xdr:row>
          <xdr:rowOff>31750</xdr:rowOff>
        </xdr:from>
        <xdr:to>
          <xdr:col>4</xdr:col>
          <xdr:colOff>31750</xdr:colOff>
          <xdr:row>34</xdr:row>
          <xdr:rowOff>355600</xdr:rowOff>
        </xdr:to>
        <xdr:sp macro="" textlink="">
          <xdr:nvSpPr>
            <xdr:cNvPr id="10265" name="Check Box 25" hidden="1">
              <a:extLst>
                <a:ext uri="{63B3BB69-23CF-44E3-9099-C40C66FF867C}">
                  <a14:compatExt spid="_x0000_s10265"/>
                </a:ext>
                <a:ext uri="{FF2B5EF4-FFF2-40B4-BE49-F238E27FC236}">
                  <a16:creationId xmlns:a16="http://schemas.microsoft.com/office/drawing/2014/main" id="{00000000-0008-0000-0900-00001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Nie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35</xdr:row>
          <xdr:rowOff>31750</xdr:rowOff>
        </xdr:from>
        <xdr:to>
          <xdr:col>4</xdr:col>
          <xdr:colOff>19050</xdr:colOff>
          <xdr:row>35</xdr:row>
          <xdr:rowOff>355600</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id="{00000000-0008-0000-0900-00001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Nie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xdr:colOff>
          <xdr:row>36</xdr:row>
          <xdr:rowOff>31750</xdr:rowOff>
        </xdr:from>
        <xdr:to>
          <xdr:col>4</xdr:col>
          <xdr:colOff>12700</xdr:colOff>
          <xdr:row>37</xdr:row>
          <xdr:rowOff>171450</xdr:rowOff>
        </xdr:to>
        <xdr:sp macro="" textlink="">
          <xdr:nvSpPr>
            <xdr:cNvPr id="10267" name="Check Box 27" hidden="1">
              <a:extLst>
                <a:ext uri="{63B3BB69-23CF-44E3-9099-C40C66FF867C}">
                  <a14:compatExt spid="_x0000_s10267"/>
                </a:ext>
                <a:ext uri="{FF2B5EF4-FFF2-40B4-BE49-F238E27FC236}">
                  <a16:creationId xmlns:a16="http://schemas.microsoft.com/office/drawing/2014/main" id="{00000000-0008-0000-0900-00001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Keins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xdr:colOff>
          <xdr:row>37</xdr:row>
          <xdr:rowOff>31750</xdr:rowOff>
        </xdr:from>
        <xdr:to>
          <xdr:col>4</xdr:col>
          <xdr:colOff>12700</xdr:colOff>
          <xdr:row>38</xdr:row>
          <xdr:rowOff>171450</xdr:rowOff>
        </xdr:to>
        <xdr:sp macro="" textlink="">
          <xdr:nvSpPr>
            <xdr:cNvPr id="10268" name="Check Box 28" hidden="1">
              <a:extLst>
                <a:ext uri="{63B3BB69-23CF-44E3-9099-C40C66FF867C}">
                  <a14:compatExt spid="_x0000_s10268"/>
                </a:ext>
                <a:ext uri="{FF2B5EF4-FFF2-40B4-BE49-F238E27FC236}">
                  <a16:creationId xmlns:a16="http://schemas.microsoft.com/office/drawing/2014/main" id="{00000000-0008-0000-0900-00001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Gar nicht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xdr:colOff>
          <xdr:row>38</xdr:row>
          <xdr:rowOff>31750</xdr:rowOff>
        </xdr:from>
        <xdr:to>
          <xdr:col>4</xdr:col>
          <xdr:colOff>12700</xdr:colOff>
          <xdr:row>39</xdr:row>
          <xdr:rowOff>184150</xdr:rowOff>
        </xdr:to>
        <xdr:sp macro="" textlink="">
          <xdr:nvSpPr>
            <xdr:cNvPr id="10269" name="Check Box 29" hidden="1">
              <a:extLst>
                <a:ext uri="{63B3BB69-23CF-44E3-9099-C40C66FF867C}">
                  <a14:compatExt spid="_x0000_s10269"/>
                </a:ext>
                <a:ext uri="{FF2B5EF4-FFF2-40B4-BE49-F238E27FC236}">
                  <a16:creationId xmlns:a16="http://schemas.microsoft.com/office/drawing/2014/main" id="{00000000-0008-0000-0900-00001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Gar nicht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50800</xdr:colOff>
          <xdr:row>32</xdr:row>
          <xdr:rowOff>31750</xdr:rowOff>
        </xdr:from>
        <xdr:to>
          <xdr:col>5</xdr:col>
          <xdr:colOff>12700</xdr:colOff>
          <xdr:row>32</xdr:row>
          <xdr:rowOff>355600</xdr:rowOff>
        </xdr:to>
        <xdr:sp macro="" textlink="">
          <xdr:nvSpPr>
            <xdr:cNvPr id="10270" name="Check Box 30" hidden="1">
              <a:extLst>
                <a:ext uri="{63B3BB69-23CF-44E3-9099-C40C66FF867C}">
                  <a14:compatExt spid="_x0000_s10270"/>
                </a:ext>
                <a:ext uri="{FF2B5EF4-FFF2-40B4-BE49-F238E27FC236}">
                  <a16:creationId xmlns:a16="http://schemas.microsoft.com/office/drawing/2014/main" id="{00000000-0008-0000-0900-00001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50800</xdr:colOff>
          <xdr:row>33</xdr:row>
          <xdr:rowOff>31750</xdr:rowOff>
        </xdr:from>
        <xdr:to>
          <xdr:col>5</xdr:col>
          <xdr:colOff>12700</xdr:colOff>
          <xdr:row>33</xdr:row>
          <xdr:rowOff>355600</xdr:rowOff>
        </xdr:to>
        <xdr:sp macro="" textlink="">
          <xdr:nvSpPr>
            <xdr:cNvPr id="10271" name="Check Box 31" hidden="1">
              <a:extLst>
                <a:ext uri="{63B3BB69-23CF-44E3-9099-C40C66FF867C}">
                  <a14:compatExt spid="_x0000_s10271"/>
                </a:ext>
                <a:ext uri="{FF2B5EF4-FFF2-40B4-BE49-F238E27FC236}">
                  <a16:creationId xmlns:a16="http://schemas.microsoft.com/office/drawing/2014/main" id="{00000000-0008-0000-0900-00001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Vereinzelt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50800</xdr:colOff>
          <xdr:row>34</xdr:row>
          <xdr:rowOff>31750</xdr:rowOff>
        </xdr:from>
        <xdr:to>
          <xdr:col>5</xdr:col>
          <xdr:colOff>12700</xdr:colOff>
          <xdr:row>34</xdr:row>
          <xdr:rowOff>355600</xdr:rowOff>
        </xdr:to>
        <xdr:sp macro="" textlink="">
          <xdr:nvSpPr>
            <xdr:cNvPr id="10272" name="Check Box 32" hidden="1">
              <a:extLst>
                <a:ext uri="{63B3BB69-23CF-44E3-9099-C40C66FF867C}">
                  <a14:compatExt spid="_x0000_s10272"/>
                </a:ext>
                <a:ext uri="{FF2B5EF4-FFF2-40B4-BE49-F238E27FC236}">
                  <a16:creationId xmlns:a16="http://schemas.microsoft.com/office/drawing/2014/main" id="{00000000-0008-0000-0900-00002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Vereinzelt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50800</xdr:colOff>
          <xdr:row>35</xdr:row>
          <xdr:rowOff>31750</xdr:rowOff>
        </xdr:from>
        <xdr:to>
          <xdr:col>5</xdr:col>
          <xdr:colOff>12700</xdr:colOff>
          <xdr:row>35</xdr:row>
          <xdr:rowOff>355600</xdr:rowOff>
        </xdr:to>
        <xdr:sp macro="" textlink="">
          <xdr:nvSpPr>
            <xdr:cNvPr id="10273" name="Check Box 33" hidden="1">
              <a:extLst>
                <a:ext uri="{63B3BB69-23CF-44E3-9099-C40C66FF867C}">
                  <a14:compatExt spid="_x0000_s10273"/>
                </a:ext>
                <a:ext uri="{FF2B5EF4-FFF2-40B4-BE49-F238E27FC236}">
                  <a16:creationId xmlns:a16="http://schemas.microsoft.com/office/drawing/2014/main" id="{00000000-0008-0000-0900-00002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Vereinzelt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50800</xdr:colOff>
          <xdr:row>36</xdr:row>
          <xdr:rowOff>31750</xdr:rowOff>
        </xdr:from>
        <xdr:to>
          <xdr:col>5</xdr:col>
          <xdr:colOff>12700</xdr:colOff>
          <xdr:row>37</xdr:row>
          <xdr:rowOff>171450</xdr:rowOff>
        </xdr:to>
        <xdr:sp macro="" textlink="">
          <xdr:nvSpPr>
            <xdr:cNvPr id="10274" name="Check Box 34" hidden="1">
              <a:extLst>
                <a:ext uri="{63B3BB69-23CF-44E3-9099-C40C66FF867C}">
                  <a14:compatExt spid="_x0000_s10274"/>
                </a:ext>
                <a:ext uri="{FF2B5EF4-FFF2-40B4-BE49-F238E27FC236}">
                  <a16:creationId xmlns:a16="http://schemas.microsoft.com/office/drawing/2014/main" id="{00000000-0008-0000-0900-00002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Unter 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50800</xdr:colOff>
          <xdr:row>37</xdr:row>
          <xdr:rowOff>31750</xdr:rowOff>
        </xdr:from>
        <xdr:to>
          <xdr:col>5</xdr:col>
          <xdr:colOff>12700</xdr:colOff>
          <xdr:row>38</xdr:row>
          <xdr:rowOff>171450</xdr:rowOff>
        </xdr:to>
        <xdr:sp macro="" textlink="">
          <xdr:nvSpPr>
            <xdr:cNvPr id="10275" name="Check Box 35" hidden="1">
              <a:extLst>
                <a:ext uri="{63B3BB69-23CF-44E3-9099-C40C66FF867C}">
                  <a14:compatExt spid="_x0000_s10275"/>
                </a:ext>
                <a:ext uri="{FF2B5EF4-FFF2-40B4-BE49-F238E27FC236}">
                  <a16:creationId xmlns:a16="http://schemas.microsoft.com/office/drawing/2014/main" id="{00000000-0008-0000-0900-00002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Unter 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50800</xdr:colOff>
          <xdr:row>38</xdr:row>
          <xdr:rowOff>31750</xdr:rowOff>
        </xdr:from>
        <xdr:to>
          <xdr:col>5</xdr:col>
          <xdr:colOff>12700</xdr:colOff>
          <xdr:row>39</xdr:row>
          <xdr:rowOff>184150</xdr:rowOff>
        </xdr:to>
        <xdr:sp macro="" textlink="">
          <xdr:nvSpPr>
            <xdr:cNvPr id="10276" name="Check Box 36" hidden="1">
              <a:extLst>
                <a:ext uri="{63B3BB69-23CF-44E3-9099-C40C66FF867C}">
                  <a14:compatExt spid="_x0000_s10276"/>
                </a:ext>
                <a:ext uri="{FF2B5EF4-FFF2-40B4-BE49-F238E27FC236}">
                  <a16:creationId xmlns:a16="http://schemas.microsoft.com/office/drawing/2014/main" id="{00000000-0008-0000-0900-00002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Teilweise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50800</xdr:colOff>
          <xdr:row>33</xdr:row>
          <xdr:rowOff>31750</xdr:rowOff>
        </xdr:from>
        <xdr:to>
          <xdr:col>6</xdr:col>
          <xdr:colOff>12700</xdr:colOff>
          <xdr:row>33</xdr:row>
          <xdr:rowOff>355600</xdr:rowOff>
        </xdr:to>
        <xdr:sp macro="" textlink="">
          <xdr:nvSpPr>
            <xdr:cNvPr id="10277" name="Check Box 37" hidden="1">
              <a:extLst>
                <a:ext uri="{63B3BB69-23CF-44E3-9099-C40C66FF867C}">
                  <a14:compatExt spid="_x0000_s10277"/>
                </a:ext>
                <a:ext uri="{FF2B5EF4-FFF2-40B4-BE49-F238E27FC236}">
                  <a16:creationId xmlns:a16="http://schemas.microsoft.com/office/drawing/2014/main" id="{00000000-0008-0000-0900-00002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Regelmäßig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50800</xdr:colOff>
          <xdr:row>34</xdr:row>
          <xdr:rowOff>31750</xdr:rowOff>
        </xdr:from>
        <xdr:to>
          <xdr:col>6</xdr:col>
          <xdr:colOff>12700</xdr:colOff>
          <xdr:row>34</xdr:row>
          <xdr:rowOff>355600</xdr:rowOff>
        </xdr:to>
        <xdr:sp macro="" textlink="">
          <xdr:nvSpPr>
            <xdr:cNvPr id="10278" name="Check Box 38" hidden="1">
              <a:extLst>
                <a:ext uri="{63B3BB69-23CF-44E3-9099-C40C66FF867C}">
                  <a14:compatExt spid="_x0000_s10278"/>
                </a:ext>
                <a:ext uri="{FF2B5EF4-FFF2-40B4-BE49-F238E27FC236}">
                  <a16:creationId xmlns:a16="http://schemas.microsoft.com/office/drawing/2014/main" id="{00000000-0008-0000-0900-00002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Regelmäßig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50800</xdr:colOff>
          <xdr:row>35</xdr:row>
          <xdr:rowOff>31750</xdr:rowOff>
        </xdr:from>
        <xdr:to>
          <xdr:col>6</xdr:col>
          <xdr:colOff>12700</xdr:colOff>
          <xdr:row>35</xdr:row>
          <xdr:rowOff>355600</xdr:rowOff>
        </xdr:to>
        <xdr:sp macro="" textlink="">
          <xdr:nvSpPr>
            <xdr:cNvPr id="10279" name="Check Box 39" hidden="1">
              <a:extLst>
                <a:ext uri="{63B3BB69-23CF-44E3-9099-C40C66FF867C}">
                  <a14:compatExt spid="_x0000_s10279"/>
                </a:ext>
                <a:ext uri="{FF2B5EF4-FFF2-40B4-BE49-F238E27FC236}">
                  <a16:creationId xmlns:a16="http://schemas.microsoft.com/office/drawing/2014/main" id="{00000000-0008-0000-0900-00002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Oft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50800</xdr:colOff>
          <xdr:row>36</xdr:row>
          <xdr:rowOff>31750</xdr:rowOff>
        </xdr:from>
        <xdr:to>
          <xdr:col>6</xdr:col>
          <xdr:colOff>12700</xdr:colOff>
          <xdr:row>37</xdr:row>
          <xdr:rowOff>171450</xdr:rowOff>
        </xdr:to>
        <xdr:sp macro="" textlink="">
          <xdr:nvSpPr>
            <xdr:cNvPr id="10280" name="Check Box 40" hidden="1">
              <a:extLst>
                <a:ext uri="{63B3BB69-23CF-44E3-9099-C40C66FF867C}">
                  <a14:compatExt spid="_x0000_s10280"/>
                </a:ext>
                <a:ext uri="{FF2B5EF4-FFF2-40B4-BE49-F238E27FC236}">
                  <a16:creationId xmlns:a16="http://schemas.microsoft.com/office/drawing/2014/main" id="{00000000-0008-0000-0900-00002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Über 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50800</xdr:colOff>
          <xdr:row>37</xdr:row>
          <xdr:rowOff>31750</xdr:rowOff>
        </xdr:from>
        <xdr:to>
          <xdr:col>5</xdr:col>
          <xdr:colOff>12700</xdr:colOff>
          <xdr:row>38</xdr:row>
          <xdr:rowOff>171450</xdr:rowOff>
        </xdr:to>
        <xdr:sp macro="" textlink="">
          <xdr:nvSpPr>
            <xdr:cNvPr id="10281" name="Check Box 41" hidden="1">
              <a:extLst>
                <a:ext uri="{63B3BB69-23CF-44E3-9099-C40C66FF867C}">
                  <a14:compatExt spid="_x0000_s10281"/>
                </a:ext>
                <a:ext uri="{FF2B5EF4-FFF2-40B4-BE49-F238E27FC236}">
                  <a16:creationId xmlns:a16="http://schemas.microsoft.com/office/drawing/2014/main" id="{00000000-0008-0000-0900-00002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Unter 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50800</xdr:colOff>
          <xdr:row>37</xdr:row>
          <xdr:rowOff>31750</xdr:rowOff>
        </xdr:from>
        <xdr:to>
          <xdr:col>6</xdr:col>
          <xdr:colOff>12700</xdr:colOff>
          <xdr:row>38</xdr:row>
          <xdr:rowOff>171450</xdr:rowOff>
        </xdr:to>
        <xdr:sp macro="" textlink="">
          <xdr:nvSpPr>
            <xdr:cNvPr id="10282" name="Check Box 42" hidden="1">
              <a:extLst>
                <a:ext uri="{63B3BB69-23CF-44E3-9099-C40C66FF867C}">
                  <a14:compatExt spid="_x0000_s10282"/>
                </a:ext>
                <a:ext uri="{FF2B5EF4-FFF2-40B4-BE49-F238E27FC236}">
                  <a16:creationId xmlns:a16="http://schemas.microsoft.com/office/drawing/2014/main" id="{00000000-0008-0000-0900-00002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Über 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50800</xdr:colOff>
          <xdr:row>38</xdr:row>
          <xdr:rowOff>31750</xdr:rowOff>
        </xdr:from>
        <xdr:to>
          <xdr:col>6</xdr:col>
          <xdr:colOff>12700</xdr:colOff>
          <xdr:row>39</xdr:row>
          <xdr:rowOff>184150</xdr:rowOff>
        </xdr:to>
        <xdr:sp macro="" textlink="">
          <xdr:nvSpPr>
            <xdr:cNvPr id="10283" name="Check Box 43" hidden="1">
              <a:extLst>
                <a:ext uri="{63B3BB69-23CF-44E3-9099-C40C66FF867C}">
                  <a14:compatExt spid="_x0000_s10283"/>
                </a:ext>
                <a:ext uri="{FF2B5EF4-FFF2-40B4-BE49-F238E27FC236}">
                  <a16:creationId xmlns:a16="http://schemas.microsoft.com/office/drawing/2014/main" id="{00000000-0008-0000-0900-00002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Größtenteils</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umaziga/Downloads/Beispiel%20exergetische%20Allokation%20Carnot-Method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HKW Erdgas"/>
      <sheetName val="Faktoren"/>
      <sheetName val="EF"/>
    </sheetNames>
    <sheetDataSet>
      <sheetData sheetId="0">
        <row r="6">
          <cell r="B6">
            <v>2021</v>
          </cell>
        </row>
      </sheetData>
      <sheetData sheetId="1">
        <row r="5">
          <cell r="B5" t="str">
            <v>Erdgas</v>
          </cell>
        </row>
        <row r="6">
          <cell r="B6" t="str">
            <v>Steinkohle</v>
          </cell>
        </row>
        <row r="7">
          <cell r="B7" t="str">
            <v>Braunkohle</v>
          </cell>
        </row>
        <row r="8">
          <cell r="B8" t="str">
            <v>Heizöl</v>
          </cell>
        </row>
        <row r="9">
          <cell r="B9" t="str">
            <v>Abfall</v>
          </cell>
        </row>
        <row r="10">
          <cell r="B10" t="str">
            <v>Biogas</v>
          </cell>
        </row>
        <row r="11">
          <cell r="B11" t="str">
            <v>Biomasse</v>
          </cell>
        </row>
        <row r="12">
          <cell r="B12" t="str">
            <v>Flüssiggas</v>
          </cell>
        </row>
        <row r="13">
          <cell r="B13" t="str">
            <v>Sonstige konventionelle Energieträger</v>
          </cell>
        </row>
        <row r="14">
          <cell r="B14" t="str">
            <v>Sonstige Erneuerbare Energieträger</v>
          </cell>
        </row>
      </sheetData>
      <sheetData sheetId="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9B166CA-B6A4-4AB2-816D-12F3F7A24730}" name="Refsz_Verbräuche" displayName="Refsz_Verbräuche" ref="B60:Z221" totalsRowShown="0" headerRowCellStyle="Standard" dataCellStyle="Standard">
  <autoFilter ref="B60:Z221" xr:uid="{89B166CA-B6A4-4AB2-816D-12F3F7A24730}"/>
  <tableColumns count="25">
    <tableColumn id="22" xr3:uid="{70C65153-BE63-4433-BFA1-02EA340665BE}" name="ID" dataDxfId="1115" dataCellStyle="Standard"/>
    <tableColumn id="2" xr3:uid="{0D009DC4-5D5C-4F76-9A75-86795C80B8A4}" name="Datenpunkt" dataDxfId="1114" dataCellStyle="Standard"/>
    <tableColumn id="3" xr3:uid="{9BE04590-A30E-4414-ACCC-E244E89AA1E2}" name="Einheit" dataCellStyle="Standard"/>
    <tableColumn id="4" xr3:uid="{478B840A-22AC-4530-A08D-5ECA1DB3F169}" name="2015" dataDxfId="1113" dataCellStyle="Standard"/>
    <tableColumn id="5" xr3:uid="{C7B2DFDB-7F5E-4EDB-B9F5-D5B5D190462A}" name="2016" dataDxfId="1112" dataCellStyle="Standard"/>
    <tableColumn id="6" xr3:uid="{CA8AB3EE-7F60-44FB-BF3A-32BCEAA7F235}" name="2017" dataDxfId="1111" dataCellStyle="Standard"/>
    <tableColumn id="7" xr3:uid="{3790F22B-62C5-4C5C-AB76-8B3C99AC731C}" name="2018" dataDxfId="1110" dataCellStyle="Standard"/>
    <tableColumn id="8" xr3:uid="{E0DCCBE8-D4EE-46E4-8BAD-CE2C927FCE38}" name="2019" dataDxfId="1109" dataCellStyle="Standard"/>
    <tableColumn id="9" xr3:uid="{591C45A6-DF88-4382-B94F-5653649E4700}" name="2020" dataDxfId="1108" dataCellStyle="Standard"/>
    <tableColumn id="10" xr3:uid="{D0F6E227-911A-40C8-8D15-B68F96A36485}" name="2021" dataDxfId="1107" dataCellStyle="Standard"/>
    <tableColumn id="11" xr3:uid="{D2AB919D-764E-4BFF-A8DC-F4FB3372EA37}" name="2022" dataDxfId="1106" dataCellStyle="Standard">
      <calculatedColumnFormula>IF(Refsz_Verbräuche[[#Headers],[2022]]=$B$43,IF(OR(SUMIF($E61:Refsz_Verbräuche[[#This Row],[2021]],"&gt;0")&gt;0,), AVERAGEIF($E61:Refsz_Verbräuche[[#This Row],[2021]],"&lt;&gt;"""), ""),IF($B$43=(Refsz_Verbräuche[[#Headers],[2022]]-1),Refsz_Verbräuche[[#This Row],[2021]],IF($B$43&lt;Refsz_Verbräuche[[#Headers],[2022]],Refsz_Verbräuche[[#This Row],[2021]],"")))</calculatedColumnFormula>
    </tableColumn>
    <tableColumn id="12" xr3:uid="{AA25B162-9DE5-4835-A6EB-208FCFD2FCE4}" name="2023" dataDxfId="1105" dataCellStyle="Standard">
      <calculatedColumnFormula>IF(Refsz_Verbräuche[[#Headers],[2023]]=$B$43,IF(OR(SUMIF($E61:Refsz_Verbräuche[[#This Row],[2022]],"&gt;0")&gt;0,), AVERAGEIF($E61:Refsz_Verbräuche[[#This Row],[2022]],"&lt;&gt;"""), ""),IF($B$43=(Refsz_Verbräuche[[#Headers],[2023]]-1),Refsz_Verbräuche[[#This Row],[2022]],IF($B$43&lt;Refsz_Verbräuche[[#Headers],[2023]],Refsz_Verbräuche[[#This Row],[2022]],"")))</calculatedColumnFormula>
    </tableColumn>
    <tableColumn id="13" xr3:uid="{7CA07D38-8B13-4DCE-B5ED-CCC2FB267E27}" name="2024" dataDxfId="1104" dataCellStyle="Standard">
      <calculatedColumnFormula>IF(Refsz_Verbräuche[[#Headers],[2024]]=$B$43,IF(OR(SUMIF($E61:Refsz_Verbräuche[[#This Row],[2023]],"&gt;0")&gt;0,), AVERAGEIF($E61:Refsz_Verbräuche[[#This Row],[2023]],"&lt;&gt;"""), ""),IF($B$43=(Refsz_Verbräuche[[#Headers],[2024]]-1),Refsz_Verbräuche[[#This Row],[2023]],IF($B$43&lt;Refsz_Verbräuche[[#Headers],[2024]],Refsz_Verbräuche[[#This Row],[2023]],"")))</calculatedColumnFormula>
    </tableColumn>
    <tableColumn id="14" xr3:uid="{76C313F7-F539-47EE-A46F-F51E2357F7FD}" name="2025" dataDxfId="1103" dataCellStyle="Standard">
      <calculatedColumnFormula>IF(Refsz_Verbräuche[[#Headers],[2025]]=$B$43,IF(OR(SUMIF($E61:Refsz_Verbräuche[[#This Row],[2024]],"&gt;0")&gt;0,), AVERAGEIF($E61:Refsz_Verbräuche[[#This Row],[2024]],"&lt;&gt;"""), ""),IF($B$43=(Refsz_Verbräuche[[#Headers],[2025]]-1),Refsz_Verbräuche[[#This Row],[2024]],IF($B$43&lt;Refsz_Verbräuche[[#Headers],[2025]],Refsz_Verbräuche[[#This Row],[2024]],"")))</calculatedColumnFormula>
    </tableColumn>
    <tableColumn id="15" xr3:uid="{DFF4C9B7-5EEF-463C-8FBC-CA3AC0CEB141}" name="2026" dataDxfId="1102" dataCellStyle="Standard">
      <calculatedColumnFormula>IF(Refsz_Verbräuche[[#Headers],[2026]]=$B$43,IF(OR(SUMIF($E61:Refsz_Verbräuche[[#This Row],[2025]],"&gt;0")&gt;0,), AVERAGEIF($E61:Refsz_Verbräuche[[#This Row],[2025]],"&lt;&gt;"""), ""),IF($B$43=(Refsz_Verbräuche[[#Headers],[2026]]-1),Refsz_Verbräuche[[#This Row],[2025]],IF($B$43&lt;Refsz_Verbräuche[[#Headers],[2026]],Refsz_Verbräuche[[#This Row],[2025]],"")))</calculatedColumnFormula>
    </tableColumn>
    <tableColumn id="23" xr3:uid="{648B5E8E-C932-48ED-BC67-C5D3E28F7D04}" name="2027" dataDxfId="1101">
      <calculatedColumnFormula>IF(Refsz_Verbräuche[[#Headers],[2027]]=$B$43,IF(OR(SUMIF($E61:Refsz_Verbräuche[[#This Row],[2026]],"&gt;0")&gt;0,), AVERAGEIF($E61:Refsz_Verbräuche[[#This Row],[2026]],"&lt;&gt;"""), ""),IF($B$43=(Refsz_Verbräuche[[#Headers],[2027]]-1),Refsz_Verbräuche[[#This Row],[2026]],IF($B$43&lt;Refsz_Verbräuche[[#Headers],[2027]],Refsz_Verbräuche[[#This Row],[2026]],"")))</calculatedColumnFormula>
    </tableColumn>
    <tableColumn id="24" xr3:uid="{2B038593-7FAC-4CC0-AF58-85A3486B0BE7}" name="2028" dataDxfId="1100">
      <calculatedColumnFormula>IF(Refsz_Verbräuche[[#Headers],[2028]]=$B$43,IF(OR(SUMIF($E61:Refsz_Verbräuche[[#This Row],[2027]],"&gt;0")&gt;0,), AVERAGEIF($E61:Refsz_Verbräuche[[#This Row],[2027]],"&lt;&gt;"""), ""),IF($B$43=(Refsz_Verbräuche[[#Headers],[2028]]-1),Refsz_Verbräuche[[#This Row],[2027]],IF($B$43&lt;Refsz_Verbräuche[[#Headers],[2028]],Refsz_Verbräuche[[#This Row],[2027]],"")))</calculatedColumnFormula>
    </tableColumn>
    <tableColumn id="25" xr3:uid="{74F93B72-06AD-4057-BAEF-99ECEE0DCF6D}" name="2029" dataDxfId="1099">
      <calculatedColumnFormula>IF(Refsz_Verbräuche[[#Headers],[2029]]=$B$43,IF(OR(SUMIF($E61:Refsz_Verbräuche[[#This Row],[2028]],"&gt;0")&gt;0,), AVERAGEIF($E61:Refsz_Verbräuche[[#This Row],[2028]],"&lt;&gt;"""), ""),IF($B$43=(Refsz_Verbräuche[[#Headers],[2029]]-1),Refsz_Verbräuche[[#This Row],[2028]],IF($B$43&lt;Refsz_Verbräuche[[#Headers],[2029]],Refsz_Verbräuche[[#This Row],[2028]],"")))</calculatedColumnFormula>
    </tableColumn>
    <tableColumn id="16" xr3:uid="{26AB2157-8222-41B6-83C3-E17408F17123}" name="2030" dataDxfId="1098" dataCellStyle="Standard">
      <calculatedColumnFormula>IF(Refsz_Verbräuche[[#Headers],[2030]]=$B$43,IF(OR(SUMIF($E61:Refsz_Verbräuche[[#This Row],[2029]],"&gt;0")&gt;0,), AVERAGEIF($E61:Refsz_Verbräuche[[#This Row],[2029]],"&lt;&gt;"""), ""),IF($B$43=(Refsz_Verbräuche[[#Headers],[2030]]-1),Refsz_Verbräuche[[#This Row],[2029]],IF($B$43&lt;Refsz_Verbräuche[[#Headers],[2030]],Refsz_Verbräuche[[#This Row],[2029]],"")))</calculatedColumnFormula>
    </tableColumn>
    <tableColumn id="17" xr3:uid="{6C2E287D-174D-4C53-9D38-950194FE1B2C}" name="2035" dataDxfId="1097" dataCellStyle="Standard">
      <calculatedColumnFormula>IF(Refsz_Verbräuche[[#Headers],[2035]]=$B$43,IF(OR(SUMIF($E61:Refsz_Verbräuche[[#This Row],[2030]],"&gt;0")&gt;0,), AVERAGEIF($E61:Refsz_Verbräuche[[#This Row],[2030]],"&lt;&gt;"""), ""),IF($B$43=(Refsz_Verbräuche[[#Headers],[2035]]-1),Refsz_Verbräuche[[#This Row],[2030]],IF($B$43&lt;Refsz_Verbräuche[[#Headers],[2035]],Refsz_Verbräuche[[#This Row],[2030]],"")))</calculatedColumnFormula>
    </tableColumn>
    <tableColumn id="18" xr3:uid="{167C717E-D423-4B58-A4B5-BFF4D1BD67FE}" name="2040" dataDxfId="1096" dataCellStyle="Standard">
      <calculatedColumnFormula>IF(Refsz_Verbräuche[[#Headers],[2040]]=$B$43,IF(OR(SUMIF($E61:Refsz_Verbräuche[[#This Row],[2035]],"&gt;0")&gt;0,), AVERAGEIF($E61:Refsz_Verbräuche[[#This Row],[2035]],"&lt;&gt;"""), ""),IF($B$43=(Refsz_Verbräuche[[#Headers],[2040]]-1),Refsz_Verbräuche[[#This Row],[2035]],IF($B$43&lt;Refsz_Verbräuche[[#Headers],[2040]],Refsz_Verbräuche[[#This Row],[2035]],"")))</calculatedColumnFormula>
    </tableColumn>
    <tableColumn id="19" xr3:uid="{680AE67F-5222-4045-A0C1-AFB571C6C855}" name="2045" dataDxfId="1095" dataCellStyle="Standard">
      <calculatedColumnFormula>IF(Refsz_Verbräuche[[#Headers],[2045]]=$B$43,IF(OR(SUMIF($E61:Refsz_Verbräuche[[#This Row],[2040]],"&gt;0")&gt;0,), AVERAGEIF($E61:Refsz_Verbräuche[[#This Row],[2040]],"&lt;&gt;"""), ""),IF($B$43=(Refsz_Verbräuche[[#Headers],[2045]]-1),Refsz_Verbräuche[[#This Row],[2040]],IF($B$43&lt;Refsz_Verbräuche[[#Headers],[2045]],Refsz_Verbräuche[[#This Row],[2040]],"")))</calculatedColumnFormula>
    </tableColumn>
    <tableColumn id="20" xr3:uid="{0381ADF3-E7FA-48CB-B6FF-3586015C3179}" name="2050" dataDxfId="1094" dataCellStyle="Standard">
      <calculatedColumnFormula>IF(Refsz_Verbräuche[[#Headers],[2050]]=$B$43,IF(OR(SUMIF($E61:Refsz_Verbräuche[[#This Row],[2045]],"&gt;0")&gt;0,), AVERAGEIF($E61:Refsz_Verbräuche[[#This Row],[2045]],"&lt;&gt;"""), ""),IF($B$43=(Refsz_Verbräuche[[#Headers],[2050]]-1),Refsz_Verbräuche[[#This Row],[2045]],IF($B$43&lt;Refsz_Verbräuche[[#Headers],[2050]],Refsz_Verbräuche[[#This Row],[2045]],"")))</calculatedColumnFormula>
    </tableColumn>
    <tableColumn id="21" xr3:uid="{ABEFA9A7-A4FE-4D0F-8937-6A9637356CE4}" name="Bemerkungen" dataCellStyle="Standard"/>
    <tableColumn id="1" xr3:uid="{557B1DC9-3C1D-42C3-ACF8-61005DDFF6E4}" name="Bemerkungen " dataDxfId="1093" dataCellStyle="Standard"/>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693DCF8F-B649-4A92-8DDC-129F94EDDA56}" name="Modal_Split_Gruppen52" displayName="Modal_Split_Gruppen52" ref="B247:W255" totalsRowCount="1">
  <autoFilter ref="B247:W254" xr:uid="{6302E3F9-10C4-48E6-A043-25B63D257D1C}"/>
  <tableColumns count="22">
    <tableColumn id="1" xr3:uid="{981D7976-1D8D-4B6D-8130-51BE3286A6FD}" name="Zusammenfassung der Gruppen" totalsRowLabel="Ergebnis" totalsRowDxfId="896">
      <calculatedColumnFormula>B188</calculatedColumnFormula>
    </tableColumn>
    <tableColumn id="2" xr3:uid="{A5F21E26-8F98-424E-8732-104C0F4910F0}" name="Einheit" totalsRowLabel="t CO2-Äq." totalsRowDxfId="895"/>
    <tableColumn id="3" xr3:uid="{A43BE7BA-D367-4569-9633-02CAB7223A5D}" name="2015" totalsRowFunction="sum" dataDxfId="894" totalsRowDxfId="893"/>
    <tableColumn id="4" xr3:uid="{607F2933-7BFD-4D75-8C5D-1687F16E823F}" name="2016" totalsRowFunction="sum" dataDxfId="892" totalsRowDxfId="891"/>
    <tableColumn id="5" xr3:uid="{0348D762-8BDD-47F3-92EE-DD49AA7B671D}" name="2017" totalsRowFunction="sum" dataDxfId="890" totalsRowDxfId="889"/>
    <tableColumn id="6" xr3:uid="{83E87C4D-4F5B-4F5B-9A8E-EDC5792D73DE}" name="2018" totalsRowFunction="sum" dataDxfId="888" totalsRowDxfId="887"/>
    <tableColumn id="7" xr3:uid="{9F7AF4A3-6702-461B-967A-E194EBA05AEA}" name="2019" totalsRowFunction="sum" dataDxfId="886" totalsRowDxfId="885"/>
    <tableColumn id="8" xr3:uid="{2521B506-1A71-4ED2-A27C-245714CD46F4}" name="2020" totalsRowFunction="sum" dataDxfId="884" totalsRowDxfId="883"/>
    <tableColumn id="9" xr3:uid="{F938C5CF-9056-4AA5-A5B1-CEDE907E1189}" name="2021" totalsRowFunction="sum" dataDxfId="882" totalsRowDxfId="881"/>
    <tableColumn id="10" xr3:uid="{FD9DD461-85C8-463D-943F-B7B27F2EAD12}" name="2022" totalsRowFunction="sum" dataDxfId="880" totalsRowDxfId="879"/>
    <tableColumn id="11" xr3:uid="{720EBBC3-DE74-4975-83C7-4A2F70E9BEFE}" name="2023" totalsRowFunction="sum" dataDxfId="878" totalsRowDxfId="877"/>
    <tableColumn id="12" xr3:uid="{C8CB24A8-E99A-49DD-93EC-5CC2EBCDD5CE}" name="2024" totalsRowFunction="sum" dataDxfId="876" totalsRowDxfId="875"/>
    <tableColumn id="13" xr3:uid="{85E8CD27-F79A-479A-A1EC-8DC7A0F41857}" name="2025" totalsRowFunction="sum" dataDxfId="874" totalsRowDxfId="873"/>
    <tableColumn id="14" xr3:uid="{27B203D5-0171-4B5F-BF7D-DB3D234C5C96}" name="2026" totalsRowFunction="sum" dataDxfId="872" totalsRowDxfId="871"/>
    <tableColumn id="15" xr3:uid="{2FEB2600-8A94-466B-B548-1F5CEB644CED}" name="2027" totalsRowFunction="sum" dataDxfId="870" totalsRowDxfId="869"/>
    <tableColumn id="16" xr3:uid="{4CCB5F2E-826E-4642-BE33-74203AFBAAF5}" name="2028" totalsRowFunction="sum" dataDxfId="868" totalsRowDxfId="867"/>
    <tableColumn id="17" xr3:uid="{A54B3E97-923A-4A23-860A-6EBA57064DA2}" name="2029" totalsRowFunction="sum" dataDxfId="866" totalsRowDxfId="865"/>
    <tableColumn id="18" xr3:uid="{D28C86FF-3790-44CA-9BDA-770F099B5ADF}" name="2030" totalsRowFunction="sum" dataDxfId="864" totalsRowDxfId="863"/>
    <tableColumn id="19" xr3:uid="{A28C8AE3-FDB8-4A0F-8D83-0A7A71A6848D}" name="2035" totalsRowFunction="sum" dataDxfId="862" totalsRowDxfId="861"/>
    <tableColumn id="20" xr3:uid="{38D0F671-D7E3-47FD-B4FA-3A96CF65EE06}" name="2040" totalsRowFunction="sum" dataDxfId="860" totalsRowDxfId="859"/>
    <tableColumn id="21" xr3:uid="{BA0213A9-0253-45DD-B5F4-D89097C4009D}" name="2045" totalsRowFunction="sum" dataDxfId="858" totalsRowDxfId="857"/>
    <tableColumn id="22" xr3:uid="{223BB72C-F7DE-4F5B-8F84-0F49B93DE305}" name="2050" totalsRowFunction="sum" dataDxfId="856" totalsRowDxfId="855"/>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827AC5B8-0262-41EA-BF2F-2F1C81B5D310}" name="Refsz_Emissionen_Bundesmix" displayName="Refsz_Emissionen_Bundesmix" ref="B60:Y221" totalsRowShown="0" headerRowCellStyle="Standard" dataCellStyle="Standard">
  <autoFilter ref="B60:Y221" xr:uid="{827AC5B8-0262-41EA-BF2F-2F1C81B5D310}"/>
  <tableColumns count="24">
    <tableColumn id="22" xr3:uid="{F2293536-1FA2-4ECD-88A2-DE097B73C1ED}" name="ID" dataDxfId="852" dataCellStyle="Standard"/>
    <tableColumn id="2" xr3:uid="{6206D293-C52F-423A-BAA5-FA16D0708475}" name="Handlungsfeld" dataDxfId="851" dataCellStyle="Standard">
      <calculatedColumnFormula>Refsz_Verbräuche[[#This Row],[Datenpunkt]]</calculatedColumnFormula>
    </tableColumn>
    <tableColumn id="3" xr3:uid="{865DBB44-73C9-44F4-B20E-3167C24222FF}" name="Einheit" dataCellStyle="Standard"/>
    <tableColumn id="4" xr3:uid="{D115A3BD-02FD-4B79-AFED-61EC95642CFD}" name="2015" dataDxfId="850" dataCellStyle="Standard">
      <calculatedColumnFormula>IF(Refsz_Verbräuche[[#This Row],[2015]], Refsz_Verbräuche[[#This Row],[2015]]*Emissionsfaktoren[[#This Row],[2015]]/1000,0)</calculatedColumnFormula>
    </tableColumn>
    <tableColumn id="5" xr3:uid="{AE110743-222C-4AB4-9357-9495906B20B5}" name="2016" dataDxfId="849" dataCellStyle="Standard">
      <calculatedColumnFormula>IF(Refsz_Verbräuche[[#This Row],[2016]], Refsz_Verbräuche[[#This Row],[2016]]*Emissionsfaktoren[[#This Row],[2016]]/1000,0)</calculatedColumnFormula>
    </tableColumn>
    <tableColumn id="6" xr3:uid="{34FFF114-E721-41BB-9965-BD9F35580E71}" name="2017" dataDxfId="848" dataCellStyle="Standard">
      <calculatedColumnFormula>IF(Refsz_Verbräuche[[#This Row],[2017]], Refsz_Verbräuche[[#This Row],[2017]]*Emissionsfaktoren[[#This Row],[2017]]/1000,0)</calculatedColumnFormula>
    </tableColumn>
    <tableColumn id="7" xr3:uid="{588F58E9-A0E8-426A-9BB2-EA8A3E2304B1}" name="2018" dataDxfId="847" dataCellStyle="Standard">
      <calculatedColumnFormula>IF(Refsz_Verbräuche[[#This Row],[2018]], Refsz_Verbräuche[[#This Row],[2018]]*Emissionsfaktoren[[#This Row],[2018]]/1000,0)</calculatedColumnFormula>
    </tableColumn>
    <tableColumn id="8" xr3:uid="{D69DCD80-8E50-443E-AEF9-02CAB57F3FE9}" name="2019" dataDxfId="846" dataCellStyle="Standard">
      <calculatedColumnFormula>IF(Refsz_Verbräuche[[#This Row],[2019]], Refsz_Verbräuche[[#This Row],[2019]]*Emissionsfaktoren[[#This Row],[2019]]/1000,0)</calculatedColumnFormula>
    </tableColumn>
    <tableColumn id="9" xr3:uid="{37CA197C-AAAA-424F-A1E9-71D59A5A6337}" name="2020" dataDxfId="845" dataCellStyle="Standard">
      <calculatedColumnFormula>IF(Refsz_Verbräuche[[#This Row],[2020]], Refsz_Verbräuche[[#This Row],[2020]]*Emissionsfaktoren[[#This Row],[2020]]/1000,0)</calculatedColumnFormula>
    </tableColumn>
    <tableColumn id="10" xr3:uid="{533FD367-EE6B-4FF7-BE32-528C70DB211F}" name="2021" dataDxfId="844" dataCellStyle="Standard">
      <calculatedColumnFormula>IF(Refsz_Verbräuche[[#This Row],[2021]], Refsz_Verbräuche[[#This Row],[2021]]*Emissionsfaktoren[[#This Row],[2021]]/1000,0)</calculatedColumnFormula>
    </tableColumn>
    <tableColumn id="11" xr3:uid="{DA2CD141-C5B7-41EB-A4DA-EE6EFCF816EF}" name="2022" dataDxfId="843" dataCellStyle="Standard">
      <calculatedColumnFormula>IF(Refsz_Verbräuche[[#This Row],[2022]], Refsz_Verbräuche[[#This Row],[2022]]*Emissionsfaktoren[[#This Row],[2022]]/1000,0)</calculatedColumnFormula>
    </tableColumn>
    <tableColumn id="12" xr3:uid="{8C60318C-61AA-4848-B0C6-B2745DA14735}" name="2023" dataDxfId="842" dataCellStyle="Standard">
      <calculatedColumnFormula>IF(Refsz_Verbräuche[[#This Row],[2023]], Refsz_Verbräuche[[#This Row],[2023]]*Emissionsfaktoren[[#This Row],[2023]]/1000,0)</calculatedColumnFormula>
    </tableColumn>
    <tableColumn id="13" xr3:uid="{A09975AE-D8B1-4710-85E0-E876D9F191A9}" name="2024" dataDxfId="841" dataCellStyle="Standard">
      <calculatedColumnFormula>IF(Refsz_Verbräuche[[#This Row],[2024]], Refsz_Verbräuche[[#This Row],[2024]]*Emissionsfaktoren[[#This Row],[2024]]/1000,0)</calculatedColumnFormula>
    </tableColumn>
    <tableColumn id="14" xr3:uid="{EBF80818-CA1A-46A9-AEE6-E7D7E846D9A1}" name="2025" dataDxfId="840" dataCellStyle="Standard">
      <calculatedColumnFormula>IF(Refsz_Verbräuche[[#This Row],[2025]], Refsz_Verbräuche[[#This Row],[2025]]*Emissionsfaktoren[[#This Row],[2025]]/1000,0)</calculatedColumnFormula>
    </tableColumn>
    <tableColumn id="15" xr3:uid="{37844114-03CF-4701-8B59-9F0A9B24D09B}" name="2026" dataDxfId="839" dataCellStyle="Standard">
      <calculatedColumnFormula>IF(Refsz_Verbräuche[[#This Row],[2026]], (((((SUM('Refsz-Verbräuche'!P61:P71))*Emissionsfaktoren[[#This Row],[2026]]))/1000)+#REF!+#REF!+#REF!),0)</calculatedColumnFormula>
    </tableColumn>
    <tableColumn id="1" xr3:uid="{10C3B1E6-B58E-4539-8805-22DD26DC0641}" name="2027" dataDxfId="838">
      <calculatedColumnFormula>IF(Refsz_Verbräuche[[#This Row],[2027]], (((((SUM('Refsz-Verbräuche'!Q61:Q71))*Emissionsfaktoren[[#This Row],[2030]]))/1000)+#REF!+#REF!+#REF!),0)</calculatedColumnFormula>
    </tableColumn>
    <tableColumn id="23" xr3:uid="{E373F34D-F946-44D4-A5D5-4F8AE43BCA5E}" name="2028" dataDxfId="837">
      <calculatedColumnFormula>IF(Refsz_Verbräuche[[#This Row],[2028]], (((((SUM('Refsz-Verbräuche'!R61:R71))*Emissionsfaktoren[[#This Row],[2035]]))/1000)+#REF!+#REF!+#REF!),0)</calculatedColumnFormula>
    </tableColumn>
    <tableColumn id="24" xr3:uid="{980B89BB-CCC4-4FF6-946B-2179EA19B215}" name="2029" dataDxfId="836">
      <calculatedColumnFormula>IF(Refsz_Verbräuche[[#This Row],[2029]], (((((SUM('Refsz-Verbräuche'!S61:S71))*Emissionsfaktoren[[#This Row],[2040]]))/1000)+#REF!+#REF!+#REF!),0)</calculatedColumnFormula>
    </tableColumn>
    <tableColumn id="16" xr3:uid="{21027E32-30D6-4691-814E-236634B75C90}" name="2030" dataDxfId="835" dataCellStyle="Standard">
      <calculatedColumnFormula>IF(Refsz_Verbräuche[[#This Row],[2030]], Refsz_Verbräuche[[#This Row],[2030]]*Emissionsfaktoren[[#This Row],[2030]]/1000,0)</calculatedColumnFormula>
    </tableColumn>
    <tableColumn id="17" xr3:uid="{2E691C29-8163-4935-A4D9-A354C79D997F}" name="2035" dataDxfId="834" dataCellStyle="Standard">
      <calculatedColumnFormula>IF(Refsz_Verbräuche[[#This Row],[2035]], Refsz_Verbräuche[[#This Row],[2035]]*Emissionsfaktoren[[#This Row],[2035]]/1000,0)</calculatedColumnFormula>
    </tableColumn>
    <tableColumn id="18" xr3:uid="{E9A2B99A-9BB8-4587-9277-14C310F4244F}" name="2040" dataDxfId="833" dataCellStyle="Standard">
      <calculatedColumnFormula>IF(Refsz_Verbräuche[[#This Row],[2040]], Refsz_Verbräuche[[#This Row],[2040]]*Emissionsfaktoren[[#This Row],[2040]]/1000,0)</calculatedColumnFormula>
    </tableColumn>
    <tableColumn id="19" xr3:uid="{8D24E0F3-B4EF-4577-80B1-77879C14998F}" name="2045" dataDxfId="832" dataCellStyle="Standard">
      <calculatedColumnFormula>IF(Refsz_Verbräuche[[#This Row],[2045]], Refsz_Verbräuche[[#This Row],[2045]]*Emissionsfaktoren[[#This Row],[2045]]/1000,0)</calculatedColumnFormula>
    </tableColumn>
    <tableColumn id="20" xr3:uid="{3C1A2C59-BF98-4EDB-AEFC-D30329645253}" name="2050" dataDxfId="831" dataCellStyle="Standard">
      <calculatedColumnFormula>IF(Refsz_Verbräuche[[#This Row],[2050]], Refsz_Verbräuche[[#This Row],[2050]]*Emissionsfaktoren[[#This Row],[2050]]/1000,0)</calculatedColumnFormula>
    </tableColumn>
    <tableColumn id="21" xr3:uid="{94025485-1C09-4117-983B-376AB42CEE8F}" name="Bemerkungen" dataCellStyle="Standard"/>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324EDDE5-6A73-429E-B830-241C1DC3DBC0}" name="Refsz_Emissionen_Regiomix" displayName="Refsz_Emissionen_Regiomix" ref="B225:Y386" totalsRowShown="0" headerRowCellStyle="Standard" dataCellStyle="Standard">
  <autoFilter ref="B225:Y386" xr:uid="{F645A874-1884-441D-AC9E-801488431193}"/>
  <tableColumns count="24">
    <tableColumn id="22" xr3:uid="{CEA5AE95-7C29-415A-8BEC-107F462EA129}" name="ID" dataDxfId="830" dataCellStyle="Standard"/>
    <tableColumn id="2" xr3:uid="{39CDB24F-3E35-4EB4-92B8-CFB52609D97D}" name="Handlungsfeld" dataDxfId="829" dataCellStyle="Standard">
      <calculatedColumnFormula>'Refsz-Verbräuche'!C61</calculatedColumnFormula>
    </tableColumn>
    <tableColumn id="3" xr3:uid="{18DB4044-EBF4-4103-B934-E4F64889B871}" name="Einheit" dataCellStyle="Standard"/>
    <tableColumn id="4" xr3:uid="{26393CB9-F9BD-4442-A620-0C3A3006062D}" name="2015" dataDxfId="828" dataCellStyle="Standard">
      <calculatedColumnFormula>IF(ISNUMBER('Refsz-Verbräuche'!E61), 'Refsz-Verbräuche'!E61*Emissionsfaktoren!E61/1000, 0)</calculatedColumnFormula>
    </tableColumn>
    <tableColumn id="5" xr3:uid="{1A36867F-76A4-4AD0-8E9B-00CAC7D19814}" name="2016" dataDxfId="827" dataCellStyle="Standard"/>
    <tableColumn id="6" xr3:uid="{0F8BDC70-8E18-4AD4-A03A-F5013AB8EB9C}" name="2017" dataDxfId="826" dataCellStyle="Standard"/>
    <tableColumn id="7" xr3:uid="{8AD4F4A8-8EED-4FE4-92A5-F46D2FF846F9}" name="2018" dataDxfId="825" dataCellStyle="Standard"/>
    <tableColumn id="8" xr3:uid="{C1591901-3ED3-402C-86EF-82801BC7E70D}" name="2019" dataDxfId="824" dataCellStyle="Standard"/>
    <tableColumn id="9" xr3:uid="{A887E61C-C010-4616-84CD-6064743CAE5C}" name="2020" dataDxfId="823" dataCellStyle="Standard"/>
    <tableColumn id="10" xr3:uid="{34D25D76-A4D4-40A1-B34D-F01036904146}" name="2021" dataDxfId="822" dataCellStyle="Standard"/>
    <tableColumn id="11" xr3:uid="{FE74A38A-CD92-442F-A624-90C193EB8C4F}" name="2022" dataDxfId="821" dataCellStyle="Standard"/>
    <tableColumn id="12" xr3:uid="{36CE1221-6FA9-4BA4-9DB3-A79F416064D6}" name="2023" dataDxfId="820" dataCellStyle="Standard"/>
    <tableColumn id="13" xr3:uid="{78725BE7-D2E4-4BA3-ACD7-2F498D709391}" name="2024" dataDxfId="819" dataCellStyle="Standard"/>
    <tableColumn id="14" xr3:uid="{A86F8CBF-0BCC-4555-B914-37A20B87C930}" name="2025" dataDxfId="818" dataCellStyle="Standard"/>
    <tableColumn id="15" xr3:uid="{03D846AA-7C59-4893-A956-134A4B483114}" name="2026" dataDxfId="817" dataCellStyle="Standard"/>
    <tableColumn id="1" xr3:uid="{938CFD34-B5C8-47D7-8176-B09505E76F87}" name="2027" dataDxfId="816"/>
    <tableColumn id="23" xr3:uid="{B9376825-E38D-4471-93E5-9945B419F544}" name="2028" dataDxfId="815"/>
    <tableColumn id="24" xr3:uid="{A9727E90-3D36-4C3B-9924-7858559A155D}" name="2029" dataDxfId="814"/>
    <tableColumn id="16" xr3:uid="{8A565C67-B3F3-4464-B491-66A5A25EA233}" name="2030" dataDxfId="813" dataCellStyle="Standard"/>
    <tableColumn id="17" xr3:uid="{7E0688CE-598A-40E0-A56F-249F758A2EE0}" name="2035" dataDxfId="812" dataCellStyle="Standard"/>
    <tableColumn id="18" xr3:uid="{A28D8E37-F4DC-4589-B5B2-C92E9EAF884B}" name="2040" dataDxfId="811" dataCellStyle="Standard"/>
    <tableColumn id="19" xr3:uid="{8F25F646-C295-4A78-9D17-9181EEB6C493}" name="2045" dataDxfId="810" dataCellStyle="Standard"/>
    <tableColumn id="20" xr3:uid="{8F5BADE6-C56B-4C59-9675-29495FA75524}" name="2050" dataDxfId="809" dataCellStyle="Standard"/>
    <tableColumn id="21" xr3:uid="{E27AABD8-DA07-44C4-B658-A6F67299F453}" name="Bemerkungen" dataCellStyle="Standard"/>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66B7A641-E769-4FCC-B6F1-CE5E6D4C047D}" name="Refsz_Bundesmix_Handlungsfelder" displayName="Refsz_Bundesmix_Handlungsfelder" ref="C401:X413" totalsRowCount="1">
  <autoFilter ref="C401:X412" xr:uid="{609C4AE2-435D-4309-8586-1E02203646B8}"/>
  <tableColumns count="22">
    <tableColumn id="1" xr3:uid="{9A74499F-00CC-45F6-A344-9D0E9BA96DCF}" name="Handlungsfeld" totalsRowLabel="Ergebnis" totalsRowDxfId="808"/>
    <tableColumn id="2" xr3:uid="{12845B5E-BA94-4076-9E3B-2F917CA7B5C5}" name="Einheit" totalsRowLabel="t CO2-Äq." totalsRowDxfId="807"/>
    <tableColumn id="3" xr3:uid="{5CD7F259-63CA-4983-820D-82CE2F1DCDBE}" name="2015" totalsRowFunction="sum" totalsRowDxfId="806"/>
    <tableColumn id="4" xr3:uid="{22B68752-3C0E-4764-AF9F-8B6DC18BC13B}" name="2016" totalsRowFunction="sum" totalsRowDxfId="805"/>
    <tableColumn id="5" xr3:uid="{AFD1EC91-A24E-4C25-99DC-1E2D3F0D567C}" name="2017" totalsRowFunction="sum" totalsRowDxfId="804"/>
    <tableColumn id="6" xr3:uid="{79B52FE4-9A6D-4A48-8A24-01586663CD21}" name="2018" totalsRowFunction="sum" totalsRowDxfId="803"/>
    <tableColumn id="7" xr3:uid="{AF995E2F-E6F3-40CF-9ED8-998DC824CE04}" name="2019" totalsRowFunction="sum" totalsRowDxfId="802"/>
    <tableColumn id="8" xr3:uid="{E92E6C4C-85BB-47BC-9C2A-6C366D9351CB}" name="2020" totalsRowFunction="sum" totalsRowDxfId="801"/>
    <tableColumn id="9" xr3:uid="{200CF16B-256A-4765-ACC2-90D8116A61F0}" name="2021" totalsRowFunction="sum" totalsRowDxfId="800"/>
    <tableColumn id="10" xr3:uid="{E67BA2B8-D713-4801-8135-0B78B3F58EAE}" name="2022" totalsRowFunction="sum" totalsRowDxfId="799"/>
    <tableColumn id="11" xr3:uid="{35CEA98A-3DE4-48D9-81B4-F02FAC8250DF}" name="2023" totalsRowFunction="sum" totalsRowDxfId="798"/>
    <tableColumn id="12" xr3:uid="{439E7A30-2DE3-4361-BB50-BDBBCAB964AA}" name="2024" totalsRowFunction="sum" totalsRowDxfId="797"/>
    <tableColumn id="13" xr3:uid="{7B93CBBD-7CA5-4F0E-83D9-62A289B500E8}" name="2025" totalsRowFunction="sum" totalsRowDxfId="796"/>
    <tableColumn id="14" xr3:uid="{90A6087E-66F9-4DD4-8A34-93270F160D87}" name="2026" totalsRowFunction="sum" totalsRowDxfId="795"/>
    <tableColumn id="20" xr3:uid="{4B152730-D689-4CAA-B3E9-C9B7A723F040}" name="2027" totalsRowFunction="sum" totalsRowDxfId="794"/>
    <tableColumn id="21" xr3:uid="{2FD3A337-7F75-408A-866C-9CFAA9E2FA9E}" name="2028" totalsRowFunction="sum" totalsRowDxfId="793"/>
    <tableColumn id="22" xr3:uid="{880B0A35-FE4A-4B10-AE1D-846BB3E628B2}" name="2029" totalsRowFunction="sum" totalsRowDxfId="792"/>
    <tableColumn id="15" xr3:uid="{46BC2078-C654-4865-8F0A-B5F7D4D90F76}" name="2030" totalsRowFunction="sum" totalsRowDxfId="791"/>
    <tableColumn id="16" xr3:uid="{266288D8-B984-4EC5-95C6-E544D00D0340}" name="2035" totalsRowFunction="sum" totalsRowDxfId="790"/>
    <tableColumn id="17" xr3:uid="{ACF71E71-72C9-45E8-A948-1EC8BA08D047}" name="2040" totalsRowFunction="sum" totalsRowDxfId="789"/>
    <tableColumn id="18" xr3:uid="{CF610935-BDE5-4076-8BBA-63785607C746}" name="2045" totalsRowFunction="sum" totalsRowDxfId="788"/>
    <tableColumn id="19" xr3:uid="{740B4CE4-E843-4383-9B15-EC6CFD10BEDB}" name="2050" totalsRowFunction="sum" totalsRowDxfId="787"/>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C543F7C-E86E-4868-96B2-66FF6AD2760E}" name="Refsz_Bundesmix_Kennwerte" displayName="Refsz_Bundesmix_Kennwerte" ref="C415:X417" totalsRowShown="0">
  <autoFilter ref="C415:X417" xr:uid="{E4AF9F7B-0DEA-491A-93A6-92326AA71FBF}"/>
  <tableColumns count="22">
    <tableColumn id="1" xr3:uid="{866E9A9E-16DC-4BB3-9B91-8BFF3B48EEC2}" name="Kennwerte"/>
    <tableColumn id="2" xr3:uid="{CEA6E70D-3516-4112-BC6A-B9C01FAD3C8E}" name="Einheit"/>
    <tableColumn id="3" xr3:uid="{CDFD0FDB-9608-4624-9673-FCCDB05235A9}" name="2015"/>
    <tableColumn id="4" xr3:uid="{3B14F572-66F3-40DF-8F8F-8B244C17B80C}" name="2016"/>
    <tableColumn id="5" xr3:uid="{D84ED740-E1A9-44CC-BBD3-160643924AC9}" name="2017"/>
    <tableColumn id="6" xr3:uid="{C2A41C67-81BB-4008-8E51-EFE96B1170D6}" name="2018"/>
    <tableColumn id="7" xr3:uid="{69C610E8-F646-4B6C-BAB5-DEB504FA76C8}" name="2019"/>
    <tableColumn id="8" xr3:uid="{0617D64D-05B2-42B9-BA31-0E231F512B50}" name="2020"/>
    <tableColumn id="9" xr3:uid="{780AFAE4-9E20-4B4C-A210-057AA995F761}" name="2021"/>
    <tableColumn id="10" xr3:uid="{0BDEB1D4-9056-4AA2-B3F7-993A3A876BD2}" name="2022"/>
    <tableColumn id="11" xr3:uid="{E366161A-F2A1-4BE6-8028-11814C53B6DE}" name="2023"/>
    <tableColumn id="12" xr3:uid="{E92F3BB0-6DD4-4552-A323-B2C108C2575B}" name="2024"/>
    <tableColumn id="13" xr3:uid="{7353A483-7CC1-4164-ACC7-D8EFABD8EC1E}" name="2025"/>
    <tableColumn id="14" xr3:uid="{4F2C3F68-29DD-48D6-8B93-AE1B5BC2F7F3}" name="2026"/>
    <tableColumn id="24" xr3:uid="{8318C21C-4D11-4D06-A5BA-1895E5647768}" name="2027"/>
    <tableColumn id="25" xr3:uid="{EE8F56C4-157B-47F9-A6DB-136325D2F64A}" name="2028"/>
    <tableColumn id="26" xr3:uid="{9C854F40-256E-4E3F-9003-BD99AB7EE0BE}" name="2029"/>
    <tableColumn id="15" xr3:uid="{25A4865B-32FA-48C2-9497-7B831C0F25B7}" name="2030"/>
    <tableColumn id="16" xr3:uid="{EAD99227-818D-4640-9BD1-11BD325FCC77}" name="2035"/>
    <tableColumn id="17" xr3:uid="{52B6244B-3CC1-47DB-AA79-DA6B0B1CB695}" name="2040"/>
    <tableColumn id="18" xr3:uid="{7E3CC926-F6AF-4B44-98D0-AB7EA007AF91}" name="2045"/>
    <tableColumn id="19" xr3:uid="{9E53947D-748F-46BC-B687-5367028AD606}" name="2050"/>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70CC7AA7-6BB0-484A-B89E-5A8DDA5B2FEC}" name="Refsz_Regiomix_Handlungsfelder" displayName="Refsz_Regiomix_Handlungsfelder" ref="C422:X434" totalsRowCount="1">
  <autoFilter ref="C422:X433" xr:uid="{6DF1A475-DDE4-4A9C-8937-B81BC225C42F}"/>
  <tableColumns count="22">
    <tableColumn id="1" xr3:uid="{0B3DC6CA-696A-4874-95CE-37FCF3754840}" name="Handlungsfeld" totalsRowLabel="Ergebnis" totalsRowDxfId="786"/>
    <tableColumn id="2" xr3:uid="{EED8C5E9-A0F9-4847-9F10-43306EC440EC}" name="Einheit" totalsRowLabel="t CO2-Äq." totalsRowDxfId="785"/>
    <tableColumn id="3" xr3:uid="{DD221A22-26F5-4057-98A1-50CC727A6A32}" name="2015" totalsRowFunction="sum" totalsRowDxfId="784"/>
    <tableColumn id="4" xr3:uid="{537B9999-33EF-47EA-B5F4-511AE22D6CB9}" name="2016" totalsRowFunction="sum" totalsRowDxfId="783"/>
    <tableColumn id="5" xr3:uid="{41FF27E7-DE52-41FC-9D47-C6FDC082AA9F}" name="2017" totalsRowFunction="sum" totalsRowDxfId="782"/>
    <tableColumn id="6" xr3:uid="{29648912-863C-4A0F-930E-0DC02453224B}" name="2018" totalsRowFunction="sum" totalsRowDxfId="781"/>
    <tableColumn id="7" xr3:uid="{EA432871-B254-43BA-B7B8-1A56091708E2}" name="2019" totalsRowFunction="sum" totalsRowDxfId="780"/>
    <tableColumn id="8" xr3:uid="{927D3D5D-8B21-42E4-AD11-3965CF7DC865}" name="2020" totalsRowFunction="sum" totalsRowDxfId="779"/>
    <tableColumn id="9" xr3:uid="{5B7F7849-CFD1-4E7D-9ADD-BA94C2E81E81}" name="2021" totalsRowFunction="sum" totalsRowDxfId="778"/>
    <tableColumn id="10" xr3:uid="{4FDAF71B-5CF8-4F25-B7E6-FBD18788CF18}" name="2022" totalsRowFunction="sum" totalsRowDxfId="777"/>
    <tableColumn id="11" xr3:uid="{DDDA0D46-E35F-4687-B6CB-BC09BA5FC4F8}" name="2023" totalsRowFunction="sum" totalsRowDxfId="776"/>
    <tableColumn id="12" xr3:uid="{7BD99F64-A729-4890-8597-619C6EEA6500}" name="2024" totalsRowFunction="sum" totalsRowDxfId="775"/>
    <tableColumn id="13" xr3:uid="{83151466-0117-424B-B547-9DA21DEF03D7}" name="2025" totalsRowFunction="sum" totalsRowDxfId="774"/>
    <tableColumn id="14" xr3:uid="{823E2A14-18B6-4F2D-BD80-669CD2C734F3}" name="2026" totalsRowFunction="sum" totalsRowDxfId="773"/>
    <tableColumn id="20" xr3:uid="{7C4B6210-4606-43C2-BEE2-B8704180D260}" name="2027" totalsRowFunction="sum" totalsRowDxfId="772"/>
    <tableColumn id="21" xr3:uid="{D3984CC4-49FF-48C5-A5D6-E6A335D9CA5A}" name="2028" totalsRowFunction="sum" totalsRowDxfId="771"/>
    <tableColumn id="22" xr3:uid="{788DA778-90C7-40C5-B8BC-13F745B7CEAB}" name="2029" totalsRowFunction="sum" totalsRowDxfId="770"/>
    <tableColumn id="15" xr3:uid="{08022304-EE57-4CA5-B616-B6238AE15821}" name="2030" totalsRowFunction="sum" totalsRowDxfId="769"/>
    <tableColumn id="16" xr3:uid="{77A77163-4EAD-4C46-9800-C6A357DC6060}" name="2035" totalsRowFunction="sum" totalsRowDxfId="768"/>
    <tableColumn id="17" xr3:uid="{43628C20-87A1-4F6B-9E6E-50EBE961491B}" name="2040" totalsRowFunction="sum" totalsRowDxfId="767"/>
    <tableColumn id="18" xr3:uid="{9623D456-A0EC-4D7F-A6EC-57344D06E267}" name="2045" totalsRowFunction="sum" totalsRowDxfId="766"/>
    <tableColumn id="19" xr3:uid="{F156F6BA-0D2A-484B-9F5A-4BD213819553}" name="2050" totalsRowFunction="sum" totalsRowDxfId="765"/>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3BE7023E-F2CB-4B39-8B27-C4842BDBA0DD}" name="Refsz_Regiomix_Kennwerte" displayName="Refsz_Regiomix_Kennwerte" ref="C436:X438" totalsRowShown="0">
  <autoFilter ref="C436:X438" xr:uid="{E9DA5229-7E33-427E-8732-963795FED79F}"/>
  <tableColumns count="22">
    <tableColumn id="1" xr3:uid="{12E87CFC-3B81-4C4E-98C4-438156CEC743}" name="Kennwerte"/>
    <tableColumn id="2" xr3:uid="{022D5D3B-10E3-4E31-86D6-AF9F739B3F39}" name="Einheit"/>
    <tableColumn id="3" xr3:uid="{2A142B24-0DF1-4840-B3A6-38D0B728ACB1}" name="2015"/>
    <tableColumn id="4" xr3:uid="{3162E7DC-D278-4FC4-87BB-6635369DA87C}" name="2016"/>
    <tableColumn id="5" xr3:uid="{E91D65DC-DBF7-46B4-B5E6-ABE879A44CC6}" name="2017"/>
    <tableColumn id="6" xr3:uid="{288E722C-1A8B-49EF-9FC3-94D4FE438DF0}" name="2018"/>
    <tableColumn id="7" xr3:uid="{232C2567-DFD8-4EDD-8B90-C85BD6558388}" name="2019"/>
    <tableColumn id="8" xr3:uid="{8EB9CFC2-FD3E-48BC-A261-69D499F691D6}" name="2020"/>
    <tableColumn id="9" xr3:uid="{C3DAB960-3272-4A87-B5FB-5D52CB57A82C}" name="2021"/>
    <tableColumn id="10" xr3:uid="{3DDCF184-41C9-415F-9E26-7D68B728DADA}" name="2022"/>
    <tableColumn id="11" xr3:uid="{9243F0F4-1F60-4CEC-9ACF-BF5AC109A763}" name="2023"/>
    <tableColumn id="12" xr3:uid="{27447D8A-6A0D-45ED-8195-2EC75595CB44}" name="2024"/>
    <tableColumn id="13" xr3:uid="{82F76E65-7F3E-4C03-8DE7-863F713C3555}" name="2025"/>
    <tableColumn id="14" xr3:uid="{B3FDBDD1-8E1B-4FFB-879A-BEBA4FBE3E6A}" name="2026"/>
    <tableColumn id="24" xr3:uid="{24A22630-B463-4BE3-B3CF-D238D3BAB3BD}" name="2027"/>
    <tableColumn id="25" xr3:uid="{C22C4E75-29A2-4B64-AD30-142F3E64B9EC}" name="2028"/>
    <tableColumn id="26" xr3:uid="{C2F07631-9ACB-45AB-8FDF-A8CB27532F82}" name="2029"/>
    <tableColumn id="15" xr3:uid="{69D7B370-5747-44FB-B799-E0165D82AB43}" name="2030"/>
    <tableColumn id="16" xr3:uid="{A68653F4-6D2A-41A9-9570-760E8D75FCA3}" name="2035"/>
    <tableColumn id="17" xr3:uid="{D9DF5E94-F8A4-44F1-9683-6EB6E420B83B}" name="2040"/>
    <tableColumn id="18" xr3:uid="{1629F605-83D1-4367-9718-D42D047B7D01}" name="2045"/>
    <tableColumn id="19" xr3:uid="{B5695712-88D1-4C0B-9020-30FE9961BD2B}" name="2050"/>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D84AD8B9-17F0-4E99-8B92-C72019BF2C68}" name="Klisz_Emissionen_Bundesmix" displayName="Klisz_Emissionen_Bundesmix" ref="B60:Y221" totalsRowShown="0" headerRowCellStyle="Standard" dataCellStyle="Standard">
  <autoFilter ref="B60:Y221" xr:uid="{57BE4B1F-9EDD-4191-A217-88F1F6FA323C}"/>
  <tableColumns count="24">
    <tableColumn id="22" xr3:uid="{1DF34A87-9562-4680-B826-199F3F972CE6}" name="ID" dataDxfId="755" dataCellStyle="Standard"/>
    <tableColumn id="2" xr3:uid="{EE30E185-6D54-488F-8985-462D73C98802}" name="Handlungsfeld" dataDxfId="754" dataCellStyle="Standard">
      <calculatedColumnFormula>Refsz_Verbräuche[[#This Row],[Datenpunkt]]</calculatedColumnFormula>
    </tableColumn>
    <tableColumn id="3" xr3:uid="{AF3CD7CD-417A-47EE-BA32-88BB130DF973}" name="Einheit" dataCellStyle="Standard"/>
    <tableColumn id="4" xr3:uid="{FF5246F3-EABC-4441-B591-720CDDF70F84}" name="2015" dataDxfId="753" dataCellStyle="Standard"/>
    <tableColumn id="5" xr3:uid="{622FB66D-4C81-4447-B3C4-CDCFD72191B1}" name="2016" dataDxfId="752" dataCellStyle="Standard"/>
    <tableColumn id="6" xr3:uid="{A1105FFC-A62A-4C3F-A67D-AD2BAFBC538F}" name="2017" dataDxfId="751" dataCellStyle="Standard"/>
    <tableColumn id="7" xr3:uid="{01B9D34F-D059-4DA0-BF51-FFEB9BEF1719}" name="2018" dataDxfId="750" dataCellStyle="Standard"/>
    <tableColumn id="8" xr3:uid="{A8613833-4F07-4A05-8595-0E1FEE8C46C8}" name="2019" dataDxfId="749" dataCellStyle="Standard"/>
    <tableColumn id="9" xr3:uid="{02D81A42-A7A1-49EF-966C-3C89D4D6F27C}" name="2020" dataDxfId="748" dataCellStyle="Standard"/>
    <tableColumn id="10" xr3:uid="{23AA0F16-3A93-46DC-A663-615889DBAEF8}" name="2021" dataDxfId="747" dataCellStyle="Standard"/>
    <tableColumn id="11" xr3:uid="{37D541B8-3492-4D7B-9700-BE6043A34440}" name="2022" dataDxfId="746" dataCellStyle="Standard"/>
    <tableColumn id="12" xr3:uid="{79678AF4-7AA6-49B7-9528-A2163CB1BB05}" name="2023" dataDxfId="745" dataCellStyle="Standard"/>
    <tableColumn id="13" xr3:uid="{977861ED-4DA6-4029-A068-97AC86D347F2}" name="2024" dataDxfId="744" dataCellStyle="Standard"/>
    <tableColumn id="14" xr3:uid="{67B28CA2-AA67-4460-A159-572BC38B57D4}" name="2025" dataDxfId="743" dataCellStyle="Standard"/>
    <tableColumn id="15" xr3:uid="{803867DE-7787-4D97-BC60-C2DD307AE41C}" name="2026" dataDxfId="742" dataCellStyle="Standard"/>
    <tableColumn id="1" xr3:uid="{961A3623-60F7-4487-A000-3BE0C85F6462}" name="2027" dataDxfId="741"/>
    <tableColumn id="23" xr3:uid="{78D4F9CC-8DAE-4246-BC5E-E71A26F5B5C0}" name="2028" dataDxfId="740"/>
    <tableColumn id="24" xr3:uid="{F5C617D9-8809-4E04-BA02-38FF40A17F2E}" name="2029" dataDxfId="739"/>
    <tableColumn id="16" xr3:uid="{387127DD-E411-4D32-A8FB-C1EBC3261585}" name="2030" dataDxfId="738" dataCellStyle="Standard"/>
    <tableColumn id="17" xr3:uid="{EF8F4453-F2D2-4BB7-BAFF-6323AC540069}" name="2035" dataDxfId="737" dataCellStyle="Standard"/>
    <tableColumn id="18" xr3:uid="{9461E14A-E044-469B-87DA-ECA55AD56617}" name="2040" dataDxfId="736" dataCellStyle="Standard"/>
    <tableColumn id="19" xr3:uid="{B5DCAD50-5981-4EF2-BCAF-F9BEB0FED917}" name="2045" dataDxfId="735" dataCellStyle="Standard"/>
    <tableColumn id="20" xr3:uid="{133798D4-B3DB-4E7E-BBEF-2FBBB268ED94}" name="2050" dataDxfId="734" dataCellStyle="Standard"/>
    <tableColumn id="21" xr3:uid="{02A71F39-AF2A-4536-9B98-A4F4693A7C89}" name="Bemerkungen" dataCellStyle="Standard"/>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67E77B9F-D45F-420F-A757-1D9669E7C372}" name="Klisz_Emissionen_BundesmixKS80" displayName="Klisz_Emissionen_BundesmixKS80" ref="B225:Y386" totalsRowShown="0" headerRowCellStyle="Standard" dataCellStyle="Standard">
  <autoFilter ref="B225:Y386" xr:uid="{779926A9-981F-403C-ABBC-BD369F0B7C55}"/>
  <tableColumns count="24">
    <tableColumn id="22" xr3:uid="{E114FC40-CCC8-488A-A00C-E8C8B449AE87}" name="ID" dataDxfId="733" dataCellStyle="Standard"/>
    <tableColumn id="2" xr3:uid="{4102DF81-2D3C-4302-A632-2E2D4D1051FE}" name="Handlungsfeld" dataDxfId="732" dataCellStyle="Standard">
      <calculatedColumnFormula>'Refsz-Verbräuche'!C61</calculatedColumnFormula>
    </tableColumn>
    <tableColumn id="3" xr3:uid="{1ACAC9C4-599D-4017-98C7-A2C95C41AAB8}" name="Einheit" dataCellStyle="Standard"/>
    <tableColumn id="4" xr3:uid="{FAF9DF7E-AFE9-4389-84CC-F569DF03409F}" name="2015" dataDxfId="731" dataCellStyle="Standard"/>
    <tableColumn id="5" xr3:uid="{C2A1D74D-A89D-46EB-B2D3-2F2E30262F07}" name="2016" dataDxfId="730" dataCellStyle="Standard"/>
    <tableColumn id="6" xr3:uid="{815F8575-213C-4949-9E04-35BC9482407A}" name="2017" dataDxfId="729" dataCellStyle="Standard"/>
    <tableColumn id="7" xr3:uid="{6C10BF83-E6D8-49F5-850D-619E7D01EDF7}" name="2018" dataDxfId="728" dataCellStyle="Standard"/>
    <tableColumn id="8" xr3:uid="{4CD2D77A-3B6B-4D1D-876F-6DFDFE0131A2}" name="2019" dataDxfId="727" dataCellStyle="Standard"/>
    <tableColumn id="9" xr3:uid="{55E7E9E6-5C64-43A5-9363-FBFC075E212F}" name="2020" dataDxfId="726" dataCellStyle="Standard"/>
    <tableColumn id="10" xr3:uid="{FFD48348-C871-4DF5-8C13-80E2C37BE378}" name="2021" dataDxfId="725" dataCellStyle="Standard"/>
    <tableColumn id="11" xr3:uid="{4647867A-1B72-4DE4-BFE8-3CCC9CE4D4DF}" name="2022" dataDxfId="724" dataCellStyle="Standard"/>
    <tableColumn id="12" xr3:uid="{DC7BA1C8-B832-4ED4-90FE-1ADA1473B093}" name="2023" dataDxfId="723" dataCellStyle="Standard"/>
    <tableColumn id="13" xr3:uid="{0C7EA40C-C0FF-4CD1-B319-D8E35BA90305}" name="2024" dataDxfId="722" dataCellStyle="Standard"/>
    <tableColumn id="14" xr3:uid="{D35B1679-0BBB-4CE6-B2FA-3A30B6DBA3B5}" name="2025" dataDxfId="721" dataCellStyle="Standard"/>
    <tableColumn id="15" xr3:uid="{392038C0-6EBD-44AA-9FE1-59880C6C4232}" name="2026" dataDxfId="720" dataCellStyle="Standard"/>
    <tableColumn id="1" xr3:uid="{DD93A04F-DC24-448F-A927-E937B23F6E8B}" name="2027" dataDxfId="719"/>
    <tableColumn id="23" xr3:uid="{FDA0DD71-F53B-433F-8D59-322564C32E6D}" name="2028" dataDxfId="718"/>
    <tableColumn id="24" xr3:uid="{F9D0BC22-EA27-49C9-8BF3-E9D37BAF285E}" name="2029" dataDxfId="717"/>
    <tableColumn id="16" xr3:uid="{FEB35088-566C-4050-97A7-1E6EE8866290}" name="2030" dataDxfId="716" dataCellStyle="Standard"/>
    <tableColumn id="17" xr3:uid="{1FAB34DA-5B60-488D-B479-135BFDE0C78C}" name="2035" dataDxfId="715" dataCellStyle="Standard"/>
    <tableColumn id="18" xr3:uid="{AC58482A-0D19-43B7-810E-FEE55BB2BD43}" name="2040" dataDxfId="714" dataCellStyle="Standard"/>
    <tableColumn id="19" xr3:uid="{610514FF-ABD6-40FB-840C-11973082A2A7}" name="2045" dataDxfId="713" dataCellStyle="Standard"/>
    <tableColumn id="20" xr3:uid="{C3559A60-EA92-489D-80E8-B25E55146C11}" name="2050" dataDxfId="712" dataCellStyle="Standard"/>
    <tableColumn id="21" xr3:uid="{915873E7-F578-45A4-ABF6-D1BDD9DB9DEB}" name="Bemerkungen" dataCellStyle="Standard"/>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B862EBB8-ADD0-4552-A0CB-F0DB4BF7376E}" name="Klisz_Emissionen_Regiomix" displayName="Klisz_Emissionen_Regiomix" ref="B390:Y551" totalsRowShown="0" headerRowCellStyle="Standard" dataCellStyle="Standard">
  <autoFilter ref="B390:Y551" xr:uid="{8E2D9B39-3C30-4331-AE80-E6A4577289DA}"/>
  <tableColumns count="24">
    <tableColumn id="22" xr3:uid="{F45C38F8-080A-4162-9B17-CCC299F9FE77}" name="ID" dataDxfId="711" dataCellStyle="Standard"/>
    <tableColumn id="2" xr3:uid="{98A3C268-D7EC-4CDC-927B-9B827D8145FF}" name="Handlungsfeld" dataDxfId="710" dataCellStyle="Standard">
      <calculatedColumnFormula>'Refsz-Verbräuche'!C61</calculatedColumnFormula>
    </tableColumn>
    <tableColumn id="3" xr3:uid="{B6EE2AEC-B78F-4650-8AB3-8725FE9E015E}" name="Einheit" dataCellStyle="Standard"/>
    <tableColumn id="4" xr3:uid="{5BAB459F-A532-442F-9830-47092EF1F7C9}" name="2015" dataDxfId="709" dataCellStyle="Standard">
      <calculatedColumnFormula>IF(ISNUMBER('Klisz-Verbräuche'!F61), 'Klisz-Verbräuche'!F61*Emissionsfaktoren!E61/1000, 0)</calculatedColumnFormula>
    </tableColumn>
    <tableColumn id="5" xr3:uid="{759E00B8-FB4A-4FB6-ACF1-36D6ABF9C51C}" name="2016" dataDxfId="708" dataCellStyle="Standard">
      <calculatedColumnFormula>IF(ISNUMBER('Klisz-Verbräuche'!G61), 'Klisz-Verbräuche'!G61*Emissionsfaktoren!F61/1000, 0)</calculatedColumnFormula>
    </tableColumn>
    <tableColumn id="6" xr3:uid="{6AC64AC9-C79A-439B-8DAD-D353FE3AEB13}" name="2017" dataDxfId="707" dataCellStyle="Standard">
      <calculatedColumnFormula>IF(ISNUMBER('Klisz-Verbräuche'!H61), 'Klisz-Verbräuche'!H61*Emissionsfaktoren!G61/1000, 0)</calculatedColumnFormula>
    </tableColumn>
    <tableColumn id="7" xr3:uid="{4C74CF95-6C48-4DF1-A4FF-92CCD06BCD12}" name="2018" dataDxfId="706" dataCellStyle="Standard">
      <calculatedColumnFormula>IF(ISNUMBER('Klisz-Verbräuche'!I61), 'Klisz-Verbräuche'!I61*Emissionsfaktoren!H61/1000, 0)</calculatedColumnFormula>
    </tableColumn>
    <tableColumn id="8" xr3:uid="{73009F90-2953-42B9-8034-B5866DC9BFF2}" name="2019" dataDxfId="705" dataCellStyle="Standard">
      <calculatedColumnFormula>IF(ISNUMBER('Klisz-Verbräuche'!J61), 'Klisz-Verbräuche'!J61*Emissionsfaktoren!I61/1000, 0)</calculatedColumnFormula>
    </tableColumn>
    <tableColumn id="9" xr3:uid="{3CFCAD37-4BDF-4A49-BF23-ED0B46540C0E}" name="2020" dataDxfId="704" dataCellStyle="Standard">
      <calculatedColumnFormula>IF(ISNUMBER('Klisz-Verbräuche'!K61), 'Klisz-Verbräuche'!K61*Emissionsfaktoren!J61/1000, 0)</calculatedColumnFormula>
    </tableColumn>
    <tableColumn id="10" xr3:uid="{A86BBFEF-E4BD-4E8C-88F8-662442F3824E}" name="2021" dataDxfId="703" dataCellStyle="Standard">
      <calculatedColumnFormula>IF(ISNUMBER('Klisz-Verbräuche'!L61), 'Klisz-Verbräuche'!L61*Emissionsfaktoren!K61/1000, 0)</calculatedColumnFormula>
    </tableColumn>
    <tableColumn id="11" xr3:uid="{88A72B1E-B0F4-45A6-9D36-CCBDA0BB61D2}" name="2022" dataDxfId="702" dataCellStyle="Standard">
      <calculatedColumnFormula>IF(ISNUMBER('Klisz-Verbräuche'!M61), 'Klisz-Verbräuche'!M61*Emissionsfaktoren!L61/1000, 0)</calculatedColumnFormula>
    </tableColumn>
    <tableColumn id="12" xr3:uid="{D20B031A-0BC0-4517-B420-F3833F550E35}" name="2023" dataDxfId="701" dataCellStyle="Standard">
      <calculatedColumnFormula>IF(ISNUMBER('Klisz-Verbräuche'!N61), 'Klisz-Verbräuche'!N61*Emissionsfaktoren!M61/1000, 0)</calculatedColumnFormula>
    </tableColumn>
    <tableColumn id="13" xr3:uid="{E7257557-BC79-44FC-B325-213FB6B7001B}" name="2024" dataDxfId="700" dataCellStyle="Standard">
      <calculatedColumnFormula>IF(ISNUMBER('Klisz-Verbräuche'!O61), 'Klisz-Verbräuche'!O61*Emissionsfaktoren!N61/1000, 0)</calculatedColumnFormula>
    </tableColumn>
    <tableColumn id="14" xr3:uid="{67119CE0-38F0-4571-A63F-1D535D6E3D69}" name="2025" dataDxfId="699" dataCellStyle="Standard">
      <calculatedColumnFormula>IF(ISNUMBER('Klisz-Verbräuche'!P61), 'Klisz-Verbräuche'!P61*Emissionsfaktoren!O61/1000, 0)</calculatedColumnFormula>
    </tableColumn>
    <tableColumn id="15" xr3:uid="{128C9A6E-B1A6-41A7-9E82-4DF0292E7F92}" name="2026" dataDxfId="698" dataCellStyle="Standard">
      <calculatedColumnFormula>IF(ISNUMBER('Klisz-Verbräuche'!Q61), 'Klisz-Verbräuche'!Q61*Emissionsfaktoren!P61/1000, 0)</calculatedColumnFormula>
    </tableColumn>
    <tableColumn id="1" xr3:uid="{7ECD3C6B-8E7C-46BC-A019-CB522D6C9582}" name="2027" dataDxfId="697">
      <calculatedColumnFormula>IF(ISNUMBER('Klisz-Verbräuche'!R61), 'Klisz-Verbräuche'!R61*Emissionsfaktoren!Q61/1000, 0)</calculatedColumnFormula>
    </tableColumn>
    <tableColumn id="23" xr3:uid="{8E68AE68-FD62-419E-8AA6-39FD4E9DDB82}" name="2028" dataDxfId="696">
      <calculatedColumnFormula>IF(ISNUMBER('Klisz-Verbräuche'!S61), 'Klisz-Verbräuche'!S61*Emissionsfaktoren!R61/1000, 0)</calculatedColumnFormula>
    </tableColumn>
    <tableColumn id="24" xr3:uid="{A4E35A02-9F16-46AC-93B1-B2AF475295A8}" name="2029" dataDxfId="695">
      <calculatedColumnFormula>IF(ISNUMBER('Klisz-Verbräuche'!T61), 'Klisz-Verbräuche'!T61*Emissionsfaktoren!S61/1000, 0)</calculatedColumnFormula>
    </tableColumn>
    <tableColumn id="16" xr3:uid="{5C2F633A-35D6-4473-8950-E8D7B583C579}" name="2030" dataDxfId="694" dataCellStyle="Standard">
      <calculatedColumnFormula>IF(ISNUMBER('Klisz-Verbräuche'!U61), 'Klisz-Verbräuche'!U61*Emissionsfaktoren!T61/1000, 0)</calculatedColumnFormula>
    </tableColumn>
    <tableColumn id="17" xr3:uid="{B7BE9E30-410B-4DC0-BD1D-F326E1E516CA}" name="2035" dataDxfId="693" dataCellStyle="Standard">
      <calculatedColumnFormula>IF(ISNUMBER('Klisz-Verbräuche'!V61), 'Klisz-Verbräuche'!V61*Emissionsfaktoren!U61/1000, 0)</calculatedColumnFormula>
    </tableColumn>
    <tableColumn id="18" xr3:uid="{4FE75F32-F201-41B0-A235-3B55A19DEBA0}" name="2040" dataDxfId="692" dataCellStyle="Standard">
      <calculatedColumnFormula>IF(ISNUMBER('Klisz-Verbräuche'!W61), 'Klisz-Verbräuche'!W61*Emissionsfaktoren!V61/1000, 0)</calculatedColumnFormula>
    </tableColumn>
    <tableColumn id="19" xr3:uid="{641E217A-36FA-4259-AEAA-053B5FC4FD20}" name="2045" dataDxfId="691" dataCellStyle="Standard">
      <calculatedColumnFormula>IF(ISNUMBER('Klisz-Verbräuche'!X61), 'Klisz-Verbräuche'!X61*Emissionsfaktoren!W61/1000, 0)</calculatedColumnFormula>
    </tableColumn>
    <tableColumn id="20" xr3:uid="{EB1EBE55-F9A1-4294-8DD1-000412A0C17C}" name="2050" dataDxfId="690" dataCellStyle="Standard">
      <calculatedColumnFormula>IF(ISNUMBER('Klisz-Verbräuche'!Y61), 'Klisz-Verbräuche'!Y61*Emissionsfaktoren!X61/1000, 0)</calculatedColumnFormula>
    </tableColumn>
    <tableColumn id="21" xr3:uid="{38059889-DF73-4D72-93C2-606891CD8B3E}" name="Bemerkungen" dataCellStyle="Standard"/>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01BD901-FF3A-42E7-8CC1-BC71416786C0}" name="Klisz_Verbräuche" displayName="Klisz_Verbräuche" ref="B60:Z221" totalsRowShown="0" headerRowCellStyle="Standard" dataCellStyle="Standard">
  <autoFilter ref="B60:Z221" xr:uid="{27EB4125-8631-4298-A1A8-144C72CCE532}"/>
  <tableColumns count="25">
    <tableColumn id="22" xr3:uid="{10D17B78-D335-4DF3-9C1A-6FABCB7DBB67}" name="ID" dataDxfId="1091" dataCellStyle="Standard"/>
    <tableColumn id="2" xr3:uid="{03D78399-2437-428D-8F11-ECA884BC6C5F}" name="Datenpunkt" dataDxfId="1090" dataCellStyle="Standard"/>
    <tableColumn id="3" xr3:uid="{7EBC1C18-011B-437B-85C5-9A74BEBA6EA6}" name="Einheit" dataDxfId="1089" dataCellStyle="Standard"/>
    <tableColumn id="21" xr3:uid="{ADAC9A44-E470-4E3C-8ADF-DD5107A65A00}" name="Jährlicher Minderungs- faktor" dataDxfId="1088" dataCellStyle="Prozent"/>
    <tableColumn id="4" xr3:uid="{62F4A6B7-3F16-4646-AFD4-6D436451FB59}" name="2015" dataDxfId="1087" dataCellStyle="Standard">
      <calculatedColumnFormula>IF(ISBLANK(Refsz_Verbräuche[[#This Row],[2015]]),"",Refsz_Verbräuche[[#This Row],[2015]])</calculatedColumnFormula>
    </tableColumn>
    <tableColumn id="5" xr3:uid="{E34619BC-BAFB-4569-81E0-46E0293A40C2}" name="2016" dataDxfId="1086" dataCellStyle="Standard">
      <calculatedColumnFormula>IF(ISBLANK(Refsz_Verbräuche[[#This Row],[2016]]),"",Refsz_Verbräuche[[#This Row],[2016]])</calculatedColumnFormula>
    </tableColumn>
    <tableColumn id="6" xr3:uid="{6F6BC5F4-1391-4535-90CD-E602D11721F0}" name="2017" dataDxfId="1085" dataCellStyle="Standard">
      <calculatedColumnFormula>IF(ISBLANK(Refsz_Verbräuche[[#This Row],[2017]]),"",Refsz_Verbräuche[[#This Row],[2017]])</calculatedColumnFormula>
    </tableColumn>
    <tableColumn id="7" xr3:uid="{12EB4926-5148-40BC-8842-D7B66804FD24}" name="2018" dataDxfId="1084" dataCellStyle="Standard">
      <calculatedColumnFormula>IF(ISBLANK(Refsz_Verbräuche[[#This Row],[2018]]),"",Refsz_Verbräuche[[#This Row],[2018]])</calculatedColumnFormula>
    </tableColumn>
    <tableColumn id="8" xr3:uid="{7DC4AC8F-F158-4F5A-8AB3-D6FDBAA19137}" name="2019" dataDxfId="1083" dataCellStyle="Standard">
      <calculatedColumnFormula>IF(ISBLANK(Refsz_Verbräuche[[#This Row],[2019]]),"",Refsz_Verbräuche[[#This Row],[2019]])</calculatedColumnFormula>
    </tableColumn>
    <tableColumn id="9" xr3:uid="{2052AC62-536C-440B-9329-115F74B1BA4B}" name="2020" dataDxfId="1082" dataCellStyle="Standard">
      <calculatedColumnFormula>IF(ISBLANK(Refsz_Verbräuche[[#This Row],[2020]]),"",Refsz_Verbräuche[[#This Row],[2020]])</calculatedColumnFormula>
    </tableColumn>
    <tableColumn id="10" xr3:uid="{9EECB01F-B9B8-4F09-8D4E-3C78FD0952AF}" name="2021" dataDxfId="1081" dataCellStyle="Standard">
      <calculatedColumnFormula>IF(ISBLANK(Refsz_Verbräuche[[#This Row],[2021]]),"",Refsz_Verbräuche[[#This Row],[2021]])</calculatedColumnFormula>
    </tableColumn>
    <tableColumn id="11" xr3:uid="{6EE57987-5528-454C-A81E-CB0450A064C9}" name="2022" dataDxfId="1080" dataCellStyle="Standard">
      <calculatedColumnFormula>IF(Klisz_Verbräuche[[#Headers],[2022]]=$B$57,IF(COUNTIF($F61:Klisz_Verbräuche[[#This Row],[2021]],"&gt;0")&gt;0, AVERAGEIF($F61:Klisz_Verbräuche[[#This Row],[2021]],"&lt;&gt;"), ""),IF($B$57&lt;Klisz_Verbräuche[[#Headers],[2022]],IF(COUNTIF($F61:Klisz_Verbräuche[[#This Row],[2021]],"&gt;0")&gt;0,IF(COUNTIF($F61:Klisz_Verbräuche[[#This Row],[2021]],"&gt;0")&gt;0,Klisz_Verbräuche[[#This Row],[2021]]*(1-$E61)^1, ""), ""),IF($B$57&gt;Klisz_Verbräuche[[#Headers],[2022]],Refsz_Verbräuche[[#This Row],[2022]],"")))</calculatedColumnFormula>
    </tableColumn>
    <tableColumn id="12" xr3:uid="{FC774AD4-7848-4A42-B14D-7A2607B26E4F}" name="2023" dataDxfId="1079" dataCellStyle="Standard">
      <calculatedColumnFormula>IF(Klisz_Verbräuche[[#Headers],[2023]]=$B$57,IF(COUNTIF($F61:Klisz_Verbräuche[[#This Row],[2022]],"&gt;0")&gt;0, AVERAGEIF($F61:Klisz_Verbräuche[[#This Row],[2022]],"&lt;&gt;"), ""),IF($B$57&lt;Klisz_Verbräuche[[#Headers],[2023]],IF(COUNTIF($F61:Klisz_Verbräuche[[#This Row],[2022]],"&gt;0")&gt;0,IF(COUNTIF($F61:Klisz_Verbräuche[[#This Row],[2022]],"&gt;0")&gt;0,Klisz_Verbräuche[[#This Row],[2022]]*(1-$E61)^1, ""), ""),IF($B$57&gt;Klisz_Verbräuche[[#Headers],[2023]],Refsz_Verbräuche[[#This Row],[2023]],"")))</calculatedColumnFormula>
    </tableColumn>
    <tableColumn id="13" xr3:uid="{CDAEBE87-DB39-40B5-A482-F2D7347E627C}" name="2024" dataDxfId="1078" dataCellStyle="Standard">
      <calculatedColumnFormula>IF(Klisz_Verbräuche[[#Headers],[2024]]=$B$57,IF(COUNTIF($F61:Klisz_Verbräuche[[#This Row],[2023]],"&gt;0")&gt;0, AVERAGEIF($F61:Klisz_Verbräuche[[#This Row],[2023]],"&lt;&gt;"), ""),IF($B$57&lt;Klisz_Verbräuche[[#Headers],[2024]],IF(COUNTIF($F61:Klisz_Verbräuche[[#This Row],[2023]],"&gt;0")&gt;0,IF(COUNTIF($F61:Klisz_Verbräuche[[#This Row],[2023]],"&gt;0")&gt;0,Klisz_Verbräuche[[#This Row],[2023]]*(1-$E61)^1, ""), ""),IF($B$57&gt;Klisz_Verbräuche[[#Headers],[2024]],Refsz_Verbräuche[[#This Row],[2024]],"")))</calculatedColumnFormula>
    </tableColumn>
    <tableColumn id="14" xr3:uid="{4EB9FB16-FF96-48CD-AB28-0AEB1469CC43}" name="2025" dataDxfId="1077" dataCellStyle="Standard">
      <calculatedColumnFormula>IF(Klisz_Verbräuche[[#Headers],[2025]]=$B$57,IF(COUNTIF($F61:Klisz_Verbräuche[[#This Row],[2024]],"&gt;0")&gt;0, AVERAGEIF($F61:Klisz_Verbräuche[[#This Row],[2024]],"&lt;&gt;"), ""),IF($B$57&lt;Klisz_Verbräuche[[#Headers],[2025]],IF(COUNTIF($F61:Klisz_Verbräuche[[#This Row],[2024]],"&gt;0")&gt;0,IF(COUNTIF($F61:Klisz_Verbräuche[[#This Row],[2024]],"&gt;0")&gt;0,Klisz_Verbräuche[[#This Row],[2024]]*(1-$E61)^1, ""), ""),IF($B$57&gt;Klisz_Verbräuche[[#Headers],[2025]],Refsz_Verbräuche[[#This Row],[2025]],"")))</calculatedColumnFormula>
    </tableColumn>
    <tableColumn id="15" xr3:uid="{B34EC022-06EE-4A95-9F81-313D1CDF5535}" name="2026" dataDxfId="1076" dataCellStyle="Standard">
      <calculatedColumnFormula>IF(Klisz_Verbräuche[[#Headers],[2026]]=$B$57,IF(COUNTIF($F61:Klisz_Verbräuche[[#This Row],[2025]],"&gt;0")&gt;0, AVERAGEIF($F61:Klisz_Verbräuche[[#This Row],[2025]],"&lt;&gt;"), ""),IF($B$57&lt;Klisz_Verbräuche[[#Headers],[2026]],IF(COUNTIF($F61:Klisz_Verbräuche[[#This Row],[2025]],"&gt;0")&gt;0,IF(COUNTIF($F61:Klisz_Verbräuche[[#This Row],[2025]],"&gt;0")&gt;0,Klisz_Verbräuche[[#This Row],[2025]]*(1-$E61)^1, ""), ""),IF($B$57&gt;Klisz_Verbräuche[[#Headers],[2026]],Refsz_Verbräuche[[#This Row],[2026]],"")))</calculatedColumnFormula>
    </tableColumn>
    <tableColumn id="23" xr3:uid="{04F978D0-48FE-479F-833E-49B437F190FA}" name="2027" dataDxfId="1075">
      <calculatedColumnFormula>IF(Klisz_Verbräuche[[#Headers],[2027]]=$B$57,IF(COUNTIF($F61:Klisz_Verbräuche[[#This Row],[2026]],"&gt;0")&gt;0, AVERAGEIF($F61:Klisz_Verbräuche[[#This Row],[2026]],"&lt;&gt;"), ""),IF($B$57&lt;Klisz_Verbräuche[[#Headers],[2027]],IF(COUNTIF($F61:Klisz_Verbräuche[[#This Row],[2026]],"&gt;0")&gt;0,IF(COUNTIF($F61:Klisz_Verbräuche[[#This Row],[2026]],"&gt;0")&gt;0,Klisz_Verbräuche[[#This Row],[2026]]*(1-$E61)^1, ""), ""),IF($B$57&gt;Klisz_Verbräuche[[#Headers],[2027]],Refsz_Verbräuche[[#This Row],[2027]],"")))</calculatedColumnFormula>
    </tableColumn>
    <tableColumn id="24" xr3:uid="{072871C4-7DA4-48A8-A978-32135A324849}" name="2028" dataDxfId="1074">
      <calculatedColumnFormula>IF(Klisz_Verbräuche[[#Headers],[2028]]=$B$57,IF(COUNTIF($F61:Klisz_Verbräuche[[#This Row],[2027]],"&gt;0")&gt;0, AVERAGEIF($F61:Klisz_Verbräuche[[#This Row],[2027]],"&lt;&gt;"), ""),IF($B$57&lt;Klisz_Verbräuche[[#Headers],[2028]],IF(COUNTIF($F61:Klisz_Verbräuche[[#This Row],[2027]],"&gt;0")&gt;0,IF(COUNTIF($F61:Klisz_Verbräuche[[#This Row],[2027]],"&gt;0")&gt;0,Klisz_Verbräuche[[#This Row],[2027]]*(1-$E61)^1, ""), ""),IF($B$57&gt;Klisz_Verbräuche[[#Headers],[2028]],Refsz_Verbräuche[[#This Row],[2028]],"")))</calculatedColumnFormula>
    </tableColumn>
    <tableColumn id="25" xr3:uid="{103C5003-76E4-4E25-A482-4BBF0A5AB500}" name="2029" dataDxfId="1073">
      <calculatedColumnFormula>IF(Klisz_Verbräuche[[#Headers],[2029]]=$B$57,IF(COUNTIF($F61:Klisz_Verbräuche[[#This Row],[2028]],"&gt;0")&gt;0, AVERAGEIF($F61:Klisz_Verbräuche[[#This Row],[2028]],"&lt;&gt;"), ""),IF($B$57&lt;Klisz_Verbräuche[[#Headers],[2029]],IF(COUNTIF($F61:Klisz_Verbräuche[[#This Row],[2028]],"&gt;0")&gt;0,IF(COUNTIF($F61:Klisz_Verbräuche[[#This Row],[2028]],"&gt;0")&gt;0,Klisz_Verbräuche[[#This Row],[2028]]*(1-$E61)^1, ""), ""),IF($B$57&gt;Klisz_Verbräuche[[#Headers],[2029]],Refsz_Verbräuche[[#This Row],[2029]],"")))</calculatedColumnFormula>
    </tableColumn>
    <tableColumn id="16" xr3:uid="{5558F45B-DCD5-4DA7-BCA1-423565EE18F8}" name="2030" dataDxfId="1072" dataCellStyle="Standard">
      <calculatedColumnFormula>IF(Klisz_Verbräuche[[#Headers],[2030]]=$B$57,IF(COUNTIF($F61:Klisz_Verbräuche[[#This Row],[2029]],"&gt;0")&gt;0, AVERAGEIF($F61:Klisz_Verbräuche[[#This Row],[2029]],"&lt;&gt;"), ""),IF($B$57&lt;Klisz_Verbräuche[[#Headers],[2030]],IF(COUNTIF($F61:Klisz_Verbräuche[[#This Row],[2029]],"&gt;0")&gt;0,IF(COUNTIF($F61:Klisz_Verbräuche[[#This Row],[2029]],"&gt;0")&gt;0,Klisz_Verbräuche[[#This Row],[2029]]*(1-$E61)^1, ""), ""),IF($B$57&gt;Klisz_Verbräuche[[#Headers],[2030]],Refsz_Verbräuche[[#This Row],[2030]],"")))</calculatedColumnFormula>
    </tableColumn>
    <tableColumn id="17" xr3:uid="{EE21F0DD-0D87-4E60-BE58-BE4616331CDB}" name="2035" dataDxfId="1071" dataCellStyle="Standard">
      <calculatedColumnFormula>IF(Klisz_Verbräuche[[#Headers],[2035]]=$B$57,IF(COUNTIF($F61:Klisz_Verbräuche[[#This Row],[2030]],"&gt;0")&gt;0, AVERAGEIF($F61:Klisz_Verbräuche[[#This Row],[2030]],"&lt;&gt;"), ""),IF($B$57&lt;Klisz_Verbräuche[[#Headers],[2035]],IF(COUNTIF($F61:Klisz_Verbräuche[[#This Row],[2030]],"&gt;0")&gt;0,IF(COUNTIF($F61:Klisz_Verbräuche[[#This Row],[2030]],"&gt;0")&gt;0,Klisz_Verbräuche[[#This Row],[2030]]*(1-$E61)^5, ""), ""),IF($B$57&gt;Klisz_Verbräuche[[#Headers],[2035]],Refsz_Verbräuche[[#This Row],[2035]],"")))</calculatedColumnFormula>
    </tableColumn>
    <tableColumn id="18" xr3:uid="{19AED438-45E0-4899-9217-79A4C05D1850}" name="2040" dataDxfId="1070" dataCellStyle="Standard">
      <calculatedColumnFormula>IF(Klisz_Verbräuche[[#Headers],[2040]]=$B$57,IF(COUNTIF($F61:Klisz_Verbräuche[[#This Row],[2035]],"&gt;0")&gt;0, AVERAGEIF($F61:Klisz_Verbräuche[[#This Row],[2035]],"&lt;&gt;"), ""),IF($B$57&lt;Klisz_Verbräuche[[#Headers],[2040]],IF(COUNTIF($F61:Klisz_Verbräuche[[#This Row],[2035]],"&gt;0")&gt;0,IF(COUNTIF($F61:Klisz_Verbräuche[[#This Row],[2035]],"&gt;0")&gt;0,Klisz_Verbräuche[[#This Row],[2035]]*(1-$E61)^5, ""), ""),IF($B$57&gt;Klisz_Verbräuche[[#Headers],[2040]],Refsz_Verbräuche[[#This Row],[2040]],"")))</calculatedColumnFormula>
    </tableColumn>
    <tableColumn id="19" xr3:uid="{0DA0508E-129B-4633-9578-FEAC1082DA1D}" name="2045" dataDxfId="1069" dataCellStyle="Standard">
      <calculatedColumnFormula>IF(Klisz_Verbräuche[[#Headers],[2045]]=$B$57,IF(COUNTIF($F61:Klisz_Verbräuche[[#This Row],[2040]],"&gt;0")&gt;0, AVERAGEIF($F61:Klisz_Verbräuche[[#This Row],[2040]],"&lt;&gt;"), ""),IF($B$57&lt;Klisz_Verbräuche[[#Headers],[2045]],IF(COUNTIF($F61:Klisz_Verbräuche[[#This Row],[2040]],"&gt;0")&gt;0,IF(COUNTIF($F61:Klisz_Verbräuche[[#This Row],[2040]],"&gt;0")&gt;0,Klisz_Verbräuche[[#This Row],[2040]]*(1-$E61)^5, ""), ""),IF($B$57&gt;Klisz_Verbräuche[[#Headers],[2045]],Refsz_Verbräuche[[#This Row],[2045]],"")))</calculatedColumnFormula>
    </tableColumn>
    <tableColumn id="20" xr3:uid="{C66FA6EA-5463-41AB-9405-1D313F5AD86C}" name="2050" dataDxfId="1068" dataCellStyle="Standard">
      <calculatedColumnFormula>IF(Klisz_Verbräuche[[#Headers],[2050]]=$B$57,IF(COUNTIF($F61:Klisz_Verbräuche[[#This Row],[2045]],"&gt;0")&gt;0, AVERAGEIF($F61:Klisz_Verbräuche[[#This Row],[2045]],"&lt;&gt;"), ""),IF($B$57&lt;Klisz_Verbräuche[[#Headers],[2050]],IF(COUNTIF($F61:Klisz_Verbräuche[[#This Row],[2045]],"&gt;0")&gt;0,IF(COUNTIF($F61:Klisz_Verbräuche[[#This Row],[2045]],"&gt;0")&gt;0,Klisz_Verbräuche[[#This Row],[2045]]*(1-$E61)^5, ""), ""),IF($B$57&gt;Klisz_Verbräuche[[#Headers],[2050]],Refsz_Verbräuche[[#This Row],[2050]],"")))</calculatedColumnFormula>
    </tableColumn>
    <tableColumn id="1" xr3:uid="{0046DB8B-B5F4-4605-B873-0442CB7E1646}" name="Annahmen" dataDxfId="1067" dataCellStyle="Standard"/>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16FB7570-4347-4C45-B1BD-DB76212833A6}" name="Klisz_Emissionen_Eigenes_Klimaschutzszenario" displayName="Klisz_Emissionen_Eigenes_Klimaschutzszenario" ref="B570:Y731" totalsRowShown="0" headerRowCellStyle="Standard" dataCellStyle="Standard">
  <autoFilter ref="B570:Y731" xr:uid="{E131100D-3CF0-4C8E-B5E0-F0F415C61010}"/>
  <tableColumns count="24">
    <tableColumn id="22" xr3:uid="{5D6BB039-8D35-4DAB-A696-648ADFCF489D}" name="ID" dataDxfId="689" dataCellStyle="Standard"/>
    <tableColumn id="2" xr3:uid="{4E0FA77E-7005-4B57-AC36-DABB2F4E8EF7}" name="Handlungsfeld" dataDxfId="688" dataCellStyle="Standard">
      <calculatedColumnFormula>'Refsz-Verbräuche'!C61</calculatedColumnFormula>
    </tableColumn>
    <tableColumn id="3" xr3:uid="{B8993BDC-EB0B-4318-BED5-498643A2B058}" name="Einheit" dataCellStyle="Standard"/>
    <tableColumn id="4" xr3:uid="{5FE40FF2-890C-4C0B-B889-26076174FE80}" name="2015" dataDxfId="687" dataCellStyle="Standard">
      <calculatedColumnFormula>IF('Klisz-Verbräuche'!F61, 'Klisz-Verbräuche'!F61*Emissionsfaktoren!E61/1000,0)</calculatedColumnFormula>
    </tableColumn>
    <tableColumn id="5" xr3:uid="{ADE1B008-2FDA-48C1-A868-B6963D985B9A}" name="2016" dataDxfId="686" dataCellStyle="Standard">
      <calculatedColumnFormula>IF('Klisz-Verbräuche'!G61, 'Klisz-Verbräuche'!G61*Emissionsfaktoren!F61/1000,0)</calculatedColumnFormula>
    </tableColumn>
    <tableColumn id="6" xr3:uid="{95156824-EC22-483E-BC59-2FE044D9E9C3}" name="2017" dataDxfId="685" dataCellStyle="Standard">
      <calculatedColumnFormula>IF('Klisz-Verbräuche'!H61, 'Klisz-Verbräuche'!H61*Emissionsfaktoren!G61/1000,0)</calculatedColumnFormula>
    </tableColumn>
    <tableColumn id="7" xr3:uid="{E179C1ED-94B0-4EF1-9F0D-D74632530230}" name="2018" dataDxfId="684" dataCellStyle="Standard">
      <calculatedColumnFormula>IF('Klisz-Verbräuche'!I61, 'Klisz-Verbräuche'!I61*Emissionsfaktoren!H61/1000,0)</calculatedColumnFormula>
    </tableColumn>
    <tableColumn id="8" xr3:uid="{A44D8B94-331E-4F73-B60D-045293DF85CF}" name="2019" dataDxfId="683" dataCellStyle="Standard">
      <calculatedColumnFormula>IF('Klisz-Verbräuche'!J61, 'Klisz-Verbräuche'!J61*Emissionsfaktoren!I61/1000,0)</calculatedColumnFormula>
    </tableColumn>
    <tableColumn id="9" xr3:uid="{B5D9A328-E553-41EA-B4D4-83BD4271A535}" name="2020" dataDxfId="682" dataCellStyle="Standard">
      <calculatedColumnFormula>IF('Klisz-Verbräuche'!K61, 'Klisz-Verbräuche'!K61*Emissionsfaktoren!J61/1000,0)</calculatedColumnFormula>
    </tableColumn>
    <tableColumn id="10" xr3:uid="{426A0BA4-B67B-49FB-8B17-19EBE13CD213}" name="2021" dataDxfId="681" dataCellStyle="Standard">
      <calculatedColumnFormula>IF('Klisz-Verbräuche'!L61, 'Klisz-Verbräuche'!L61*Emissionsfaktoren!K61/1000,0)</calculatedColumnFormula>
    </tableColumn>
    <tableColumn id="11" xr3:uid="{EDE0C284-9932-4A95-A3B3-0DA496D09AAD}" name="2022" dataDxfId="680" dataCellStyle="Standard">
      <calculatedColumnFormula>IF('Klisz-Verbräuche'!M61, 'Klisz-Verbräuche'!M61*Emissionsfaktoren!L61/1000,0)</calculatedColumnFormula>
    </tableColumn>
    <tableColumn id="12" xr3:uid="{85A9D944-941F-4E33-82E0-3B41089AC3B4}" name="2023" dataDxfId="679" dataCellStyle="Standard">
      <calculatedColumnFormula>IF('Klisz-Verbräuche'!N61, 'Klisz-Verbräuche'!N61*Emissionsfaktoren!M61/1000,0)</calculatedColumnFormula>
    </tableColumn>
    <tableColumn id="13" xr3:uid="{8BA7D886-B7EE-4DA0-A88D-48441C9EF27F}" name="2024" dataDxfId="678" dataCellStyle="Standard">
      <calculatedColumnFormula>IF('Klisz-Verbräuche'!O61, 'Klisz-Verbräuche'!O61*Emissionsfaktoren!N61/1000,0)</calculatedColumnFormula>
    </tableColumn>
    <tableColumn id="14" xr3:uid="{C3F0C31E-BFB5-4B23-8F31-63ACAD6E0984}" name="2025" dataDxfId="677" dataCellStyle="Standard">
      <calculatedColumnFormula>IF('Klisz-Verbräuche'!P61, 'Klisz-Verbräuche'!P61*Emissionsfaktoren!O61/1000,0)</calculatedColumnFormula>
    </tableColumn>
    <tableColumn id="15" xr3:uid="{B38DAC2C-2120-45CF-AA7C-7A95F499B555}" name="2026" dataDxfId="676" dataCellStyle="Standard">
      <calculatedColumnFormula>IF('Klisz-Verbräuche'!Q61, 'Klisz-Verbräuche'!Q61*Emissionsfaktoren!P61/1000,0)</calculatedColumnFormula>
    </tableColumn>
    <tableColumn id="1" xr3:uid="{8EF89FBB-90D2-42C7-9334-858D04F6DA74}" name="2027" dataDxfId="675">
      <calculatedColumnFormula>IF('Klisz-Verbräuche'!R61, 'Klisz-Verbräuche'!R61*Emissionsfaktoren!Q61/1000,0)</calculatedColumnFormula>
    </tableColumn>
    <tableColumn id="23" xr3:uid="{5CDFC7CC-280A-411B-8CC5-85BE983A5FB8}" name="2028" dataDxfId="674">
      <calculatedColumnFormula>IF('Klisz-Verbräuche'!S61, 'Klisz-Verbräuche'!S61*Emissionsfaktoren!R61/1000,0)</calculatedColumnFormula>
    </tableColumn>
    <tableColumn id="24" xr3:uid="{05C62B16-A64F-4EA5-8088-D473C4DB5BED}" name="2029" dataDxfId="673">
      <calculatedColumnFormula>IF('Klisz-Verbräuche'!T61, 'Klisz-Verbräuche'!T61*Emissionsfaktoren!S61/1000,0)</calculatedColumnFormula>
    </tableColumn>
    <tableColumn id="16" xr3:uid="{597C5658-34CB-46A7-9855-E3066DD6CE65}" name="2030" dataDxfId="672" dataCellStyle="Standard">
      <calculatedColumnFormula>IF('Klisz-Verbräuche'!U61, 'Klisz-Verbräuche'!U61*Emissionsfaktoren!T61/1000,0)</calculatedColumnFormula>
    </tableColumn>
    <tableColumn id="17" xr3:uid="{433E374B-1BBB-4986-9C5C-EEE818D83276}" name="2035" dataDxfId="671" dataCellStyle="Standard">
      <calculatedColumnFormula>IF('Klisz-Verbräuche'!V61, 'Klisz-Verbräuche'!V61*Emissionsfaktoren!U61/1000,0)</calculatedColumnFormula>
    </tableColumn>
    <tableColumn id="18" xr3:uid="{1BC5B1AB-0705-4825-BB3A-F7CB5D7D0863}" name="2040" dataDxfId="670" dataCellStyle="Standard">
      <calculatedColumnFormula>IF('Klisz-Verbräuche'!W61, 'Klisz-Verbräuche'!W61*Emissionsfaktoren!V61/1000,0)</calculatedColumnFormula>
    </tableColumn>
    <tableColumn id="19" xr3:uid="{565C4DE8-75A2-4923-90CD-A79A57170CD6}" name="2045" dataDxfId="669" dataCellStyle="Standard">
      <calculatedColumnFormula>IF('Klisz-Verbräuche'!X61, 'Klisz-Verbräuche'!X61*Emissionsfaktoren!W61/1000,0)</calculatedColumnFormula>
    </tableColumn>
    <tableColumn id="20" xr3:uid="{A8376D7B-D1C7-4CD2-B1E0-174132FE0A55}" name="2050" dataDxfId="668" dataCellStyle="Standard">
      <calculatedColumnFormula>IF('Klisz-Verbräuche'!Y61, 'Klisz-Verbräuche'!Y61*Emissionsfaktoren!X61/1000,0)</calculatedColumnFormula>
    </tableColumn>
    <tableColumn id="21" xr3:uid="{CC27F550-E673-453F-989C-1D19B53CC956}" name="Bemerkungen" dataCellStyle="Standard"/>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59FD7419-3CE3-4E2E-A484-55532B0E1819}" name="Klisz_Eigenes_Klimaschutzszenario_SonderEmissionsfaktoren" displayName="Klisz_Eigenes_Klimaschutzszenario_SonderEmissionsfaktoren" ref="B564:Z567" totalsRowShown="0" headerRowDxfId="667" headerRowBorderDxfId="666" tableBorderDxfId="665" totalsRowBorderDxfId="664">
  <autoFilter ref="B564:Z567" xr:uid="{3D0F8BCF-A37C-48DC-9821-DFC300D35625}"/>
  <tableColumns count="25">
    <tableColumn id="1" xr3:uid="{3F6E1782-E3CC-4068-BA49-73F7A17737ED}" name="ID"/>
    <tableColumn id="2" xr3:uid="{EC1B7769-B5CC-41AB-B97C-2B79196E2299}" name="Handlungsfeld"/>
    <tableColumn id="3" xr3:uid="{A4899563-2416-4633-84B6-5853BAB2924C}" name="Einheit" dataDxfId="663"/>
    <tableColumn id="4" xr3:uid="{25492CA8-FB80-4DB0-A557-A80BC8F41E1C}" name="2015" dataDxfId="662"/>
    <tableColumn id="5" xr3:uid="{6E35DA1C-3EC9-4FC7-B6A5-97D3EDADAB4D}" name="2016" dataDxfId="661"/>
    <tableColumn id="6" xr3:uid="{46EE2C0C-E0AE-4026-A21F-F1D079D14F5B}" name="2017" dataDxfId="660"/>
    <tableColumn id="7" xr3:uid="{8BC8445E-F977-40CE-A28A-70F245876200}" name="2018" dataDxfId="659"/>
    <tableColumn id="8" xr3:uid="{3D64414A-1925-4E2B-8F24-CC5C74B07202}" name="2019" dataDxfId="658"/>
    <tableColumn id="9" xr3:uid="{501EC22E-9846-463B-BA9D-EAEFC5494CB3}" name="2020" dataDxfId="657"/>
    <tableColumn id="10" xr3:uid="{5F7346BD-0319-4745-A7C9-D2C221AEBC8D}" name="2021" dataDxfId="656"/>
    <tableColumn id="11" xr3:uid="{EA4DE42E-8788-42E7-BB9D-BF8B93B04EA1}" name="2022" dataDxfId="655"/>
    <tableColumn id="12" xr3:uid="{9799CFB9-D397-4EF2-8AAA-FC108AE6EBC2}" name="2023" dataDxfId="654"/>
    <tableColumn id="13" xr3:uid="{90530A36-A26F-4B22-8785-E2A7A32EB4D8}" name="2024" dataDxfId="653"/>
    <tableColumn id="14" xr3:uid="{705D421B-C9E9-464B-9A4E-9893B4CAD8E8}" name="2025" dataDxfId="652"/>
    <tableColumn id="15" xr3:uid="{2483E92D-15B1-4537-B63A-624C514DA563}" name="2026" dataDxfId="651"/>
    <tableColumn id="16" xr3:uid="{97D19154-66D9-4FF8-B45E-8AF587A3F492}" name="2027" dataDxfId="650"/>
    <tableColumn id="17" xr3:uid="{46DDE16C-32C0-484F-8D40-1219E69BA841}" name="2028" dataDxfId="649"/>
    <tableColumn id="18" xr3:uid="{A3E480BD-5123-4ADD-A378-5EDEFA5B7FA0}" name="2029" dataDxfId="648"/>
    <tableColumn id="19" xr3:uid="{B926BEE5-0E2E-4850-9390-B41196AFF8CD}" name="2030" dataDxfId="647"/>
    <tableColumn id="20" xr3:uid="{91DCD532-72F8-4734-AD79-84617C30E5BB}" name="2035" dataDxfId="646"/>
    <tableColumn id="21" xr3:uid="{9DFCD4FB-0332-46D5-AF94-576F86B190EE}" name="2040" dataDxfId="645"/>
    <tableColumn id="22" xr3:uid="{C2296E0C-E723-4B0B-BD72-248F9C2DE542}" name="2045" dataDxfId="644"/>
    <tableColumn id="23" xr3:uid="{089D7111-01B8-4A0F-948A-41738425C5CD}" name="2050" dataDxfId="643"/>
    <tableColumn id="24" xr3:uid="{034C2839-5B17-4977-B1E4-22081C334330}" name="Quelle" dataDxfId="642"/>
    <tableColumn id="25" xr3:uid="{2D3FEBC3-F73D-4DC7-8ED1-5675E22AE526}" name="Datensatz, Hinweise" dataDxfId="641"/>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72AAA1C7-81FF-4B67-8AA3-57BE09C08FDC}" name="Klisz_Bundesmix_Handlungsfelder" displayName="Klisz_Bundesmix_Handlungsfelder" ref="C748:X760" totalsRowCount="1">
  <autoFilter ref="C748:X759" xr:uid="{3359A006-31A6-4F08-B6C5-A8CDA16B7EB4}"/>
  <tableColumns count="22">
    <tableColumn id="1" xr3:uid="{1D557532-FAB4-4F3D-A5EC-9C80DB05BD73}" name="Handlungsfeld" totalsRowLabel="Ergebnis" totalsRowDxfId="640"/>
    <tableColumn id="2" xr3:uid="{0A3C0990-A025-4E23-B8F1-DED6F7C43C5C}" name="Einheit" totalsRowLabel="t CO2-Äq." totalsRowDxfId="639"/>
    <tableColumn id="3" xr3:uid="{30476B61-9E24-4F27-B163-B3C3D97681A5}" name="2015" totalsRowFunction="sum"/>
    <tableColumn id="4" xr3:uid="{FEEAB970-0890-40B8-9B3D-3DBAE3A80E80}" name="2016" totalsRowFunction="sum"/>
    <tableColumn id="5" xr3:uid="{606D8F6E-1EA0-4E56-8C43-CA7B1DB7F202}" name="2017" totalsRowFunction="sum"/>
    <tableColumn id="6" xr3:uid="{27F5038B-BA12-4D51-BEE4-3C86572A70D8}" name="2018" totalsRowFunction="sum"/>
    <tableColumn id="7" xr3:uid="{BF26E0A8-84B0-4A2E-AE64-4C22DFCD88BF}" name="2019" totalsRowFunction="sum"/>
    <tableColumn id="8" xr3:uid="{7C9AFED8-5638-4C0D-AB28-DA3BAD0BB600}" name="2020" totalsRowFunction="sum"/>
    <tableColumn id="9" xr3:uid="{3DF88E90-A0DB-4BC1-9935-0BF454F4809C}" name="2021" totalsRowFunction="sum"/>
    <tableColumn id="10" xr3:uid="{9336BC28-3585-4020-A246-9C2DF80F0E33}" name="2022" totalsRowFunction="sum"/>
    <tableColumn id="11" xr3:uid="{32C743B1-2F44-4DF6-8B7C-32EB0B0441C1}" name="2023" totalsRowFunction="sum"/>
    <tableColumn id="12" xr3:uid="{0F22C594-AF69-469A-898C-D59D2E320199}" name="2024" totalsRowFunction="sum"/>
    <tableColumn id="13" xr3:uid="{F49CEB65-750A-447B-AC58-50035E67B2D7}" name="2025" totalsRowFunction="sum"/>
    <tableColumn id="14" xr3:uid="{9F1C103E-5C11-4B64-9723-CED8B2053D93}" name="2026" totalsRowFunction="sum"/>
    <tableColumn id="20" xr3:uid="{46C2753E-5734-436B-9458-6E383D79D738}" name="2027" totalsRowFunction="sum"/>
    <tableColumn id="21" xr3:uid="{FDB83ACE-04AF-45E8-8A3E-7FBC7AEF3468}" name="2028" totalsRowFunction="sum"/>
    <tableColumn id="22" xr3:uid="{DF1E4CD6-E6CA-4452-B1F3-A9BABEF18CA1}" name="2029" totalsRowFunction="sum"/>
    <tableColumn id="15" xr3:uid="{DE1C00DF-C290-43BA-A516-AF93CBD4FCD9}" name="2030" totalsRowFunction="sum"/>
    <tableColumn id="16" xr3:uid="{47B555EA-6961-49B1-813F-39FF0C8CF92E}" name="2035" totalsRowFunction="sum"/>
    <tableColumn id="17" xr3:uid="{72B6C48A-4533-4C9A-B2C2-911F0BC49F96}" name="2040" totalsRowFunction="sum"/>
    <tableColumn id="18" xr3:uid="{19F7BFCF-6E8C-4282-9185-64FAE5ACFB41}" name="2045" totalsRowFunction="sum"/>
    <tableColumn id="19" xr3:uid="{C20BC98E-94BF-4586-A06B-7C77CC6B909A}" name="2050" totalsRowFunction="sum"/>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ABD3EF88-1D01-492A-A09F-C3B82E661E6C}" name="Klisz_Bundesmix_Kennwerte" displayName="Klisz_Bundesmix_Kennwerte" ref="C762:X764" totalsRowShown="0">
  <autoFilter ref="C762:X764" xr:uid="{B8B4AC4C-63A2-47D2-998A-509AB9F31554}"/>
  <tableColumns count="22">
    <tableColumn id="1" xr3:uid="{23A7054A-1F66-4C9B-AD44-DC9DDAF0729A}" name="Kennwerte"/>
    <tableColumn id="2" xr3:uid="{9093D62B-9F91-4117-8431-83E0C1974000}" name="Einheit"/>
    <tableColumn id="3" xr3:uid="{1BF9ACD9-1A9C-409A-9227-CEA1EF553A57}" name="2015"/>
    <tableColumn id="4" xr3:uid="{6D2105EE-E216-4554-A7C3-88D43D54E2B1}" name="2016"/>
    <tableColumn id="5" xr3:uid="{11DFD70A-332E-4881-93CB-4C8BD070F1EC}" name="2017"/>
    <tableColumn id="6" xr3:uid="{A790ECF7-120D-4EC5-AD9A-1881B229A3A6}" name="2018"/>
    <tableColumn id="7" xr3:uid="{F04EE1DD-3F8E-4BF4-8022-68C48D6FC5F5}" name="2019"/>
    <tableColumn id="8" xr3:uid="{B83760F3-3066-4829-9262-7AD3336A14F4}" name="2020"/>
    <tableColumn id="9" xr3:uid="{6101DECA-B04A-4A67-89E7-4D07A1A61298}" name="2021"/>
    <tableColumn id="10" xr3:uid="{91EC410F-7853-4ACF-9645-73384F2F5DA9}" name="2022"/>
    <tableColumn id="11" xr3:uid="{830174BA-F451-4910-A027-175852072B01}" name="2023"/>
    <tableColumn id="12" xr3:uid="{EAE2B341-499D-4BDF-8D19-CDED26EF7F8E}" name="2024"/>
    <tableColumn id="13" xr3:uid="{CEF701CA-45AF-45EF-8212-15A30AA7D65D}" name="2025"/>
    <tableColumn id="14" xr3:uid="{CB717D17-BA8F-435E-AAB9-9F9E06F0E945}" name="2026"/>
    <tableColumn id="24" xr3:uid="{86E0541D-0D6A-471D-92F2-6FC574DBCB80}" name="2027"/>
    <tableColumn id="25" xr3:uid="{71B80831-26AC-4A94-BEF9-7226D1CDCD4B}" name="2028"/>
    <tableColumn id="26" xr3:uid="{48748E4D-F4E4-4A02-8208-ADD88752865F}" name="2029"/>
    <tableColumn id="15" xr3:uid="{B92996CC-5E5B-4B2A-AE19-A4D64164A745}" name="2030"/>
    <tableColumn id="16" xr3:uid="{6E67F587-EF8B-4943-965B-580BA6946D54}" name="2035"/>
    <tableColumn id="17" xr3:uid="{E9A30573-9910-4690-B2EF-F7968512CA54}" name="2040"/>
    <tableColumn id="18" xr3:uid="{05178B4B-35BA-4BC7-9F74-75A58F6DF2A5}" name="2045"/>
    <tableColumn id="19" xr3:uid="{FF44F2C9-BC72-4315-AE23-A0439EF8A328}" name="2050"/>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EA062963-9999-4C27-BC98-A74EA0CF200F}" name="Klisz_Bundesmix_KS80_Handlungsfelder" displayName="Klisz_Bundesmix_KS80_Handlungsfelder" ref="C769:X781" totalsRowCount="1">
  <autoFilter ref="C769:X780" xr:uid="{370BF731-EAE9-4A03-81A5-3F5058416E15}"/>
  <tableColumns count="22">
    <tableColumn id="1" xr3:uid="{7A34C515-4B28-4314-A596-E62FC795E2F7}" name="Handlungsfeld" totalsRowLabel="Ergebnis" totalsRowDxfId="638"/>
    <tableColumn id="2" xr3:uid="{2ADC02FA-F9AA-4E9D-BAB9-4591688390CE}" name="Einheit" totalsRowLabel="t CO2-Äq." totalsRowDxfId="637"/>
    <tableColumn id="3" xr3:uid="{7241DAA4-C865-4A68-A890-A4636987194C}" name="2015" totalsRowFunction="sum"/>
    <tableColumn id="4" xr3:uid="{43C91F9A-D2FF-489F-9728-388E1CADE600}" name="2016" totalsRowFunction="sum"/>
    <tableColumn id="5" xr3:uid="{9B806FF5-7640-423D-90B3-ADE3C752B445}" name="2017" totalsRowFunction="sum"/>
    <tableColumn id="6" xr3:uid="{08558BE8-665B-4961-A58E-260CFF068563}" name="2018" totalsRowFunction="sum"/>
    <tableColumn id="7" xr3:uid="{38DE3B09-FBFB-4FAA-A23D-47C9AAAE02A2}" name="2019" totalsRowFunction="sum"/>
    <tableColumn id="8" xr3:uid="{9FA522F7-3CD2-4C22-A69B-0D56DA734F20}" name="2020" totalsRowFunction="sum"/>
    <tableColumn id="9" xr3:uid="{C0AD349E-2503-4199-AA51-97A84D0AF0BC}" name="2021" totalsRowFunction="sum"/>
    <tableColumn id="10" xr3:uid="{9D49C747-CA7B-41C4-8F90-B14BD629ECD3}" name="2022" totalsRowFunction="sum"/>
    <tableColumn id="11" xr3:uid="{3C97092B-7427-4A8B-997C-2AFD79C35928}" name="2023" totalsRowFunction="sum"/>
    <tableColumn id="12" xr3:uid="{228D5996-7EF0-44CB-B13F-F3D4797145A3}" name="2024" totalsRowFunction="sum"/>
    <tableColumn id="13" xr3:uid="{B332FF61-4F90-47D9-833D-1C8624CD5E2F}" name="2025" totalsRowFunction="sum"/>
    <tableColumn id="14" xr3:uid="{D5E2AA48-223A-4FE5-BFCD-6FEB930FB24A}" name="2026" totalsRowFunction="sum"/>
    <tableColumn id="20" xr3:uid="{1C7A911C-E704-413F-97E9-343CCC9B4EA9}" name="2027" totalsRowFunction="sum"/>
    <tableColumn id="21" xr3:uid="{66A16C66-D1B5-40BA-B09B-C71EFB76697F}" name="2028" totalsRowFunction="sum"/>
    <tableColumn id="22" xr3:uid="{0A503F2D-3A80-4288-BA19-5AEA9C8BD5CA}" name="2029" totalsRowFunction="sum"/>
    <tableColumn id="15" xr3:uid="{EFAD3B08-BC31-476C-91CE-34FA042F44D3}" name="2030" totalsRowFunction="sum"/>
    <tableColumn id="16" xr3:uid="{EF939C5D-510E-4E1B-8744-806D5FE6F009}" name="2035" totalsRowFunction="sum"/>
    <tableColumn id="17" xr3:uid="{0992E49E-4DB0-4D08-BFCA-8D90D325A73B}" name="2040" totalsRowFunction="sum"/>
    <tableColumn id="18" xr3:uid="{5C1387A8-C200-4651-AE47-B8F05F7DBDF6}" name="2045" totalsRowFunction="sum"/>
    <tableColumn id="19" xr3:uid="{77D60896-DA89-4E9C-8243-4D2349A73718}" name="2050" totalsRowFunction="sum"/>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F750312A-9012-4EB5-ADA2-1CD48B071E43}" name="Klisz_Bundesmix_KS80_Kennwerte" displayName="Klisz_Bundesmix_KS80_Kennwerte" ref="C783:X785" totalsRowShown="0">
  <autoFilter ref="C783:X785" xr:uid="{1BD15850-9F9B-4886-9A7B-DF915D2772A1}"/>
  <tableColumns count="22">
    <tableColumn id="1" xr3:uid="{9C47F4BA-851D-434F-ADBF-72C0FF264413}" name="Kennwerte"/>
    <tableColumn id="2" xr3:uid="{E113AB75-8EE9-42FF-BA6F-94C2A6733561}" name="Einheit"/>
    <tableColumn id="3" xr3:uid="{37B12E91-E90F-44C2-A8FC-EF7C6F4CEC4A}" name="2015"/>
    <tableColumn id="4" xr3:uid="{2A87C51E-7EAD-4D1E-B6AA-6A999C02E3C6}" name="2016"/>
    <tableColumn id="5" xr3:uid="{AC0FB87A-DBD6-49BD-899A-D23A1867505F}" name="2017"/>
    <tableColumn id="6" xr3:uid="{012CEBE8-F468-49C0-9C3E-EB2BFCA93B8D}" name="2018"/>
    <tableColumn id="7" xr3:uid="{9CC0C84D-8846-4DAB-A0E5-E1468C1CC944}" name="2019"/>
    <tableColumn id="8" xr3:uid="{65FBABF1-1EF4-487A-ADB4-189FA2F53ABE}" name="2020"/>
    <tableColumn id="9" xr3:uid="{F8DB2BAB-63E8-4C6A-8F9E-8FA6A7BD511E}" name="2021"/>
    <tableColumn id="10" xr3:uid="{6873B03B-48F7-42B3-B029-E65748E11361}" name="2022"/>
    <tableColumn id="11" xr3:uid="{B99987D0-3742-4151-88B4-08BDEEEA1946}" name="2023"/>
    <tableColumn id="12" xr3:uid="{51D8A0CF-24D5-4D15-920B-2555E1F889B3}" name="2024"/>
    <tableColumn id="13" xr3:uid="{718257A7-C1EE-4A1C-BEE3-52C20CE7FA07}" name="2025"/>
    <tableColumn id="14" xr3:uid="{7850E8C7-BA75-448C-ADDE-3C68C81E8469}" name="2026"/>
    <tableColumn id="24" xr3:uid="{D9E6B475-63CC-4342-B321-584C6F989B1C}" name="2027"/>
    <tableColumn id="25" xr3:uid="{3897C9A6-2C5C-42A1-8FE1-2DCAD8AECCD3}" name="2028"/>
    <tableColumn id="26" xr3:uid="{D445F074-34B0-42DE-A7E8-D91B78BAFFD2}" name="2029"/>
    <tableColumn id="15" xr3:uid="{C417A22B-E697-4C6C-A315-A507ACE8DB44}" name="2030"/>
    <tableColumn id="16" xr3:uid="{CD1CC9DD-0A69-4B41-8F6D-BD49A3E3BD5A}" name="2035"/>
    <tableColumn id="17" xr3:uid="{6BBE2E5B-D099-4F6E-9593-AD72C0B44A06}" name="2040"/>
    <tableColumn id="18" xr3:uid="{D080867B-D67D-47DA-A1F6-21F8615C0AF9}" name="2045"/>
    <tableColumn id="19" xr3:uid="{89FA2C73-3F77-41CF-9836-DA61E80870C1}" name="2050"/>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C259430C-E2CF-4908-8101-50C8A4399CDC}" name="Klisz_Regiomix_Handlungsfelder" displayName="Klisz_Regiomix_Handlungsfelder" ref="C790:X802" totalsRowCount="1">
  <autoFilter ref="C790:X801" xr:uid="{BF2C239A-F53D-46CF-9CB6-FFE65F9C5826}"/>
  <tableColumns count="22">
    <tableColumn id="1" xr3:uid="{25FCB726-548A-4785-8D70-59456F0BEC90}" name="Handlungsfeld" totalsRowLabel="Ergebnis" totalsRowDxfId="636"/>
    <tableColumn id="2" xr3:uid="{69546C30-D7B7-47F9-861B-1A869527A6AB}" name="Einheit" totalsRowLabel="t CO2-Äq." totalsRowDxfId="635"/>
    <tableColumn id="3" xr3:uid="{89CC7CC7-4C04-4404-B90D-9DE6E7A72E70}" name="2015" totalsRowFunction="sum"/>
    <tableColumn id="4" xr3:uid="{B61C2870-15C5-45F9-B6D5-FE9D56B9AB0C}" name="2016" totalsRowFunction="sum"/>
    <tableColumn id="5" xr3:uid="{71C446D3-3723-451B-A6D5-F666302A71C5}" name="2017" totalsRowFunction="sum"/>
    <tableColumn id="6" xr3:uid="{19C2955B-015D-45D8-AFFD-B7F7C887B875}" name="2018" totalsRowFunction="sum"/>
    <tableColumn id="7" xr3:uid="{B134690C-1E11-4023-BE27-CA616F24CB59}" name="2019" totalsRowFunction="sum"/>
    <tableColumn id="8" xr3:uid="{EC7682BA-04BB-476E-A338-B74DA6B5A085}" name="2020" totalsRowFunction="sum"/>
    <tableColumn id="9" xr3:uid="{77AD3FE9-6F28-4E40-8478-9C0724522CCE}" name="2021" totalsRowFunction="sum"/>
    <tableColumn id="10" xr3:uid="{021DA7ED-1AF8-47C8-9B2C-6D55B52C7BFA}" name="2022" totalsRowFunction="sum"/>
    <tableColumn id="11" xr3:uid="{12FEF220-BF5E-4DC8-99B4-4EF5EEE5C38D}" name="2023" totalsRowFunction="sum"/>
    <tableColumn id="12" xr3:uid="{CFE0C3C9-ED1C-4F2E-89BD-2A849B2C1E42}" name="2024" totalsRowFunction="sum"/>
    <tableColumn id="13" xr3:uid="{21E93553-D537-4C74-854A-B0783DA81634}" name="2025" totalsRowFunction="sum"/>
    <tableColumn id="14" xr3:uid="{1CAAB36C-B3A4-457D-AA10-B387F902374B}" name="2026" totalsRowFunction="sum"/>
    <tableColumn id="20" xr3:uid="{B4F538AE-4E4D-4E5E-81CA-A7387E420DB4}" name="2027" totalsRowFunction="sum"/>
    <tableColumn id="21" xr3:uid="{852B27D7-08F4-4418-A486-B15D5E293F58}" name="2028" totalsRowFunction="sum"/>
    <tableColumn id="22" xr3:uid="{419F5CFC-648B-46CD-B203-4734F7F70DED}" name="2029" totalsRowFunction="sum"/>
    <tableColumn id="15" xr3:uid="{364E9407-1434-4641-94CA-C3157411556F}" name="2030" totalsRowFunction="sum"/>
    <tableColumn id="16" xr3:uid="{C0772B80-B8DF-4991-B13A-E85EBE5FFE93}" name="2035" totalsRowFunction="sum"/>
    <tableColumn id="17" xr3:uid="{89239A8F-38D0-4CB1-904C-DEEF2153E51F}" name="2040" totalsRowFunction="sum"/>
    <tableColumn id="18" xr3:uid="{4CD2FC91-0EBE-4931-9D50-028D05599FE7}" name="2045" totalsRowFunction="sum"/>
    <tableColumn id="19" xr3:uid="{DECB196C-13C9-4432-9770-BE9B2EA347A6}" name="2050" totalsRowFunction="sum"/>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9B005337-C488-4BDF-A967-E75F08EFF2D7}" name="Klisz_Regiomix_Kennwerte" displayName="Klisz_Regiomix_Kennwerte" ref="C804:X806" totalsRowShown="0">
  <autoFilter ref="C804:X806" xr:uid="{BE8A9F82-1F15-49B5-B218-5C38A7220C2A}"/>
  <tableColumns count="22">
    <tableColumn id="1" xr3:uid="{88C1D6F5-51FB-41CC-AB3D-93EB8AAFF4E1}" name="Kennwerte"/>
    <tableColumn id="2" xr3:uid="{48B8917B-EDBA-4E6F-8060-AF35D1F4056B}" name="Einheit"/>
    <tableColumn id="3" xr3:uid="{CC4F5A0D-361E-4AF5-9A95-2850A72D1EDD}" name="2015"/>
    <tableColumn id="4" xr3:uid="{F9428A5D-C56D-4F2A-82BD-5948D2D3FA3C}" name="2016"/>
    <tableColumn id="5" xr3:uid="{79B4CACA-3CA9-4E54-AE22-6AC4CD1E2155}" name="2017"/>
    <tableColumn id="6" xr3:uid="{90586E78-233C-4194-AEC1-30B1643D29B5}" name="2018"/>
    <tableColumn id="7" xr3:uid="{5594AE5E-AED7-4E85-86C0-A763E3955742}" name="2019"/>
    <tableColumn id="8" xr3:uid="{FA774143-9034-4BE8-91CF-CC373F87BDD0}" name="2020"/>
    <tableColumn id="9" xr3:uid="{F601ECE6-D1AE-40F5-B46B-811F5BE9FB45}" name="2021"/>
    <tableColumn id="10" xr3:uid="{533E0A05-B178-480F-A594-3A14C8CC0F60}" name="2022"/>
    <tableColumn id="11" xr3:uid="{17568994-C828-4F65-9911-C8E5CED5E27A}" name="2023"/>
    <tableColumn id="12" xr3:uid="{2836CD1B-14DB-4BF5-B0D7-845DC41B1E3A}" name="2024"/>
    <tableColumn id="13" xr3:uid="{43C88249-8B08-4012-A229-34EA6E2F3AD9}" name="2025"/>
    <tableColumn id="14" xr3:uid="{8C1E84B0-622B-4AC0-B8E5-D67E4C8FF5FB}" name="2026"/>
    <tableColumn id="24" xr3:uid="{5A1E06BF-E447-4B45-BA99-6FD4F24CBF01}" name="2027"/>
    <tableColumn id="25" xr3:uid="{29890B6C-53C6-4897-BDED-9A38F051DFB5}" name="2028"/>
    <tableColumn id="26" xr3:uid="{1D191A9C-C631-467B-B016-C418A7613717}" name="2029"/>
    <tableColumn id="15" xr3:uid="{654C4249-77CC-4D02-ABFA-2B9FAAE24B7E}" name="2030"/>
    <tableColumn id="16" xr3:uid="{C49C3548-DB16-4BA0-A06E-0FB077E63150}" name="2035"/>
    <tableColumn id="17" xr3:uid="{0A87A1CE-B53E-4A88-9909-403487B5935C}" name="2040"/>
    <tableColumn id="18" xr3:uid="{2515736D-C089-4ABE-8B4C-BC918FAB494B}" name="2045"/>
    <tableColumn id="19" xr3:uid="{20AF532C-7CA1-4798-BB0F-D4B751969397}" name="2050"/>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3C2350CC-0D80-4C43-9B93-00B384EA7F82}" name="Klisz_Eigenes_Klimaschutzszenario_Handlungsfelder" displayName="Klisz_Eigenes_Klimaschutzszenario_Handlungsfelder" ref="C811:X823" totalsRowCount="1">
  <autoFilter ref="C811:X822" xr:uid="{CEAE4E6F-27CD-4EF6-87AC-4E3F93BD9E62}"/>
  <tableColumns count="22">
    <tableColumn id="1" xr3:uid="{78746A30-32E4-4DF5-BB60-670E024A473F}" name="Handlungsfeld" totalsRowLabel="Ergebnis" totalsRowDxfId="634"/>
    <tableColumn id="2" xr3:uid="{7F52DFA7-E8D1-48E9-A3DA-7A37D805FBE8}" name="Einheit" totalsRowLabel="t CO2-Äq." totalsRowDxfId="633"/>
    <tableColumn id="3" xr3:uid="{1C81618F-2B45-4687-A7CC-FA5C9F7A2CD4}" name="2015" totalsRowFunction="sum"/>
    <tableColumn id="4" xr3:uid="{D9AD3691-639C-48AE-B015-9B51574CBE20}" name="2016" totalsRowFunction="sum"/>
    <tableColumn id="5" xr3:uid="{E65AD492-CD47-496F-ACD4-988CAC4E8325}" name="2017" totalsRowFunction="sum"/>
    <tableColumn id="6" xr3:uid="{3C749A2E-37F8-4813-9DEF-E74F487C2743}" name="2018" totalsRowFunction="sum"/>
    <tableColumn id="7" xr3:uid="{FE5E34E5-8D1E-4CEC-910D-5C84418B86F6}" name="2019" totalsRowFunction="sum"/>
    <tableColumn id="8" xr3:uid="{AA8F84F6-096D-473A-8DA8-C3122D8D2165}" name="2020" totalsRowFunction="sum"/>
    <tableColumn id="9" xr3:uid="{D620A71F-3193-4631-A270-BF113FAD8FA4}" name="2021" totalsRowFunction="sum"/>
    <tableColumn id="10" xr3:uid="{FB0EA0AE-637F-46A9-91E9-4385080579BC}" name="2022" totalsRowFunction="sum"/>
    <tableColumn id="11" xr3:uid="{E8967641-1337-4AE1-BCF6-215302CE9F0D}" name="2023" totalsRowFunction="sum"/>
    <tableColumn id="12" xr3:uid="{3E4371E7-4DA5-4322-8558-03DDFFC42932}" name="2024" totalsRowFunction="sum"/>
    <tableColumn id="13" xr3:uid="{0439BC4B-9036-4691-ACB3-64CDDD03A263}" name="2025" totalsRowFunction="sum"/>
    <tableColumn id="14" xr3:uid="{F020E0C4-D3B1-46D0-8BA8-D9ABAFFD8E7B}" name="2026" totalsRowFunction="sum"/>
    <tableColumn id="20" xr3:uid="{876000F9-658A-43DA-9D81-810163E98D36}" name="2027" totalsRowFunction="sum"/>
    <tableColumn id="21" xr3:uid="{A1830896-8F42-483C-B894-DCF2FD01F468}" name="2028" totalsRowFunction="sum"/>
    <tableColumn id="22" xr3:uid="{C4118993-0215-482B-B7EF-D20CB6488DA7}" name="2029" totalsRowFunction="sum"/>
    <tableColumn id="15" xr3:uid="{046D448C-79CC-4AC0-93EE-CDA082777693}" name="2030" totalsRowFunction="sum"/>
    <tableColumn id="16" xr3:uid="{A820C6FF-CB57-4A92-A568-2492A6ECCDD3}" name="2035" totalsRowFunction="sum"/>
    <tableColumn id="17" xr3:uid="{C453FE10-CDBC-4FBE-A97A-8C3EFD57B38D}" name="2040" totalsRowFunction="sum"/>
    <tableColumn id="18" xr3:uid="{D43B03D2-1572-48AA-8AB4-76E4B1F03A1F}" name="2045" totalsRowFunction="sum"/>
    <tableColumn id="19" xr3:uid="{8D0F2F1F-9B96-43DE-BAE2-B00BFA1CBA70}" name="2050" totalsRowFunction="sum"/>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FEE619C-B368-4841-A68A-3CB91B6735E1}" name="Klimasz_Eigenes_Klimaschutzstenario_Kennwerte" displayName="Klimasz_Eigenes_Klimaschutzstenario_Kennwerte" ref="C825:X827" totalsRowShown="0">
  <autoFilter ref="C825:X827" xr:uid="{AF6BC931-6D6F-4A86-ABB5-8FED1BE82995}"/>
  <tableColumns count="22">
    <tableColumn id="1" xr3:uid="{1C8234E0-1C99-44B2-8435-DD32BF25ED13}" name="Kennwerte"/>
    <tableColumn id="2" xr3:uid="{EC778C5F-B9D6-42FA-BD3B-1419054FA382}" name="Einheit"/>
    <tableColumn id="3" xr3:uid="{33CEA355-D9FC-420F-88BB-58E3DCE14C90}" name="2015"/>
    <tableColumn id="4" xr3:uid="{72034388-596B-47EE-8152-1630D232654C}" name="2016"/>
    <tableColumn id="5" xr3:uid="{F811F233-759F-43E5-96BA-D30D698101FF}" name="2017"/>
    <tableColumn id="6" xr3:uid="{6061352B-CA4F-4C79-9B82-5F5ED6043111}" name="2018"/>
    <tableColumn id="7" xr3:uid="{3AEA0595-7519-45F6-AC89-162194019B0D}" name="2019"/>
    <tableColumn id="8" xr3:uid="{0E5D2759-C2AC-4C94-8633-9241E712545E}" name="2020"/>
    <tableColumn id="9" xr3:uid="{36623EA8-747A-4FC2-8632-50ED5BAA39C2}" name="2021"/>
    <tableColumn id="10" xr3:uid="{53EC878C-7F02-42F7-B0FC-840690EF8E41}" name="2022"/>
    <tableColumn id="11" xr3:uid="{2F12E48B-FE54-4EF7-953C-2AF98F2DA1F8}" name="2023"/>
    <tableColumn id="12" xr3:uid="{8789869D-E080-4846-82BA-BBAE3A41EB5E}" name="2024"/>
    <tableColumn id="13" xr3:uid="{C177C2E2-73FE-4B0A-8464-E07162350F2D}" name="2025"/>
    <tableColumn id="14" xr3:uid="{1A4F4AB3-8B5B-4E78-B3D0-813D6B78CC70}" name="2026"/>
    <tableColumn id="24" xr3:uid="{9A761355-62E6-40FB-9ED2-E032281E166F}" name="2027"/>
    <tableColumn id="25" xr3:uid="{EB706E7D-24B7-47F1-8D28-65BB3E9389D9}" name="2028"/>
    <tableColumn id="26" xr3:uid="{DDFA19B8-8168-468F-AA21-1DC74F3DA1B5}" name="2029"/>
    <tableColumn id="15" xr3:uid="{3346B270-8962-4398-B744-2D21E962D709}" name="2030"/>
    <tableColumn id="16" xr3:uid="{E7FE6055-0185-4298-9EFF-E05EA68216EC}" name="2035"/>
    <tableColumn id="17" xr3:uid="{7A95EAA3-A03D-42D2-9538-8F3DA4054986}" name="2040"/>
    <tableColumn id="18" xr3:uid="{A204E389-DD8A-4FA8-AD9B-354D4050CC63}" name="2045"/>
    <tableColumn id="19" xr3:uid="{2433FAF9-1A37-4D3A-B0D2-F1F8CE7E6B97}" name="205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4961567D-83DB-4BBE-A123-F88B873FF4A7}" name="Wertung_der_Datengüte" displayName="Wertung_der_Datengüte" ref="B15:C19" totalsRowShown="0">
  <autoFilter ref="B15:C19" xr:uid="{4961567D-83DB-4BBE-A123-F88B873FF4A7}"/>
  <tableColumns count="2">
    <tableColumn id="1" xr3:uid="{97D35D7F-A6D8-47B7-8B00-B965582EAAB6}" name="Datengüte"/>
    <tableColumn id="3" xr3:uid="{69C55464-0A09-4D3A-ADB6-E0A318FA9169}" name="Faktor"/>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ED798E80-5F04-4C58-B187-A11765D59278}" name="Frischfaserpapier_Anzahl_Blatt" displayName="Frischfaserpapier_Anzahl_Blatt" ref="B41:X45" totalsRowCount="1">
  <autoFilter ref="B41:X44" xr:uid="{ED798E80-5F04-4C58-B187-A11765D59278}"/>
  <tableColumns count="23">
    <tableColumn id="1" xr3:uid="{0638706A-EB95-4483-9E6B-37377A7C0DA3}" name="Frischfaserpapier" totalsRowLabel="Ergebnis (umgerechnet)" totalsRowDxfId="631"/>
    <tableColumn id="2" xr3:uid="{40E137ED-FA9D-4856-9331-0BD9E271E718}" name="Einheit" totalsRowLabel="Anzahl A4 Blatt" totalsRowDxfId="630"/>
    <tableColumn id="3" xr3:uid="{6621D1B8-66A9-4BAC-A367-8AC9814462DC}" name="2015" totalsRowFunction="custom" dataDxfId="629" totalsRowDxfId="628">
      <totalsRowFormula>IF(AND(ISBLANK(D42),ISBLANK(D43),ISBLANK(D44)),"",D43+(D42*2)+(D44/2))</totalsRowFormula>
    </tableColumn>
    <tableColumn id="4" xr3:uid="{BC25FB55-DEF9-48A8-8475-8DDFD854C1A9}" name="2016" totalsRowFunction="custom" dataDxfId="627" totalsRowDxfId="626">
      <totalsRowFormula>IF(AND(ISBLANK(E42),ISBLANK(E43),ISBLANK(E44)),"",E43+(E42*2)+(E44/2))</totalsRowFormula>
    </tableColumn>
    <tableColumn id="5" xr3:uid="{B4B07AE1-3EC9-4252-A9A6-7D5CF10B0318}" name="2017" totalsRowFunction="custom" dataDxfId="625" totalsRowDxfId="624">
      <totalsRowFormula>IF(AND(ISBLANK(F42),ISBLANK(F43),ISBLANK(F44)),"",F43+(F42*2)+(F44/2))</totalsRowFormula>
    </tableColumn>
    <tableColumn id="6" xr3:uid="{E36BA6DC-9CFA-4AB2-8C56-00D2F3871758}" name="2018" totalsRowFunction="custom" dataDxfId="623" totalsRowDxfId="622">
      <totalsRowFormula>IF(AND(ISBLANK(G42),ISBLANK(G43),ISBLANK(G44)),"",G43+(G42*2)+(G44/2))</totalsRowFormula>
    </tableColumn>
    <tableColumn id="7" xr3:uid="{8AEF7652-B849-4451-98C9-8C1511DA78A0}" name="2019" totalsRowFunction="custom" dataDxfId="621" totalsRowDxfId="620">
      <totalsRowFormula>IF(AND(ISBLANK(H42),ISBLANK(H43),ISBLANK(H44)),"",H43+(H42*2)+(H44/2))</totalsRowFormula>
    </tableColumn>
    <tableColumn id="8" xr3:uid="{FF60FB31-5C97-4AB8-93C7-3FBC1DE7BEDE}" name="2020" totalsRowFunction="custom" dataDxfId="619" totalsRowDxfId="618">
      <totalsRowFormula>IF(AND(ISBLANK(I42),ISBLANK(I43),ISBLANK(I44)),"",I43+(I42*2)+(I44/2))</totalsRowFormula>
    </tableColumn>
    <tableColumn id="9" xr3:uid="{140BEE79-170A-4375-BDAF-7ADA7DEB6683}" name="2021" totalsRowFunction="custom" dataDxfId="617" totalsRowDxfId="616">
      <totalsRowFormula>IF(AND(ISBLANK(J42),ISBLANK(J43),ISBLANK(J44)),"",J43+(J42*2)+(J44/2))</totalsRowFormula>
    </tableColumn>
    <tableColumn id="10" xr3:uid="{79699B07-8A53-4177-BF6F-EE3842E48807}" name="2022" totalsRowFunction="custom" dataDxfId="615" totalsRowDxfId="614">
      <totalsRowFormula>IF(AND(ISBLANK(K42),ISBLANK(K43),ISBLANK(K44)),"",K43+(K42*2)+(K44/2))</totalsRowFormula>
    </tableColumn>
    <tableColumn id="11" xr3:uid="{93FABD22-9E3A-482D-AA11-1C1E569EE59B}" name="2023" totalsRowFunction="custom" dataDxfId="613" totalsRowDxfId="612">
      <totalsRowFormula>IF(AND(ISBLANK(L42),ISBLANK(L43),ISBLANK(L44)),"",L43+(L42*2)+(L44/2))</totalsRowFormula>
    </tableColumn>
    <tableColumn id="12" xr3:uid="{039EAD4C-FDE6-4637-8FF2-6485EF803CC8}" name="2024" totalsRowFunction="custom" dataDxfId="611" totalsRowDxfId="610">
      <totalsRowFormula>IF(AND(ISBLANK(M42),ISBLANK(M43),ISBLANK(M44)),"",M43+(M42*2)+(M44/2))</totalsRowFormula>
    </tableColumn>
    <tableColumn id="13" xr3:uid="{63DA2353-656B-4206-8BBD-D9CE6B034FD9}" name="2025" totalsRowFunction="custom" dataDxfId="609" totalsRowDxfId="608">
      <totalsRowFormula>IF(AND(ISBLANK(N42),ISBLANK(N43),ISBLANK(N44)),"",N43+(N42*2)+(N44/2))</totalsRowFormula>
    </tableColumn>
    <tableColumn id="14" xr3:uid="{1A31E82B-539D-4D13-AAE0-7D8D88E24669}" name="2026" totalsRowFunction="custom" dataDxfId="607" totalsRowDxfId="606">
      <totalsRowFormula>IF(AND(ISBLANK(O42),ISBLANK(O43),ISBLANK(O44)),"",O43+(O42*2)+(O44/2))</totalsRowFormula>
    </tableColumn>
    <tableColumn id="21" xr3:uid="{42F17872-D17E-468F-A314-CE4652949C0C}" name="2027" totalsRowFunction="custom" dataDxfId="605" totalsRowDxfId="604">
      <totalsRowFormula>IF(AND(ISBLANK(P42),ISBLANK(P43),ISBLANK(P44)),"",P43+(P42*2)+(P44/2))</totalsRowFormula>
    </tableColumn>
    <tableColumn id="22" xr3:uid="{0F83F017-B25E-4B4D-A941-8502C2D96D0A}" name="2028" totalsRowFunction="custom" dataDxfId="603" totalsRowDxfId="602">
      <totalsRowFormula>IF(AND(ISBLANK(Q42),ISBLANK(Q43),ISBLANK(Q44)),"",Q43+(Q42*2)+(Q44/2))</totalsRowFormula>
    </tableColumn>
    <tableColumn id="23" xr3:uid="{A0766D49-AA15-4F6A-B230-BF9DD4298227}" name="2029" totalsRowFunction="custom" dataDxfId="601" totalsRowDxfId="600">
      <totalsRowFormula>IF(AND(ISBLANK(R42),ISBLANK(R43),ISBLANK(R44)),"",R43+(R42*2)+(R44/2))</totalsRowFormula>
    </tableColumn>
    <tableColumn id="15" xr3:uid="{CD87CCFF-60F0-4826-AE85-8EC3446624BA}" name="2030" totalsRowFunction="custom" dataDxfId="599" totalsRowDxfId="598">
      <totalsRowFormula>IF(AND(ISBLANK(S42),ISBLANK(S43),ISBLANK(S44)),"",S43+(S42*2)+(S44/2))</totalsRowFormula>
    </tableColumn>
    <tableColumn id="16" xr3:uid="{D927FD96-F905-4E94-9DEF-F0AEC70B14B5}" name="2035" totalsRowFunction="custom" dataDxfId="597" totalsRowDxfId="596">
      <totalsRowFormula>IF(AND(ISBLANK(T42),ISBLANK(T43),ISBLANK(T44)),"",T43+(T42*2)+(T44/2))</totalsRowFormula>
    </tableColumn>
    <tableColumn id="17" xr3:uid="{8A55F029-9AA0-475B-97B8-477C7794374D}" name="2040" totalsRowFunction="custom" dataDxfId="595" totalsRowDxfId="594">
      <totalsRowFormula>IF(AND(ISBLANK(U42),ISBLANK(U43),ISBLANK(U44)),"",U43+(U42*2)+(U44/2))</totalsRowFormula>
    </tableColumn>
    <tableColumn id="18" xr3:uid="{A91B783F-86EB-444B-9C59-DEA6BD0A0579}" name="2045" totalsRowFunction="custom" dataDxfId="593" totalsRowDxfId="592">
      <totalsRowFormula>IF(AND(ISBLANK(V42),ISBLANK(V43),ISBLANK(V44)),"",V43+(V42*2)+(V44/2))</totalsRowFormula>
    </tableColumn>
    <tableColumn id="19" xr3:uid="{AA8DDEDF-A2E4-492F-8844-E644381E7641}" name="2050" totalsRowFunction="custom" dataDxfId="591" totalsRowDxfId="590">
      <totalsRowFormula>IF(AND(ISBLANK(W42),ISBLANK(W43),ISBLANK(W44)),"",W43+(W42*2)+(W44/2))</totalsRowFormula>
    </tableColumn>
    <tableColumn id="20" xr3:uid="{5D6A90A0-3C5F-41AC-83A4-DDFE29C3D316}" name="Bemerkung" totalsRowDxfId="589"/>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0CD6B37-4A01-4D8C-B797-C15BCD0953F7}" name="Recyclingpapier_Anzahl_Blatt" displayName="Recyclingpapier_Anzahl_Blatt" ref="B47:X51" totalsRowCount="1">
  <autoFilter ref="B47:X50" xr:uid="{20CD6B37-4A01-4D8C-B797-C15BCD0953F7}"/>
  <tableColumns count="23">
    <tableColumn id="1" xr3:uid="{AC263BEC-2380-469F-8B88-AA1ACC368243}" name="Recyclingpapier" totalsRowLabel="Ergebnis (umgerechnet)" totalsRowDxfId="588"/>
    <tableColumn id="2" xr3:uid="{4EE758BF-07AB-4DAF-B873-9D6CC4498C95}" name="Einheit" totalsRowLabel="Anzahl A4 Blatt" totalsRowDxfId="587"/>
    <tableColumn id="3" xr3:uid="{BA3D5B73-9296-4E65-BF1E-797FBA5CC2C7}" name="2015" totalsRowFunction="custom" dataDxfId="586" totalsRowDxfId="585">
      <totalsRowFormula>IF(AND(ISBLANK(D48),ISBLANK(D49),ISBLANK(D50)),"",D49+(D48*2)+(D50/2))</totalsRowFormula>
    </tableColumn>
    <tableColumn id="4" xr3:uid="{1BDAC6FF-40C9-4A21-B3A0-7741DCA389AE}" name="2016" totalsRowFunction="custom" dataDxfId="584" totalsRowDxfId="583">
      <totalsRowFormula>IF(AND(ISBLANK(E48),ISBLANK(E49),ISBLANK(E50)),"",E49+(E48*2)+(E50/2))</totalsRowFormula>
    </tableColumn>
    <tableColumn id="5" xr3:uid="{5812184D-D5A8-47E2-BAC2-9BB78EB36760}" name="2017" totalsRowFunction="custom" dataDxfId="582" totalsRowDxfId="581">
      <totalsRowFormula>IF(AND(ISBLANK(F48),ISBLANK(F49),ISBLANK(F50)),"",F49+(F48*2)+(F50/2))</totalsRowFormula>
    </tableColumn>
    <tableColumn id="6" xr3:uid="{AC3D0211-78A4-4023-9957-7558648AC4D1}" name="2018" totalsRowFunction="custom" dataDxfId="580" totalsRowDxfId="579">
      <totalsRowFormula>IF(AND(ISBLANK(G48),ISBLANK(G49),ISBLANK(G50)),"",G49+(G48*2)+(G50/2))</totalsRowFormula>
    </tableColumn>
    <tableColumn id="7" xr3:uid="{DB4D903A-1A61-4275-921E-C5A6B0234257}" name="2019" totalsRowFunction="custom" dataDxfId="578" totalsRowDxfId="577">
      <totalsRowFormula>IF(AND(ISBLANK(H48),ISBLANK(H49),ISBLANK(H50)),"",H49+(H48*2)+(H50/2))</totalsRowFormula>
    </tableColumn>
    <tableColumn id="8" xr3:uid="{3EDFB704-0634-4CCB-9A20-A277A73709A0}" name="2020" totalsRowFunction="custom" dataDxfId="576" totalsRowDxfId="575">
      <totalsRowFormula>IF(AND(ISBLANK(I48),ISBLANK(I49),ISBLANK(I50)),"",I49+(I48*2)+(I50/2))</totalsRowFormula>
    </tableColumn>
    <tableColumn id="9" xr3:uid="{7F5433E9-9812-4DE0-BF0D-0424DD645A6C}" name="2021" totalsRowFunction="custom" dataDxfId="574" totalsRowDxfId="573">
      <totalsRowFormula>IF(AND(ISBLANK(J48),ISBLANK(J49),ISBLANK(J50)),"",J49+(J48*2)+(J50/2))</totalsRowFormula>
    </tableColumn>
    <tableColumn id="10" xr3:uid="{7B2D5961-A822-4590-B066-1C692A0B03CF}" name="2022" totalsRowFunction="custom" dataDxfId="572" totalsRowDxfId="571">
      <totalsRowFormula>IF(AND(ISBLANK(K48),ISBLANK(K49),ISBLANK(K50)),"",K49+(K48*2)+(K50/2))</totalsRowFormula>
    </tableColumn>
    <tableColumn id="11" xr3:uid="{818C9C09-BD2A-40DB-8239-463BF6D2F96B}" name="2023" totalsRowFunction="custom" dataDxfId="570" totalsRowDxfId="569">
      <totalsRowFormula>IF(AND(ISBLANK(L48),ISBLANK(L49),ISBLANK(L50)),"",L49+(L48*2)+(L50/2))</totalsRowFormula>
    </tableColumn>
    <tableColumn id="12" xr3:uid="{D36F4646-CE38-427D-86C1-F9E20703AF31}" name="2024" totalsRowFunction="custom" dataDxfId="568" totalsRowDxfId="567">
      <totalsRowFormula>IF(AND(ISBLANK(M48),ISBLANK(M49),ISBLANK(M50)),"",M49+(M48*2)+(M50/2))</totalsRowFormula>
    </tableColumn>
    <tableColumn id="13" xr3:uid="{CB359888-C2C8-47A0-A794-5A2BC253BF4B}" name="2025" totalsRowFunction="custom" dataDxfId="566" totalsRowDxfId="565">
      <totalsRowFormula>IF(AND(ISBLANK(N48),ISBLANK(N49),ISBLANK(N50)),"",N49+(N48*2)+(N50/2))</totalsRowFormula>
    </tableColumn>
    <tableColumn id="14" xr3:uid="{0187A3EB-FB92-48E1-899F-F0F72C5F846D}" name="2026" totalsRowFunction="custom" dataDxfId="564" totalsRowDxfId="563">
      <totalsRowFormula>IF(AND(ISBLANK(O48),ISBLANK(O49),ISBLANK(O50)),"",O49+(O48*2)+(O50/2))</totalsRowFormula>
    </tableColumn>
    <tableColumn id="21" xr3:uid="{51B89363-8C3E-493D-AA52-F45F2CF614AC}" name="2027" totalsRowFunction="custom" dataDxfId="562" totalsRowDxfId="561">
      <totalsRowFormula>IF(AND(ISBLANK(P48),ISBLANK(P49),ISBLANK(P50)),"",P49+(P48*2)+(P50/2))</totalsRowFormula>
    </tableColumn>
    <tableColumn id="22" xr3:uid="{EBD121C7-E613-4EA7-AD41-3566F147317D}" name="2028" totalsRowFunction="custom" dataDxfId="560" totalsRowDxfId="559">
      <totalsRowFormula>IF(AND(ISBLANK(Q48),ISBLANK(Q49),ISBLANK(Q50)),"",Q49+(Q48*2)+(Q50/2))</totalsRowFormula>
    </tableColumn>
    <tableColumn id="23" xr3:uid="{B8507557-71BA-4DA7-AC32-E9B271C1B9D9}" name="2029" totalsRowFunction="custom" dataDxfId="558" totalsRowDxfId="557">
      <totalsRowFormula>IF(AND(ISBLANK(R48),ISBLANK(R49),ISBLANK(R50)),"",R49+(R48*2)+(R50/2))</totalsRowFormula>
    </tableColumn>
    <tableColumn id="15" xr3:uid="{04803524-9022-466B-B519-D74CD10C9D3A}" name="2030" totalsRowFunction="custom" dataDxfId="556" totalsRowDxfId="555">
      <totalsRowFormula>IF(AND(ISBLANK(S48),ISBLANK(S49),ISBLANK(S50)),"",S49+(S48*2)+(S50/2))</totalsRowFormula>
    </tableColumn>
    <tableColumn id="16" xr3:uid="{FA9B0771-4627-4DCF-9019-EE2749B09647}" name="2035" totalsRowFunction="custom" dataDxfId="554" totalsRowDxfId="553">
      <totalsRowFormula>IF(AND(ISBLANK(T48),ISBLANK(T49),ISBLANK(T50)),"",T49+(T48*2)+(T50/2))</totalsRowFormula>
    </tableColumn>
    <tableColumn id="17" xr3:uid="{AD40A722-AF6B-49D8-8976-82443756B73C}" name="2040" totalsRowFunction="custom" dataDxfId="552" totalsRowDxfId="551">
      <totalsRowFormula>IF(AND(ISBLANK(U48),ISBLANK(U49),ISBLANK(U50)),"",U49+(U48*2)+(U50/2))</totalsRowFormula>
    </tableColumn>
    <tableColumn id="18" xr3:uid="{91F61A1B-E42F-488E-91C2-683CA357C337}" name="2045" totalsRowFunction="custom" dataDxfId="550" totalsRowDxfId="549">
      <totalsRowFormula>IF(AND(ISBLANK(V48),ISBLANK(V49),ISBLANK(V50)),"",V49+(V48*2)+(V50/2))</totalsRowFormula>
    </tableColumn>
    <tableColumn id="19" xr3:uid="{829B9A14-BB1F-41F5-B84C-F86D914501A6}" name="2050" totalsRowFunction="custom" dataDxfId="548" totalsRowDxfId="547">
      <totalsRowFormula>IF(AND(ISBLANK(W48),ISBLANK(W49),ISBLANK(W50)),"",W49+(W48*2)+(W50/2))</totalsRowFormula>
    </tableColumn>
    <tableColumn id="20" xr3:uid="{2ED396D5-126F-49E0-8C6B-5E5F60BBD50B}" name="Bemerkung" totalsRowDxfId="546"/>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1F90468-440B-4EB3-9E1D-74F9CA78E0C7}" name="Papier_kg" displayName="Papier_kg" ref="B53:X55" totalsRowShown="0" headerRowDxfId="545" dataDxfId="544" headerRowCellStyle="Standard" dataCellStyle="Standard">
  <autoFilter ref="B53:X55" xr:uid="{D1F90468-440B-4EB3-9E1D-74F9CA78E0C7}"/>
  <tableColumns count="23">
    <tableColumn id="1" xr3:uid="{41876838-3468-47AF-A190-F034346CCF6F}" name="Ergebnis (Gewicht)" dataDxfId="543" dataCellStyle="Standard"/>
    <tableColumn id="2" xr3:uid="{FED1CB56-0C53-4A1C-88B0-6E3D712406C2}" name="Einheit" dataDxfId="542" dataCellStyle="Standard"/>
    <tableColumn id="3" xr3:uid="{F3DA7381-DAE4-451F-903C-A3DA46071B4E}" name="2015" dataDxfId="541" dataCellStyle="Standard">
      <calculatedColumnFormula>Recyclingpapier_Anzahl_Blatt[[#Totals],[2015]]*5/1000</calculatedColumnFormula>
    </tableColumn>
    <tableColumn id="4" xr3:uid="{69C702A9-288A-40CA-9217-B71987EB7A57}" name="2016" dataDxfId="540" dataCellStyle="Standard">
      <calculatedColumnFormula>Recyclingpapier_Anzahl_Blatt[[#Totals],[2016]]*5/1000</calculatedColumnFormula>
    </tableColumn>
    <tableColumn id="5" xr3:uid="{E10CEE15-7F0A-455D-B0F6-BAED5D21A062}" name="2017" dataDxfId="539" dataCellStyle="Standard">
      <calculatedColumnFormula>Recyclingpapier_Anzahl_Blatt[[#Totals],[2017]]*5/1000</calculatedColumnFormula>
    </tableColumn>
    <tableColumn id="6" xr3:uid="{1C021F1E-2200-418B-83E7-8398BBAF1B57}" name="2018" dataDxfId="538" dataCellStyle="Standard">
      <calculatedColumnFormula>Recyclingpapier_Anzahl_Blatt[[#Totals],[2018]]*5/1000</calculatedColumnFormula>
    </tableColumn>
    <tableColumn id="7" xr3:uid="{1BE1516E-9D11-4D86-A859-8A32E2AF8F50}" name="2019" dataDxfId="537" dataCellStyle="Standard">
      <calculatedColumnFormula>Recyclingpapier_Anzahl_Blatt[[#Totals],[2019]]*5/1000</calculatedColumnFormula>
    </tableColumn>
    <tableColumn id="8" xr3:uid="{9F01915B-D489-40EB-B5ED-7659790D0DC3}" name="2020" dataDxfId="536" dataCellStyle="Standard">
      <calculatedColumnFormula>Recyclingpapier_Anzahl_Blatt[[#Totals],[2020]]*5/1000</calculatedColumnFormula>
    </tableColumn>
    <tableColumn id="9" xr3:uid="{19125D94-E4DB-4750-A5D6-D17F4056DD73}" name="2021" dataDxfId="535" dataCellStyle="Standard">
      <calculatedColumnFormula>Recyclingpapier_Anzahl_Blatt[[#Totals],[2021]]*5/1000</calculatedColumnFormula>
    </tableColumn>
    <tableColumn id="10" xr3:uid="{0BFDA664-9A01-4B78-9412-3C0C1EB67A15}" name="2022" dataDxfId="534" dataCellStyle="Standard">
      <calculatedColumnFormula>IF(AND(ISBLANK(K42),ISBLANK(K43),ISBLANK(K44)),"",Frischfaserpapier_Anzahl_Blatt[[#Totals],[2022]]*5/1000 )</calculatedColumnFormula>
    </tableColumn>
    <tableColumn id="11" xr3:uid="{EF8520DA-F24C-4FAC-B744-343634DA2CD8}" name="2023" dataDxfId="533" dataCellStyle="Standard"/>
    <tableColumn id="12" xr3:uid="{C9483295-F2A6-4E25-915A-745132540ED3}" name="2024" dataDxfId="532" dataCellStyle="Standard"/>
    <tableColumn id="13" xr3:uid="{3BA7DB84-B697-41EB-A22B-51EF6285676D}" name="2025" dataDxfId="531" dataCellStyle="Standard"/>
    <tableColumn id="14" xr3:uid="{05100ACE-624B-4F33-BE36-E9AD0AF31337}" name="2026" dataDxfId="530" dataCellStyle="Standard"/>
    <tableColumn id="21" xr3:uid="{47C6456B-5602-41E2-8DC5-8A903CBCF16D}" name="2027"/>
    <tableColumn id="22" xr3:uid="{100CA461-A98D-47C0-A93C-7D150978248D}" name="2028"/>
    <tableColumn id="23" xr3:uid="{E29A804D-9FA2-483E-B0F1-5D8048194E7A}" name="2029"/>
    <tableColumn id="15" xr3:uid="{3D1DCAAE-DA2D-4A0A-82A4-7A137AE5F8D2}" name="2030" dataDxfId="529" dataCellStyle="Standard"/>
    <tableColumn id="16" xr3:uid="{4302A63A-B63A-4889-AC6F-BED701D4345E}" name="2035" dataDxfId="528" dataCellStyle="Standard"/>
    <tableColumn id="17" xr3:uid="{99816046-8820-42CC-8785-8544FB4AECDE}" name="2040" dataDxfId="527" dataCellStyle="Standard"/>
    <tableColumn id="18" xr3:uid="{7174DA72-7218-40CF-ABFA-E40B9524BB01}" name="2045" dataDxfId="526" dataCellStyle="Standard"/>
    <tableColumn id="19" xr3:uid="{A22A2DB3-A290-4105-A89B-3BB26813FB77}" name="2050" dataDxfId="525" dataCellStyle="Standard"/>
    <tableColumn id="20" xr3:uid="{9765B247-FAAD-488E-B0E2-36F97A52DAD9}" name="Bemerkung" dataDxfId="524" dataCellStyle="Standard"/>
  </tableColumns>
  <tableStyleInfo name="TableStyleMedium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945A5817-C53F-4488-B99C-167D4C0BBF2F}" name="Benzin_km37" displayName="Benzin_km37" ref="B13:X17" totalsRowShown="0">
  <autoFilter ref="B13:X17" xr:uid="{870AD07C-9B9E-400B-A2C2-ED7EB73776F1}"/>
  <tableColumns count="23">
    <tableColumn id="1" xr3:uid="{843F6773-5CC4-477A-93B6-831F1E9ACC05}" name="Literverbrauch Diesel">
      <calculatedColumnFormula>'Refsz-Verbräuche'!C92</calculatedColumnFormula>
    </tableColumn>
    <tableColumn id="2" xr3:uid="{542C8CC8-0CB1-4BAF-8A91-770DFDB7C266}" name="Einheit"/>
    <tableColumn id="3" xr3:uid="{0C35F418-C50D-4BEB-B7D6-61A1D3A2A0CA}" name="2015" dataDxfId="523"/>
    <tableColumn id="4" xr3:uid="{F4173F4D-FF6D-4607-8AA0-CD2EBDED888C}" name="2016" dataDxfId="522"/>
    <tableColumn id="5" xr3:uid="{3A88173C-5A93-4AF4-A94B-698A96D14095}" name="2017" dataDxfId="521"/>
    <tableColumn id="6" xr3:uid="{B776CCA0-29BF-4412-B957-C892ABED6D83}" name="2018" dataDxfId="520"/>
    <tableColumn id="7" xr3:uid="{F3B8177F-25D2-409D-8C28-477433519AA6}" name="2019" dataDxfId="519"/>
    <tableColumn id="8" xr3:uid="{1C195589-AB0D-46FE-8376-E28C33EDE6BE}" name="2020" dataDxfId="518"/>
    <tableColumn id="9" xr3:uid="{B23B83FF-0C12-42BA-9DE8-6735734EA003}" name="2021" dataDxfId="517"/>
    <tableColumn id="10" xr3:uid="{24FA89D0-2944-47E9-895E-6D625F26FA20}" name="2022" dataDxfId="516"/>
    <tableColumn id="11" xr3:uid="{9CA1C3EC-2F78-4F16-AF28-094C2C4CB35A}" name="2023" dataDxfId="515"/>
    <tableColumn id="12" xr3:uid="{407B3703-0AFB-4049-BB21-0C1C1FCDDA16}" name="2024" dataDxfId="514"/>
    <tableColumn id="13" xr3:uid="{7712C0B6-01A6-477D-B761-E82AFE184E04}" name="2025" dataDxfId="513"/>
    <tableColumn id="14" xr3:uid="{0706A912-41D1-4234-BB1E-29AC076B173A}" name="2026" dataDxfId="512"/>
    <tableColumn id="21" xr3:uid="{9F97649E-CC50-4B3D-B9E3-24E9D9C3BD36}" name="2027" dataDxfId="511"/>
    <tableColumn id="22" xr3:uid="{A6BF479E-85F6-41C6-B0F7-AF42DC22BBA6}" name="2028" dataDxfId="510"/>
    <tableColumn id="23" xr3:uid="{E7FB4384-993B-4C92-96EB-F4813CDEE6CF}" name="2029" dataDxfId="509"/>
    <tableColumn id="15" xr3:uid="{A3EFBCBF-FF33-496A-A26D-29DE459461CB}" name="2030" dataDxfId="508"/>
    <tableColumn id="16" xr3:uid="{66F5D3FB-26CC-4C1B-BCC3-82DB283806FC}" name="2035" dataDxfId="507"/>
    <tableColumn id="17" xr3:uid="{61CB3E53-29C6-496E-B4F3-76F214929CBB}" name="2040" dataDxfId="506"/>
    <tableColumn id="18" xr3:uid="{F8EDC019-2A1F-4967-836D-503BCD4046EB}" name="2045" dataDxfId="505"/>
    <tableColumn id="19" xr3:uid="{DDB28CB1-C370-45B2-8AB3-46552932245F}" name="2050" dataDxfId="504"/>
    <tableColumn id="20" xr3:uid="{CFC74EFF-119D-472D-BB62-5CE8A818BB38}" name="Bemerkung"/>
  </tableColumns>
  <tableStyleInfo name="TableStyleMedium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26D82BA5-F92D-4CE2-BC95-15E4C134277D}" name="Benzin_km3738" displayName="Benzin_km3738" ref="B32:X36" totalsRowShown="0">
  <autoFilter ref="B32:X36" xr:uid="{9B718F73-111C-4652-9D34-173E13DEF40D}"/>
  <tableColumns count="23">
    <tableColumn id="1" xr3:uid="{F73D42FC-D4A4-4754-A6AC-3F68A3EBB1B9}" name="Kilometer Benzin">
      <calculatedColumnFormula>B21</calculatedColumnFormula>
    </tableColumn>
    <tableColumn id="2" xr3:uid="{D19330DB-90B4-45F4-93E2-695EF2553B28}" name="Einheit"/>
    <tableColumn id="3" xr3:uid="{637CF9D4-D573-4AA7-BCE0-60344A457859}" name="2015" dataDxfId="503">
      <calculatedColumnFormula>IF(ISBLANK(D21),"",D21*(100/$C$19))</calculatedColumnFormula>
    </tableColumn>
    <tableColumn id="4" xr3:uid="{FDD03995-6B4B-4129-80A0-83847AB7075E}" name="2016" dataDxfId="502">
      <calculatedColumnFormula>IF(ISBLANK(E21),"",E21*(100/$C$19))</calculatedColumnFormula>
    </tableColumn>
    <tableColumn id="5" xr3:uid="{C300584A-BDB2-413A-BF0B-5C33B2922066}" name="2017" dataDxfId="501">
      <calculatedColumnFormula>IF(ISBLANK(F21),"",F21*(100/$C$19))</calculatedColumnFormula>
    </tableColumn>
    <tableColumn id="6" xr3:uid="{C8E4E2E8-1485-467E-9435-9D2F74F33F44}" name="2018" dataDxfId="500">
      <calculatedColumnFormula>IF(ISBLANK(G21),"",G21*(100/$C$19))</calculatedColumnFormula>
    </tableColumn>
    <tableColumn id="7" xr3:uid="{BB5A2755-0E8A-4E4E-A49F-06F802DD67AC}" name="2019" dataDxfId="499">
      <calculatedColumnFormula>IF(ISBLANK(H21),"",H21*(100/$C$19))</calculatedColumnFormula>
    </tableColumn>
    <tableColumn id="8" xr3:uid="{855BE800-CA8B-486A-8440-8B00999BA31C}" name="2020" dataDxfId="498">
      <calculatedColumnFormula>IF(ISBLANK(I21),"",I21*(100/$C$19))</calculatedColumnFormula>
    </tableColumn>
    <tableColumn id="9" xr3:uid="{14434F71-26AF-40CE-9455-B388A005FB66}" name="2021" dataDxfId="497">
      <calculatedColumnFormula>IF(ISBLANK(J21),"",J21*(100/$C$19))</calculatedColumnFormula>
    </tableColumn>
    <tableColumn id="10" xr3:uid="{7C848EC0-A515-430F-8E6C-9610E90F492C}" name="2022" dataDxfId="496">
      <calculatedColumnFormula>IF(ISBLANK(K21),"",K21*(100/$C$19))</calculatedColumnFormula>
    </tableColumn>
    <tableColumn id="11" xr3:uid="{985365EC-2CFE-4DAB-A380-834F3BD095C5}" name="2023" dataDxfId="495">
      <calculatedColumnFormula>IF(ISBLANK(L21),"",L21*(100/$C$19))</calculatedColumnFormula>
    </tableColumn>
    <tableColumn id="12" xr3:uid="{D3BD7C30-1CEE-4C74-B7B1-5A1B9DEAF420}" name="2024" dataDxfId="494">
      <calculatedColumnFormula>IF(ISBLANK(M21),"",M21*(100/$C$19))</calculatedColumnFormula>
    </tableColumn>
    <tableColumn id="13" xr3:uid="{5669C6AE-513C-46A4-B88E-481E2439F083}" name="2025" dataDxfId="493">
      <calculatedColumnFormula>IF(ISBLANK(N21),"",N21*(100/$C$19))</calculatedColumnFormula>
    </tableColumn>
    <tableColumn id="14" xr3:uid="{6FBF9ED2-0AB6-457D-AA59-D6D031148ABF}" name="2026" dataDxfId="492">
      <calculatedColumnFormula>IF(ISBLANK(O21),"",O21*(100/$C$19))</calculatedColumnFormula>
    </tableColumn>
    <tableColumn id="21" xr3:uid="{B6470F8D-FD54-434B-BDFE-C188540D5384}" name="2027" dataDxfId="491">
      <calculatedColumnFormula>IF(ISBLANK(P21),"",P21*(100/$C$19))</calculatedColumnFormula>
    </tableColumn>
    <tableColumn id="22" xr3:uid="{43FCFD90-1724-4B62-8253-88EB999D0B7F}" name="2028" dataDxfId="490">
      <calculatedColumnFormula>IF(ISBLANK(Q21),"",Q21*(100/$C$19))</calculatedColumnFormula>
    </tableColumn>
    <tableColumn id="23" xr3:uid="{F9E170AE-465C-48BA-A5C9-88E821035352}" name="2029" dataDxfId="489">
      <calculatedColumnFormula>IF(ISBLANK(R21),"",R21*(100/$C$19))</calculatedColumnFormula>
    </tableColumn>
    <tableColumn id="15" xr3:uid="{8C255AAC-B76B-4812-97F1-600ADC49D337}" name="2030" dataDxfId="488">
      <calculatedColumnFormula>IF(ISBLANK(S21),"",S21*(100/$C$19))</calculatedColumnFormula>
    </tableColumn>
    <tableColumn id="16" xr3:uid="{E10E1B71-0E81-41C1-8754-70907D6126A6}" name="2035" dataDxfId="487">
      <calculatedColumnFormula>IF(ISBLANK(T21),"",T21*(100/$C$19))</calculatedColumnFormula>
    </tableColumn>
    <tableColumn id="17" xr3:uid="{842B69CA-AB33-4E40-A0A8-4F6DD51D3B86}" name="2040" dataDxfId="486">
      <calculatedColumnFormula>IF(ISBLANK(U21),"",U21*(100/$C$19))</calculatedColumnFormula>
    </tableColumn>
    <tableColumn id="18" xr3:uid="{389E1417-B489-430A-9CAD-358F05F402CC}" name="2045" dataDxfId="485">
      <calculatedColumnFormula>IF(ISBLANK(V21),"",V21*(100/$C$19))</calculatedColumnFormula>
    </tableColumn>
    <tableColumn id="19" xr3:uid="{AA77873C-B400-4658-9A89-4EF417E80597}" name="2050" dataDxfId="484">
      <calculatedColumnFormula>IF(ISBLANK(W21),"",W21*(100/$C$19))</calculatedColumnFormula>
    </tableColumn>
    <tableColumn id="20" xr3:uid="{9D0F5017-58B6-4FBF-BF0D-F9E7BF723F67}" name="Bemerkung"/>
  </tableColumns>
  <tableStyleInfo name="TableStyleMedium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4F0E88E6-3144-4A62-9B51-3B7F0E3C52F1}" name="Benzin_km3745" displayName="Benzin_km3745" ref="B20:X24" totalsRowShown="0">
  <autoFilter ref="B20:X24" xr:uid="{F2B08D65-918D-4251-9318-FDAB514370BB}"/>
  <tableColumns count="23">
    <tableColumn id="1" xr3:uid="{5F857606-3B2B-4C1B-A52B-E11DFB6BE828}" name="Literverbrauch Benzin">
      <calculatedColumnFormula>'Refsz-Verbräuche'!C105</calculatedColumnFormula>
    </tableColumn>
    <tableColumn id="2" xr3:uid="{AFE3035E-A353-475C-B0E2-31FBC55A2A68}" name="Einheit"/>
    <tableColumn id="3" xr3:uid="{7EAAD876-6E17-4714-95D6-58C1B26A6866}" name="2015" dataDxfId="483"/>
    <tableColumn id="4" xr3:uid="{C6F5558B-9FA2-4247-8EEC-4482ECF165BC}" name="2016" dataDxfId="482"/>
    <tableColumn id="5" xr3:uid="{8BBC2950-828C-43F5-BCEF-E4671D96D5AC}" name="2017" dataDxfId="481"/>
    <tableColumn id="6" xr3:uid="{237E0852-BD36-4FDC-B05A-7B69D0AE8CB2}" name="2018" dataDxfId="480"/>
    <tableColumn id="7" xr3:uid="{984DDA47-4820-4158-AB30-5768DC284FCC}" name="2019" dataDxfId="479"/>
    <tableColumn id="8" xr3:uid="{64A86836-E69B-4267-8E71-65D906953746}" name="2020" dataDxfId="478"/>
    <tableColumn id="9" xr3:uid="{FB05A1DB-73F2-4FC4-8B7E-A2AD09E3161B}" name="2021" dataDxfId="477"/>
    <tableColumn id="10" xr3:uid="{D06521DD-BBD8-4E27-9B88-71EC53B91146}" name="2022" dataDxfId="476"/>
    <tableColumn id="11" xr3:uid="{A0F066EB-D04E-40CE-A526-47C13CE88B2B}" name="2023" dataDxfId="475"/>
    <tableColumn id="12" xr3:uid="{7923806A-DD35-44B2-A83F-CA2FAD6C9C35}" name="2024" dataDxfId="474"/>
    <tableColumn id="13" xr3:uid="{ECD80658-3B32-4120-9434-038535752872}" name="2025" dataDxfId="473"/>
    <tableColumn id="14" xr3:uid="{A223AA8E-C730-45D7-AF98-EE129F454851}" name="2026" dataDxfId="472"/>
    <tableColumn id="21" xr3:uid="{0E221C4A-D7CA-4DC0-85F6-0EA7E832E0F2}" name="2027" dataDxfId="471"/>
    <tableColumn id="22" xr3:uid="{DF9EC117-085E-4C79-BAA0-D2A28FBAD5C3}" name="2028" dataDxfId="470"/>
    <tableColumn id="23" xr3:uid="{1D984B6A-3F86-4720-9F6E-AA39807D04D5}" name="2029" dataDxfId="469"/>
    <tableColumn id="15" xr3:uid="{FFD14093-2F21-46F5-AC9F-DE40300F4AA9}" name="2030" dataDxfId="468"/>
    <tableColumn id="16" xr3:uid="{6280C7D5-6F22-40AB-98EB-0CCF1F70C678}" name="2035" dataDxfId="467"/>
    <tableColumn id="17" xr3:uid="{D32D0A92-6F0C-412A-A53A-6EF3ECF9538D}" name="2040" dataDxfId="466"/>
    <tableColumn id="18" xr3:uid="{41548C65-68A0-4A1E-A85E-B8F518012749}" name="2045" dataDxfId="465"/>
    <tableColumn id="19" xr3:uid="{BB1B9AD6-373C-4576-BE43-CC8CC409E340}" name="2050" dataDxfId="464"/>
    <tableColumn id="20" xr3:uid="{5BF91BB6-8C88-463B-90D0-D8BD92B7C1F2}" name="Bemerkung"/>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1A998C87-FC5B-4223-A527-AD7B642B6A36}" name="Benzin_km373846" displayName="Benzin_km373846" ref="B26:X30" totalsRowShown="0">
  <autoFilter ref="B26:X30" xr:uid="{DC832671-BA6D-43E9-A2E1-C2D22FF829FC}"/>
  <tableColumns count="23">
    <tableColumn id="1" xr3:uid="{23289F46-24F0-43F0-80D2-C2B24A5470C6}" name="Kilometer Diesel">
      <calculatedColumnFormula>B14</calculatedColumnFormula>
    </tableColumn>
    <tableColumn id="2" xr3:uid="{ECDB5911-D536-436F-BE00-948020EC7D40}" name="Einheit"/>
    <tableColumn id="3" xr3:uid="{A6975763-1A67-4B09-B014-23747A3D799D}" name="2015" dataDxfId="463">
      <calculatedColumnFormula>IF(ISBLANK(D14),"",D14*(100/$C$12))</calculatedColumnFormula>
    </tableColumn>
    <tableColumn id="4" xr3:uid="{DC700067-4000-4C10-84C4-DD8585BDD3C0}" name="2016" dataDxfId="462">
      <calculatedColumnFormula>IF(ISBLANK(E14),"",E14*(100/$C$12))</calculatedColumnFormula>
    </tableColumn>
    <tableColumn id="5" xr3:uid="{5B2B6CAA-EA8D-4C9A-B37C-E6B48B4A3507}" name="2017" dataDxfId="461">
      <calculatedColumnFormula>IF(ISBLANK(F14),"",F14*(100/$C$12))</calculatedColumnFormula>
    </tableColumn>
    <tableColumn id="6" xr3:uid="{7585017F-FCBB-44B4-9E81-2EDF3A1D663E}" name="2018" dataDxfId="460">
      <calculatedColumnFormula>IF(ISBLANK(G14),"",G14*(100/$C$12))</calculatedColumnFormula>
    </tableColumn>
    <tableColumn id="7" xr3:uid="{F396FACC-5BDD-4F27-8372-733872AD1FAD}" name="2019" dataDxfId="459">
      <calculatedColumnFormula>IF(ISBLANK(H14),"",H14*(100/$C$12))</calculatedColumnFormula>
    </tableColumn>
    <tableColumn id="8" xr3:uid="{F5E8880E-1F75-4BD3-8C24-D0652530C7A6}" name="2020" dataDxfId="458">
      <calculatedColumnFormula>IF(ISBLANK(I14),"",I14*(100/$C$12))</calculatedColumnFormula>
    </tableColumn>
    <tableColumn id="9" xr3:uid="{D20BB2BB-7B5C-4BDE-803D-5329E94BEAB9}" name="2021" dataDxfId="457">
      <calculatedColumnFormula>IF(ISBLANK(J14),"",J14*(100/$C$12))</calculatedColumnFormula>
    </tableColumn>
    <tableColumn id="10" xr3:uid="{FB1F8088-6B74-4F70-A8F1-D16D62DD50C7}" name="2022" dataDxfId="456">
      <calculatedColumnFormula>IF(ISBLANK(K14),"",K14*(100/$C$12))</calculatedColumnFormula>
    </tableColumn>
    <tableColumn id="11" xr3:uid="{59120762-6852-466E-B863-875ABA0CC512}" name="2023" dataDxfId="455">
      <calculatedColumnFormula>IF(ISBLANK(L14),"",L14*(100/$C$12))</calculatedColumnFormula>
    </tableColumn>
    <tableColumn id="12" xr3:uid="{7899F9C6-905F-405C-89A3-F377E0291D15}" name="2024" dataDxfId="454">
      <calculatedColumnFormula>IF(ISBLANK(M14),"",M14*(100/$C$12))</calculatedColumnFormula>
    </tableColumn>
    <tableColumn id="13" xr3:uid="{D549B059-55ED-4C4A-8786-B50BA6404ACC}" name="2025" dataDxfId="453">
      <calculatedColumnFormula>IF(ISBLANK(N14),"",N14*(100/$C$12))</calculatedColumnFormula>
    </tableColumn>
    <tableColumn id="14" xr3:uid="{2CE2D4EB-D68F-4BF4-92C9-37A17B6998CC}" name="2026" dataDxfId="452">
      <calculatedColumnFormula>IF(ISBLANK(O14),"",O14*(100/$C$12))</calculatedColumnFormula>
    </tableColumn>
    <tableColumn id="21" xr3:uid="{5D6FA141-29A2-4808-99C7-5C31E125CB31}" name="2027" dataDxfId="451">
      <calculatedColumnFormula>IF(ISBLANK(P14),"",P14*(100/$C$12))</calculatedColumnFormula>
    </tableColumn>
    <tableColumn id="22" xr3:uid="{B2419A64-1869-46D4-B2CC-EBCECEAE21C2}" name="2028" dataDxfId="450">
      <calculatedColumnFormula>IF(ISBLANK(Q14),"",Q14*(100/$C$12))</calculatedColumnFormula>
    </tableColumn>
    <tableColumn id="23" xr3:uid="{0006E36D-ACDB-48A8-A181-576AFFDC9C82}" name="2029" dataDxfId="449">
      <calculatedColumnFormula>IF(ISBLANK(R14),"",R14*(100/$C$12))</calculatedColumnFormula>
    </tableColumn>
    <tableColumn id="15" xr3:uid="{E54BC51B-203A-4F3A-A1A6-B7496AD64170}" name="2030" dataDxfId="448">
      <calculatedColumnFormula>IF(ISBLANK(S14),"",S14*(100/$C$12))</calculatedColumnFormula>
    </tableColumn>
    <tableColumn id="16" xr3:uid="{74C63E64-418F-4FF7-ACA2-039275B68030}" name="2035" dataDxfId="447">
      <calculatedColumnFormula>IF(ISBLANK(T14),"",T14*(100/$C$12))</calculatedColumnFormula>
    </tableColumn>
    <tableColumn id="17" xr3:uid="{712DAC62-D786-42C6-9A3E-DABE26A4042A}" name="2040" dataDxfId="446">
      <calculatedColumnFormula>IF(ISBLANK(U14),"",U14*(100/$C$12))</calculatedColumnFormula>
    </tableColumn>
    <tableColumn id="18" xr3:uid="{4C5C886D-1334-447F-9049-81C983FA8F80}" name="2045" dataDxfId="445">
      <calculatedColumnFormula>IF(ISBLANK(V14),"",V14*(100/$C$12))</calculatedColumnFormula>
    </tableColumn>
    <tableColumn id="19" xr3:uid="{499F5288-C510-44F6-91C0-695300CAD2AE}" name="2050" dataDxfId="444">
      <calculatedColumnFormula>IF(ISBLANK(W14),"",W14*(100/$C$12))</calculatedColumnFormula>
    </tableColumn>
    <tableColumn id="20" xr3:uid="{B8515D8B-A974-4C1E-8A64-D4CC77BCEE18}" name="Bemerkung"/>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6E200AF-21A3-4FB5-972E-EDECC43B935E}" name="Prozentuale_Aufteilung_Bundesstrommix" displayName="Prozentuale_Aufteilung_Bundesstrommix" ref="B113:V129" totalsRowShown="0">
  <autoFilter ref="B113:V129" xr:uid="{7B247686-0678-40F9-8DA1-26386311F167}"/>
  <tableColumns count="21">
    <tableColumn id="1" xr3:uid="{62D70AE7-1559-460F-B057-E6DF9DDBD4D6}" name="Lieferant"/>
    <tableColumn id="4" xr3:uid="{E5C959C5-4E5D-4209-A066-4ECE9398C910}" name="2015" dataCellStyle="Prozent"/>
    <tableColumn id="2" xr3:uid="{7FB8D760-87D4-4E14-9AE3-250EC0F949DE}" name="2016" dataDxfId="441" dataCellStyle="Prozent"/>
    <tableColumn id="3" xr3:uid="{9A9B48E5-246D-4AEB-B2D1-846F5F703A00}" name="2017" dataDxfId="440" dataCellStyle="Prozent"/>
    <tableColumn id="6" xr3:uid="{79E0B95A-C374-4716-9C76-41447F81FD7A}" name="2018" dataDxfId="439" dataCellStyle="Prozent"/>
    <tableColumn id="5" xr3:uid="{D1737F5E-550B-4383-8495-B659071C3D8A}" name="2019" dataCellStyle="Prozent"/>
    <tableColumn id="7" xr3:uid="{DE214DA0-3CDD-4ADF-860D-8CFA45C33526}" name="2020" dataCellStyle="Prozent"/>
    <tableColumn id="8" xr3:uid="{493865FB-9783-4190-A178-95ED60F442A4}" name="2021" dataDxfId="438" dataCellStyle="Prozent"/>
    <tableColumn id="9" xr3:uid="{2ED83205-6859-462C-9245-C48C49598DF6}" name="2022" dataCellStyle="Prozent">
      <calculatedColumnFormula>Prozentuale_Aufteilung_Bundesstrommix[[#This Row],[2021]]</calculatedColumnFormula>
    </tableColumn>
    <tableColumn id="10" xr3:uid="{3B1455C8-4BE5-457A-8360-726DF58371F9}" name="2023" dataCellStyle="Prozent">
      <calculatedColumnFormula>Prozentuale_Aufteilung_Bundesstrommix[[#This Row],[2022]]</calculatedColumnFormula>
    </tableColumn>
    <tableColumn id="11" xr3:uid="{9EFE08BD-DC5E-4550-B403-74AD97F22175}" name="2024" dataCellStyle="Prozent">
      <calculatedColumnFormula>Prozentuale_Aufteilung_Bundesstrommix[[#This Row],[2023]]</calculatedColumnFormula>
    </tableColumn>
    <tableColumn id="12" xr3:uid="{04C2B75B-E460-415D-8CCC-E193F880C356}" name="2025" dataCellStyle="Prozent">
      <calculatedColumnFormula>Prozentuale_Aufteilung_Bundesstrommix[[#This Row],[2024]]</calculatedColumnFormula>
    </tableColumn>
    <tableColumn id="13" xr3:uid="{3391B3B0-B01F-4969-9088-344DD720B1A1}" name="2026" dataCellStyle="Prozent">
      <calculatedColumnFormula>Prozentuale_Aufteilung_Bundesstrommix[[#This Row],[2025]]</calculatedColumnFormula>
    </tableColumn>
    <tableColumn id="19" xr3:uid="{6E6E9B07-70C8-4919-9B05-3AE576960C84}" name="2027" dataDxfId="437" dataCellStyle="Prozent"/>
    <tableColumn id="20" xr3:uid="{582FDB89-CAFC-42B0-9015-6F0FFEDAD2BD}" name="2028" dataDxfId="436" dataCellStyle="Prozent"/>
    <tableColumn id="21" xr3:uid="{F6CBA800-3D70-4EFA-AE66-C0C0BE5AE35D}" name="2029" dataDxfId="435" dataCellStyle="Prozent"/>
    <tableColumn id="14" xr3:uid="{C2B63E97-0662-4C1A-BB42-F6F47CD8981A}" name="2030" dataCellStyle="Prozent"/>
    <tableColumn id="15" xr3:uid="{5C4A2861-D2A6-42B4-9CA9-AEB78F76B044}" name="2035" dataCellStyle="Prozent"/>
    <tableColumn id="16" xr3:uid="{1D4D2F75-4EC2-44D9-BB7C-FE2304FDBCEF}" name="2040" dataCellStyle="Prozent"/>
    <tableColumn id="17" xr3:uid="{821CFBA5-47DD-4FFC-9468-88F921D067CE}" name="2045" dataCellStyle="Prozent"/>
    <tableColumn id="18" xr3:uid="{5A3B9662-1573-401F-9BB2-2827C4B556B1}" name="2050" dataCellStyle="Prozent"/>
  </tableColumns>
  <tableStyleInfo name="TableStyleMedium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F8FAE78-FBC5-4899-BBE7-42179BB4785B}" name="EF_Tarif6" displayName="EF_Tarif6" ref="B94:V100" totalsRowCount="1">
  <autoFilter ref="B94:V99" xr:uid="{53C4DD24-5906-4560-BFE4-DF9C9D9BD6A1}"/>
  <tableColumns count="21">
    <tableColumn id="1" xr3:uid="{669B4CD1-6613-46DF-90B9-49F79A8C0DDF}" name="Stromerzeugung" totalsRowLabel="Erechneter Emissionsfaktor" totalsRowDxfId="434"/>
    <tableColumn id="2" xr3:uid="{4EE7FBA8-9A3A-4812-A269-AF4136E23EB1}" name="2015" totalsRowFunction="custom" dataDxfId="433" totalsRowDxfId="432" dataCellStyle="Prozent">
      <totalsRowFormula>(C95*C106)+(C96*C107)+(C97*C108)+(C98*C109)+(C99*C110)</totalsRowFormula>
    </tableColumn>
    <tableColumn id="3" xr3:uid="{8EBAFD06-E010-4D93-86F8-B5A8228DA2D9}" name="2016" totalsRowFunction="custom" dataDxfId="431" totalsRowDxfId="430">
      <totalsRowFormula>(D95*D106)+(D96*D107)+(D97*D108)+(D98*D109)+(D99*D110)</totalsRowFormula>
    </tableColumn>
    <tableColumn id="4" xr3:uid="{973132D7-9F77-4CD4-ACD9-13ED7037658D}" name="2017" totalsRowFunction="custom" dataDxfId="429" totalsRowDxfId="428">
      <totalsRowFormula>(E95*E106)+(E96*E107)+(E97*E108)+(E98*E109)+(E99*E110)</totalsRowFormula>
    </tableColumn>
    <tableColumn id="5" xr3:uid="{E9458338-75AC-4B2D-9432-95ADAA9F11C7}" name="2018" totalsRowFunction="custom" dataDxfId="427" totalsRowDxfId="426">
      <totalsRowFormula>(F95*F106)+(F96*F107)+(F97*F108)+(F98*F109)+(F99*F110)</totalsRowFormula>
    </tableColumn>
    <tableColumn id="6" xr3:uid="{9684C349-55E7-468C-A71E-3C0818F7389E}" name="2019" totalsRowFunction="custom" dataDxfId="425" totalsRowDxfId="424">
      <totalsRowFormula>(G95*G106)+(G96*G107)+(G97*G108)+(G98*G109)+(G99*G110)</totalsRowFormula>
    </tableColumn>
    <tableColumn id="7" xr3:uid="{CEDBCC75-BE1F-45F9-9739-C607B9EC59D9}" name="2020" totalsRowFunction="custom" dataDxfId="423" totalsRowDxfId="422">
      <totalsRowFormula>(H95*H106)+(H96*H107)+(H97*H108)+(H98*H109)+(H99*H110)</totalsRowFormula>
    </tableColumn>
    <tableColumn id="8" xr3:uid="{C85B2A09-B051-4A2B-838D-BA963C62CB96}" name="2021" totalsRowFunction="custom" dataDxfId="421" totalsRowDxfId="420" dataCellStyle="Prozent">
      <totalsRowFormula>(I95*I106)+(I96*I107)+(I97*I108)+(I98*I109)+(I99*I110)</totalsRowFormula>
    </tableColumn>
    <tableColumn id="9" xr3:uid="{9B3828EC-CDC9-4C3A-A759-2A6C367898FD}" name="2022" totalsRowFunction="custom" dataDxfId="419" totalsRowDxfId="418">
      <totalsRowFormula>(J95*J106)+(J96*J107)+(J97*J108)+(J98*J109)+(J99*J110)</totalsRowFormula>
    </tableColumn>
    <tableColumn id="10" xr3:uid="{576F01EF-441D-4F69-9115-8BEF560BA74C}" name="2023" totalsRowFunction="custom" dataDxfId="417" totalsRowDxfId="416">
      <totalsRowFormula>(K95*K106)+(K96*K107)+(K97*K108)+(K98*K109)+(K99*K110)</totalsRowFormula>
    </tableColumn>
    <tableColumn id="11" xr3:uid="{68D1BFA4-1F45-4F2B-9F05-0036C3F670BA}" name="2024" totalsRowFunction="custom" dataDxfId="415" totalsRowDxfId="414">
      <totalsRowFormula>(L95*L106)+(L96*L107)+(L97*L108)+(L98*L109)+(L99*L110)</totalsRowFormula>
    </tableColumn>
    <tableColumn id="12" xr3:uid="{1BD3FB08-84BD-4AC0-A811-300CF2F7B8FB}" name="2025" totalsRowFunction="custom" dataDxfId="413" totalsRowDxfId="412">
      <totalsRowFormula>(M95*M106)+(M96*M107)+(M97*M108)+(M98*M109)+(M99*M110)</totalsRowFormula>
    </tableColumn>
    <tableColumn id="13" xr3:uid="{7DB6362A-77F3-4721-B9A6-B87A1CF2B545}" name="2026" totalsRowFunction="custom" dataDxfId="411" totalsRowDxfId="410">
      <totalsRowFormula>(N95*N106)+(N96*N107)+(N97*N108)+(N98*N109)+(N99*N110)</totalsRowFormula>
    </tableColumn>
    <tableColumn id="19" xr3:uid="{86081876-1F32-4DCD-8D21-88C638DEB80B}" name="2027" totalsRowFunction="custom" dataDxfId="409" totalsRowDxfId="408" dataCellStyle="Prozent">
      <totalsRowFormula>(O95*R106)+(O96*R107)+(O97*R108)+(O98*R109)+(O99*R110)</totalsRowFormula>
    </tableColumn>
    <tableColumn id="20" xr3:uid="{AB7FC4FA-C698-4752-BEE7-30E18DD50D38}" name="2028" totalsRowFunction="custom" dataDxfId="407" totalsRowDxfId="406" dataCellStyle="Prozent">
      <totalsRowFormula>(P95*S106)+(P96*S107)+(P97*S108)+(P98*S109)+(P99*S110)</totalsRowFormula>
    </tableColumn>
    <tableColumn id="21" xr3:uid="{1B2D1D1C-D4D5-4396-863F-3AC8CB486D23}" name="2029" totalsRowFunction="custom" dataDxfId="405" totalsRowDxfId="404" dataCellStyle="Prozent">
      <totalsRowFormula>(Q95*T106)+(Q96*T107)+(Q97*T108)+(Q98*T109)+(Q99*T110)</totalsRowFormula>
    </tableColumn>
    <tableColumn id="14" xr3:uid="{CFCACD37-3254-41D9-9BEF-A5B0261C2563}" name="2030" totalsRowFunction="custom" dataDxfId="403" totalsRowDxfId="402">
      <totalsRowFormula>(R95*R106)+(R96*R107)+(R97*R108)+(R98*R109)+(R99*R110)</totalsRowFormula>
    </tableColumn>
    <tableColumn id="15" xr3:uid="{D36DA267-DA46-48E5-B005-EAD65980343D}" name="2035" totalsRowFunction="custom" dataDxfId="401" totalsRowDxfId="400">
      <totalsRowFormula>(S95*S106)+(S96*S107)+(S97*S108)+(S98*S109)+(S99*S110)</totalsRowFormula>
    </tableColumn>
    <tableColumn id="16" xr3:uid="{C3788DBD-BC84-4961-9255-D284E04F4471}" name="2040" totalsRowFunction="custom" dataDxfId="399" totalsRowDxfId="398">
      <totalsRowFormula>(T95*T106)+(T96*T107)+(T97*T108)+(T98*T109)+(T99*T110)</totalsRowFormula>
    </tableColumn>
    <tableColumn id="17" xr3:uid="{7CCA2767-E4D1-472B-A30C-319E4C8DB37B}" name="2045" totalsRowFunction="custom" dataDxfId="397" totalsRowDxfId="396">
      <totalsRowFormula>(U95*U106)+(U96*U107)+(U97*U108)+(U98*U109)+(U99*U110)</totalsRowFormula>
    </tableColumn>
    <tableColumn id="18" xr3:uid="{19E770CE-39A5-4095-B7CD-4DB17AA1D38E}" name="2050" totalsRowFunction="custom" dataDxfId="395" totalsRowDxfId="394">
      <totalsRowFormula>(V95*V106)+(V96*V107)+(V97*V108)+(V98*V109)+(V99*V110)</totalsRowFormula>
    </tableColumn>
  </tableColumns>
  <tableStyleInfo name="TableStyleMedium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A67309D-4A3E-443B-86D1-99004ADF357A}" name="EF_der_Energieträger_Bundesstrommix" displayName="EF_der_Energieträger_Bundesstrommix" ref="B105:W110" totalsRowShown="0" tableBorderDxfId="393">
  <autoFilter ref="B105:W110" xr:uid="{E3C5755F-254E-4983-8229-21F22A957AC3}"/>
  <tableColumns count="22">
    <tableColumn id="1" xr3:uid="{FBEA3296-4E77-4B9D-A2FD-145BD8AF773E}" name="Stromerzeugung" dataDxfId="392"/>
    <tableColumn id="2" xr3:uid="{D0A01E40-58C6-41CB-A061-256441AB8C7F}" name="2015" dataCellStyle="Standard"/>
    <tableColumn id="3" xr3:uid="{46AFB9F1-E52D-4584-B6FE-215E08C2A4A9}" name="2016"/>
    <tableColumn id="4" xr3:uid="{E4B545E8-4D78-4939-A6A8-95D63E8A8B97}" name="2017"/>
    <tableColumn id="5" xr3:uid="{A283C662-C315-43A1-A61B-6F8C16AA59A2}" name="2018"/>
    <tableColumn id="6" xr3:uid="{939D72E9-E265-494B-91AD-86DDC2DDA821}" name="2019"/>
    <tableColumn id="7" xr3:uid="{8E73897A-9652-4F2E-9247-B369DB9AB129}" name="2020" dataCellStyle="Standard"/>
    <tableColumn id="8" xr3:uid="{11C49C45-0E85-44D4-88B7-551159532774}" name="2021"/>
    <tableColumn id="9" xr3:uid="{7EE1C1A5-DE48-4D50-A767-B040121D1261}" name="2022"/>
    <tableColumn id="10" xr3:uid="{DC877431-1D36-4CD2-8E09-F99CEB672CE7}" name="2023"/>
    <tableColumn id="11" xr3:uid="{848118F3-BC3B-4707-8CF8-819AA91BCC7D}" name="2024"/>
    <tableColumn id="12" xr3:uid="{A6480865-EB11-4B62-8CAF-A0B30E65AB8A}" name="2025"/>
    <tableColumn id="13" xr3:uid="{2C297C98-9D91-4E04-BDE0-DE5AF7F18798}" name="2026"/>
    <tableColumn id="20" xr3:uid="{3B102AA0-D01D-4E7C-BA5D-3D2D6D440C11}" name="2027" dataDxfId="391"/>
    <tableColumn id="21" xr3:uid="{06648E7B-3428-4183-B16D-8347A229993C}" name="2028" dataDxfId="390"/>
    <tableColumn id="22" xr3:uid="{A26E999C-8929-4CAF-9A5F-05667EC09312}" name="2029" dataDxfId="389"/>
    <tableColumn id="14" xr3:uid="{1A38C0F2-FC5F-4D35-A0F3-0256F4D83F54}" name="2030"/>
    <tableColumn id="15" xr3:uid="{B35215E3-3502-4A4C-9086-20977E95435F}" name="2035"/>
    <tableColumn id="16" xr3:uid="{499A6384-A691-4D43-B3CE-067D9DB4285C}" name="2040"/>
    <tableColumn id="17" xr3:uid="{752EE837-FEA2-49F6-882D-E791324AA470}" name="2045"/>
    <tableColumn id="18" xr3:uid="{FAC449C4-E967-4A0E-A64F-AF38939D8155}" name="2050"/>
    <tableColumn id="19" xr3:uid="{605DD7D2-771C-4565-ADCD-64DF3624C375}" name="Quelle" dataDxfId="388"/>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4F32D0B6-C397-436B-B652-CF8A070DE401}" name="Datengüte_des_Endergebnisses" displayName="Datengüte_des_Endergebnisses" ref="B49:C53" totalsRowShown="0">
  <autoFilter ref="B49:C53" xr:uid="{4F32D0B6-C397-436B-B652-CF8A070DE401}"/>
  <tableColumns count="2">
    <tableColumn id="2" xr3:uid="{5CB0B840-55AA-4DCE-A574-3F37C138731F}" name="Anteilige Datengüte (%)"/>
    <tableColumn id="3" xr3:uid="{369BD3C5-8B6C-43F8-9E26-551D99225F59}" name="Datengüte des Endergebnisses"/>
  </tableColumns>
  <tableStyleInfo name="TableStyleMedium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123AF38C-98E7-4C26-A1DC-633E2B9BC1DB}" name="EF_Bundesstrommix_Gemis" displayName="EF_Bundesstrommix_Gemis" ref="B133:W149" totalsRowShown="0">
  <autoFilter ref="B133:W149" xr:uid="{86000DBB-8AC9-4E6F-AA34-2F39ACFA4B1A}"/>
  <tableColumns count="22">
    <tableColumn id="1" xr3:uid="{68BC9B47-EF3A-48CB-A9DF-35D346A849C6}" name="Datensatzname (Gemis V. 5.1)"/>
    <tableColumn id="2" xr3:uid="{415777D7-9F2D-4951-B2D5-981962433E87}" name="2015"/>
    <tableColumn id="3" xr3:uid="{BE9ABF54-085C-49EC-8BF4-96AA3A1D3DEA}" name="2016">
      <calculatedColumnFormula>EF_Bundesstrommix_Gemis[[#This Row],[2015]]</calculatedColumnFormula>
    </tableColumn>
    <tableColumn id="4" xr3:uid="{FC44056A-99DE-415D-AEEE-9851101D39C4}" name="2017">
      <calculatedColumnFormula>EF_Bundesstrommix_Gemis[[#This Row],[2016]]</calculatedColumnFormula>
    </tableColumn>
    <tableColumn id="5" xr3:uid="{C4AB5AD9-AA4C-4DA0-88BF-7494D4A66D21}" name="2018">
      <calculatedColumnFormula>EF_Bundesstrommix_Gemis[[#This Row],[2017]]</calculatedColumnFormula>
    </tableColumn>
    <tableColumn id="6" xr3:uid="{982BCAFB-80BD-457B-8D9B-7D9304EB8A1E}" name="2019">
      <calculatedColumnFormula>EF_Bundesstrommix_Gemis[[#This Row],[2018]]</calculatedColumnFormula>
    </tableColumn>
    <tableColumn id="7" xr3:uid="{75B5C679-9607-4CDE-A086-F600ACC63C78}" name="2020">
      <calculatedColumnFormula>EF_Bundesstrommix_Gemis[[#This Row],[2019]]</calculatedColumnFormula>
    </tableColumn>
    <tableColumn id="8" xr3:uid="{E1B77519-2800-45F6-832C-D3B96B777271}" name="2021">
      <calculatedColumnFormula>EF_Bundesstrommix_Gemis[[#This Row],[2020]]</calculatedColumnFormula>
    </tableColumn>
    <tableColumn id="9" xr3:uid="{7ADC3E58-AECC-40DC-9D80-05C24F87109D}" name="2022">
      <calculatedColumnFormula>EF_Bundesstrommix_Gemis[[#This Row],[2021]]</calculatedColumnFormula>
    </tableColumn>
    <tableColumn id="10" xr3:uid="{4708918C-D423-4D37-827A-FDC519601F2F}" name="2023">
      <calculatedColumnFormula>EF_Bundesstrommix_Gemis[[#This Row],[2022]]</calculatedColumnFormula>
    </tableColumn>
    <tableColumn id="11" xr3:uid="{D6573C8E-BE9A-4FA7-8674-D15CDFCE7017}" name="2024">
      <calculatedColumnFormula>EF_Bundesstrommix_Gemis[[#This Row],[2023]]</calculatedColumnFormula>
    </tableColumn>
    <tableColumn id="12" xr3:uid="{6E30C498-BF09-4FD3-9442-58FC2066472B}" name="2025">
      <calculatedColumnFormula>EF_Bundesstrommix_Gemis[[#This Row],[2024]]</calculatedColumnFormula>
    </tableColumn>
    <tableColumn id="13" xr3:uid="{307BD076-F881-4874-B0A9-B84B09D90979}" name="2026">
      <calculatedColumnFormula>EF_Bundesstrommix_Gemis[[#This Row],[2025]]</calculatedColumnFormula>
    </tableColumn>
    <tableColumn id="20" xr3:uid="{FE068950-289E-4CC9-8386-76C0D904E314}" name="2027" dataDxfId="387">
      <calculatedColumnFormula>EF_Bundesstrommix_Gemis[[#This Row],[2025]]</calculatedColumnFormula>
    </tableColumn>
    <tableColumn id="21" xr3:uid="{56E30D43-0533-4069-8F81-497D54EDF443}" name="2028" dataDxfId="386">
      <calculatedColumnFormula>EF_Bundesstrommix_Gemis[[#This Row],[2025]]</calculatedColumnFormula>
    </tableColumn>
    <tableColumn id="22" xr3:uid="{EDEB539A-D901-4929-987F-D79BB02A5105}" name="2029" dataDxfId="385">
      <calculatedColumnFormula>EF_Bundesstrommix_Gemis[[#This Row],[2025]]</calculatedColumnFormula>
    </tableColumn>
    <tableColumn id="14" xr3:uid="{F8EBEF06-6454-4944-BA08-51A909D046A1}" name="2030">
      <calculatedColumnFormula>EF_Bundesstrommix_Gemis[[#This Row],[2026]]</calculatedColumnFormula>
    </tableColumn>
    <tableColumn id="15" xr3:uid="{89687A78-10AE-44EC-B2D7-09FCFC60BB2C}" name="2035">
      <calculatedColumnFormula>EF_Bundesstrommix_Gemis[[#This Row],[2030]]</calculatedColumnFormula>
    </tableColumn>
    <tableColumn id="16" xr3:uid="{D55A8FBF-05B5-4D55-B39C-4F517C37ED23}" name="2040">
      <calculatedColumnFormula>EF_Bundesstrommix_Gemis[[#This Row],[2035]]</calculatedColumnFormula>
    </tableColumn>
    <tableColumn id="17" xr3:uid="{13683071-E75A-47A7-97B3-6E917144BBF4}" name="2045">
      <calculatedColumnFormula>EF_Bundesstrommix_Gemis[[#This Row],[2040]]</calculatedColumnFormula>
    </tableColumn>
    <tableColumn id="18" xr3:uid="{ECF27594-7D66-4BBC-BB53-E1DB9C6E3BD7}" name="2050">
      <calculatedColumnFormula>EF_Bundesstrommix_Gemis[[#This Row],[2045]]</calculatedColumnFormula>
    </tableColumn>
    <tableColumn id="19" xr3:uid="{D05B9D9E-4332-4C7C-87EA-97E6AF343AB9}" name="Einordnung" dataDxfId="384"/>
  </tableColumns>
  <tableStyleInfo name="TableStyleMedium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E0283765-3F3A-45CB-BCB8-963278CC5A9E}" name="EF_Tarif1" displayName="EF_Tarif1" ref="B44:V50" totalsRowCount="1">
  <autoFilter ref="B44:V49" xr:uid="{2F89EC25-86B4-446E-81BC-C4ECF1091D27}"/>
  <tableColumns count="21">
    <tableColumn id="1" xr3:uid="{2A4F3AFE-C41E-454D-B2F9-5944961F25B2}" name="Stromerzeugung" totalsRowLabel="Erechneter Emissionsfaktor" totalsRowDxfId="383"/>
    <tableColumn id="2" xr3:uid="{D63ADDBD-CB65-4C4C-B1E6-59BECBA4AD5A}" name="2015" totalsRowFunction="custom" dataDxfId="382" totalsRowDxfId="381" dataCellStyle="Prozent">
      <totalsRowFormula>(C45*C106)+(C46*C107)+(C47*C108)+(C48*C109)+(C49*C110)</totalsRowFormula>
    </tableColumn>
    <tableColumn id="3" xr3:uid="{9CA910ED-F2EE-491F-9CB6-D60954FBEEF3}" name="2016" totalsRowFunction="custom" dataDxfId="380" totalsRowDxfId="379" dataCellStyle="Prozent">
      <totalsRowFormula>(D45*D106)+(D46*D107)+(D47*D108)+(D48*D109)+(D49*D110)</totalsRowFormula>
    </tableColumn>
    <tableColumn id="4" xr3:uid="{325FE29F-6148-4417-81A6-C5B3BDB56D0D}" name="2017" totalsRowFunction="custom" dataDxfId="378" totalsRowDxfId="377" dataCellStyle="Prozent">
      <totalsRowFormula>(E45*E106)+(E46*E107)+(E47*E108)+(E48*E109)+(E49*E110)</totalsRowFormula>
    </tableColumn>
    <tableColumn id="5" xr3:uid="{57E75015-F945-40FC-B27D-B0F55D209FD9}" name="2018" totalsRowFunction="custom" dataDxfId="376" totalsRowDxfId="375" dataCellStyle="Prozent">
      <totalsRowFormula>(F45*F106)+(F46*F107)+(F47*F108)+(F48*F109)+(F49*F110)</totalsRowFormula>
    </tableColumn>
    <tableColumn id="6" xr3:uid="{777F1305-B9AE-4111-83C6-657540F6CE70}" name="2019" totalsRowFunction="custom" dataDxfId="374" totalsRowDxfId="373" dataCellStyle="Prozent">
      <totalsRowFormula>(G45*G106)+(G46*G107)+(G47*G108)+(G48*G109)+(G49*G110)</totalsRowFormula>
    </tableColumn>
    <tableColumn id="7" xr3:uid="{03DE2454-5EE5-46FA-9338-9E5C6D8D1965}" name="2020" totalsRowFunction="custom" dataDxfId="372" totalsRowDxfId="371" dataCellStyle="Prozent">
      <totalsRowFormula>(H45*H106)+(H46*H107)+(H47*H108)+(H48*H109)+(H49*H110)</totalsRowFormula>
    </tableColumn>
    <tableColumn id="8" xr3:uid="{EEC33CCF-D7B7-4B96-B586-5A9479868F5B}" name="2021" totalsRowFunction="custom" dataDxfId="370" totalsRowDxfId="369" dataCellStyle="Prozent">
      <totalsRowFormula>(I45*I106)+(I46*I107)+(I47*I108)+(I48*I109)+(I49*I110)</totalsRowFormula>
    </tableColumn>
    <tableColumn id="9" xr3:uid="{A76509EE-9470-46D4-8EF2-41F6172F44B8}" name="2022" totalsRowFunction="custom" dataDxfId="368" totalsRowDxfId="367" dataCellStyle="Prozent">
      <totalsRowFormula>(J45*J106)+(J46*J107)+(J47*J108)+(J48*J109)+(J49*J110)</totalsRowFormula>
    </tableColumn>
    <tableColumn id="10" xr3:uid="{E933B5CF-C3B3-4CED-960A-2257DB4E1BDF}" name="2023" totalsRowFunction="custom" dataDxfId="366" totalsRowDxfId="365" dataCellStyle="Prozent">
      <totalsRowFormula>(K45*K106)+(K46*K107)+(K47*K108)+(K48*K109)+(K49*K110)</totalsRowFormula>
    </tableColumn>
    <tableColumn id="11" xr3:uid="{1F62AB3B-9E14-405B-891A-3465E2E0FDAC}" name="2024" totalsRowFunction="custom" dataDxfId="364" totalsRowDxfId="363" dataCellStyle="Prozent">
      <totalsRowFormula>(L45*L106)+(L46*L107)+(L47*L108)+(L48*L109)+(L49*L110)</totalsRowFormula>
    </tableColumn>
    <tableColumn id="12" xr3:uid="{895144AA-E893-41BE-8C37-70EC24CD1F76}" name="2025" totalsRowFunction="custom" dataDxfId="362" totalsRowDxfId="361" dataCellStyle="Prozent">
      <totalsRowFormula>(M45*M106)+(M46*M107)+(M47*M108)+(M48*M109)+(M49*M110)</totalsRowFormula>
    </tableColumn>
    <tableColumn id="13" xr3:uid="{B4840039-660D-4F11-AC86-0221970B8F5C}" name="2026" totalsRowFunction="custom" dataDxfId="360" totalsRowDxfId="359" dataCellStyle="Prozent">
      <totalsRowFormula>(N45*N106)+(N46*N107)+(N47*N108)+(N48*N109)+(N49*N110)</totalsRowFormula>
    </tableColumn>
    <tableColumn id="19" xr3:uid="{0945A484-D4D9-460D-9D88-2A7A6C34F0B7}" name="2027" totalsRowFunction="custom" dataDxfId="358" totalsRowDxfId="357" dataCellStyle="Prozent">
      <totalsRowFormula>(O45*O106)+(O46*O107)+(O47*O108)+(O48*O109)+(O49*O110)</totalsRowFormula>
    </tableColumn>
    <tableColumn id="20" xr3:uid="{0C7F6D8C-5371-45F9-A4A3-519A13D9CDA6}" name="2028" totalsRowFunction="custom" dataDxfId="356" totalsRowDxfId="355" dataCellStyle="Prozent">
      <totalsRowFormula>(P45*P106)+(P46*P107)+(P47*P108)+(P48*P109)+(P49*P110)</totalsRowFormula>
    </tableColumn>
    <tableColumn id="21" xr3:uid="{2BC8E3E7-657E-4983-AF23-07362B154664}" name="2029" totalsRowFunction="custom" dataDxfId="354" totalsRowDxfId="353" dataCellStyle="Prozent">
      <totalsRowFormula>(Q45*Q106)+(Q46*Q107)+(Q47*Q108)+(Q48*Q109)+(Q49*Q110)</totalsRowFormula>
    </tableColumn>
    <tableColumn id="14" xr3:uid="{2AFEA1E0-659F-4AD1-A92C-797B0BC92ED9}" name="2030" totalsRowFunction="custom" dataDxfId="352" totalsRowDxfId="351" dataCellStyle="Prozent">
      <totalsRowFormula>(R45*R106)+(R46*R107)+(R47*R108)+(R48*R109)+(R49*R110)</totalsRowFormula>
    </tableColumn>
    <tableColumn id="15" xr3:uid="{77882A9C-E3D3-49E1-92A8-60FAC3D860F6}" name="2035" totalsRowFunction="custom" dataDxfId="350" totalsRowDxfId="349" dataCellStyle="Prozent">
      <totalsRowFormula>(S45*S106)+(S46*S107)+(S47*S108)+(S48*S109)+(S49*S110)</totalsRowFormula>
    </tableColumn>
    <tableColumn id="16" xr3:uid="{9AC2C8DB-B313-492B-B5D6-95512B8C224F}" name="2040" totalsRowFunction="custom" dataDxfId="348" totalsRowDxfId="347" dataCellStyle="Prozent">
      <totalsRowFormula>(T45*T106)+(T46*T107)+(T47*T108)+(T48*T109)+(T49*T110)</totalsRowFormula>
    </tableColumn>
    <tableColumn id="17" xr3:uid="{4F00096D-4C7B-459B-8BD6-F14E7D94BE96}" name="2045" totalsRowFunction="custom" dataDxfId="346" totalsRowDxfId="345" dataCellStyle="Prozent">
      <totalsRowFormula>(U45*U106)+(U46*U107)+(U47*U108)+(U48*U109)+(U49*U110)</totalsRowFormula>
    </tableColumn>
    <tableColumn id="18" xr3:uid="{FFA5B433-B5BD-489F-9DA3-E1B01D4BBD13}" name="2050" totalsRowFunction="custom" dataDxfId="344" totalsRowDxfId="343" dataCellStyle="Prozent">
      <totalsRowFormula>(V45*V106)+(V46*V107)+(V47*V108)+(V48*V109)+(V49*V110)</totalsRowFormula>
    </tableColumn>
  </tableColumns>
  <tableStyleInfo name="TableStyleMedium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EBC3971C-8C7F-434B-9627-253584CA8166}" name="Einrichtungen_mit_Stromtarifen" displayName="Einrichtungen_mit_Stromtarifen" ref="B34:C40" totalsRowShown="0">
  <autoFilter ref="B34:C40" xr:uid="{EEECCE8C-BC90-4899-9C0B-A3123A3D8C6D}"/>
  <tableColumns count="2">
    <tableColumn id="1" xr3:uid="{C9C6A53B-4A42-4E73-89D0-C20895D681B6}" name="Name der Einrichtung" dataDxfId="342"/>
    <tableColumn id="2" xr3:uid="{6B5A0380-E592-46D3-A17E-8EB14FB79E19}" name="Tarif" dataDxfId="341"/>
  </tableColumns>
  <tableStyleInfo name="TableStyleMedium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FC417450-D3F3-4586-99B9-6BC9F13AED0F}" name="EF_Tarif2" displayName="EF_Tarif2" ref="B54:V60" totalsRowCount="1">
  <autoFilter ref="B54:V59" xr:uid="{32F4217E-79C8-4271-92FB-0C3E957A40A1}"/>
  <tableColumns count="21">
    <tableColumn id="1" xr3:uid="{B24D3638-C5CE-421B-ADE6-7D3891A8850F}" name="Stromerzeugung" totalsRowLabel="Erechneter Emissionsfaktor" totalsRowDxfId="340"/>
    <tableColumn id="2" xr3:uid="{15D69814-D4C2-4532-8E80-E0715780E307}" name="2015" totalsRowFunction="custom" dataDxfId="339" totalsRowDxfId="338" dataCellStyle="Prozent">
      <totalsRowFormula>(C55*C106)+(C56*C107)+(C57*C108)+(C58*C109)+(C59*C110)</totalsRowFormula>
    </tableColumn>
    <tableColumn id="3" xr3:uid="{B7BA5BA2-9B88-4257-B953-8ECB05C54D3F}" name="2016" totalsRowFunction="custom" dataDxfId="337" totalsRowDxfId="336">
      <totalsRowFormula>(D55*D106)+(D56*D107)+(D57*D108)+(D58*D109)+(D59*D110)</totalsRowFormula>
    </tableColumn>
    <tableColumn id="4" xr3:uid="{8A537B77-BCB8-4823-8C93-1DDE07CD0B0D}" name="2017" totalsRowFunction="custom" dataDxfId="335" totalsRowDxfId="334">
      <totalsRowFormula>(E55*E106)+(E56*E107)+(E57*E108)+(E58*E109)+(E59*E110)</totalsRowFormula>
    </tableColumn>
    <tableColumn id="5" xr3:uid="{28B2D225-8D8F-4048-9EDE-7CD4A106C7C6}" name="2018" totalsRowFunction="custom" dataDxfId="333" totalsRowDxfId="332">
      <totalsRowFormula>(F55*F106)+(F56*F107)+(F57*F108)+(F58*F109)+(F59*F110)</totalsRowFormula>
    </tableColumn>
    <tableColumn id="6" xr3:uid="{9EE87A47-4732-4D6D-96AC-0134BB82E967}" name="2019" totalsRowFunction="custom" dataDxfId="331" totalsRowDxfId="330">
      <totalsRowFormula>(G55*G106)+(G56*G107)+(G57*G108)+(G58*G109)+(G59*G110)</totalsRowFormula>
    </tableColumn>
    <tableColumn id="7" xr3:uid="{0B40E99D-A67B-4DF4-A02B-6649ADD02831}" name="2020" totalsRowFunction="custom" dataDxfId="329" totalsRowDxfId="328">
      <totalsRowFormula>(H55*H106)+(H56*H107)+(H57*H108)+(H58*H109)+(H59*H110)</totalsRowFormula>
    </tableColumn>
    <tableColumn id="8" xr3:uid="{FBC84F27-A67D-440E-8197-E1534ED91D69}" name="2021" totalsRowFunction="custom" dataDxfId="327" totalsRowDxfId="326" dataCellStyle="Prozent">
      <totalsRowFormula>(I55*I106)+(I56*I107)+(I57*I108)+(I58*I109)+(I59*I110)</totalsRowFormula>
    </tableColumn>
    <tableColumn id="9" xr3:uid="{859BCA8A-F131-488E-A844-A54F0E1F5B3C}" name="2022" totalsRowFunction="custom" dataDxfId="325" totalsRowDxfId="324">
      <totalsRowFormula>(J55*J106)+(J56*J107)+(J57*J108)+(J58*J109)+(J59*J110)</totalsRowFormula>
    </tableColumn>
    <tableColumn id="10" xr3:uid="{AC1B6554-77DA-46BE-AA30-D0F366FC251B}" name="2023" totalsRowFunction="custom" dataDxfId="323" totalsRowDxfId="322">
      <totalsRowFormula>(K55*K106)+(K56*K107)+(K57*K108)+(K58*K109)+(K59*K110)</totalsRowFormula>
    </tableColumn>
    <tableColumn id="11" xr3:uid="{C7A8091E-A94A-4E61-AD55-11B335690DB2}" name="2024" totalsRowFunction="custom" dataDxfId="321" totalsRowDxfId="320">
      <totalsRowFormula>(L55*L106)+(L56*L107)+(L57*L108)+(L58*L109)+(L59*L110)</totalsRowFormula>
    </tableColumn>
    <tableColumn id="12" xr3:uid="{925D2767-6BBF-4D30-85A5-9F9DFFB5F287}" name="2025" totalsRowFunction="custom" dataDxfId="319" totalsRowDxfId="318">
      <totalsRowFormula>(M55*M106)+(M56*M107)+(M57*M108)+(M58*M109)+(M59*M110)</totalsRowFormula>
    </tableColumn>
    <tableColumn id="13" xr3:uid="{87D8CDE9-448F-4028-82B7-9B4F82558485}" name="2026" totalsRowFunction="custom" dataDxfId="317" totalsRowDxfId="316">
      <totalsRowFormula>(N55*N106)+(N56*N107)+(N57*N108)+(N58*N109)+(N59*N110)</totalsRowFormula>
    </tableColumn>
    <tableColumn id="19" xr3:uid="{A0D4B975-8E4D-4F09-90E3-9026ED2F45E8}" name="2027" totalsRowFunction="custom" dataDxfId="315" totalsRowDxfId="314" dataCellStyle="Prozent">
      <totalsRowFormula>(O55*O106)+(O56*O107)+(O57*O108)+(O58*O109)+(O59*O110)</totalsRowFormula>
    </tableColumn>
    <tableColumn id="20" xr3:uid="{90F5329A-5D27-4512-89E3-FD1AE6DD5A86}" name="2028" totalsRowFunction="custom" dataDxfId="313" totalsRowDxfId="312" dataCellStyle="Prozent">
      <totalsRowFormula>(P55*P106)+(P56*P107)+(P57*P108)+(P58*P109)+(P59*P110)</totalsRowFormula>
    </tableColumn>
    <tableColumn id="21" xr3:uid="{A104BCA9-D36E-4B8C-BDAA-EAEC123A8A14}" name="2029" totalsRowFunction="custom" dataDxfId="311" totalsRowDxfId="310" dataCellStyle="Prozent">
      <totalsRowFormula>(Q55*Q106)+(Q56*Q107)+(Q57*Q108)+(Q58*Q109)+(Q59*Q110)</totalsRowFormula>
    </tableColumn>
    <tableColumn id="14" xr3:uid="{A21F91B3-9EA3-452D-8F90-03E208722B57}" name="2030" totalsRowFunction="custom" dataDxfId="309" totalsRowDxfId="308">
      <totalsRowFormula>(R55*R106)+(R56*R107)+(R57*R108)+(R58*R109)+(R59*R110)</totalsRowFormula>
    </tableColumn>
    <tableColumn id="15" xr3:uid="{7FE12B6F-659A-4CBE-BEE2-CCA9E5901EBF}" name="2035" totalsRowFunction="custom" dataDxfId="307" totalsRowDxfId="306">
      <totalsRowFormula>(S55*S106)+(S56*S107)+(S57*S108)+(S58*S109)+(S59*S110)</totalsRowFormula>
    </tableColumn>
    <tableColumn id="16" xr3:uid="{8914AD68-F158-4414-A80A-C67ECBF904D9}" name="2040" totalsRowFunction="custom" dataDxfId="305" totalsRowDxfId="304">
      <totalsRowFormula>(T55*T106)+(T56*T107)+(T57*T108)+(T58*T109)+(T59*T110)</totalsRowFormula>
    </tableColumn>
    <tableColumn id="17" xr3:uid="{6A75282A-DD68-44A6-929F-AAE355674A6B}" name="2045" totalsRowFunction="custom" dataDxfId="303" totalsRowDxfId="302">
      <totalsRowFormula>(U55*U106)+(U56*U107)+(U57*U108)+(U58*U109)+(U59*U110)</totalsRowFormula>
    </tableColumn>
    <tableColumn id="18" xr3:uid="{4F0C04FE-3C00-4241-8C48-214410560D30}" name="2050" totalsRowFunction="custom" dataDxfId="301" totalsRowDxfId="300">
      <totalsRowFormula>(V55*V106)+(V56*V107)+(V57*V108)+(V58*V109)+(V59*V110)</totalsRowFormula>
    </tableColumn>
  </tableColumns>
  <tableStyleInfo name="TableStyleMedium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A86936F-361E-40C2-ACC3-0325E69B81F3}" name="EF_Tarif3" displayName="EF_Tarif3" ref="B64:V70" totalsRowCount="1">
  <autoFilter ref="B64:V69" xr:uid="{1B2D3168-2F1A-4DB3-87B7-0416A9EFC05D}"/>
  <tableColumns count="21">
    <tableColumn id="1" xr3:uid="{9B5F7306-C8D3-4F0E-89CC-B939B91EA841}" name="Stromerzeugung" totalsRowLabel="Erechneter Emissionsfaktor" totalsRowDxfId="299"/>
    <tableColumn id="2" xr3:uid="{7E8F8508-862C-4647-829E-13337353FA2F}" name="2015" totalsRowFunction="custom" dataDxfId="298" totalsRowDxfId="297" dataCellStyle="Prozent">
      <totalsRowFormula>(C65*C106)+(C66*C107)+(C67*C108)+(C68*C109)+(C69*C110)</totalsRowFormula>
    </tableColumn>
    <tableColumn id="3" xr3:uid="{4EA90A66-9C56-442B-8462-FDC00ED1300C}" name="2016" totalsRowFunction="custom" dataDxfId="296" totalsRowDxfId="295">
      <totalsRowFormula>(D65*D106)+(D66*D107)+(D67*D108)+(D68*D109)+(D69*D110)</totalsRowFormula>
    </tableColumn>
    <tableColumn id="4" xr3:uid="{B406436E-9396-4808-B95D-E3E7C78D8EEB}" name="2017" totalsRowFunction="custom" dataDxfId="294" totalsRowDxfId="293">
      <totalsRowFormula>(E65*E106)+(E66*E107)+(E67*E108)+(E68*E109)+(E69*E110)</totalsRowFormula>
    </tableColumn>
    <tableColumn id="5" xr3:uid="{5414B99C-78BB-49A1-94D8-C2604864E5D0}" name="2018" totalsRowFunction="custom" dataDxfId="292" totalsRowDxfId="291">
      <totalsRowFormula>(F65*F106)+(F66*F107)+(F67*F108)+(F68*F109)+(F69*F110)</totalsRowFormula>
    </tableColumn>
    <tableColumn id="6" xr3:uid="{20C58CD4-7255-407B-88D1-95CBCCBB7FEF}" name="2019" totalsRowFunction="custom" dataDxfId="290" totalsRowDxfId="289">
      <totalsRowFormula>(G65*G106)+(G66*G107)+(G67*G108)+(G68*G109)+(G69*G110)</totalsRowFormula>
    </tableColumn>
    <tableColumn id="7" xr3:uid="{0A1F4E42-16AB-4490-AF33-E032813C0B22}" name="2020" totalsRowFunction="custom" dataDxfId="288" totalsRowDxfId="287">
      <totalsRowFormula>(H65*H106)+(H66*H107)+(H67*H108)+(H68*H109)+(H69*H110)</totalsRowFormula>
    </tableColumn>
    <tableColumn id="8" xr3:uid="{69201FC8-EC69-493C-9CC1-E6A7063A1DD5}" name="2021" totalsRowFunction="custom" dataDxfId="286" totalsRowDxfId="285" dataCellStyle="Prozent">
      <totalsRowFormula>(I65*I106)+(I66*I107)+(I67*I108)+(I68*I109)+(I69*I110)</totalsRowFormula>
    </tableColumn>
    <tableColumn id="9" xr3:uid="{9FC9A99C-5E40-4D0E-BE2A-FF057E6E2B35}" name="2022" totalsRowFunction="custom" dataDxfId="284" totalsRowDxfId="283">
      <totalsRowFormula>(J65*J106)+(J66*J107)+(J67*J108)+(J68*J109)+(J69*J110)</totalsRowFormula>
    </tableColumn>
    <tableColumn id="10" xr3:uid="{0279AAE0-4147-4CAC-B210-E0549E6E1F92}" name="2023" totalsRowFunction="custom" dataDxfId="282" totalsRowDxfId="281">
      <totalsRowFormula>(K65*K106)+(K66*K107)+(K67*K108)+(K68*K109)+(K69*K110)</totalsRowFormula>
    </tableColumn>
    <tableColumn id="11" xr3:uid="{6EA58CC5-D190-46B1-BBA6-C9A9DCCD839D}" name="2024" totalsRowFunction="custom" dataDxfId="280" totalsRowDxfId="279">
      <totalsRowFormula>(L65*L106)+(L66*L107)+(L67*L108)+(L68*L109)+(L69*L110)</totalsRowFormula>
    </tableColumn>
    <tableColumn id="12" xr3:uid="{275D2FF4-6CE2-426C-9D6C-AA4269B62C8A}" name="2025" totalsRowFunction="custom" dataDxfId="278" totalsRowDxfId="277">
      <totalsRowFormula>(M65*M106)+(M66*M107)+(M67*M108)+(M68*M109)+(M69*M110)</totalsRowFormula>
    </tableColumn>
    <tableColumn id="13" xr3:uid="{FF27686D-96CE-48AA-881B-890F3A176EAA}" name="2026" totalsRowFunction="custom" dataDxfId="276" totalsRowDxfId="275">
      <totalsRowFormula>(N65*N106)+(N66*N107)+(N67*N108)+(N68*N109)+(N69*N110)</totalsRowFormula>
    </tableColumn>
    <tableColumn id="19" xr3:uid="{025D1522-6419-413C-855A-CE9BADDF739F}" name="2027" totalsRowFunction="custom" dataDxfId="274" totalsRowDxfId="273" dataCellStyle="Prozent">
      <totalsRowFormula>(O65*R106)+(O66*R107)+(O67*R108)+(O68*R109)+(O69*R110)</totalsRowFormula>
    </tableColumn>
    <tableColumn id="20" xr3:uid="{B62734B9-B2B4-4DEA-877C-729CC2AFC6EB}" name="2028" totalsRowFunction="custom" dataDxfId="272" totalsRowDxfId="271" dataCellStyle="Prozent">
      <totalsRowFormula>(P65*S106)+(P66*S107)+(P67*S108)+(P68*S109)+(P69*S110)</totalsRowFormula>
    </tableColumn>
    <tableColumn id="21" xr3:uid="{94307B57-78EB-446D-8BE1-1480317FA78B}" name="2029" totalsRowFunction="custom" dataDxfId="270" totalsRowDxfId="269" dataCellStyle="Prozent">
      <totalsRowFormula>(Q65*T106)+(Q66*T107)+(Q67*T108)+(Q68*T109)+(Q69*T110)</totalsRowFormula>
    </tableColumn>
    <tableColumn id="14" xr3:uid="{FB9FF21B-B80F-43CA-89FB-EA92C91B5F57}" name="2030" totalsRowFunction="custom" dataDxfId="268" totalsRowDxfId="267">
      <totalsRowFormula>(R65*R106)+(R66*R107)+(R67*R108)+(R68*R109)+(R69*R110)</totalsRowFormula>
    </tableColumn>
    <tableColumn id="15" xr3:uid="{339FE4AE-18DE-451D-9BB2-EB3B2AE3A1D6}" name="2035" totalsRowFunction="custom" dataDxfId="266" totalsRowDxfId="265">
      <totalsRowFormula>(S65*S106)+(S66*S107)+(S67*S108)+(S68*S109)+(S69*S110)</totalsRowFormula>
    </tableColumn>
    <tableColumn id="16" xr3:uid="{50C87286-A6A1-47D1-A37F-01348989E190}" name="2040" totalsRowFunction="custom" dataDxfId="264" totalsRowDxfId="263">
      <totalsRowFormula>(T65*T106)+(T66*T107)+(T67*T108)+(T68*T109)+(T69*T110)</totalsRowFormula>
    </tableColumn>
    <tableColumn id="17" xr3:uid="{6C52667F-3A1E-4CC6-A550-03FC8E44CAAD}" name="2045" totalsRowFunction="custom" dataDxfId="262" totalsRowDxfId="261">
      <totalsRowFormula>(U65*U106)+(U66*U107)+(U67*U108)+(U68*U109)+(U69*U110)</totalsRowFormula>
    </tableColumn>
    <tableColumn id="18" xr3:uid="{CEE6A151-DCE8-4B45-964F-DC53F667167B}" name="2050" totalsRowFunction="custom" dataDxfId="260" totalsRowDxfId="259">
      <totalsRowFormula>(V65*V106)+(V66*V107)+(V67*V108)+(V68*V109)+(V69*V110)</totalsRowFormula>
    </tableColumn>
  </tableColumns>
  <tableStyleInfo name="TableStyleMedium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A7C63349-69F6-4866-9AFE-9EDA50C9C91B}" name="EF_Tarif4" displayName="EF_Tarif4" ref="B74:V80" totalsRowCount="1">
  <autoFilter ref="B74:V79" xr:uid="{EEE56C69-1BD6-4CEA-A944-438ACEFC1637}"/>
  <tableColumns count="21">
    <tableColumn id="1" xr3:uid="{68678F75-8D13-49C2-B870-0E7432132E89}" name="Stromerzeugung" totalsRowLabel="Erechneter Emissionsfaktor" totalsRowDxfId="258"/>
    <tableColumn id="2" xr3:uid="{CBAB1B3A-E0AC-43E2-81D9-2F13A7E1B912}" name="2015" totalsRowFunction="custom" dataDxfId="257" totalsRowDxfId="256" dataCellStyle="Prozent">
      <totalsRowFormula>(C75*C106)+(C76*C107)+(C77*C108)+(C78*C109)+(C79*C110)</totalsRowFormula>
    </tableColumn>
    <tableColumn id="3" xr3:uid="{F8A9D62A-2876-42BA-9DCE-017781C62A34}" name="2016" totalsRowFunction="custom" dataDxfId="255" totalsRowDxfId="254">
      <totalsRowFormula>(D75*D106)+(D76*D107)+(D77*D108)+(D78*D109)+(D79*D110)</totalsRowFormula>
    </tableColumn>
    <tableColumn id="4" xr3:uid="{FAA5AFE8-A4BE-4F95-A3EB-DFE56992CCAA}" name="2017" totalsRowFunction="custom" dataDxfId="253" totalsRowDxfId="252">
      <totalsRowFormula>(E75*E106)+(E76*E107)+(E77*E108)+(E78*E109)+(E79*E110)</totalsRowFormula>
    </tableColumn>
    <tableColumn id="5" xr3:uid="{01CA1EE0-602C-4B4B-9E13-E488DFF1527D}" name="2018" totalsRowFunction="custom" dataDxfId="251" totalsRowDxfId="250">
      <totalsRowFormula>(F75*F106)+(F76*F107)+(F77*F108)+(F78*F109)+(F79*F110)</totalsRowFormula>
    </tableColumn>
    <tableColumn id="6" xr3:uid="{4A239976-848D-43EC-BE47-87CCCD2F1C96}" name="2019" totalsRowFunction="custom" dataDxfId="249" totalsRowDxfId="248">
      <totalsRowFormula>(G75*G106)+(G76*G107)+(G77*G108)+(G78*G109)+(G79*G110)</totalsRowFormula>
    </tableColumn>
    <tableColumn id="7" xr3:uid="{159A71AC-ECD8-4D0D-8747-E010F9204DB4}" name="2020" totalsRowFunction="custom" dataDxfId="247" totalsRowDxfId="246">
      <totalsRowFormula>(H75*H106)+(H76*H107)+(H77*H108)+(H78*H109)+(H79*H110)</totalsRowFormula>
    </tableColumn>
    <tableColumn id="8" xr3:uid="{1C1FA178-8A63-4C91-8392-F0869C9B00F5}" name="2021" totalsRowFunction="custom" dataDxfId="245" totalsRowDxfId="244" dataCellStyle="Prozent">
      <totalsRowFormula>(I75*I106)+(I76*I107)+(I77*I108)+(I78*I109)+(I79*I110)</totalsRowFormula>
    </tableColumn>
    <tableColumn id="9" xr3:uid="{9825A035-CEEE-44E8-A18C-22560FC082C1}" name="2022" totalsRowFunction="custom" dataDxfId="243" totalsRowDxfId="242">
      <totalsRowFormula>(J75*J106)+(J76*J107)+(J77*J108)+(J78*J109)+(J79*J110)</totalsRowFormula>
    </tableColumn>
    <tableColumn id="10" xr3:uid="{9D20D7F6-BC37-48D1-B9F7-AED81C95BE8E}" name="2023" totalsRowFunction="custom" dataDxfId="241" totalsRowDxfId="240">
      <totalsRowFormula>(K75*K106)+(K76*K107)+(K77*K108)+(K78*K109)+(K79*K110)</totalsRowFormula>
    </tableColumn>
    <tableColumn id="11" xr3:uid="{E1F94464-BCEA-49E4-A4F9-31879FB1EDA6}" name="2024" totalsRowFunction="custom" dataDxfId="239" totalsRowDxfId="238">
      <totalsRowFormula>(L75*L106)+(L76*L107)+(L77*L108)+(L78*L109)+(L79*L110)</totalsRowFormula>
    </tableColumn>
    <tableColumn id="12" xr3:uid="{32D16C96-78FE-481F-959E-477C73FFF36A}" name="2025" totalsRowFunction="custom" dataDxfId="237" totalsRowDxfId="236">
      <totalsRowFormula>(M75*M106)+(M76*M107)+(M77*M108)+(M78*M109)+(M79*M110)</totalsRowFormula>
    </tableColumn>
    <tableColumn id="13" xr3:uid="{A1F0CE65-833E-45D7-8883-CE3A5F0DDBEB}" name="2026" totalsRowFunction="custom" dataDxfId="235" totalsRowDxfId="234">
      <totalsRowFormula>(N75*N106)+(N76*N107)+(N77*N108)+(N78*N109)+(N79*N110)</totalsRowFormula>
    </tableColumn>
    <tableColumn id="19" xr3:uid="{288E8C25-E473-4D5E-A9D9-C702ACE0E6E6}" name="2027" totalsRowFunction="custom" dataDxfId="233" totalsRowDxfId="232" dataCellStyle="Prozent">
      <totalsRowFormula>(O75*R106)+(O76*R107)+(O77*R108)+(O78*R109)+(O79*R110)</totalsRowFormula>
    </tableColumn>
    <tableColumn id="20" xr3:uid="{CCE3E28C-EE39-4F08-AD34-99F0BCC8609C}" name="2028" totalsRowFunction="custom" dataDxfId="231" totalsRowDxfId="230" dataCellStyle="Prozent">
      <totalsRowFormula>(P75*S106)+(P76*S107)+(P77*S108)+(P78*S109)+(P79*S110)</totalsRowFormula>
    </tableColumn>
    <tableColumn id="21" xr3:uid="{4EE1D295-231D-41AB-90EA-DF483D48C9C9}" name="2029" totalsRowFunction="custom" dataDxfId="229" totalsRowDxfId="228" dataCellStyle="Prozent">
      <totalsRowFormula>(Q75*T106)+(Q76*T107)+(Q77*T108)+(Q78*T109)+(Q79*T110)</totalsRowFormula>
    </tableColumn>
    <tableColumn id="14" xr3:uid="{A4DE825E-E3C1-4E62-A98B-8D12FF1517F3}" name="2030" totalsRowFunction="custom" dataDxfId="227" totalsRowDxfId="226">
      <totalsRowFormula>(R75*U106)+(R76*U107)+(R77*U108)+(R78*U109)+(R79*U110)</totalsRowFormula>
    </tableColumn>
    <tableColumn id="15" xr3:uid="{72F8CD58-99F4-458B-9A9F-5F9802B991AD}" name="2035" totalsRowFunction="custom" dataDxfId="225" totalsRowDxfId="224">
      <totalsRowFormula>(S75*S106)+(S76*S107)+(S77*S108)+(S78*S109)+(S79*S110)</totalsRowFormula>
    </tableColumn>
    <tableColumn id="16" xr3:uid="{333243B9-1137-4063-9D17-4A8BC0683CB3}" name="2040" totalsRowFunction="custom" dataDxfId="223" totalsRowDxfId="222">
      <totalsRowFormula>(T75*T106)+(T76*T107)+(T77*T108)+(T78*T109)+(T79*T110)</totalsRowFormula>
    </tableColumn>
    <tableColumn id="17" xr3:uid="{C889629A-F709-4117-B073-4CBD95B64865}" name="2045" totalsRowFunction="custom" dataDxfId="221" totalsRowDxfId="220">
      <totalsRowFormula>(U75*U106)+(U76*U107)+(U77*U108)+(U78*U109)+(U79*U110)</totalsRowFormula>
    </tableColumn>
    <tableColumn id="18" xr3:uid="{211C28A9-C4D6-4A83-AFD7-BCB650810472}" name="2050" totalsRowFunction="custom" dataDxfId="219" totalsRowDxfId="218">
      <totalsRowFormula>(V75*V106)+(V76*V107)+(V77*V108)+(V78*V109)+(V79*V110)</totalsRowFormula>
    </tableColumn>
  </tableColumns>
  <tableStyleInfo name="TableStyleMedium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3BCDEAAD-287E-4405-A99E-CC5CFE3948A7}" name="EF_Tarif5" displayName="EF_Tarif5" ref="B84:V90" totalsRowCount="1">
  <autoFilter ref="B84:V89" xr:uid="{C06AE2B1-2514-4AC8-8A88-8188C9505325}"/>
  <tableColumns count="21">
    <tableColumn id="1" xr3:uid="{B0A7AFD8-8DD5-4189-97BF-5A082C039B53}" name="Stromerzeugung" totalsRowLabel="Erechneter Emissionsfaktor" totalsRowDxfId="217"/>
    <tableColumn id="2" xr3:uid="{6EDF11DD-E87E-4D69-9649-C2CCE136D005}" name="2015" totalsRowFunction="custom" dataDxfId="216" totalsRowDxfId="215" dataCellStyle="Prozent">
      <totalsRowFormula>(C85*C106)+(C86*C107)+(C87*C108)+(C88*C109)+(C89*C110)</totalsRowFormula>
    </tableColumn>
    <tableColumn id="3" xr3:uid="{F81F038F-0472-4116-9319-96925FD045A4}" name="2016" totalsRowFunction="custom" dataDxfId="214" totalsRowDxfId="213">
      <totalsRowFormula>(D85*D106)+(D86*D107)+(D87*D108)+(D88*D109)+(D89*D110)</totalsRowFormula>
    </tableColumn>
    <tableColumn id="4" xr3:uid="{AB8B8DA2-4DBE-4C8E-AC31-C33DCF420510}" name="2017" totalsRowFunction="custom" dataDxfId="212" totalsRowDxfId="211">
      <totalsRowFormula>(E85*E106)+(E86*E107)+(E87*E108)+(E88*E109)+(E89*E110)</totalsRowFormula>
    </tableColumn>
    <tableColumn id="5" xr3:uid="{E6BD2E12-345E-46E4-BD47-5BA16314AF40}" name="2018" totalsRowFunction="custom" dataDxfId="210" totalsRowDxfId="209">
      <totalsRowFormula>(F85*F106)+(F86*F107)+(F87*F108)+(F88*F109)+(F89*F110)</totalsRowFormula>
    </tableColumn>
    <tableColumn id="6" xr3:uid="{948C2C7D-ED60-41EA-93F7-E80C3490E704}" name="2019" totalsRowFunction="custom" dataDxfId="208" totalsRowDxfId="207">
      <totalsRowFormula>(G85*G106)+(G86*G107)+(G87*G108)+(G88*G109)+(G89*G110)</totalsRowFormula>
    </tableColumn>
    <tableColumn id="7" xr3:uid="{D376B3DC-DC19-4F84-8185-5B6B75CAE88A}" name="2020" totalsRowFunction="custom" dataDxfId="206" totalsRowDxfId="205">
      <totalsRowFormula>(H85*H106)+(H86*H107)+(H87*H108)+(H88*H109)+(H89*H110)</totalsRowFormula>
    </tableColumn>
    <tableColumn id="8" xr3:uid="{050CEB12-C502-4DF7-B6B4-BEED52D434E5}" name="2021" totalsRowFunction="custom" dataDxfId="204" totalsRowDxfId="203" dataCellStyle="Prozent">
      <totalsRowFormula>(I85*I106)+(I86*I107)+(I87*I108)+(I88*I109)+(I89*I110)</totalsRowFormula>
    </tableColumn>
    <tableColumn id="9" xr3:uid="{AE28F414-4D8B-4391-BFA8-CF9258DBA7F1}" name="2022" totalsRowFunction="custom" dataDxfId="202" totalsRowDxfId="201">
      <totalsRowFormula>(J85*J106)+(J86*J107)+(J87*J108)+(J88*J109)+(J89*J110)</totalsRowFormula>
    </tableColumn>
    <tableColumn id="10" xr3:uid="{9F0C56DF-5908-4796-8D2B-513628F4E627}" name="2023" totalsRowFunction="custom" dataDxfId="200" totalsRowDxfId="199">
      <totalsRowFormula>(K85*K106)+(K86*K107)+(K87*K108)+(K88*K109)+(K89*K110)</totalsRowFormula>
    </tableColumn>
    <tableColumn id="11" xr3:uid="{21CB24A2-63EE-45E7-9BFC-9C2EA7BD4FBD}" name="2024" totalsRowFunction="custom" dataDxfId="198" totalsRowDxfId="197">
      <totalsRowFormula>(L85*L106)+(L86*L107)+(L87*L108)+(L88*L109)+(L89*L110)</totalsRowFormula>
    </tableColumn>
    <tableColumn id="12" xr3:uid="{568A7F78-CDBC-4992-B1DC-BA7B4C5E32F9}" name="2025" totalsRowFunction="custom" dataDxfId="196" totalsRowDxfId="195">
      <totalsRowFormula>(M85*M106)+(M86*M107)+(M87*M108)+(M88*M109)+(M89*M110)</totalsRowFormula>
    </tableColumn>
    <tableColumn id="13" xr3:uid="{06C922F9-7AE7-409B-B066-A6C812F1A711}" name="2026" totalsRowFunction="custom" dataDxfId="194" totalsRowDxfId="193">
      <totalsRowFormula>(N85*N106)+(N86*N107)+(N87*N108)+(N88*N109)+(N89*N110)</totalsRowFormula>
    </tableColumn>
    <tableColumn id="19" xr3:uid="{3D46D0B9-33D9-4481-8351-BF1AA11625A4}" name="2027" totalsRowFunction="custom" dataDxfId="192" totalsRowDxfId="191" dataCellStyle="Prozent">
      <totalsRowFormula>(O85*R106)+(O86*R107)+(O87*R108)+(O88*R109)+(O89*R110)</totalsRowFormula>
    </tableColumn>
    <tableColumn id="20" xr3:uid="{09DC235D-E1CD-4A43-B6AD-F7105099BF8F}" name="2028" totalsRowFunction="custom" dataDxfId="190" totalsRowDxfId="189" dataCellStyle="Prozent">
      <totalsRowFormula>(P85*S106)+(P86*S107)+(P87*S108)+(P88*S109)+(P89*S110)</totalsRowFormula>
    </tableColumn>
    <tableColumn id="21" xr3:uid="{C1DE0038-0423-4095-84AA-6C7683FD3B83}" name="2029" totalsRowFunction="custom" dataDxfId="188" totalsRowDxfId="187" dataCellStyle="Prozent">
      <totalsRowFormula>(Q85*T106)+(Q86*T107)+(Q87*T108)+(Q88*T109)+(Q89*T110)</totalsRowFormula>
    </tableColumn>
    <tableColumn id="14" xr3:uid="{0F396264-D3E6-4D8A-8315-BC43BB0CEC8E}" name="2030" totalsRowFunction="custom" dataDxfId="186" totalsRowDxfId="185">
      <totalsRowFormula>(R85*U106)+(R86*U107)+(R87*U108)+(R88*U109)+(R89*U110)</totalsRowFormula>
    </tableColumn>
    <tableColumn id="15" xr3:uid="{50A1C645-38E2-4FE3-BC44-FBAC752136DC}" name="2035" totalsRowFunction="custom" dataDxfId="184" totalsRowDxfId="183">
      <totalsRowFormula>(S85*S106)+(S86*S107)+(S87*S108)+(S88*S109)+(S89*S110)</totalsRowFormula>
    </tableColumn>
    <tableColumn id="16" xr3:uid="{A8563DD4-E440-4730-B4E8-16A6485BE278}" name="2040" totalsRowFunction="custom" dataDxfId="182" totalsRowDxfId="181">
      <totalsRowFormula>(T85*T106)+(T86*T107)+(T87*T108)+(T88*T109)+(T89*T110)</totalsRowFormula>
    </tableColumn>
    <tableColumn id="17" xr3:uid="{3EDBB5C0-DB7D-4E71-BB40-E54AF518BE72}" name="2045" totalsRowFunction="custom" dataDxfId="180" totalsRowDxfId="179">
      <totalsRowFormula>(U85*U106)+(U86*U107)+(U87*U108)+(U88*U109)+(U89*U110)</totalsRowFormula>
    </tableColumn>
    <tableColumn id="18" xr3:uid="{B24B2D56-6452-4C56-9D44-561937115F22}" name="2050" totalsRowFunction="custom" dataDxfId="178" totalsRowDxfId="177">
      <totalsRowFormula>(V85*V106)+(V86*V107)+(V87*V108)+(V88*V109)+(V89*V110)</totalsRowFormula>
    </tableColumn>
  </tableColumns>
  <tableStyleInfo name="TableStyleMedium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430E790D-99E2-480E-B114-07E38B41A6D1}" name="Carnot_Grunddaten" displayName="Carnot_Grunddaten" ref="B165:X180" totalsRowShown="0" headerRowDxfId="176" tableBorderDxfId="175">
  <autoFilter ref="B165:X180" xr:uid="{68A8BA01-1E13-4B98-8477-EFECBE1D8255}"/>
  <tableColumns count="23">
    <tableColumn id="1" xr3:uid="{F3584D99-7265-48C8-AAD5-109D14A6D8A7}" name="Energieträger Input (Hu)" dataDxfId="174"/>
    <tableColumn id="2" xr3:uid="{F0BEEB5C-73DC-4763-9397-4C4324DB9449}" name="Einheit" dataDxfId="173"/>
    <tableColumn id="3" xr3:uid="{0AE3D70C-883F-4BCE-9E7D-BA2F34580D6F}" name="2015"/>
    <tableColumn id="4" xr3:uid="{F5DB1BE1-32F6-487F-86FE-D8AE4D13D773}" name="2016"/>
    <tableColumn id="5" xr3:uid="{5A71EE46-A657-45FB-820F-E9C3ED5D89F3}" name="2017"/>
    <tableColumn id="6" xr3:uid="{0F17C01B-FE60-48E4-B0D1-6737702003FE}" name="2018"/>
    <tableColumn id="7" xr3:uid="{DF059CD1-6C50-483B-A276-215758943191}" name="2019"/>
    <tableColumn id="8" xr3:uid="{AD3F7777-5D74-4A41-821C-B462E4C1018A}" name="2020"/>
    <tableColumn id="9" xr3:uid="{FD33613E-68B7-48D4-85E3-7D1080338954}" name="2021"/>
    <tableColumn id="10" xr3:uid="{AF931610-DC7B-4CAF-AF09-5046C2A5EABF}" name="2022"/>
    <tableColumn id="11" xr3:uid="{14A0238A-654D-452D-9D67-19F3B69A70E5}" name="2023"/>
    <tableColumn id="12" xr3:uid="{C0212394-24FC-4554-BB81-120342DA4E07}" name="2024"/>
    <tableColumn id="13" xr3:uid="{1324A494-42BB-4740-BA29-6B50FA787316}" name="2025"/>
    <tableColumn id="14" xr3:uid="{079AFD19-FBA7-48B5-8991-73A6BD717EEC}" name="2026"/>
    <tableColumn id="15" xr3:uid="{2069EAD8-F07C-4127-A850-624B27F23003}" name="2027"/>
    <tableColumn id="16" xr3:uid="{D4802749-02C6-4932-8E18-8E3339601802}" name="2028"/>
    <tableColumn id="17" xr3:uid="{73111939-E913-4185-8632-FE538CC8C29D}" name="2029"/>
    <tableColumn id="18" xr3:uid="{9B94A362-8064-4CE6-9991-10DFB9E0BAC6}" name="2030"/>
    <tableColumn id="19" xr3:uid="{E2A5D6B4-7D8F-4BB8-A0B1-07E1C8A7D996}" name="2035"/>
    <tableColumn id="20" xr3:uid="{7F54ED6F-999B-4952-820B-8559FC7BD33D}" name="2040"/>
    <tableColumn id="21" xr3:uid="{D7E06426-8B22-4F05-B478-E0C9CDE9EDA3}" name="2045"/>
    <tableColumn id="22" xr3:uid="{72BED650-ECC2-46A0-8A73-3A75FDC9F7E1}" name="2050"/>
    <tableColumn id="23" xr3:uid="{65E4E311-3903-42C8-BA74-76053279DA33}" name="Bemerkung"/>
  </tableColumns>
  <tableStyleInfo name="TableStyleMedium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2FDB2666-1DE3-4D39-8EC6-6C94E584DD87}" name="Eigenes_BHKWklein" displayName="Eigenes_BHKWklein" ref="B224:X228" totalsRowShown="0">
  <autoFilter ref="B224:X228" xr:uid="{7E3F54A2-329C-49F7-B41B-7CC335ABE5D3}"/>
  <tableColumns count="23">
    <tableColumn id="1" xr3:uid="{740376EB-6A9B-42F1-8262-E0B47571514E}" name="BHKW &lt; 500 kW"/>
    <tableColumn id="2" xr3:uid="{5D3C7AF4-A396-41EF-BE8C-1AB5D62FD69F}" name="Einheit" dataDxfId="172"/>
    <tableColumn id="3" xr3:uid="{79611B52-AB74-4A4C-A4A8-D3456B49E977}" name="2015" dataDxfId="171"/>
    <tableColumn id="4" xr3:uid="{1F8C3396-09C4-44FF-8A5E-5B47C0785E8D}" name="2016" dataDxfId="170"/>
    <tableColumn id="5" xr3:uid="{7B831327-0C8B-4960-9F9D-32FA57E59F8B}" name="2017" dataDxfId="169"/>
    <tableColumn id="6" xr3:uid="{D367E974-88A8-4B7A-906C-F40AA869A6FF}" name="2018" dataDxfId="168"/>
    <tableColumn id="7" xr3:uid="{48354C29-F7E5-4F84-9E71-F0BCB003E0CE}" name="2019" dataDxfId="167"/>
    <tableColumn id="8" xr3:uid="{9C361823-8117-4F49-B4ED-9AC29CAEC644}" name="2020" dataDxfId="166"/>
    <tableColumn id="9" xr3:uid="{E8EFFC5C-5364-4423-9097-45E3D2BFD516}" name="2021" dataDxfId="165"/>
    <tableColumn id="10" xr3:uid="{39911480-2384-487E-8805-B156811D42F3}" name="2022" dataDxfId="164"/>
    <tableColumn id="11" xr3:uid="{CAACDAFC-10AF-4721-82DD-3C431AF2649C}" name="2023" dataDxfId="163"/>
    <tableColumn id="12" xr3:uid="{BDB9DFFA-83A4-4CD1-B857-75C4AD70CB19}" name="2024" dataDxfId="162"/>
    <tableColumn id="13" xr3:uid="{0CD8475B-923E-43CD-B26B-CD5679489921}" name="2025" dataDxfId="161"/>
    <tableColumn id="14" xr3:uid="{F5FDF822-4E3A-4F84-8166-BB3249AF9F36}" name="2026" dataDxfId="160"/>
    <tableColumn id="21" xr3:uid="{5B47FD1E-BC4A-4518-B017-54B451140EBE}" name="2027"/>
    <tableColumn id="22" xr3:uid="{8F7E2B82-0195-405A-BCAB-340C53F74476}" name="2028"/>
    <tableColumn id="23" xr3:uid="{4A144E74-CFCE-41F2-8B55-DF5714725FF7}" name="2029"/>
    <tableColumn id="15" xr3:uid="{1FFC3126-078B-4E8F-AA80-EBC4EFD01BE4}" name="2030" dataDxfId="159"/>
    <tableColumn id="16" xr3:uid="{64CEF237-B0B1-4088-A5A9-A1A7221B90DA}" name="2035" dataDxfId="158"/>
    <tableColumn id="17" xr3:uid="{468FE779-7C07-45FC-A913-0C81DAD7AEA0}" name="2040" dataDxfId="157"/>
    <tableColumn id="18" xr3:uid="{AE6A5CC0-2128-4207-AF79-A30561DF7CD5}" name="2045" dataDxfId="156"/>
    <tableColumn id="19" xr3:uid="{A77DDB1D-58E3-43D7-A1FF-D4314115D593}" name="2050" dataDxfId="155"/>
    <tableColumn id="20" xr3:uid="{63EDEAC8-7E18-4C06-8151-6A7E2749AC97}" name="Bemerkung"/>
  </tableColumns>
  <tableStyleInfo name="TableStyleMedium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ABF60BDD-08F6-4F8B-A13E-539A40BCDC50}" name="Eigenes_BHKWmittel" displayName="Eigenes_BHKWmittel" ref="B230:X234" totalsRowShown="0">
  <autoFilter ref="B230:X234" xr:uid="{751BAC4F-3E8D-41E5-8ADD-0DC8E50B85E3}"/>
  <tableColumns count="23">
    <tableColumn id="1" xr3:uid="{2E4C0454-E6B7-4C5A-BC1E-3AFCCF37908C}" name="BHKW 500 - 1.000 kW"/>
    <tableColumn id="2" xr3:uid="{BB0EE591-C713-4737-9D1B-0DEAEFE7180F}" name="Einheit" dataDxfId="154"/>
    <tableColumn id="3" xr3:uid="{867A0967-80BD-4485-A8C5-6FFE75EFB3E1}" name="2015" dataDxfId="153"/>
    <tableColumn id="4" xr3:uid="{2AD23A1F-CC63-490F-90D0-902546E9D432}" name="2016" dataDxfId="152"/>
    <tableColumn id="5" xr3:uid="{5ADCE5AB-FDDA-4DFF-814A-2D7DF2339F12}" name="2017" dataDxfId="151"/>
    <tableColumn id="6" xr3:uid="{DB18CF34-3623-4D3C-A402-E6C59B3D8CC8}" name="2018" dataDxfId="150"/>
    <tableColumn id="7" xr3:uid="{858674C5-7200-4609-9A19-58B49F893343}" name="2019" dataDxfId="149"/>
    <tableColumn id="8" xr3:uid="{83E5CCC6-1FD5-483B-A85A-AD67CC5C6C4D}" name="2020" dataDxfId="148"/>
    <tableColumn id="9" xr3:uid="{950DF4F9-F29B-4EA3-B935-E051E3B17324}" name="2021" dataDxfId="147"/>
    <tableColumn id="10" xr3:uid="{A647120B-C03D-47B1-BD45-0852D325D83B}" name="2022" dataDxfId="146"/>
    <tableColumn id="11" xr3:uid="{A6A609E9-58B1-41E8-B0EA-CB357F100705}" name="2023" dataDxfId="145"/>
    <tableColumn id="12" xr3:uid="{C99558A9-4577-40D2-85C5-2DD9F0729098}" name="2024" dataDxfId="144"/>
    <tableColumn id="13" xr3:uid="{E984AD7B-9C62-4D59-91A6-94F6A0E6185E}" name="2025" dataDxfId="143"/>
    <tableColumn id="14" xr3:uid="{7753C652-E9F4-41B5-BD14-CDB209BC1ABE}" name="2026" dataDxfId="142"/>
    <tableColumn id="21" xr3:uid="{F3BBB404-819C-4485-B8A2-FC97D3E6BBE9}" name="2027"/>
    <tableColumn id="22" xr3:uid="{733138A5-0160-4AD9-BE65-863EFBFD9821}" name="2028"/>
    <tableColumn id="23" xr3:uid="{7F1F7CD0-6C7E-45B1-AED6-4BAF8723DDBF}" name="2029"/>
    <tableColumn id="15" xr3:uid="{AF2CBF72-84E9-4AFA-A3BB-CE1EC8FDF3FC}" name="2030" dataDxfId="141"/>
    <tableColumn id="16" xr3:uid="{2745B0A7-37D0-4582-95D6-19FBA691786A}" name="2035" dataDxfId="140"/>
    <tableColumn id="17" xr3:uid="{B30C1CE9-157C-4490-B32B-09211A324B1C}" name="2040" dataDxfId="139"/>
    <tableColumn id="18" xr3:uid="{9BB8B10C-04DF-4C75-91C8-972421C11F9D}" name="2045" dataDxfId="138"/>
    <tableColumn id="19" xr3:uid="{B1BE9F80-F8C9-45AC-B493-70AA222D9F01}" name="2050" dataDxfId="137"/>
    <tableColumn id="20" xr3:uid="{497CECD5-5860-4F07-A1C4-2F3D3A85413E}" name="Bemerkung" dataDxfId="136"/>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35A963E7-5129-4B4E-9FD2-41103EBC9C5B}" name="Datengüte_Eingabe" displayName="Datengüte_Eingabe" ref="B21:V47" totalsRowShown="0">
  <autoFilter ref="B21:V47" xr:uid="{3B678979-D8C8-4065-A1E3-B94288BA251B}"/>
  <tableColumns count="21">
    <tableColumn id="1" xr3:uid="{5CC771C1-8CAD-4C24-85DF-A166F296512A}" name="Datenpunkt der Endenergie" dataDxfId="1065" totalsRowDxfId="1064">
      <calculatedColumnFormula>'Refsz-Verbräuche'!C61</calculatedColumnFormula>
    </tableColumn>
    <tableColumn id="2" xr3:uid="{51262A9E-8987-46DC-BE8B-D40BBC132482}" name="2015" totalsRowDxfId="1063"/>
    <tableColumn id="3" xr3:uid="{90ED3C96-C9E3-461E-9C32-DD9BAD262507}" name="2016" totalsRowDxfId="1062"/>
    <tableColumn id="4" xr3:uid="{1E682F6C-2503-4367-86DC-AC64C4725B48}" name="2017" totalsRowDxfId="1061"/>
    <tableColumn id="5" xr3:uid="{C37D5659-A2FB-42CF-9150-CA169653F252}" name="2018" totalsRowDxfId="1060"/>
    <tableColumn id="6" xr3:uid="{9D22D7CA-B5CD-49D4-8F14-22E1563DC1D1}" name="2019" totalsRowDxfId="1059"/>
    <tableColumn id="7" xr3:uid="{A88F1EAA-CCFA-48DC-89FC-1D075057B641}" name="2020" totalsRowDxfId="1058"/>
    <tableColumn id="8" xr3:uid="{78FAEC0B-FE1A-4B0B-A758-AD985EAD808A}" name="2021" totalsRowDxfId="1057"/>
    <tableColumn id="9" xr3:uid="{7F02FC07-5B4B-4E62-A086-2219B13557F7}" name="2022" totalsRowDxfId="1056"/>
    <tableColumn id="10" xr3:uid="{0F12A0E0-7A42-4CE5-9656-FF6C7114062D}" name="2023" totalsRowDxfId="1055"/>
    <tableColumn id="11" xr3:uid="{0F122D8F-DA58-4F0C-94C1-DA754C58B07E}" name="2024" totalsRowDxfId="1054"/>
    <tableColumn id="12" xr3:uid="{8D0904B2-AB55-4166-9FEE-E17230EEB608}" name="2025" totalsRowDxfId="1053"/>
    <tableColumn id="13" xr3:uid="{BFF2A007-A5E2-4E21-9B89-158E69D546C2}" name="2026" totalsRowDxfId="1052"/>
    <tableColumn id="14" xr3:uid="{6F98A199-1F7E-46CB-AFF2-7737C3308596}" name="2027" totalsRowDxfId="1051"/>
    <tableColumn id="15" xr3:uid="{ED69CF2A-AA44-4FA5-82BC-8675E5E778D8}" name="2028" totalsRowDxfId="1050"/>
    <tableColumn id="16" xr3:uid="{747861D5-7DEF-4ED9-A6FA-36FA97CB668A}" name="2029" totalsRowDxfId="1049"/>
    <tableColumn id="17" xr3:uid="{F2A07F80-7CD1-4286-AD82-AD6FC9DA7A41}" name="2030" totalsRowDxfId="1048"/>
    <tableColumn id="18" xr3:uid="{E0725C3F-BBD8-48A2-BC38-1C78B9DA86DE}" name="2035" totalsRowDxfId="1047"/>
    <tableColumn id="19" xr3:uid="{74D55F11-05E9-4964-AAFC-03521783CD46}" name="2040" totalsRowDxfId="1046"/>
    <tableColumn id="20" xr3:uid="{441B5385-CCF7-48E4-8423-F976E61B2287}" name="2045" totalsRowDxfId="1045"/>
    <tableColumn id="21" xr3:uid="{7E72ED45-831B-4961-9F1B-09ED9D3832FF}" name="2050" totalsRowDxfId="1044"/>
  </tableColumns>
  <tableStyleInfo name="TableStyleMedium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5260A202-8220-4048-9CA5-C26DB70AC006}" name="Eigenes_BHKWgroß" displayName="Eigenes_BHKWgroß" ref="B236:X240" totalsRowShown="0">
  <autoFilter ref="B236:X240" xr:uid="{CCECA5FB-6BF0-4F7B-B355-D55E2353D3C8}"/>
  <tableColumns count="23">
    <tableColumn id="1" xr3:uid="{B45D8EF5-1E3E-41BE-AD29-5F09E3DF391E}" name="BHKW 1.000 - 2.000 kW"/>
    <tableColumn id="2" xr3:uid="{65EE8F27-6CB3-43C8-93D3-DFB693560F33}" name="Einheit" dataDxfId="135"/>
    <tableColumn id="3" xr3:uid="{50B386C9-B916-41FB-914F-3B44A75A24A3}" name="2015" dataDxfId="134"/>
    <tableColumn id="4" xr3:uid="{4B2F590C-3D88-45F8-B593-2E5B272BE213}" name="2016" dataDxfId="133"/>
    <tableColumn id="5" xr3:uid="{C425B7BA-3531-4BF7-8DDE-9133EBD21D72}" name="2017" dataDxfId="132"/>
    <tableColumn id="6" xr3:uid="{05C4D9E4-7CA8-42D6-B394-13D614831F6C}" name="2018" dataDxfId="131"/>
    <tableColumn id="7" xr3:uid="{BDEBC737-09D1-4893-B498-E8C6B7179EF4}" name="2019" dataDxfId="130"/>
    <tableColumn id="8" xr3:uid="{0FD7B498-FCFA-42B4-9329-2FB10FFC265B}" name="2020" dataDxfId="129"/>
    <tableColumn id="9" xr3:uid="{2A2AA726-7F5F-4A15-8609-C3EAE2569EDB}" name="2021" dataDxfId="128"/>
    <tableColumn id="10" xr3:uid="{1520E6CC-F981-4EB4-B80A-763A8C09B258}" name="2022" dataDxfId="127"/>
    <tableColumn id="11" xr3:uid="{9708429A-AB84-4674-A4ED-13740D13C647}" name="2023" dataDxfId="126"/>
    <tableColumn id="12" xr3:uid="{9BA4074E-6B21-4EA6-B879-488EFA1893F8}" name="2024" dataDxfId="125"/>
    <tableColumn id="13" xr3:uid="{797AD938-E138-4C81-8C11-3B2888FCA3AD}" name="2025" dataDxfId="124"/>
    <tableColumn id="14" xr3:uid="{B49AE788-497E-429D-8503-741A0EE2C3DE}" name="2026" dataDxfId="123"/>
    <tableColumn id="21" xr3:uid="{277FE26B-194C-4721-A226-0982D7F739F5}" name="2027"/>
    <tableColumn id="22" xr3:uid="{A1B31CE5-CE8B-4CA1-AD7C-1E23FC419B3C}" name="2028"/>
    <tableColumn id="23" xr3:uid="{AD668B06-481C-489C-AF40-782E81A4221E}" name="2029"/>
    <tableColumn id="15" xr3:uid="{DBBAF005-8577-48D5-B586-E6F313C9F1A2}" name="2030" dataDxfId="122"/>
    <tableColumn id="16" xr3:uid="{7517E1E3-C5F2-4978-921C-6D0B9A84D09C}" name="2035" dataDxfId="121"/>
    <tableColumn id="17" xr3:uid="{A6635203-2986-4857-9A6B-4C5A1E84DDE2}" name="2040" dataDxfId="120"/>
    <tableColumn id="18" xr3:uid="{9935D2BE-2EBA-46B4-97C1-4A8A5F66E50B}" name="2045" dataDxfId="119"/>
    <tableColumn id="19" xr3:uid="{75484BDB-337A-4F30-8F0B-AEC15A03A9F5}" name="2050" dataDxfId="118"/>
    <tableColumn id="20" xr3:uid="{34D3D810-BA80-4252-A90B-4ED2421BF368}" name="Bemerkung"/>
  </tableColumns>
  <tableStyleInfo name="TableStyleMedium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8B15711D-9A30-40E0-A12C-646F3F85E77B}" name="Carnot_Allokation" displayName="Carnot_Allokation" ref="B189:X195" totalsRowShown="0" headerRowDxfId="117" dataDxfId="116">
  <autoFilter ref="B189:X195" xr:uid="{83E2DC6A-393F-4FC0-8FF7-3D74DD376C39}"/>
  <tableColumns count="23">
    <tableColumn id="1" xr3:uid="{95C555AF-B649-4740-BCBD-9BF72FD67354}" name="  " dataDxfId="115"/>
    <tableColumn id="2" xr3:uid="{EF765D26-0140-44CF-87BC-FAC275B11230}" name="Einheit" dataDxfId="114"/>
    <tableColumn id="3" xr3:uid="{87F11BC5-7D8B-4E14-A31B-6D2755D6F4A6}" name="2015" dataDxfId="113" dataCellStyle="Prozent"/>
    <tableColumn id="4" xr3:uid="{2949F04E-AA94-442C-8DB0-EBDC2F34F531}" name="2016" dataDxfId="112" dataCellStyle="Prozent"/>
    <tableColumn id="5" xr3:uid="{F8F6F361-23C6-4C8B-A403-6AB91FB96A8D}" name="2017" dataDxfId="111" dataCellStyle="Prozent"/>
    <tableColumn id="6" xr3:uid="{2055DFD2-29E5-4185-9C4C-5EBF7FE3AEBF}" name="2018" dataDxfId="110"/>
    <tableColumn id="7" xr3:uid="{ECC65718-EF68-4CBF-96A5-FF4353D57006}" name="2019" dataDxfId="109"/>
    <tableColumn id="8" xr3:uid="{1CD9848D-3F5A-42EC-B01F-29BD1DE827E0}" name="2020" dataDxfId="108"/>
    <tableColumn id="9" xr3:uid="{223CF960-FA88-4261-8DED-43FFC9AB1BA8}" name="2021" dataDxfId="107"/>
    <tableColumn id="10" xr3:uid="{ADC4A7C4-9C4B-4F34-A18F-2E269BCDABD2}" name="2022" dataDxfId="106"/>
    <tableColumn id="11" xr3:uid="{EA4C8B6E-4157-436B-A461-56D67B490043}" name="2023" dataDxfId="105"/>
    <tableColumn id="12" xr3:uid="{98C1ECC0-F573-4120-BA51-4AFEEF89951F}" name="2024" dataDxfId="104"/>
    <tableColumn id="13" xr3:uid="{D8569BAE-02B9-4A1D-8E2F-3F6F735BC017}" name="2025" dataDxfId="103"/>
    <tableColumn id="14" xr3:uid="{2BB4A3F9-BEC2-4F12-B60B-9006EE992822}" name="2026" dataDxfId="102"/>
    <tableColumn id="15" xr3:uid="{8EC621F1-1A63-41C1-A76B-D7C32E7E1EAE}" name="2027" dataDxfId="101"/>
    <tableColumn id="16" xr3:uid="{665776EC-8119-4221-9375-B347A28A46D8}" name="2028" dataDxfId="100"/>
    <tableColumn id="17" xr3:uid="{4883F5B7-F294-48DF-A728-1BB24E688E43}" name="2029" dataDxfId="99"/>
    <tableColumn id="18" xr3:uid="{3EAD9EAF-3B1D-4EA7-8A22-1D358803DCBE}" name="2030" dataDxfId="98"/>
    <tableColumn id="19" xr3:uid="{448F08AA-3BFD-463C-82F4-C62E6446E6AD}" name="2035" dataDxfId="97"/>
    <tableColumn id="20" xr3:uid="{A9F2933D-4B3C-4B61-BCA6-8085968CE2C4}" name="2040" dataDxfId="96"/>
    <tableColumn id="21" xr3:uid="{A49E600A-D95E-49D9-8570-96C207771F7A}" name="2045" dataDxfId="95"/>
    <tableColumn id="22" xr3:uid="{E1E62669-A888-4D27-8298-F33EA4386681}" name="2050" dataDxfId="94"/>
    <tableColumn id="23" xr3:uid="{54C5C114-9956-4C5D-B896-A6C5819E2E42}" name="Bemerkung" dataDxfId="93"/>
  </tableColumns>
  <tableStyleInfo name="TableStyleMedium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DBB0873F-3DED-4836-999D-A680D55FA409}" name="Carnot_Strom_Waerme_Emissionen" displayName="Carnot_Strom_Waerme_Emissionen" ref="B198:X200" totalsRowShown="0" headerRowDxfId="92" dataDxfId="91">
  <autoFilter ref="B198:X200" xr:uid="{8B7D5D09-47E5-446B-BECF-5A2DF1F3422F}"/>
  <tableColumns count="23">
    <tableColumn id="1" xr3:uid="{3F52B6DA-2A2E-47D1-A355-42C3534FF68B}" name=" " dataDxfId="90"/>
    <tableColumn id="2" xr3:uid="{67091D18-64DC-4EF0-BE2F-EEF5D39A5269}" name="Einheit" dataDxfId="89"/>
    <tableColumn id="3" xr3:uid="{43BCE8F4-4DA8-4DAC-8DED-EEFD4C48F01A}" name="2015" dataDxfId="88">
      <calculatedColumnFormula>+#REF!*D194</calculatedColumnFormula>
    </tableColumn>
    <tableColumn id="4" xr3:uid="{FC1BB77C-313C-4BC6-B708-30AF21273C0F}" name="2016" dataDxfId="87"/>
    <tableColumn id="5" xr3:uid="{04EDDDD3-EC28-48AD-9B86-70DA1D14879F}" name="2017" dataDxfId="86"/>
    <tableColumn id="6" xr3:uid="{7CDB6F44-47DA-4294-BBBF-60C936698558}" name="2018" dataDxfId="85"/>
    <tableColumn id="7" xr3:uid="{0DFB5800-226E-4E14-BBB7-A1B4CDBD585E}" name="2019" dataDxfId="84"/>
    <tableColumn id="8" xr3:uid="{253829C2-AE40-4AB5-88C5-BBA64D06A416}" name="2020" dataDxfId="83"/>
    <tableColumn id="9" xr3:uid="{DD239092-C76B-451A-AD9C-A05726949E18}" name="2021" dataDxfId="82"/>
    <tableColumn id="10" xr3:uid="{02CC5199-DF4F-4B6D-982B-947A8604CE51}" name="2022" dataDxfId="81"/>
    <tableColumn id="11" xr3:uid="{DA9ECD23-0752-4AD3-8752-A8AC280148D5}" name="2023" dataDxfId="80"/>
    <tableColumn id="12" xr3:uid="{6DBA3A15-09A6-4C29-8E82-6799694B4AD3}" name="2024" dataDxfId="79"/>
    <tableColumn id="13" xr3:uid="{D250D80E-5FF7-4A57-B679-B7DAE4B57459}" name="2025" dataDxfId="78"/>
    <tableColumn id="14" xr3:uid="{F7CCFA9D-AB44-4FB6-8A29-DEA3E3A0900C}" name="2026" dataDxfId="77"/>
    <tableColumn id="15" xr3:uid="{0C5F9EF7-6B23-4706-85FB-02FC34E2FB5D}" name="2027" dataDxfId="76"/>
    <tableColumn id="16" xr3:uid="{FA942160-257B-4179-AD10-2849A9AB5692}" name="2028" dataDxfId="75"/>
    <tableColumn id="17" xr3:uid="{788C223E-837C-4773-801C-C0DE0984B6B0}" name="2029" dataDxfId="74"/>
    <tableColumn id="18" xr3:uid="{8201150F-BD27-4FDA-9829-1474F25EDD5A}" name="2030" dataDxfId="73"/>
    <tableColumn id="19" xr3:uid="{28162399-C583-4159-AABF-C205D1BD288C}" name="2035" dataDxfId="72"/>
    <tableColumn id="20" xr3:uid="{75A3CB18-B69F-41BB-BF9E-1C3CC3337F07}" name="2040" dataDxfId="71"/>
    <tableColumn id="21" xr3:uid="{6810913D-A42B-4288-96ED-2E862737DC10}" name="2045" dataDxfId="70"/>
    <tableColumn id="22" xr3:uid="{DD64CC2B-BC0F-4AD2-9051-34194134E657}" name="2050" dataDxfId="69"/>
    <tableColumn id="23" xr3:uid="{1F96D542-96AB-4305-9556-0E2EC4F78751}" name="Bemerkung" dataDxfId="68"/>
  </tableColumns>
  <tableStyleInfo name="TableStyleMedium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24CEB5BB-45F5-48AA-9F5B-5D4ACBDE722D}" name="Carnot_Ergebnisse" displayName="Carnot_Ergebnisse" ref="B203:X207" totalsRowShown="0" headerRowDxfId="67" headerRowBorderDxfId="66" tableBorderDxfId="65">
  <autoFilter ref="B203:X207" xr:uid="{2511D932-96CA-44AD-BAA3-E527E2C0436E}"/>
  <tableColumns count="23">
    <tableColumn id="1" xr3:uid="{C31B8925-1D91-4EBC-934C-4495A8E5E431}" name="Ergebnisse"/>
    <tableColumn id="2" xr3:uid="{3DC3852E-2024-4F28-B44A-C27C1316C6F2}" name="Einheit"/>
    <tableColumn id="3" xr3:uid="{0ED4A82C-C2A2-42B8-B592-4A3FF26368E4}" name="2015"/>
    <tableColumn id="4" xr3:uid="{C36617D0-A764-444E-BC48-A06BB8C3DE0D}" name="2016"/>
    <tableColumn id="5" xr3:uid="{A7D554BA-DE0A-4F17-93C1-71E1D105407E}" name="2017" dataDxfId="64"/>
    <tableColumn id="6" xr3:uid="{7FA18A9F-AE48-4763-AC3C-F8902234C770}" name="2018" dataDxfId="63"/>
    <tableColumn id="7" xr3:uid="{B8A26901-86CF-4C6B-A081-8D31467BFB05}" name="2019" dataDxfId="62"/>
    <tableColumn id="8" xr3:uid="{1FE5AF7D-4D71-4374-98EA-0959476D21AC}" name="2020" dataDxfId="61"/>
    <tableColumn id="9" xr3:uid="{21C96810-DB3D-498F-BF82-F0A5503093F1}" name="2021" dataDxfId="60"/>
    <tableColumn id="10" xr3:uid="{1ED900DA-88CB-49E5-8CEC-AE1CBDCF44AF}" name="2022" dataDxfId="59"/>
    <tableColumn id="11" xr3:uid="{C21E197E-3223-4FD5-A75B-4FB0EA81C294}" name="2023" dataDxfId="58"/>
    <tableColumn id="12" xr3:uid="{EA484FF3-70CF-4162-BE46-C6978515BD2A}" name="2024" dataDxfId="57"/>
    <tableColumn id="13" xr3:uid="{CD440541-AB4E-42EC-817F-0B93026D1E69}" name="2025"/>
    <tableColumn id="14" xr3:uid="{ADBAF64E-DC2A-46D9-ADD0-D52D57F3C7EE}" name="2026"/>
    <tableColumn id="15" xr3:uid="{951E6C90-5D03-4C79-82B2-DD825E76536B}" name="2027"/>
    <tableColumn id="16" xr3:uid="{A86A878A-259B-4D21-BC84-509BF77130F7}" name="2028"/>
    <tableColumn id="17" xr3:uid="{3D95AACC-B756-4C49-8580-19849B134A20}" name="2029"/>
    <tableColumn id="18" xr3:uid="{6DB8A35D-C282-4951-878A-DBC1ED4275C2}" name="2030"/>
    <tableColumn id="19" xr3:uid="{CE5D6122-9ECA-404A-BAD3-C7ABF7B50571}" name="2035"/>
    <tableColumn id="20" xr3:uid="{2704F500-2A84-479D-8E65-C17A813E3003}" name="2040"/>
    <tableColumn id="21" xr3:uid="{FFDFCB42-38E5-43C9-AE9F-A61C7FAE25EF}" name="2045"/>
    <tableColumn id="22" xr3:uid="{129832D3-5F04-4562-B1AF-751F481F99A2}" name="2050"/>
    <tableColumn id="23" xr3:uid="{B17E404C-A163-4838-A0D0-C671F8B039FE}" name="Bemerkung"/>
  </tableColumns>
  <tableStyleInfo name="TableStyleMedium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87463C7-7B0F-4A51-ACE1-7370EEA19B1D}" name="Emissionsfaktoren" displayName="Emissionsfaktoren" ref="B60:Z221" totalsRowShown="0" headerRowDxfId="49" dataDxfId="48">
  <autoFilter ref="B60:Z221" xr:uid="{A87463C7-7B0F-4A51-ACE1-7370EEA19B1D}"/>
  <tableColumns count="25">
    <tableColumn id="23" xr3:uid="{6DA0BF35-1FE7-4B65-9BDC-5667FE2FF2FE}" name="ID" dataDxfId="47"/>
    <tableColumn id="2" xr3:uid="{05883407-4B4B-4BEA-9DE9-3981E62857DC}" name="Handlungsfeld" dataDxfId="46">
      <calculatedColumnFormula>Refsz_Verbräuche[[#This Row],[Datenpunkt]]</calculatedColumnFormula>
    </tableColumn>
    <tableColumn id="3" xr3:uid="{BB38C044-F4AA-42C5-9093-45BFD5CD120B}" name="Einheit" dataDxfId="45"/>
    <tableColumn id="4" xr3:uid="{5BD321DD-7F20-484C-8F6A-5B53B8CDB9CB}" name="2015" dataDxfId="44"/>
    <tableColumn id="5" xr3:uid="{08A624E6-B4BA-48A9-A0A0-E04D85531EA3}" name="2016" dataDxfId="43"/>
    <tableColumn id="6" xr3:uid="{0AA12D1F-BD4A-46C3-B04B-3CDAAFAE8C88}" name="2017" dataDxfId="42"/>
    <tableColumn id="7" xr3:uid="{C3D8E67C-137A-4D73-BC8E-EF5C1616FC9A}" name="2018" dataDxfId="41"/>
    <tableColumn id="8" xr3:uid="{8EA1C9B5-4391-405D-9F2E-B9E1561EB2CA}" name="2019" dataDxfId="40"/>
    <tableColumn id="9" xr3:uid="{2BAF3239-B774-44D7-BAC1-3EFC2B4BB2C2}" name="2020" dataDxfId="39"/>
    <tableColumn id="10" xr3:uid="{E463CAE1-7BC5-483D-8695-9628136D9CA6}" name="2021" dataDxfId="38"/>
    <tableColumn id="11" xr3:uid="{CD8766D1-4AC6-440E-B151-04B8823BD1CE}" name="2022" dataDxfId="37"/>
    <tableColumn id="12" xr3:uid="{EA083C1A-D519-4405-B04C-97A009B840A3}" name="2023" dataDxfId="36"/>
    <tableColumn id="13" xr3:uid="{CB3074B3-20B7-40BB-B8AA-1CE46F62003B}" name="2024" dataDxfId="35"/>
    <tableColumn id="14" xr3:uid="{5911E661-8923-4E7D-92AE-3663F037ED5A}" name="2025" dataDxfId="34"/>
    <tableColumn id="15" xr3:uid="{94C46596-BB77-43A2-A486-A5A682BDE3E2}" name="2026" dataDxfId="33"/>
    <tableColumn id="1" xr3:uid="{78F2BEAD-5899-43B8-84FD-E14A2FA55C03}" name="2027" dataDxfId="32"/>
    <tableColumn id="24" xr3:uid="{E9A34C40-9891-44BB-A310-832584B9C883}" name="2028" dataDxfId="31"/>
    <tableColumn id="25" xr3:uid="{871C6D19-B649-4D8F-A2B0-83A5D5006644}" name="2029" dataDxfId="30"/>
    <tableColumn id="16" xr3:uid="{0694A159-FE8C-43A7-AFC8-738AFE4B556D}" name="2030" dataDxfId="29"/>
    <tableColumn id="17" xr3:uid="{FDE2A4C5-2F37-4E3D-9353-453B389E7129}" name="2035" dataDxfId="28"/>
    <tableColumn id="18" xr3:uid="{5E083433-6B59-49AF-88EA-A15227548C14}" name="2040" dataDxfId="27"/>
    <tableColumn id="19" xr3:uid="{B7BB069C-A295-4938-A70B-5411F7836CE5}" name="2045" dataDxfId="26"/>
    <tableColumn id="20" xr3:uid="{9789B175-A83E-4347-BF1D-C42BBABF8D35}" name="2050" dataDxfId="25"/>
    <tableColumn id="21" xr3:uid="{AAAA194D-5976-4340-9A74-0858637D1315}" name="Quelle" dataDxfId="24"/>
    <tableColumn id="22" xr3:uid="{D4260EA2-29BA-4DC5-B483-3805182DFD61}" name="Datensatz, Hinweise" dataDxfId="23"/>
  </tableColumns>
  <tableStyleInfo name="TableStyleMedium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808FF5BF-CEC9-4679-8028-5A4136E49A4C}" name="Tabelle2" displayName="Tabelle2" ref="B224:Z234" totalsRowShown="0">
  <autoFilter ref="B224:Z234" xr:uid="{10784E08-AFAA-49B3-BAC3-10E87798549C}"/>
  <tableColumns count="25">
    <tableColumn id="1" xr3:uid="{5B6F413C-4E92-46BF-A735-37A2A2DC87E1}" name="ID" dataDxfId="22"/>
    <tableColumn id="2" xr3:uid="{F27934F3-C530-46D0-A9F1-6087FA7C6317}" name="Energieträger" dataDxfId="21"/>
    <tableColumn id="3" xr3:uid="{1B30940B-CA20-49DE-BC88-128DA32AF716}" name="Einheit"/>
    <tableColumn id="4" xr3:uid="{4AF20592-436F-4002-9D7D-80FD6ED9BACF}" name="2015" dataDxfId="20"/>
    <tableColumn id="5" xr3:uid="{AEDD92E4-12F9-411F-A3A2-9AB2E42BEBEA}" name="2016" dataDxfId="19"/>
    <tableColumn id="6" xr3:uid="{CAACCE7F-D2EC-4B38-8537-D6AA84376EF9}" name="2017" dataDxfId="18"/>
    <tableColumn id="7" xr3:uid="{4E341626-4E4E-4039-8CB1-68C6975EA85D}" name="2018" dataDxfId="17"/>
    <tableColumn id="8" xr3:uid="{1A3EE90A-3DC6-4DFD-ADCF-8632235B4115}" name="2019" dataDxfId="16"/>
    <tableColumn id="9" xr3:uid="{1339B7AF-7D91-4A54-9ECC-62DB7F3E85CF}" name="2020" dataDxfId="15"/>
    <tableColumn id="10" xr3:uid="{032FAB5A-786A-4E8A-8296-F7CF3B501FD6}" name="2021" dataDxfId="14"/>
    <tableColumn id="11" xr3:uid="{B61F40E9-261F-44DC-859D-740FCD8F15C2}" name="2022" dataDxfId="13"/>
    <tableColumn id="12" xr3:uid="{5A3900CA-FB35-41B8-8A1C-38BEF9281EF8}" name="2023" dataDxfId="12"/>
    <tableColumn id="13" xr3:uid="{8690BFB9-C267-4F22-AEC7-254B82039B23}" name="2024" dataDxfId="11"/>
    <tableColumn id="14" xr3:uid="{3987C13B-40B8-4804-A105-00BA5224A937}" name="2025" dataDxfId="10"/>
    <tableColumn id="15" xr3:uid="{3912A7E1-954A-4370-94A0-14928AD01CA9}" name="2026" dataDxfId="9"/>
    <tableColumn id="16" xr3:uid="{8BD95D4A-43E0-4E85-A3DA-1B90628EBE25}" name="2027" dataDxfId="8"/>
    <tableColumn id="17" xr3:uid="{E30C80D8-43E0-461C-AB72-5173C1379FB5}" name="2028" dataDxfId="7"/>
    <tableColumn id="18" xr3:uid="{C2A2EBE8-C8AD-418D-9BF8-BBECB41C8704}" name="2029" dataDxfId="6"/>
    <tableColumn id="19" xr3:uid="{88032963-A9C3-4514-8BE3-862EA6753795}" name="2030" dataDxfId="5"/>
    <tableColumn id="20" xr3:uid="{E348174A-3F35-4942-8B3C-2E415DA58B3F}" name="2035" dataDxfId="4"/>
    <tableColumn id="21" xr3:uid="{F0768B2C-8D10-4AA6-BFB0-5BD49CCB6940}" name="2040" dataDxfId="3"/>
    <tableColumn id="22" xr3:uid="{B9A241A1-12C7-4D5C-8E37-FBFB48B9493C}" name="2045" dataDxfId="2"/>
    <tableColumn id="23" xr3:uid="{E97DD9E1-E176-4F61-876F-5A48DAFB6D54}" name="2050" dataDxfId="1"/>
    <tableColumn id="24" xr3:uid="{EA4B4910-474A-4330-872F-8F7DACCFC028}" name="Quelle"/>
    <tableColumn id="25" xr3:uid="{7BE12ECD-B18B-4F38-A05A-1C1EEFFF24D3}" name="Datensatz, Hinweise" dataDxfId="0"/>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D5BB2B94-1ACC-49BB-B4B5-9C0B33D54069}" name="Kennwerte" displayName="Kennwerte" ref="B16:W20" totalsRowShown="0">
  <autoFilter ref="B16:W20" xr:uid="{BB848488-F149-41EB-A139-6826EB0F3737}"/>
  <tableColumns count="22">
    <tableColumn id="1" xr3:uid="{5D624968-2EA7-4E3D-95B4-C4C574910093}" name="Kennwerte"/>
    <tableColumn id="2" xr3:uid="{537E70E4-7BAA-4129-98FA-8D007678332B}" name="Einheit"/>
    <tableColumn id="3" xr3:uid="{F742B185-4DA3-4D48-AE7C-73435226B25C}" name="2015" dataDxfId="1042"/>
    <tableColumn id="4" xr3:uid="{66DF1B7E-344C-4E0A-9685-7E98A2362333}" name="2016" dataDxfId="1041"/>
    <tableColumn id="5" xr3:uid="{C3A16FA2-2024-45DE-8EAF-183804E8D79F}" name="2017" dataDxfId="1040"/>
    <tableColumn id="6" xr3:uid="{E32FBE47-46B0-498D-853F-A30E6B0E598D}" name="2018" dataDxfId="1039"/>
    <tableColumn id="7" xr3:uid="{A856D4E3-036C-4869-AD26-E0EE779DADF6}" name="2019" dataDxfId="1038"/>
    <tableColumn id="8" xr3:uid="{2F05C9CD-00FF-4F41-9B32-5CA48729CA58}" name="2020" dataDxfId="1037"/>
    <tableColumn id="9" xr3:uid="{8DB4148B-2EF0-490D-9DBC-7C03B16A3C91}" name="2021" dataDxfId="1036"/>
    <tableColumn id="10" xr3:uid="{DE33BDA1-59C1-416C-A82B-02C0CECE8755}" name="2022" dataDxfId="1035"/>
    <tableColumn id="11" xr3:uid="{29AB123D-0FAE-403D-8913-F08412734DAB}" name="2023" dataDxfId="1034"/>
    <tableColumn id="12" xr3:uid="{E2CFA0A0-F3A7-427F-A4B0-9B821F69B67A}" name="2024" dataDxfId="1033"/>
    <tableColumn id="13" xr3:uid="{5E1A2657-B2BE-4F91-9E17-833D371B7893}" name="2025" dataDxfId="1032"/>
    <tableColumn id="14" xr3:uid="{FD317055-2650-4B99-986D-3556047919D5}" name="2026" dataDxfId="1031"/>
    <tableColumn id="20" xr3:uid="{D4861496-ACA4-40FC-A29B-63399B8412F7}" name="2027" dataDxfId="1030"/>
    <tableColumn id="21" xr3:uid="{12F677CD-A081-40DB-B0CB-878D431E02B9}" name="2028" dataDxfId="1029"/>
    <tableColumn id="22" xr3:uid="{BFA3FD5C-0643-4CD0-99BC-09EC436E74E2}" name="2029" dataDxfId="1028"/>
    <tableColumn id="15" xr3:uid="{7A89F6DA-CE57-49AA-A5FE-EBDB41A78CFC}" name="2030" dataDxfId="1027"/>
    <tableColumn id="16" xr3:uid="{9628E3BE-B30F-419E-9D5C-4CDD8EDAC283}" name="2035" dataDxfId="1026"/>
    <tableColumn id="17" xr3:uid="{D9E24CF4-59AE-432D-A13E-A5ACE1E94406}" name="2040" dataDxfId="1025"/>
    <tableColumn id="18" xr3:uid="{E80CD585-BA96-48EA-BDC6-431B248E6479}" name="2045" dataDxfId="1024"/>
    <tableColumn id="19" xr3:uid="{B56C04E3-CCF7-45F4-BAF0-9628DABF1E93}" name="2050" dataDxfId="1023"/>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8983F13A-3DD5-4062-AD25-C958FB75895A}" name="Modal_Split_Verkehrsmittel" displayName="Modal_Split_Verkehrsmittel" ref="B141:W184" totalsRowCount="1">
  <autoFilter ref="B141:W183" xr:uid="{F7FC16BE-B12C-4F3E-9A00-DA47D5197262}"/>
  <tableColumns count="22">
    <tableColumn id="1" xr3:uid="{937577A5-1D80-4C86-AC38-70A7D0B86F88}" name="Verkehrsmittel der Gruppen" totalsRowLabel="Ergebnis" totalsRowDxfId="1022"/>
    <tableColumn id="2" xr3:uid="{172782BD-E885-403D-A39F-BBCAB7B0FCE6}" name="Einheit" totalsRowLabel="Pkm" totalsRowDxfId="1021"/>
    <tableColumn id="3" xr3:uid="{0B86A7AD-DF89-473E-9289-FB546FC5B336}" name="2015" totalsRowFunction="sum" dataDxfId="1020" totalsRowDxfId="1019"/>
    <tableColumn id="4" xr3:uid="{D1289A5F-AF0D-410E-BC8E-336B51F35894}" name="2016" totalsRowFunction="sum" dataDxfId="1018" totalsRowDxfId="1017"/>
    <tableColumn id="5" xr3:uid="{F39C2546-4429-407B-93E4-8C538D08C2B2}" name="2017" totalsRowFunction="sum" dataDxfId="1016" totalsRowDxfId="1015"/>
    <tableColumn id="6" xr3:uid="{C25054EC-0311-4753-B235-E6944B90B864}" name="2018" totalsRowFunction="sum" dataDxfId="1014" totalsRowDxfId="1013"/>
    <tableColumn id="7" xr3:uid="{F19D1983-6DF5-498F-B339-F028E5FB6C27}" name="2019" totalsRowFunction="sum" dataDxfId="1012" totalsRowDxfId="1011"/>
    <tableColumn id="8" xr3:uid="{28669FE3-35AF-48CF-B313-AA04FC368314}" name="2020" totalsRowFunction="sum" dataDxfId="1010" totalsRowDxfId="1009"/>
    <tableColumn id="9" xr3:uid="{67FF32BB-239F-4C8D-BCFD-C35AE8C8E8DB}" name="2021" totalsRowFunction="sum" dataDxfId="1008" totalsRowDxfId="1007"/>
    <tableColumn id="10" xr3:uid="{5DE5CDFC-1951-4677-8ADC-D5B908A3C0EF}" name="2022" totalsRowFunction="sum" dataDxfId="1006" totalsRowDxfId="1005"/>
    <tableColumn id="11" xr3:uid="{94B85357-E9E6-43FA-8C83-E04037C2ED66}" name="2023" totalsRowFunction="sum" dataDxfId="1004" totalsRowDxfId="1003"/>
    <tableColumn id="12" xr3:uid="{31425835-FFD7-4ADA-8D68-A4F2474C0A8F}" name="2024" totalsRowFunction="sum" dataDxfId="1002" totalsRowDxfId="1001"/>
    <tableColumn id="13" xr3:uid="{0C91A864-4D10-43BF-9BAF-42008AB72359}" name="2025" totalsRowFunction="sum" dataDxfId="1000" totalsRowDxfId="999"/>
    <tableColumn id="14" xr3:uid="{5880CA94-B4FF-4FFA-B6AA-5550B10E6296}" name="2026" totalsRowFunction="sum" dataDxfId="998" totalsRowDxfId="997"/>
    <tableColumn id="15" xr3:uid="{F918DBB0-EDEF-45F6-A40E-407DF146A2B8}" name="2027" totalsRowFunction="sum" dataDxfId="996" totalsRowDxfId="995"/>
    <tableColumn id="16" xr3:uid="{AB0A5B43-200B-47A7-AA1A-475F2442C2F0}" name="2028" totalsRowFunction="sum" dataDxfId="994" totalsRowDxfId="993"/>
    <tableColumn id="17" xr3:uid="{933E580A-C40D-41F4-A88C-FB0DF9C8C492}" name="2029" totalsRowFunction="sum" dataDxfId="992" totalsRowDxfId="991"/>
    <tableColumn id="18" xr3:uid="{FD0EFBE0-56ED-4369-9A9D-0AA07C89CDDE}" name="2030" totalsRowFunction="sum" dataDxfId="990" totalsRowDxfId="989"/>
    <tableColumn id="19" xr3:uid="{9AE43068-F259-493B-A439-2FE5CBDAFD18}" name="2035" totalsRowFunction="sum" dataDxfId="988" totalsRowDxfId="987"/>
    <tableColumn id="20" xr3:uid="{7DC2CD4B-57D2-49FA-AEAC-C89056C81773}" name="2040" totalsRowFunction="sum" dataDxfId="986" totalsRowDxfId="985"/>
    <tableColumn id="21" xr3:uid="{6B6237AE-9669-4162-986C-889602FF1067}" name="2045" totalsRowFunction="sum" dataDxfId="984" totalsRowDxfId="983"/>
    <tableColumn id="22" xr3:uid="{7B87931F-FE3A-42E5-A353-0388AE0E101B}" name="2050" totalsRowFunction="sum" dataDxfId="982" totalsRowDxfId="981"/>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291F6586-57FD-4D1C-B25C-F16472B4E0F5}" name="Modal_Split_Gruppen" displayName="Modal_Split_Gruppen" ref="B187:W195" totalsRowCount="1">
  <autoFilter ref="B187:W194" xr:uid="{30511A78-982A-47D2-A507-56BC0DC1F498}"/>
  <tableColumns count="22">
    <tableColumn id="1" xr3:uid="{E788FAD0-8752-4D70-9082-275270921CEA}" name="Zusammenfassung der Gruppen" totalsRowLabel="Ergebnis" totalsRowDxfId="980">
      <calculatedColumnFormula>'Refsz-Verbräuche'!C46</calculatedColumnFormula>
    </tableColumn>
    <tableColumn id="2" xr3:uid="{E9DECBA6-D9D3-4359-857E-C90E0DDAA500}" name="Einheit" totalsRowLabel="Pkm" totalsRowDxfId="979"/>
    <tableColumn id="3" xr3:uid="{5EDBD002-DA45-41EB-8BED-35D62B46C2B8}" name="2015" totalsRowFunction="sum" dataDxfId="978" totalsRowDxfId="977"/>
    <tableColumn id="4" xr3:uid="{5DF87052-F553-4D74-BB10-E6FAEE0E7BB7}" name="2016" totalsRowFunction="sum" dataDxfId="976" totalsRowDxfId="975"/>
    <tableColumn id="5" xr3:uid="{8918BC99-02DD-49FB-AE83-64E7DD1571D5}" name="2017" totalsRowFunction="sum" dataDxfId="974" totalsRowDxfId="973"/>
    <tableColumn id="6" xr3:uid="{87D35BC7-6A1B-4869-B86F-901A6E3BE297}" name="2018" totalsRowFunction="sum" dataDxfId="972" totalsRowDxfId="971"/>
    <tableColumn id="7" xr3:uid="{A3C72EE7-5804-414D-A191-B2E6FB27A0E2}" name="2019" totalsRowFunction="sum" dataDxfId="970" totalsRowDxfId="969"/>
    <tableColumn id="8" xr3:uid="{B108220D-222F-4D63-9EFE-8F0A63EAE366}" name="2020" totalsRowFunction="sum" dataDxfId="968" totalsRowDxfId="967"/>
    <tableColumn id="9" xr3:uid="{29450144-19EB-4520-8C5A-AAE364F22252}" name="2021" totalsRowFunction="sum" dataDxfId="966" totalsRowDxfId="965"/>
    <tableColumn id="10" xr3:uid="{B3BAAF2F-9706-4BEC-A16E-DC723CE26685}" name="2022" totalsRowFunction="sum" dataDxfId="964" totalsRowDxfId="963"/>
    <tableColumn id="11" xr3:uid="{08C3B0D7-F485-4916-8200-4BFBB8D459F4}" name="2023" totalsRowFunction="sum" dataDxfId="962" totalsRowDxfId="961"/>
    <tableColumn id="12" xr3:uid="{F89C3580-9766-4B03-99ED-2F5ECB1A1654}" name="2024" totalsRowFunction="sum" dataDxfId="960" totalsRowDxfId="959"/>
    <tableColumn id="13" xr3:uid="{938D793C-04D9-453B-B6EC-AE5DA648E1EA}" name="2025" totalsRowFunction="sum" dataDxfId="958" totalsRowDxfId="957"/>
    <tableColumn id="14" xr3:uid="{E62EC387-E3C1-492C-8AA8-82E2198B398A}" name="2026" totalsRowFunction="sum" dataDxfId="956" totalsRowDxfId="955"/>
    <tableColumn id="15" xr3:uid="{AEB43D79-CDD6-45C8-8FD9-01608FDF73F4}" name="2027" totalsRowFunction="sum" dataDxfId="954" totalsRowDxfId="953"/>
    <tableColumn id="16" xr3:uid="{2B7ADE97-22FD-4297-8BA2-B643E1B7382B}" name="2028" totalsRowFunction="sum" dataDxfId="952" totalsRowDxfId="951"/>
    <tableColumn id="17" xr3:uid="{62E212BF-82B5-4ECD-9914-2270C6233AC2}" name="2029" totalsRowFunction="sum" dataDxfId="950" totalsRowDxfId="949"/>
    <tableColumn id="18" xr3:uid="{DE462678-DFDB-44AA-9D1A-ED8B0FE0E5A2}" name="2030" totalsRowFunction="sum" dataDxfId="948" totalsRowDxfId="947"/>
    <tableColumn id="19" xr3:uid="{998A42D6-81DE-488F-A8F8-451F79049608}" name="2035" totalsRowFunction="sum" dataDxfId="946" totalsRowDxfId="945"/>
    <tableColumn id="20" xr3:uid="{827B2E26-88F1-47E8-BE4E-4F27FC9C6400}" name="2040" totalsRowFunction="sum" dataDxfId="944" totalsRowDxfId="943"/>
    <tableColumn id="21" xr3:uid="{76BCA0E1-F875-4B98-B126-B7ECCDD89C54}" name="2045" totalsRowFunction="sum" dataDxfId="942" totalsRowDxfId="941"/>
    <tableColumn id="22" xr3:uid="{C819A3B0-2316-47EB-AEA4-7B4E294E1BEB}" name="2050" totalsRowFunction="sum" dataDxfId="940" totalsRowDxfId="939"/>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7CB6E2EF-9D0F-4C37-BEAE-901E9FA704BE}" name="Modal_Split_Verkehrsmittel51" displayName="Modal_Split_Verkehrsmittel51" ref="B201:W244" totalsRowCount="1">
  <autoFilter ref="B201:W243" xr:uid="{B721DE1C-C84B-4712-963A-B9AE8356F360}"/>
  <tableColumns count="22">
    <tableColumn id="1" xr3:uid="{63F72BFC-1BB6-4F2D-BAED-7851DEE6A6DA}" name="Verkehrsmittel der Gruppen" totalsRowLabel="Ergebnis" totalsRowDxfId="938">
      <calculatedColumnFormula>B142</calculatedColumnFormula>
    </tableColumn>
    <tableColumn id="2" xr3:uid="{F052A62F-878D-47E6-B382-E32FE27842B9}" name="Einheit" totalsRowLabel="t CO2-Äq." totalsRowDxfId="937"/>
    <tableColumn id="3" xr3:uid="{4C9A08FC-FD57-4B67-9FDF-37DB2DFB06B5}" name="2015" totalsRowFunction="sum" dataDxfId="936" totalsRowDxfId="935"/>
    <tableColumn id="4" xr3:uid="{A5C0745F-B341-4307-AA9F-A39BAB41D11C}" name="2016" totalsRowFunction="sum" dataDxfId="934" totalsRowDxfId="933"/>
    <tableColumn id="5" xr3:uid="{537C7902-5844-45C4-940A-578E233E6C31}" name="2017" totalsRowFunction="sum" dataDxfId="932" totalsRowDxfId="931"/>
    <tableColumn id="6" xr3:uid="{79EF51A4-F79A-4505-AF95-001CA65A7A56}" name="2018" totalsRowFunction="sum" dataDxfId="930" totalsRowDxfId="929"/>
    <tableColumn id="7" xr3:uid="{4097B5CE-3A64-4BD8-B913-A86304592659}" name="2019" totalsRowFunction="sum" dataDxfId="928" totalsRowDxfId="927"/>
    <tableColumn id="8" xr3:uid="{1E9D777C-721C-459F-90B4-97156EBD4859}" name="2020" totalsRowFunction="sum" dataDxfId="926" totalsRowDxfId="925"/>
    <tableColumn id="9" xr3:uid="{0301BA7C-8404-4231-A5C5-1EAE536F4E06}" name="2021" totalsRowFunction="sum" dataDxfId="924" totalsRowDxfId="923"/>
    <tableColumn id="10" xr3:uid="{71F127A2-15D5-412C-80C2-78B5693EFF3E}" name="2022" totalsRowFunction="sum" dataDxfId="922" totalsRowDxfId="921"/>
    <tableColumn id="11" xr3:uid="{DDA0DD84-F6CB-4343-ADFA-EE78F7769B0F}" name="2023" totalsRowFunction="sum" dataDxfId="920" totalsRowDxfId="919"/>
    <tableColumn id="12" xr3:uid="{EAC93D6D-B8D5-40A4-AC3A-A1E40C86200E}" name="2024" totalsRowFunction="sum" dataDxfId="918" totalsRowDxfId="917"/>
    <tableColumn id="13" xr3:uid="{EC404EF6-E0BD-4F1F-9613-0DCD889DD1BE}" name="2025" totalsRowFunction="sum" dataDxfId="916" totalsRowDxfId="915"/>
    <tableColumn id="14" xr3:uid="{68245282-FAC4-4B79-8E71-CE7716DC8552}" name="2026" totalsRowFunction="sum" dataDxfId="914" totalsRowDxfId="913"/>
    <tableColumn id="15" xr3:uid="{B2C9D8BA-99EF-45E3-B34C-7BAF9E6098D5}" name="2027" totalsRowFunction="sum" dataDxfId="912" totalsRowDxfId="911"/>
    <tableColumn id="16" xr3:uid="{9089C213-6187-48F1-BF5A-C648BAD8F8F3}" name="2028" totalsRowFunction="sum" dataDxfId="910" totalsRowDxfId="909"/>
    <tableColumn id="17" xr3:uid="{C4A5574D-2899-421D-B18A-28599618AB0D}" name="2029" totalsRowFunction="sum" dataDxfId="908" totalsRowDxfId="907"/>
    <tableColumn id="18" xr3:uid="{EDA9F38D-5D38-46D2-9C26-7F31DB467A1D}" name="2030" totalsRowFunction="sum" dataDxfId="906" totalsRowDxfId="905"/>
    <tableColumn id="19" xr3:uid="{B979CE22-A8C2-4917-88E7-BD480EEE12EF}" name="2035" totalsRowFunction="sum" dataDxfId="904" totalsRowDxfId="903"/>
    <tableColumn id="20" xr3:uid="{E408E91A-E363-4635-B68B-50805B07C619}" name="2040" totalsRowFunction="sum" dataDxfId="902" totalsRowDxfId="901"/>
    <tableColumn id="21" xr3:uid="{A8A56944-DBF1-4B0F-8489-9B894C880AD9}" name="2045" totalsRowFunction="sum" dataDxfId="900" totalsRowDxfId="899"/>
    <tableColumn id="22" xr3:uid="{1F363C9D-FAC6-4D76-B220-F8E0CAB1D533}" name="2050" totalsRowFunction="sum" dataDxfId="898" totalsRowDxfId="897"/>
  </tableColumns>
  <tableStyleInfo name="TableStyleMedium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julia-marie.zigann@h2.de?subject=Anfrage%20zum%20Kli%20Max-%20Berechnungstool" TargetMode="External"/></Relationships>
</file>

<file path=xl/worksheets/_rels/sheet10.xml.rels><?xml version="1.0" encoding="UTF-8" standalone="yes"?>
<Relationships xmlns="http://schemas.openxmlformats.org/package/2006/relationships"><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9" Type="http://schemas.openxmlformats.org/officeDocument/2006/relationships/ctrlProp" Target="../ctrlProps/ctrlProp35.xml"/><Relationship Id="rId21" Type="http://schemas.openxmlformats.org/officeDocument/2006/relationships/ctrlProp" Target="../ctrlProps/ctrlProp17.xml"/><Relationship Id="rId34" Type="http://schemas.openxmlformats.org/officeDocument/2006/relationships/ctrlProp" Target="../ctrlProps/ctrlProp30.xml"/><Relationship Id="rId42" Type="http://schemas.openxmlformats.org/officeDocument/2006/relationships/ctrlProp" Target="../ctrlProps/ctrlProp38.xml"/><Relationship Id="rId7" Type="http://schemas.openxmlformats.org/officeDocument/2006/relationships/ctrlProp" Target="../ctrlProps/ctrlProp3.xml"/><Relationship Id="rId2" Type="http://schemas.openxmlformats.org/officeDocument/2006/relationships/printerSettings" Target="../printerSettings/printerSettings7.bin"/><Relationship Id="rId16" Type="http://schemas.openxmlformats.org/officeDocument/2006/relationships/ctrlProp" Target="../ctrlProps/ctrlProp12.xml"/><Relationship Id="rId29" Type="http://schemas.openxmlformats.org/officeDocument/2006/relationships/ctrlProp" Target="../ctrlProps/ctrlProp25.xml"/><Relationship Id="rId1" Type="http://schemas.openxmlformats.org/officeDocument/2006/relationships/hyperlink" Target="mailto:julia-marie.zigann@h2.de?subject=Anfrage%20zum%20Kli%20Max-%20Berechnungstool"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37" Type="http://schemas.openxmlformats.org/officeDocument/2006/relationships/ctrlProp" Target="../ctrlProps/ctrlProp33.xml"/><Relationship Id="rId40" Type="http://schemas.openxmlformats.org/officeDocument/2006/relationships/ctrlProp" Target="../ctrlProps/ctrlProp36.xml"/><Relationship Id="rId45" Type="http://schemas.openxmlformats.org/officeDocument/2006/relationships/ctrlProp" Target="../ctrlProps/ctrlProp41.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4" Type="http://schemas.openxmlformats.org/officeDocument/2006/relationships/ctrlProp" Target="../ctrlProps/ctrlProp40.xml"/><Relationship Id="rId4" Type="http://schemas.openxmlformats.org/officeDocument/2006/relationships/vmlDrawing" Target="../drawings/vmlDrawing5.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 Id="rId43" Type="http://schemas.openxmlformats.org/officeDocument/2006/relationships/ctrlProp" Target="../ctrlProps/ctrlProp39.xml"/><Relationship Id="rId8" Type="http://schemas.openxmlformats.org/officeDocument/2006/relationships/ctrlProp" Target="../ctrlProps/ctrlProp4.xml"/><Relationship Id="rId3" Type="http://schemas.openxmlformats.org/officeDocument/2006/relationships/drawing" Target="../drawings/drawing9.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 Id="rId46" Type="http://schemas.openxmlformats.org/officeDocument/2006/relationships/ctrlProp" Target="../ctrlProps/ctrlProp42.xml"/><Relationship Id="rId20" Type="http://schemas.openxmlformats.org/officeDocument/2006/relationships/ctrlProp" Target="../ctrlProps/ctrlProp16.xml"/><Relationship Id="rId41" Type="http://schemas.openxmlformats.org/officeDocument/2006/relationships/ctrlProp" Target="../ctrlProps/ctrlProp37.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8.bin"/><Relationship Id="rId1" Type="http://schemas.openxmlformats.org/officeDocument/2006/relationships/hyperlink" Target="mailto:julia-marie.zigann@h2.de?subject=Anfrage%20zum%20Kli%20Max-%20Berechnungstool" TargetMode="External"/><Relationship Id="rId5" Type="http://schemas.openxmlformats.org/officeDocument/2006/relationships/table" Target="../tables/table55.xml"/><Relationship Id="rId4" Type="http://schemas.openxmlformats.org/officeDocument/2006/relationships/table" Target="../tables/table54.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mailto:julia-marie.zigann@h2.de?subject=Anfrage%20zum%20Kli%20Max-%20Berechnungstool" TargetMode="External"/><Relationship Id="rId6" Type="http://schemas.openxmlformats.org/officeDocument/2006/relationships/comments" Target="../comments1.xml"/><Relationship Id="rId5" Type="http://schemas.openxmlformats.org/officeDocument/2006/relationships/table" Target="../tables/table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mailto:julia-marie.zigann@h2.de?subject=Anfrage%20zum%20Kli%20Max-%20Berechnungstool" TargetMode="External"/><Relationship Id="rId4"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hyperlink" Target="mailto:julia-marie.zigann@h2.de?subject=Anfrage%20zum%20Kli%20Max-%20Berechnungstool" TargetMode="External"/><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s>
</file>

<file path=xl/worksheets/_rels/sheet5.xml.rels><?xml version="1.0" encoding="UTF-8" standalone="yes"?>
<Relationships xmlns="http://schemas.openxmlformats.org/package/2006/relationships"><Relationship Id="rId8" Type="http://schemas.openxmlformats.org/officeDocument/2006/relationships/table" Target="../tables/table10.xml"/><Relationship Id="rId3" Type="http://schemas.openxmlformats.org/officeDocument/2006/relationships/drawing" Target="../drawings/drawing5.xml"/><Relationship Id="rId7" Type="http://schemas.openxmlformats.org/officeDocument/2006/relationships/table" Target="../tables/table9.xml"/><Relationship Id="rId2" Type="http://schemas.openxmlformats.org/officeDocument/2006/relationships/printerSettings" Target="../printerSettings/printerSettings4.bin"/><Relationship Id="rId1" Type="http://schemas.openxmlformats.org/officeDocument/2006/relationships/hyperlink" Target="mailto:julia-marie.zigann@h2.de?subject=Anfrage%20zum%20Kli%20Max-%20Berechnungstool" TargetMode="External"/><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table" Target="../tables/table6.xml"/></Relationships>
</file>

<file path=xl/worksheets/_rels/sheet6.xml.rels><?xml version="1.0" encoding="UTF-8" standalone="yes"?>
<Relationships xmlns="http://schemas.openxmlformats.org/package/2006/relationships"><Relationship Id="rId8" Type="http://schemas.openxmlformats.org/officeDocument/2006/relationships/table" Target="../tables/table15.xml"/><Relationship Id="rId3" Type="http://schemas.openxmlformats.org/officeDocument/2006/relationships/vmlDrawing" Target="../drawings/vmlDrawing2.vml"/><Relationship Id="rId7" Type="http://schemas.openxmlformats.org/officeDocument/2006/relationships/table" Target="../tables/table14.xml"/><Relationship Id="rId2" Type="http://schemas.openxmlformats.org/officeDocument/2006/relationships/drawing" Target="../drawings/drawing6.xml"/><Relationship Id="rId1" Type="http://schemas.openxmlformats.org/officeDocument/2006/relationships/hyperlink" Target="mailto:julia-marie.zigann@h2.de?subject=Anfrage%20zum%20Kli%20Max-%20Berechnungstool" TargetMode="External"/><Relationship Id="rId6" Type="http://schemas.openxmlformats.org/officeDocument/2006/relationships/table" Target="../tables/table13.xml"/><Relationship Id="rId5" Type="http://schemas.openxmlformats.org/officeDocument/2006/relationships/table" Target="../tables/table12.xml"/><Relationship Id="rId10" Type="http://schemas.openxmlformats.org/officeDocument/2006/relationships/comments" Target="../comments2.xml"/><Relationship Id="rId4" Type="http://schemas.openxmlformats.org/officeDocument/2006/relationships/table" Target="../tables/table11.xml"/><Relationship Id="rId9" Type="http://schemas.openxmlformats.org/officeDocument/2006/relationships/table" Target="../tables/table16.xml"/></Relationships>
</file>

<file path=xl/worksheets/_rels/sheet7.xml.rels><?xml version="1.0" encoding="UTF-8" standalone="yes"?>
<Relationships xmlns="http://schemas.openxmlformats.org/package/2006/relationships"><Relationship Id="rId8" Type="http://schemas.openxmlformats.org/officeDocument/2006/relationships/table" Target="../tables/table20.xml"/><Relationship Id="rId13" Type="http://schemas.openxmlformats.org/officeDocument/2006/relationships/table" Target="../tables/table25.xml"/><Relationship Id="rId18" Type="http://schemas.openxmlformats.org/officeDocument/2006/relationships/comments" Target="../comments3.xml"/><Relationship Id="rId3" Type="http://schemas.openxmlformats.org/officeDocument/2006/relationships/drawing" Target="../drawings/drawing7.xml"/><Relationship Id="rId7" Type="http://schemas.openxmlformats.org/officeDocument/2006/relationships/table" Target="../tables/table19.xml"/><Relationship Id="rId12" Type="http://schemas.openxmlformats.org/officeDocument/2006/relationships/table" Target="../tables/table24.xml"/><Relationship Id="rId17" Type="http://schemas.openxmlformats.org/officeDocument/2006/relationships/table" Target="../tables/table29.xml"/><Relationship Id="rId2" Type="http://schemas.openxmlformats.org/officeDocument/2006/relationships/printerSettings" Target="../printerSettings/printerSettings5.bin"/><Relationship Id="rId16" Type="http://schemas.openxmlformats.org/officeDocument/2006/relationships/table" Target="../tables/table28.xml"/><Relationship Id="rId1" Type="http://schemas.openxmlformats.org/officeDocument/2006/relationships/hyperlink" Target="mailto:julia-marie.zigann@h2.de?subject=Anfrage%20zum%20Kli%20Max-%20Berechnungstool" TargetMode="External"/><Relationship Id="rId6" Type="http://schemas.openxmlformats.org/officeDocument/2006/relationships/table" Target="../tables/table18.xml"/><Relationship Id="rId11" Type="http://schemas.openxmlformats.org/officeDocument/2006/relationships/table" Target="../tables/table23.xml"/><Relationship Id="rId5" Type="http://schemas.openxmlformats.org/officeDocument/2006/relationships/table" Target="../tables/table17.xml"/><Relationship Id="rId15" Type="http://schemas.openxmlformats.org/officeDocument/2006/relationships/table" Target="../tables/table27.xml"/><Relationship Id="rId10" Type="http://schemas.openxmlformats.org/officeDocument/2006/relationships/table" Target="../tables/table22.xml"/><Relationship Id="rId4" Type="http://schemas.openxmlformats.org/officeDocument/2006/relationships/vmlDrawing" Target="../drawings/vmlDrawing3.vml"/><Relationship Id="rId9" Type="http://schemas.openxmlformats.org/officeDocument/2006/relationships/table" Target="../tables/table21.xml"/><Relationship Id="rId14" Type="http://schemas.openxmlformats.org/officeDocument/2006/relationships/table" Target="../tables/table26.xml"/></Relationships>
</file>

<file path=xl/worksheets/_rels/sheet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printerSettings" Target="../printerSettings/printerSettings6.bin"/><Relationship Id="rId1" Type="http://schemas.openxmlformats.org/officeDocument/2006/relationships/hyperlink" Target="mailto:julia-marie.zigann@h2.de?subject=Anfrage%20zum%20Kli%20Max-%20Berechnungstool" TargetMode="External"/><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 Id="rId9" Type="http://schemas.openxmlformats.org/officeDocument/2006/relationships/table" Target="../tables/table36.xml"/></Relationships>
</file>

<file path=xl/worksheets/_rels/sheet9.xml.rels><?xml version="1.0" encoding="UTF-8" standalone="yes"?>
<Relationships xmlns="http://schemas.openxmlformats.org/package/2006/relationships"><Relationship Id="rId8" Type="http://schemas.openxmlformats.org/officeDocument/2006/relationships/table" Target="../tables/table41.xml"/><Relationship Id="rId13" Type="http://schemas.openxmlformats.org/officeDocument/2006/relationships/table" Target="../tables/table46.xml"/><Relationship Id="rId18" Type="http://schemas.openxmlformats.org/officeDocument/2006/relationships/table" Target="../tables/table51.xml"/><Relationship Id="rId3" Type="http://schemas.openxmlformats.org/officeDocument/2006/relationships/vmlDrawing" Target="../drawings/vmlDrawing4.vml"/><Relationship Id="rId21" Type="http://schemas.openxmlformats.org/officeDocument/2006/relationships/comments" Target="../comments4.xml"/><Relationship Id="rId7" Type="http://schemas.openxmlformats.org/officeDocument/2006/relationships/table" Target="../tables/table40.xml"/><Relationship Id="rId12" Type="http://schemas.openxmlformats.org/officeDocument/2006/relationships/table" Target="../tables/table45.xml"/><Relationship Id="rId17" Type="http://schemas.openxmlformats.org/officeDocument/2006/relationships/table" Target="../tables/table50.xml"/><Relationship Id="rId2" Type="http://schemas.openxmlformats.org/officeDocument/2006/relationships/drawing" Target="../drawings/drawing8.xml"/><Relationship Id="rId16" Type="http://schemas.openxmlformats.org/officeDocument/2006/relationships/table" Target="../tables/table49.xml"/><Relationship Id="rId20" Type="http://schemas.openxmlformats.org/officeDocument/2006/relationships/table" Target="../tables/table53.xml"/><Relationship Id="rId1" Type="http://schemas.openxmlformats.org/officeDocument/2006/relationships/hyperlink" Target="mailto:julia-marie.zigann@h2.de?subject=Anfrage%20zum%20Kli%20Max-%20Berechnungstool" TargetMode="External"/><Relationship Id="rId6" Type="http://schemas.openxmlformats.org/officeDocument/2006/relationships/table" Target="../tables/table39.xml"/><Relationship Id="rId11" Type="http://schemas.openxmlformats.org/officeDocument/2006/relationships/table" Target="../tables/table44.xml"/><Relationship Id="rId5" Type="http://schemas.openxmlformats.org/officeDocument/2006/relationships/table" Target="../tables/table38.xml"/><Relationship Id="rId15" Type="http://schemas.openxmlformats.org/officeDocument/2006/relationships/table" Target="../tables/table48.xml"/><Relationship Id="rId10" Type="http://schemas.openxmlformats.org/officeDocument/2006/relationships/table" Target="../tables/table43.xml"/><Relationship Id="rId19" Type="http://schemas.openxmlformats.org/officeDocument/2006/relationships/table" Target="../tables/table52.xml"/><Relationship Id="rId4" Type="http://schemas.openxmlformats.org/officeDocument/2006/relationships/table" Target="../tables/table37.xml"/><Relationship Id="rId9" Type="http://schemas.openxmlformats.org/officeDocument/2006/relationships/table" Target="../tables/table42.xml"/><Relationship Id="rId14" Type="http://schemas.openxmlformats.org/officeDocument/2006/relationships/table" Target="../tables/table4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DCB3A-94E6-4027-9665-3107E1043607}">
  <dimension ref="B2:M81"/>
  <sheetViews>
    <sheetView showGridLines="0" tabSelected="1" zoomScale="115" zoomScaleNormal="115" workbookViewId="0">
      <selection activeCell="B1" sqref="B1"/>
    </sheetView>
  </sheetViews>
  <sheetFormatPr baseColWidth="10" defaultRowHeight="14.5" x14ac:dyDescent="0.35"/>
  <cols>
    <col min="1" max="1" width="2.7265625" customWidth="1"/>
    <col min="2" max="2" width="9.453125" customWidth="1"/>
    <col min="3" max="3" width="15.7265625" customWidth="1"/>
    <col min="7" max="7" width="13.26953125" customWidth="1"/>
    <col min="8" max="8" width="16.54296875" customWidth="1"/>
  </cols>
  <sheetData>
    <row r="2" spans="13:13" x14ac:dyDescent="0.35">
      <c r="M2" s="3" t="s">
        <v>590</v>
      </c>
    </row>
    <row r="54" spans="2:8" ht="18.5" x14ac:dyDescent="0.45">
      <c r="B54" s="26" t="s">
        <v>542</v>
      </c>
    </row>
    <row r="56" spans="2:8" x14ac:dyDescent="0.35">
      <c r="C56" s="30" t="s">
        <v>1</v>
      </c>
      <c r="D56" s="177"/>
      <c r="E56" s="178"/>
      <c r="F56" s="179"/>
    </row>
    <row r="57" spans="2:8" x14ac:dyDescent="0.35">
      <c r="C57" s="30" t="s">
        <v>406</v>
      </c>
      <c r="D57" s="167"/>
      <c r="E57" s="106"/>
      <c r="F57" s="107"/>
    </row>
    <row r="58" spans="2:8" x14ac:dyDescent="0.35">
      <c r="C58" s="30" t="s">
        <v>564</v>
      </c>
      <c r="D58" s="177"/>
      <c r="E58" s="178"/>
      <c r="F58" s="179"/>
    </row>
    <row r="59" spans="2:8" x14ac:dyDescent="0.35">
      <c r="C59" s="30" t="s">
        <v>407</v>
      </c>
      <c r="D59" s="177"/>
      <c r="E59" s="178"/>
      <c r="F59" s="179"/>
    </row>
    <row r="60" spans="2:8" x14ac:dyDescent="0.35">
      <c r="C60" s="30"/>
      <c r="D60" s="109"/>
      <c r="E60" s="109"/>
      <c r="F60" s="109"/>
    </row>
    <row r="62" spans="2:8" ht="18.5" x14ac:dyDescent="0.45">
      <c r="B62" s="26" t="s">
        <v>0</v>
      </c>
    </row>
    <row r="64" spans="2:8" ht="15.5" x14ac:dyDescent="0.35">
      <c r="C64" s="6" t="s">
        <v>503</v>
      </c>
      <c r="H64" s="6" t="s">
        <v>505</v>
      </c>
    </row>
    <row r="65" spans="2:9" ht="22" customHeight="1" x14ac:dyDescent="0.35">
      <c r="C65" s="42" t="s">
        <v>506</v>
      </c>
      <c r="D65" s="147" t="s">
        <v>509</v>
      </c>
      <c r="H65" s="42" t="s">
        <v>44</v>
      </c>
      <c r="I65" s="40" t="s">
        <v>231</v>
      </c>
    </row>
    <row r="66" spans="2:9" x14ac:dyDescent="0.35">
      <c r="C66" s="42"/>
      <c r="D66" s="28"/>
      <c r="H66" s="42" t="s">
        <v>44</v>
      </c>
      <c r="I66" s="41" t="s">
        <v>502</v>
      </c>
    </row>
    <row r="67" spans="2:9" ht="15.5" x14ac:dyDescent="0.35">
      <c r="C67" s="6" t="s">
        <v>508</v>
      </c>
      <c r="H67" s="42" t="s">
        <v>44</v>
      </c>
      <c r="I67" s="40" t="s">
        <v>501</v>
      </c>
    </row>
    <row r="68" spans="2:9" ht="21" customHeight="1" x14ac:dyDescent="0.35">
      <c r="C68" s="42" t="s">
        <v>44</v>
      </c>
      <c r="D68" s="147" t="s">
        <v>173</v>
      </c>
      <c r="H68" s="42" t="s">
        <v>507</v>
      </c>
      <c r="I68" s="40" t="s">
        <v>39</v>
      </c>
    </row>
    <row r="69" spans="2:9" ht="15.65" customHeight="1" x14ac:dyDescent="0.35">
      <c r="C69" s="42" t="s">
        <v>44</v>
      </c>
      <c r="D69" s="147" t="s">
        <v>509</v>
      </c>
      <c r="H69" s="1"/>
    </row>
    <row r="70" spans="2:9" x14ac:dyDescent="0.35">
      <c r="C70" s="42" t="s">
        <v>507</v>
      </c>
      <c r="D70" s="147" t="s">
        <v>548</v>
      </c>
    </row>
    <row r="72" spans="2:9" ht="15.5" x14ac:dyDescent="0.35">
      <c r="C72" s="6" t="s">
        <v>504</v>
      </c>
    </row>
    <row r="73" spans="2:9" ht="21" customHeight="1" x14ac:dyDescent="0.35">
      <c r="C73" s="42" t="s">
        <v>272</v>
      </c>
      <c r="D73" s="13" t="s">
        <v>261</v>
      </c>
      <c r="E73" s="114"/>
    </row>
    <row r="74" spans="2:9" ht="15.65" customHeight="1" x14ac:dyDescent="0.35">
      <c r="C74" s="42" t="s">
        <v>482</v>
      </c>
      <c r="D74" s="172" t="s">
        <v>547</v>
      </c>
      <c r="E74" s="114"/>
    </row>
    <row r="75" spans="2:9" x14ac:dyDescent="0.35">
      <c r="C75" s="42" t="s">
        <v>482</v>
      </c>
      <c r="D75" s="173" t="s">
        <v>546</v>
      </c>
    </row>
    <row r="76" spans="2:9" x14ac:dyDescent="0.35">
      <c r="F76" s="114"/>
    </row>
    <row r="78" spans="2:9" ht="18.5" x14ac:dyDescent="0.35">
      <c r="B78" s="163" t="s">
        <v>27</v>
      </c>
    </row>
    <row r="80" spans="2:9" ht="15.5" x14ac:dyDescent="0.35">
      <c r="C80" s="150" t="s">
        <v>346</v>
      </c>
      <c r="D80" s="121"/>
      <c r="E80" s="121"/>
    </row>
    <row r="81" spans="3:5" x14ac:dyDescent="0.35">
      <c r="C81" s="108" t="s">
        <v>405</v>
      </c>
      <c r="D81" s="108"/>
      <c r="E81" s="108"/>
    </row>
  </sheetData>
  <mergeCells count="3">
    <mergeCell ref="D56:F56"/>
    <mergeCell ref="D58:F58"/>
    <mergeCell ref="D59:F59"/>
  </mergeCells>
  <hyperlinks>
    <hyperlink ref="M2" r:id="rId1" tooltip="Kontakt zur Autorin" display="Kontakt zur Autorin" xr:uid="{C15953AD-62EF-4F84-85D8-281451ED258E}"/>
    <hyperlink ref="D65" location="'Refsz-Verbräuche'!B1" tooltip="1. Dateneingabe" display="Referenzszenario - Verbräuche" xr:uid="{5BC4F6A2-BE8A-49A3-9829-52B1332C1D31}"/>
    <hyperlink ref="I68" location="Emissionsfaktoren!B1" tooltip="2. Dateneingabe (Profi)" display="Emissionsfaktoren" xr:uid="{A5885823-F3DB-4C3E-81AC-144407C02EC3}"/>
    <hyperlink ref="D70" location="'Klisz-Verbräuche'!B1" tooltip="3. Dateneingabe" display="Klimaschutzszenarien - Verbräuche" xr:uid="{F1BE69F3-96B4-4D8A-BFBC-0ACD8F4F3F65}"/>
    <hyperlink ref="D75" location="'Klisz-Emissionen'!B1" tooltip="Ergebnisse Klimaschutzszenario" display="Klimaschutzszenarien - Emissionen" xr:uid="{3B82210C-E360-4346-A114-F7C14280D0A7}"/>
    <hyperlink ref="D73" location="'KliMax-Auswertung'!A1" tooltip="Auswertung" display="KliMax - Auswertung" xr:uid="{F4F192B6-21C8-4BED-BF5C-8C60012136AD}"/>
    <hyperlink ref="I65" location="Umrechnen!B1" tooltip="Einheiten umrechnen" display="Einheiten umrechnen" xr:uid="{F489ECAC-6400-479F-90D7-50726DF5BBB1}"/>
    <hyperlink ref="I66" location="'Strommix &amp; BHKW'!B1" display="Individueller Strommix und institutseigenes BHKW" xr:uid="{948D2780-4841-4186-B91D-A442A38BFAB2}"/>
    <hyperlink ref="D74" location="'Refsz-Emissionen'!B1" tooltip="Ergebnisse Referenzszenario" display="Referenzszenarien - Emissionen" xr:uid="{444E9A75-FB6D-46F9-A049-AED64B7D539D}"/>
    <hyperlink ref="D69" location="'Refsz-Verbräuche'!B1" tooltip="1. Dateneingabe" display="Referenzszenario - Verbräuche" xr:uid="{B51C394A-FE1A-4FB9-B26C-EE42EB43D369}"/>
    <hyperlink ref="D68" location="Datengüte!B1" display="Datengüte" xr:uid="{A6B40811-276E-4F8C-B265-EC088BF18CE7}"/>
    <hyperlink ref="I67" location="'Verbundene Einheiten'!A1" display="Verflechtungsmaß für verbundenen Einheiten" xr:uid="{7C629EBE-BF8C-49F1-A781-517C1BEC1A71}"/>
  </hyperlinks>
  <pageMargins left="0.7" right="0.7" top="0.78740157499999996" bottom="0.78740157499999996" header="0.3" footer="0.3"/>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32742-CCD8-497C-99B7-C0B5B9D509B0}">
  <sheetPr>
    <tabColor rgb="FF7030A0"/>
  </sheetPr>
  <dimension ref="A1:K50"/>
  <sheetViews>
    <sheetView showGridLines="0" zoomScale="94" zoomScaleNormal="95" workbookViewId="0">
      <pane ySplit="1" topLeftCell="A2" activePane="bottomLeft" state="frozen"/>
      <selection pane="bottomLeft" activeCell="B1" sqref="B1"/>
    </sheetView>
  </sheetViews>
  <sheetFormatPr baseColWidth="10" defaultColWidth="10.81640625" defaultRowHeight="14.5" x14ac:dyDescent="0.35"/>
  <cols>
    <col min="1" max="1" width="3.7265625" style="152" customWidth="1"/>
    <col min="2" max="2" width="30.1796875" style="152" customWidth="1"/>
    <col min="3" max="3" width="46.81640625" style="152" customWidth="1"/>
    <col min="4" max="16384" width="10.81640625" style="152"/>
  </cols>
  <sheetData>
    <row r="1" spans="1:11" x14ac:dyDescent="0.35">
      <c r="A1"/>
      <c r="B1" s="4" t="s">
        <v>553</v>
      </c>
      <c r="C1"/>
      <c r="D1" s="3" t="s">
        <v>590</v>
      </c>
      <c r="E1"/>
      <c r="F1"/>
      <c r="G1"/>
      <c r="H1"/>
      <c r="I1"/>
      <c r="J1" s="28"/>
      <c r="K1"/>
    </row>
    <row r="3" spans="1:11" ht="18.5" x14ac:dyDescent="0.45">
      <c r="B3" s="164" t="s">
        <v>485</v>
      </c>
    </row>
    <row r="16" spans="1:11" ht="22.5" customHeight="1" x14ac:dyDescent="0.35">
      <c r="B16" s="160" t="s">
        <v>592</v>
      </c>
      <c r="C16" s="170"/>
      <c r="D16" s="160"/>
      <c r="E16" s="160"/>
      <c r="F16" s="160"/>
    </row>
    <row r="17" spans="2:10" ht="34" customHeight="1" x14ac:dyDescent="0.35">
      <c r="B17" s="153" t="s">
        <v>486</v>
      </c>
      <c r="C17" s="162" t="s">
        <v>487</v>
      </c>
      <c r="D17" s="154" t="b">
        <v>1</v>
      </c>
      <c r="E17" s="154" t="b">
        <v>0</v>
      </c>
      <c r="F17" s="154"/>
      <c r="G17" s="154"/>
      <c r="H17" s="154"/>
      <c r="I17" s="154"/>
      <c r="J17" s="154">
        <f>IF(AND(D17,E17),1,0)</f>
        <v>0</v>
      </c>
    </row>
    <row r="18" spans="2:10" ht="52" customHeight="1" x14ac:dyDescent="0.35">
      <c r="B18" s="155" t="s">
        <v>591</v>
      </c>
      <c r="C18" s="161" t="s">
        <v>499</v>
      </c>
      <c r="D18" s="154" t="b">
        <v>1</v>
      </c>
      <c r="E18" s="154" t="b">
        <v>0</v>
      </c>
      <c r="F18" s="154" t="b">
        <v>0</v>
      </c>
      <c r="G18" s="154">
        <f t="shared" ref="G18:G23" si="0">IF(D18,0,0)</f>
        <v>0</v>
      </c>
      <c r="H18" s="154">
        <f t="shared" ref="H18:H23" si="1">IF(E18,1,0)</f>
        <v>0</v>
      </c>
      <c r="I18" s="154">
        <f t="shared" ref="I18:I23" si="2">IF(F18,2,0)</f>
        <v>0</v>
      </c>
      <c r="J18" s="154">
        <f t="shared" ref="J18:J23" si="3">IF(OR(AND(D18,E18),AND(D18,F18),AND(E18,F18),AND(D18,E18,F18)),1,0)</f>
        <v>0</v>
      </c>
    </row>
    <row r="19" spans="2:10" ht="47.5" customHeight="1" x14ac:dyDescent="0.35">
      <c r="B19" s="153" t="s">
        <v>488</v>
      </c>
      <c r="C19" s="162" t="s">
        <v>500</v>
      </c>
      <c r="D19" s="154" t="b">
        <v>1</v>
      </c>
      <c r="E19" s="154" t="b">
        <v>0</v>
      </c>
      <c r="F19" s="154" t="b">
        <v>0</v>
      </c>
      <c r="G19" s="154">
        <f t="shared" si="0"/>
        <v>0</v>
      </c>
      <c r="H19" s="154">
        <f t="shared" si="1"/>
        <v>0</v>
      </c>
      <c r="I19" s="154">
        <f t="shared" si="2"/>
        <v>0</v>
      </c>
      <c r="J19" s="154">
        <f t="shared" si="3"/>
        <v>0</v>
      </c>
    </row>
    <row r="20" spans="2:10" ht="36" customHeight="1" x14ac:dyDescent="0.35">
      <c r="B20" s="155" t="s">
        <v>496</v>
      </c>
      <c r="C20" s="161" t="s">
        <v>593</v>
      </c>
      <c r="D20" s="154" t="b">
        <v>1</v>
      </c>
      <c r="E20" s="154" t="b">
        <v>0</v>
      </c>
      <c r="F20" s="154" t="b">
        <v>0</v>
      </c>
      <c r="G20" s="154">
        <f t="shared" si="0"/>
        <v>0</v>
      </c>
      <c r="H20" s="154">
        <f t="shared" si="1"/>
        <v>0</v>
      </c>
      <c r="I20" s="154">
        <f t="shared" si="2"/>
        <v>0</v>
      </c>
      <c r="J20" s="154">
        <f t="shared" si="3"/>
        <v>0</v>
      </c>
    </row>
    <row r="21" spans="2:10" ht="25" customHeight="1" x14ac:dyDescent="0.35">
      <c r="B21" s="153" t="s">
        <v>489</v>
      </c>
      <c r="C21" s="162" t="s">
        <v>497</v>
      </c>
      <c r="D21" s="154" t="b">
        <v>1</v>
      </c>
      <c r="E21" s="154" t="b">
        <v>0</v>
      </c>
      <c r="F21" s="154" t="b">
        <v>0</v>
      </c>
      <c r="G21" s="154">
        <f t="shared" si="0"/>
        <v>0</v>
      </c>
      <c r="H21" s="154">
        <f t="shared" si="1"/>
        <v>0</v>
      </c>
      <c r="I21" s="154">
        <f t="shared" si="2"/>
        <v>0</v>
      </c>
      <c r="J21" s="154">
        <f t="shared" si="3"/>
        <v>0</v>
      </c>
    </row>
    <row r="22" spans="2:10" ht="24" customHeight="1" x14ac:dyDescent="0.35">
      <c r="B22" s="155" t="s">
        <v>490</v>
      </c>
      <c r="C22" s="161" t="s">
        <v>495</v>
      </c>
      <c r="D22" s="154" t="b">
        <v>1</v>
      </c>
      <c r="E22" s="154" t="b">
        <v>0</v>
      </c>
      <c r="F22" s="154" t="b">
        <v>0</v>
      </c>
      <c r="G22" s="154">
        <f t="shared" si="0"/>
        <v>0</v>
      </c>
      <c r="H22" s="154">
        <f t="shared" si="1"/>
        <v>0</v>
      </c>
      <c r="I22" s="154">
        <f t="shared" si="2"/>
        <v>0</v>
      </c>
      <c r="J22" s="154">
        <f t="shared" si="3"/>
        <v>0</v>
      </c>
    </row>
    <row r="23" spans="2:10" ht="26.15" customHeight="1" x14ac:dyDescent="0.35">
      <c r="B23" s="153" t="s">
        <v>491</v>
      </c>
      <c r="C23" s="162" t="s">
        <v>498</v>
      </c>
      <c r="D23" s="154" t="b">
        <v>1</v>
      </c>
      <c r="E23" s="154" t="b">
        <v>0</v>
      </c>
      <c r="F23" s="154" t="b">
        <v>0</v>
      </c>
      <c r="G23" s="154">
        <f t="shared" si="0"/>
        <v>0</v>
      </c>
      <c r="H23" s="154">
        <f t="shared" si="1"/>
        <v>0</v>
      </c>
      <c r="I23" s="154">
        <f t="shared" si="2"/>
        <v>0</v>
      </c>
      <c r="J23" s="154">
        <f t="shared" si="3"/>
        <v>0</v>
      </c>
    </row>
    <row r="24" spans="2:10" ht="18.649999999999999" customHeight="1" thickBot="1" x14ac:dyDescent="0.4">
      <c r="B24" s="181" t="s">
        <v>492</v>
      </c>
      <c r="C24" s="181"/>
      <c r="D24" s="181"/>
      <c r="E24" s="181"/>
      <c r="F24" s="181"/>
      <c r="G24" s="154">
        <f>SUM(G18:G23)</f>
        <v>0</v>
      </c>
      <c r="H24" s="154">
        <f t="shared" ref="H24:I24" si="4">SUM(H18:H23)</f>
        <v>0</v>
      </c>
      <c r="I24" s="154">
        <f t="shared" si="4"/>
        <v>0</v>
      </c>
      <c r="J24" s="154">
        <f>SUM(J17:J23)</f>
        <v>0</v>
      </c>
    </row>
    <row r="25" spans="2:10" ht="16" thickBot="1" x14ac:dyDescent="0.4">
      <c r="B25" s="156" t="s">
        <v>493</v>
      </c>
      <c r="C25" s="157">
        <f>SUM(H24:J24)</f>
        <v>0</v>
      </c>
      <c r="D25" s="158"/>
      <c r="E25" s="158"/>
      <c r="F25" s="159"/>
    </row>
    <row r="26" spans="2:10" ht="14.5" customHeight="1" x14ac:dyDescent="0.35">
      <c r="B26" s="182" t="s">
        <v>494</v>
      </c>
      <c r="C26" s="184" t="str">
        <f>(IF(E17,"Es handelt sich um keine eigenständige Einheit. Die Emissionen der Einheit sind in die Bilanz aufzunehmen.",IF(C25&gt;=4,"Die Einheit ist so eng mit der Hochschule verflochten, dass ihre Emissionen in die Bilanz der Institution eingehen.","Die Einheit ist nur locker mit der Institution verflochten, so dass ihre Emissionen nicht in die Bilanz der Institution eingehen")))</f>
        <v>Die Einheit ist nur locker mit der Institution verflochten, so dass ihre Emissionen nicht in die Bilanz der Institution eingehen</v>
      </c>
      <c r="D26" s="185"/>
      <c r="E26" s="185"/>
      <c r="F26" s="186"/>
    </row>
    <row r="27" spans="2:10" ht="15" customHeight="1" thickBot="1" x14ac:dyDescent="0.4">
      <c r="B27" s="183"/>
      <c r="C27" s="187"/>
      <c r="D27" s="188"/>
      <c r="E27" s="188"/>
      <c r="F27" s="189"/>
    </row>
    <row r="30" spans="2:10" ht="18.5" x14ac:dyDescent="0.45">
      <c r="B30" s="164"/>
    </row>
    <row r="32" spans="2:10" ht="15.5" x14ac:dyDescent="0.35">
      <c r="B32" s="160" t="s">
        <v>592</v>
      </c>
      <c r="C32" s="170"/>
      <c r="D32" s="160"/>
      <c r="E32" s="160"/>
      <c r="F32" s="160"/>
    </row>
    <row r="33" spans="2:8" ht="29" x14ac:dyDescent="0.35">
      <c r="B33" s="153" t="s">
        <v>486</v>
      </c>
      <c r="C33" s="162" t="s">
        <v>487</v>
      </c>
      <c r="D33" s="154" t="b">
        <v>1</v>
      </c>
      <c r="E33" s="154" t="b">
        <v>0</v>
      </c>
      <c r="F33" s="154"/>
    </row>
    <row r="34" spans="2:8" ht="43.5" x14ac:dyDescent="0.35">
      <c r="B34" s="155" t="s">
        <v>591</v>
      </c>
      <c r="C34" s="161" t="s">
        <v>499</v>
      </c>
      <c r="D34" s="154" t="b">
        <v>1</v>
      </c>
      <c r="E34" s="154" t="b">
        <v>0</v>
      </c>
      <c r="F34" s="154" t="b">
        <v>0</v>
      </c>
    </row>
    <row r="35" spans="2:8" ht="43.5" x14ac:dyDescent="0.35">
      <c r="B35" s="153" t="s">
        <v>488</v>
      </c>
      <c r="C35" s="162" t="s">
        <v>500</v>
      </c>
      <c r="D35" s="154" t="b">
        <v>1</v>
      </c>
      <c r="E35" s="154" t="b">
        <v>0</v>
      </c>
      <c r="F35" s="154" t="b">
        <v>0</v>
      </c>
    </row>
    <row r="36" spans="2:8" ht="43.5" x14ac:dyDescent="0.35">
      <c r="B36" s="155" t="s">
        <v>496</v>
      </c>
      <c r="C36" s="161" t="s">
        <v>593</v>
      </c>
      <c r="D36" s="154" t="b">
        <v>1</v>
      </c>
      <c r="E36" s="154" t="b">
        <v>0</v>
      </c>
      <c r="F36" s="154" t="b">
        <v>0</v>
      </c>
    </row>
    <row r="37" spans="2:8" x14ac:dyDescent="0.35">
      <c r="B37" s="153" t="s">
        <v>489</v>
      </c>
      <c r="C37" s="162" t="s">
        <v>497</v>
      </c>
      <c r="D37" s="154" t="b">
        <v>1</v>
      </c>
      <c r="E37" s="154" t="b">
        <v>0</v>
      </c>
      <c r="F37" s="154" t="b">
        <v>0</v>
      </c>
    </row>
    <row r="38" spans="2:8" x14ac:dyDescent="0.35">
      <c r="B38" s="155" t="s">
        <v>490</v>
      </c>
      <c r="C38" s="161" t="s">
        <v>495</v>
      </c>
      <c r="D38" s="154" t="b">
        <v>1</v>
      </c>
      <c r="E38" s="154" t="b">
        <v>0</v>
      </c>
      <c r="F38" s="154" t="b">
        <v>0</v>
      </c>
    </row>
    <row r="39" spans="2:8" x14ac:dyDescent="0.35">
      <c r="B39" s="153" t="s">
        <v>491</v>
      </c>
      <c r="C39" s="162" t="s">
        <v>498</v>
      </c>
      <c r="D39" s="154" t="b">
        <v>1</v>
      </c>
      <c r="E39" s="154" t="b">
        <v>0</v>
      </c>
      <c r="F39" s="154" t="b">
        <v>0</v>
      </c>
    </row>
    <row r="40" spans="2:8" ht="16" thickBot="1" x14ac:dyDescent="0.4">
      <c r="B40" s="181" t="s">
        <v>492</v>
      </c>
      <c r="C40" s="181"/>
      <c r="D40" s="181"/>
      <c r="E40" s="181"/>
      <c r="F40" s="181"/>
    </row>
    <row r="41" spans="2:8" ht="16" thickBot="1" x14ac:dyDescent="0.4">
      <c r="B41" s="156" t="s">
        <v>493</v>
      </c>
      <c r="C41" s="157">
        <f>SUM(H50:J50)</f>
        <v>0</v>
      </c>
      <c r="D41" s="158"/>
      <c r="E41" s="158"/>
      <c r="F41" s="159"/>
    </row>
    <row r="42" spans="2:8" x14ac:dyDescent="0.35">
      <c r="B42" s="182" t="s">
        <v>494</v>
      </c>
      <c r="C42" s="184" t="str">
        <f>(IF(E33,"Es handelt sich um keine eigenständige Einheit. Die Emissionen der Einheit sind in die Bilanz aufzunehmen.",IF(C41&gt;=4,"Die Einheit ist so eng mit der Hochschule verflochten, dass ihre Emissionen in die Bilanz der Institution eingehen.","Die Einheit ist nur locker mit der Institution verflochten, so dass ihre Emissionen nicht in die Bilanz der Institution eingehen")))</f>
        <v>Die Einheit ist nur locker mit der Institution verflochten, so dass ihre Emissionen nicht in die Bilanz der Institution eingehen</v>
      </c>
      <c r="D42" s="185"/>
      <c r="E42" s="185"/>
      <c r="F42" s="186"/>
    </row>
    <row r="43" spans="2:8" ht="15" thickBot="1" x14ac:dyDescent="0.4">
      <c r="B43" s="183"/>
      <c r="C43" s="187"/>
      <c r="D43" s="188"/>
      <c r="E43" s="188"/>
      <c r="F43" s="189"/>
      <c r="G43" s="154"/>
      <c r="H43" s="154"/>
    </row>
    <row r="44" spans="2:8" x14ac:dyDescent="0.35">
      <c r="G44" s="154">
        <f t="shared" ref="G44:G49" si="5">IF(D34,0,0)</f>
        <v>0</v>
      </c>
      <c r="H44" s="154">
        <f t="shared" ref="H44:H49" si="6">IF(E34,1,0)</f>
        <v>0</v>
      </c>
    </row>
    <row r="45" spans="2:8" x14ac:dyDescent="0.35">
      <c r="G45" s="154">
        <f t="shared" si="5"/>
        <v>0</v>
      </c>
      <c r="H45" s="154">
        <f t="shared" si="6"/>
        <v>0</v>
      </c>
    </row>
    <row r="46" spans="2:8" x14ac:dyDescent="0.35">
      <c r="G46" s="154">
        <f t="shared" si="5"/>
        <v>0</v>
      </c>
      <c r="H46" s="154">
        <f t="shared" si="6"/>
        <v>0</v>
      </c>
    </row>
    <row r="47" spans="2:8" x14ac:dyDescent="0.35">
      <c r="G47" s="154">
        <f t="shared" si="5"/>
        <v>0</v>
      </c>
      <c r="H47" s="154">
        <f t="shared" si="6"/>
        <v>0</v>
      </c>
    </row>
    <row r="48" spans="2:8" x14ac:dyDescent="0.35">
      <c r="G48" s="154">
        <f t="shared" si="5"/>
        <v>0</v>
      </c>
      <c r="H48" s="154">
        <f t="shared" si="6"/>
        <v>0</v>
      </c>
    </row>
    <row r="49" spans="7:8" x14ac:dyDescent="0.35">
      <c r="G49" s="154">
        <f t="shared" si="5"/>
        <v>0</v>
      </c>
      <c r="H49" s="154">
        <f t="shared" si="6"/>
        <v>0</v>
      </c>
    </row>
    <row r="50" spans="7:8" x14ac:dyDescent="0.35">
      <c r="G50" s="154">
        <f>SUM(G44:G49)</f>
        <v>0</v>
      </c>
      <c r="H50" s="154">
        <f t="shared" ref="H50" si="7">SUM(H44:H49)</f>
        <v>0</v>
      </c>
    </row>
  </sheetData>
  <mergeCells count="6">
    <mergeCell ref="B24:F24"/>
    <mergeCell ref="B26:B27"/>
    <mergeCell ref="C26:F27"/>
    <mergeCell ref="B40:F40"/>
    <mergeCell ref="B42:B43"/>
    <mergeCell ref="C42:F43"/>
  </mergeCells>
  <conditionalFormatting sqref="B17:C23">
    <cfRule type="expression" dxfId="56" priority="6">
      <formula>#REF!&gt;0</formula>
    </cfRule>
  </conditionalFormatting>
  <conditionalFormatting sqref="B17:F17">
    <cfRule type="expression" dxfId="55" priority="4">
      <formula>"Wenn(UND(D8=""WAHR"";E8=""WAHR""))"</formula>
    </cfRule>
  </conditionalFormatting>
  <conditionalFormatting sqref="B24:F24">
    <cfRule type="expression" dxfId="54" priority="5">
      <formula>$J$24&gt;0</formula>
    </cfRule>
  </conditionalFormatting>
  <conditionalFormatting sqref="B33:C39">
    <cfRule type="expression" dxfId="53" priority="3">
      <formula>#REF!&gt;0</formula>
    </cfRule>
  </conditionalFormatting>
  <conditionalFormatting sqref="B33:F33">
    <cfRule type="expression" dxfId="52" priority="1">
      <formula>"Wenn(UND(D8=""WAHR"";E8=""WAHR""))"</formula>
    </cfRule>
  </conditionalFormatting>
  <conditionalFormatting sqref="B40:F40">
    <cfRule type="expression" dxfId="51" priority="2">
      <formula>$J$24&gt;0</formula>
    </cfRule>
  </conditionalFormatting>
  <hyperlinks>
    <hyperlink ref="B1" location="Startseite!B1" tooltip="Zurück zur Einleitung" display="Zur Startseite" xr:uid="{8E5AB465-0C56-4FF9-9D15-B97CDC74741B}"/>
    <hyperlink ref="D1" r:id="rId1" tooltip="Kontakt zur Autorin" display="Kontakt zur Autorin" xr:uid="{C6911DBD-1486-453F-BDB8-D98151143C29}"/>
  </hyperlinks>
  <pageMargins left="0.7" right="0.7" top="0.78740157499999996" bottom="0.78740157499999996"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0241" r:id="rId5" name="Check Box 1">
              <controlPr defaultSize="0" autoFill="0" autoLine="0" autoPict="0">
                <anchor moveWithCells="1">
                  <from>
                    <xdr:col>3</xdr:col>
                    <xdr:colOff>69850</xdr:colOff>
                    <xdr:row>16</xdr:row>
                    <xdr:rowOff>12700</xdr:rowOff>
                  </from>
                  <to>
                    <xdr:col>4</xdr:col>
                    <xdr:colOff>31750</xdr:colOff>
                    <xdr:row>16</xdr:row>
                    <xdr:rowOff>336550</xdr:rowOff>
                  </to>
                </anchor>
              </controlPr>
            </control>
          </mc:Choice>
        </mc:AlternateContent>
        <mc:AlternateContent xmlns:mc="http://schemas.openxmlformats.org/markup-compatibility/2006">
          <mc:Choice Requires="x14">
            <control shapeId="10242" r:id="rId6" name="Check Box 2">
              <controlPr defaultSize="0" autoFill="0" autoLine="0" autoPict="0">
                <anchor moveWithCells="1">
                  <from>
                    <xdr:col>3</xdr:col>
                    <xdr:colOff>57150</xdr:colOff>
                    <xdr:row>17</xdr:row>
                    <xdr:rowOff>31750</xdr:rowOff>
                  </from>
                  <to>
                    <xdr:col>4</xdr:col>
                    <xdr:colOff>19050</xdr:colOff>
                    <xdr:row>17</xdr:row>
                    <xdr:rowOff>355600</xdr:rowOff>
                  </to>
                </anchor>
              </controlPr>
            </control>
          </mc:Choice>
        </mc:AlternateContent>
        <mc:AlternateContent xmlns:mc="http://schemas.openxmlformats.org/markup-compatibility/2006">
          <mc:Choice Requires="x14">
            <control shapeId="10243" r:id="rId7" name="Check Box 3">
              <controlPr defaultSize="0" autoFill="0" autoLine="0" autoPict="0">
                <anchor moveWithCells="1">
                  <from>
                    <xdr:col>3</xdr:col>
                    <xdr:colOff>69850</xdr:colOff>
                    <xdr:row>18</xdr:row>
                    <xdr:rowOff>31750</xdr:rowOff>
                  </from>
                  <to>
                    <xdr:col>4</xdr:col>
                    <xdr:colOff>31750</xdr:colOff>
                    <xdr:row>18</xdr:row>
                    <xdr:rowOff>355600</xdr:rowOff>
                  </to>
                </anchor>
              </controlPr>
            </control>
          </mc:Choice>
        </mc:AlternateContent>
        <mc:AlternateContent xmlns:mc="http://schemas.openxmlformats.org/markup-compatibility/2006">
          <mc:Choice Requires="x14">
            <control shapeId="10244" r:id="rId8" name="Check Box 4">
              <controlPr defaultSize="0" autoFill="0" autoLine="0" autoPict="0">
                <anchor moveWithCells="1">
                  <from>
                    <xdr:col>3</xdr:col>
                    <xdr:colOff>57150</xdr:colOff>
                    <xdr:row>19</xdr:row>
                    <xdr:rowOff>31750</xdr:rowOff>
                  </from>
                  <to>
                    <xdr:col>4</xdr:col>
                    <xdr:colOff>19050</xdr:colOff>
                    <xdr:row>19</xdr:row>
                    <xdr:rowOff>355600</xdr:rowOff>
                  </to>
                </anchor>
              </controlPr>
            </control>
          </mc:Choice>
        </mc:AlternateContent>
        <mc:AlternateContent xmlns:mc="http://schemas.openxmlformats.org/markup-compatibility/2006">
          <mc:Choice Requires="x14">
            <control shapeId="10245" r:id="rId9" name="Check Box 5">
              <controlPr defaultSize="0" autoFill="0" autoLine="0" autoPict="0">
                <anchor moveWithCells="1">
                  <from>
                    <xdr:col>3</xdr:col>
                    <xdr:colOff>50800</xdr:colOff>
                    <xdr:row>20</xdr:row>
                    <xdr:rowOff>31750</xdr:rowOff>
                  </from>
                  <to>
                    <xdr:col>4</xdr:col>
                    <xdr:colOff>12700</xdr:colOff>
                    <xdr:row>21</xdr:row>
                    <xdr:rowOff>38100</xdr:rowOff>
                  </to>
                </anchor>
              </controlPr>
            </control>
          </mc:Choice>
        </mc:AlternateContent>
        <mc:AlternateContent xmlns:mc="http://schemas.openxmlformats.org/markup-compatibility/2006">
          <mc:Choice Requires="x14">
            <control shapeId="10246" r:id="rId10" name="Check Box 6">
              <controlPr defaultSize="0" autoFill="0" autoLine="0" autoPict="0">
                <anchor moveWithCells="1">
                  <from>
                    <xdr:col>3</xdr:col>
                    <xdr:colOff>50800</xdr:colOff>
                    <xdr:row>21</xdr:row>
                    <xdr:rowOff>31750</xdr:rowOff>
                  </from>
                  <to>
                    <xdr:col>4</xdr:col>
                    <xdr:colOff>12700</xdr:colOff>
                    <xdr:row>22</xdr:row>
                    <xdr:rowOff>50800</xdr:rowOff>
                  </to>
                </anchor>
              </controlPr>
            </control>
          </mc:Choice>
        </mc:AlternateContent>
        <mc:AlternateContent xmlns:mc="http://schemas.openxmlformats.org/markup-compatibility/2006">
          <mc:Choice Requires="x14">
            <control shapeId="10247" r:id="rId11" name="Check Box 7">
              <controlPr defaultSize="0" autoFill="0" autoLine="0" autoPict="0">
                <anchor moveWithCells="1">
                  <from>
                    <xdr:col>3</xdr:col>
                    <xdr:colOff>50800</xdr:colOff>
                    <xdr:row>22</xdr:row>
                    <xdr:rowOff>31750</xdr:rowOff>
                  </from>
                  <to>
                    <xdr:col>4</xdr:col>
                    <xdr:colOff>12700</xdr:colOff>
                    <xdr:row>23</xdr:row>
                    <xdr:rowOff>31750</xdr:rowOff>
                  </to>
                </anchor>
              </controlPr>
            </control>
          </mc:Choice>
        </mc:AlternateContent>
        <mc:AlternateContent xmlns:mc="http://schemas.openxmlformats.org/markup-compatibility/2006">
          <mc:Choice Requires="x14">
            <control shapeId="10248" r:id="rId12" name="Check Box 8">
              <controlPr defaultSize="0" autoFill="0" autoLine="0" autoPict="0">
                <anchor moveWithCells="1">
                  <from>
                    <xdr:col>4</xdr:col>
                    <xdr:colOff>50800</xdr:colOff>
                    <xdr:row>16</xdr:row>
                    <xdr:rowOff>31750</xdr:rowOff>
                  </from>
                  <to>
                    <xdr:col>5</xdr:col>
                    <xdr:colOff>12700</xdr:colOff>
                    <xdr:row>16</xdr:row>
                    <xdr:rowOff>355600</xdr:rowOff>
                  </to>
                </anchor>
              </controlPr>
            </control>
          </mc:Choice>
        </mc:AlternateContent>
        <mc:AlternateContent xmlns:mc="http://schemas.openxmlformats.org/markup-compatibility/2006">
          <mc:Choice Requires="x14">
            <control shapeId="10249" r:id="rId13" name="Check Box 9">
              <controlPr defaultSize="0" autoFill="0" autoLine="0" autoPict="0">
                <anchor moveWithCells="1">
                  <from>
                    <xdr:col>4</xdr:col>
                    <xdr:colOff>50800</xdr:colOff>
                    <xdr:row>17</xdr:row>
                    <xdr:rowOff>31750</xdr:rowOff>
                  </from>
                  <to>
                    <xdr:col>5</xdr:col>
                    <xdr:colOff>12700</xdr:colOff>
                    <xdr:row>17</xdr:row>
                    <xdr:rowOff>355600</xdr:rowOff>
                  </to>
                </anchor>
              </controlPr>
            </control>
          </mc:Choice>
        </mc:AlternateContent>
        <mc:AlternateContent xmlns:mc="http://schemas.openxmlformats.org/markup-compatibility/2006">
          <mc:Choice Requires="x14">
            <control shapeId="10250" r:id="rId14" name="Check Box 10">
              <controlPr defaultSize="0" autoFill="0" autoLine="0" autoPict="0">
                <anchor moveWithCells="1">
                  <from>
                    <xdr:col>4</xdr:col>
                    <xdr:colOff>50800</xdr:colOff>
                    <xdr:row>18</xdr:row>
                    <xdr:rowOff>31750</xdr:rowOff>
                  </from>
                  <to>
                    <xdr:col>5</xdr:col>
                    <xdr:colOff>12700</xdr:colOff>
                    <xdr:row>18</xdr:row>
                    <xdr:rowOff>355600</xdr:rowOff>
                  </to>
                </anchor>
              </controlPr>
            </control>
          </mc:Choice>
        </mc:AlternateContent>
        <mc:AlternateContent xmlns:mc="http://schemas.openxmlformats.org/markup-compatibility/2006">
          <mc:Choice Requires="x14">
            <control shapeId="10251" r:id="rId15" name="Check Box 11">
              <controlPr defaultSize="0" autoFill="0" autoLine="0" autoPict="0">
                <anchor moveWithCells="1">
                  <from>
                    <xdr:col>4</xdr:col>
                    <xdr:colOff>50800</xdr:colOff>
                    <xdr:row>19</xdr:row>
                    <xdr:rowOff>31750</xdr:rowOff>
                  </from>
                  <to>
                    <xdr:col>5</xdr:col>
                    <xdr:colOff>12700</xdr:colOff>
                    <xdr:row>19</xdr:row>
                    <xdr:rowOff>355600</xdr:rowOff>
                  </to>
                </anchor>
              </controlPr>
            </control>
          </mc:Choice>
        </mc:AlternateContent>
        <mc:AlternateContent xmlns:mc="http://schemas.openxmlformats.org/markup-compatibility/2006">
          <mc:Choice Requires="x14">
            <control shapeId="10252" r:id="rId16" name="Check Box 12">
              <controlPr defaultSize="0" autoFill="0" autoLine="0" autoPict="0">
                <anchor moveWithCells="1">
                  <from>
                    <xdr:col>4</xdr:col>
                    <xdr:colOff>50800</xdr:colOff>
                    <xdr:row>20</xdr:row>
                    <xdr:rowOff>31750</xdr:rowOff>
                  </from>
                  <to>
                    <xdr:col>5</xdr:col>
                    <xdr:colOff>12700</xdr:colOff>
                    <xdr:row>21</xdr:row>
                    <xdr:rowOff>38100</xdr:rowOff>
                  </to>
                </anchor>
              </controlPr>
            </control>
          </mc:Choice>
        </mc:AlternateContent>
        <mc:AlternateContent xmlns:mc="http://schemas.openxmlformats.org/markup-compatibility/2006">
          <mc:Choice Requires="x14">
            <control shapeId="10253" r:id="rId17" name="Check Box 13">
              <controlPr defaultSize="0" autoFill="0" autoLine="0" autoPict="0">
                <anchor moveWithCells="1">
                  <from>
                    <xdr:col>4</xdr:col>
                    <xdr:colOff>50800</xdr:colOff>
                    <xdr:row>21</xdr:row>
                    <xdr:rowOff>31750</xdr:rowOff>
                  </from>
                  <to>
                    <xdr:col>5</xdr:col>
                    <xdr:colOff>12700</xdr:colOff>
                    <xdr:row>22</xdr:row>
                    <xdr:rowOff>50800</xdr:rowOff>
                  </to>
                </anchor>
              </controlPr>
            </control>
          </mc:Choice>
        </mc:AlternateContent>
        <mc:AlternateContent xmlns:mc="http://schemas.openxmlformats.org/markup-compatibility/2006">
          <mc:Choice Requires="x14">
            <control shapeId="10254" r:id="rId18" name="Check Box 14">
              <controlPr defaultSize="0" autoFill="0" autoLine="0" autoPict="0">
                <anchor moveWithCells="1">
                  <from>
                    <xdr:col>4</xdr:col>
                    <xdr:colOff>50800</xdr:colOff>
                    <xdr:row>22</xdr:row>
                    <xdr:rowOff>31750</xdr:rowOff>
                  </from>
                  <to>
                    <xdr:col>5</xdr:col>
                    <xdr:colOff>12700</xdr:colOff>
                    <xdr:row>23</xdr:row>
                    <xdr:rowOff>31750</xdr:rowOff>
                  </to>
                </anchor>
              </controlPr>
            </control>
          </mc:Choice>
        </mc:AlternateContent>
        <mc:AlternateContent xmlns:mc="http://schemas.openxmlformats.org/markup-compatibility/2006">
          <mc:Choice Requires="x14">
            <control shapeId="10255" r:id="rId19" name="Check Box 15">
              <controlPr defaultSize="0" autoFill="0" autoLine="0" autoPict="0">
                <anchor moveWithCells="1">
                  <from>
                    <xdr:col>5</xdr:col>
                    <xdr:colOff>50800</xdr:colOff>
                    <xdr:row>17</xdr:row>
                    <xdr:rowOff>31750</xdr:rowOff>
                  </from>
                  <to>
                    <xdr:col>6</xdr:col>
                    <xdr:colOff>12700</xdr:colOff>
                    <xdr:row>17</xdr:row>
                    <xdr:rowOff>355600</xdr:rowOff>
                  </to>
                </anchor>
              </controlPr>
            </control>
          </mc:Choice>
        </mc:AlternateContent>
        <mc:AlternateContent xmlns:mc="http://schemas.openxmlformats.org/markup-compatibility/2006">
          <mc:Choice Requires="x14">
            <control shapeId="10256" r:id="rId20" name="Check Box 16">
              <controlPr defaultSize="0" autoFill="0" autoLine="0" autoPict="0">
                <anchor moveWithCells="1">
                  <from>
                    <xdr:col>5</xdr:col>
                    <xdr:colOff>50800</xdr:colOff>
                    <xdr:row>18</xdr:row>
                    <xdr:rowOff>31750</xdr:rowOff>
                  </from>
                  <to>
                    <xdr:col>6</xdr:col>
                    <xdr:colOff>12700</xdr:colOff>
                    <xdr:row>18</xdr:row>
                    <xdr:rowOff>355600</xdr:rowOff>
                  </to>
                </anchor>
              </controlPr>
            </control>
          </mc:Choice>
        </mc:AlternateContent>
        <mc:AlternateContent xmlns:mc="http://schemas.openxmlformats.org/markup-compatibility/2006">
          <mc:Choice Requires="x14">
            <control shapeId="10257" r:id="rId21" name="Check Box 17">
              <controlPr defaultSize="0" autoFill="0" autoLine="0" autoPict="0">
                <anchor moveWithCells="1">
                  <from>
                    <xdr:col>5</xdr:col>
                    <xdr:colOff>50800</xdr:colOff>
                    <xdr:row>19</xdr:row>
                    <xdr:rowOff>31750</xdr:rowOff>
                  </from>
                  <to>
                    <xdr:col>6</xdr:col>
                    <xdr:colOff>12700</xdr:colOff>
                    <xdr:row>19</xdr:row>
                    <xdr:rowOff>355600</xdr:rowOff>
                  </to>
                </anchor>
              </controlPr>
            </control>
          </mc:Choice>
        </mc:AlternateContent>
        <mc:AlternateContent xmlns:mc="http://schemas.openxmlformats.org/markup-compatibility/2006">
          <mc:Choice Requires="x14">
            <control shapeId="10258" r:id="rId22" name="Check Box 18">
              <controlPr defaultSize="0" autoFill="0" autoLine="0" autoPict="0">
                <anchor moveWithCells="1">
                  <from>
                    <xdr:col>5</xdr:col>
                    <xdr:colOff>50800</xdr:colOff>
                    <xdr:row>20</xdr:row>
                    <xdr:rowOff>31750</xdr:rowOff>
                  </from>
                  <to>
                    <xdr:col>6</xdr:col>
                    <xdr:colOff>12700</xdr:colOff>
                    <xdr:row>21</xdr:row>
                    <xdr:rowOff>38100</xdr:rowOff>
                  </to>
                </anchor>
              </controlPr>
            </control>
          </mc:Choice>
        </mc:AlternateContent>
        <mc:AlternateContent xmlns:mc="http://schemas.openxmlformats.org/markup-compatibility/2006">
          <mc:Choice Requires="x14">
            <control shapeId="10259" r:id="rId23" name="Check Box 19">
              <controlPr defaultSize="0" autoFill="0" autoLine="0" autoPict="0">
                <anchor moveWithCells="1">
                  <from>
                    <xdr:col>4</xdr:col>
                    <xdr:colOff>50800</xdr:colOff>
                    <xdr:row>21</xdr:row>
                    <xdr:rowOff>31750</xdr:rowOff>
                  </from>
                  <to>
                    <xdr:col>5</xdr:col>
                    <xdr:colOff>12700</xdr:colOff>
                    <xdr:row>22</xdr:row>
                    <xdr:rowOff>50800</xdr:rowOff>
                  </to>
                </anchor>
              </controlPr>
            </control>
          </mc:Choice>
        </mc:AlternateContent>
        <mc:AlternateContent xmlns:mc="http://schemas.openxmlformats.org/markup-compatibility/2006">
          <mc:Choice Requires="x14">
            <control shapeId="10260" r:id="rId24" name="Check Box 20">
              <controlPr defaultSize="0" autoFill="0" autoLine="0" autoPict="0">
                <anchor moveWithCells="1">
                  <from>
                    <xdr:col>5</xdr:col>
                    <xdr:colOff>50800</xdr:colOff>
                    <xdr:row>21</xdr:row>
                    <xdr:rowOff>31750</xdr:rowOff>
                  </from>
                  <to>
                    <xdr:col>6</xdr:col>
                    <xdr:colOff>12700</xdr:colOff>
                    <xdr:row>22</xdr:row>
                    <xdr:rowOff>50800</xdr:rowOff>
                  </to>
                </anchor>
              </controlPr>
            </control>
          </mc:Choice>
        </mc:AlternateContent>
        <mc:AlternateContent xmlns:mc="http://schemas.openxmlformats.org/markup-compatibility/2006">
          <mc:Choice Requires="x14">
            <control shapeId="10261" r:id="rId25" name="Check Box 21">
              <controlPr defaultSize="0" autoFill="0" autoLine="0" autoPict="0">
                <anchor moveWithCells="1">
                  <from>
                    <xdr:col>5</xdr:col>
                    <xdr:colOff>50800</xdr:colOff>
                    <xdr:row>22</xdr:row>
                    <xdr:rowOff>31750</xdr:rowOff>
                  </from>
                  <to>
                    <xdr:col>6</xdr:col>
                    <xdr:colOff>12700</xdr:colOff>
                    <xdr:row>23</xdr:row>
                    <xdr:rowOff>31750</xdr:rowOff>
                  </to>
                </anchor>
              </controlPr>
            </control>
          </mc:Choice>
        </mc:AlternateContent>
        <mc:AlternateContent xmlns:mc="http://schemas.openxmlformats.org/markup-compatibility/2006">
          <mc:Choice Requires="x14">
            <control shapeId="10263" r:id="rId26" name="Check Box 23">
              <controlPr defaultSize="0" autoFill="0" autoLine="0" autoPict="0">
                <anchor moveWithCells="1">
                  <from>
                    <xdr:col>3</xdr:col>
                    <xdr:colOff>69850</xdr:colOff>
                    <xdr:row>32</xdr:row>
                    <xdr:rowOff>12700</xdr:rowOff>
                  </from>
                  <to>
                    <xdr:col>4</xdr:col>
                    <xdr:colOff>31750</xdr:colOff>
                    <xdr:row>32</xdr:row>
                    <xdr:rowOff>336550</xdr:rowOff>
                  </to>
                </anchor>
              </controlPr>
            </control>
          </mc:Choice>
        </mc:AlternateContent>
        <mc:AlternateContent xmlns:mc="http://schemas.openxmlformats.org/markup-compatibility/2006">
          <mc:Choice Requires="x14">
            <control shapeId="10264" r:id="rId27" name="Check Box 24">
              <controlPr defaultSize="0" autoFill="0" autoLine="0" autoPict="0">
                <anchor moveWithCells="1">
                  <from>
                    <xdr:col>3</xdr:col>
                    <xdr:colOff>57150</xdr:colOff>
                    <xdr:row>33</xdr:row>
                    <xdr:rowOff>31750</xdr:rowOff>
                  </from>
                  <to>
                    <xdr:col>4</xdr:col>
                    <xdr:colOff>19050</xdr:colOff>
                    <xdr:row>33</xdr:row>
                    <xdr:rowOff>355600</xdr:rowOff>
                  </to>
                </anchor>
              </controlPr>
            </control>
          </mc:Choice>
        </mc:AlternateContent>
        <mc:AlternateContent xmlns:mc="http://schemas.openxmlformats.org/markup-compatibility/2006">
          <mc:Choice Requires="x14">
            <control shapeId="10265" r:id="rId28" name="Check Box 25">
              <controlPr defaultSize="0" autoFill="0" autoLine="0" autoPict="0">
                <anchor moveWithCells="1">
                  <from>
                    <xdr:col>3</xdr:col>
                    <xdr:colOff>69850</xdr:colOff>
                    <xdr:row>34</xdr:row>
                    <xdr:rowOff>31750</xdr:rowOff>
                  </from>
                  <to>
                    <xdr:col>4</xdr:col>
                    <xdr:colOff>31750</xdr:colOff>
                    <xdr:row>34</xdr:row>
                    <xdr:rowOff>355600</xdr:rowOff>
                  </to>
                </anchor>
              </controlPr>
            </control>
          </mc:Choice>
        </mc:AlternateContent>
        <mc:AlternateContent xmlns:mc="http://schemas.openxmlformats.org/markup-compatibility/2006">
          <mc:Choice Requires="x14">
            <control shapeId="10266" r:id="rId29" name="Check Box 26">
              <controlPr defaultSize="0" autoFill="0" autoLine="0" autoPict="0">
                <anchor moveWithCells="1">
                  <from>
                    <xdr:col>3</xdr:col>
                    <xdr:colOff>57150</xdr:colOff>
                    <xdr:row>35</xdr:row>
                    <xdr:rowOff>31750</xdr:rowOff>
                  </from>
                  <to>
                    <xdr:col>4</xdr:col>
                    <xdr:colOff>19050</xdr:colOff>
                    <xdr:row>35</xdr:row>
                    <xdr:rowOff>355600</xdr:rowOff>
                  </to>
                </anchor>
              </controlPr>
            </control>
          </mc:Choice>
        </mc:AlternateContent>
        <mc:AlternateContent xmlns:mc="http://schemas.openxmlformats.org/markup-compatibility/2006">
          <mc:Choice Requires="x14">
            <control shapeId="10267" r:id="rId30" name="Check Box 27">
              <controlPr defaultSize="0" autoFill="0" autoLine="0" autoPict="0">
                <anchor moveWithCells="1">
                  <from>
                    <xdr:col>3</xdr:col>
                    <xdr:colOff>50800</xdr:colOff>
                    <xdr:row>36</xdr:row>
                    <xdr:rowOff>31750</xdr:rowOff>
                  </from>
                  <to>
                    <xdr:col>4</xdr:col>
                    <xdr:colOff>12700</xdr:colOff>
                    <xdr:row>37</xdr:row>
                    <xdr:rowOff>171450</xdr:rowOff>
                  </to>
                </anchor>
              </controlPr>
            </control>
          </mc:Choice>
        </mc:AlternateContent>
        <mc:AlternateContent xmlns:mc="http://schemas.openxmlformats.org/markup-compatibility/2006">
          <mc:Choice Requires="x14">
            <control shapeId="10268" r:id="rId31" name="Check Box 28">
              <controlPr defaultSize="0" autoFill="0" autoLine="0" autoPict="0">
                <anchor moveWithCells="1">
                  <from>
                    <xdr:col>3</xdr:col>
                    <xdr:colOff>50800</xdr:colOff>
                    <xdr:row>37</xdr:row>
                    <xdr:rowOff>31750</xdr:rowOff>
                  </from>
                  <to>
                    <xdr:col>4</xdr:col>
                    <xdr:colOff>12700</xdr:colOff>
                    <xdr:row>38</xdr:row>
                    <xdr:rowOff>171450</xdr:rowOff>
                  </to>
                </anchor>
              </controlPr>
            </control>
          </mc:Choice>
        </mc:AlternateContent>
        <mc:AlternateContent xmlns:mc="http://schemas.openxmlformats.org/markup-compatibility/2006">
          <mc:Choice Requires="x14">
            <control shapeId="10269" r:id="rId32" name="Check Box 29">
              <controlPr defaultSize="0" autoFill="0" autoLine="0" autoPict="0">
                <anchor moveWithCells="1">
                  <from>
                    <xdr:col>3</xdr:col>
                    <xdr:colOff>50800</xdr:colOff>
                    <xdr:row>38</xdr:row>
                    <xdr:rowOff>31750</xdr:rowOff>
                  </from>
                  <to>
                    <xdr:col>4</xdr:col>
                    <xdr:colOff>12700</xdr:colOff>
                    <xdr:row>39</xdr:row>
                    <xdr:rowOff>184150</xdr:rowOff>
                  </to>
                </anchor>
              </controlPr>
            </control>
          </mc:Choice>
        </mc:AlternateContent>
        <mc:AlternateContent xmlns:mc="http://schemas.openxmlformats.org/markup-compatibility/2006">
          <mc:Choice Requires="x14">
            <control shapeId="10270" r:id="rId33" name="Check Box 30">
              <controlPr defaultSize="0" autoFill="0" autoLine="0" autoPict="0">
                <anchor moveWithCells="1">
                  <from>
                    <xdr:col>4</xdr:col>
                    <xdr:colOff>50800</xdr:colOff>
                    <xdr:row>32</xdr:row>
                    <xdr:rowOff>31750</xdr:rowOff>
                  </from>
                  <to>
                    <xdr:col>5</xdr:col>
                    <xdr:colOff>12700</xdr:colOff>
                    <xdr:row>32</xdr:row>
                    <xdr:rowOff>355600</xdr:rowOff>
                  </to>
                </anchor>
              </controlPr>
            </control>
          </mc:Choice>
        </mc:AlternateContent>
        <mc:AlternateContent xmlns:mc="http://schemas.openxmlformats.org/markup-compatibility/2006">
          <mc:Choice Requires="x14">
            <control shapeId="10271" r:id="rId34" name="Check Box 31">
              <controlPr defaultSize="0" autoFill="0" autoLine="0" autoPict="0">
                <anchor moveWithCells="1">
                  <from>
                    <xdr:col>4</xdr:col>
                    <xdr:colOff>50800</xdr:colOff>
                    <xdr:row>33</xdr:row>
                    <xdr:rowOff>31750</xdr:rowOff>
                  </from>
                  <to>
                    <xdr:col>5</xdr:col>
                    <xdr:colOff>12700</xdr:colOff>
                    <xdr:row>33</xdr:row>
                    <xdr:rowOff>355600</xdr:rowOff>
                  </to>
                </anchor>
              </controlPr>
            </control>
          </mc:Choice>
        </mc:AlternateContent>
        <mc:AlternateContent xmlns:mc="http://schemas.openxmlformats.org/markup-compatibility/2006">
          <mc:Choice Requires="x14">
            <control shapeId="10272" r:id="rId35" name="Check Box 32">
              <controlPr defaultSize="0" autoFill="0" autoLine="0" autoPict="0">
                <anchor moveWithCells="1">
                  <from>
                    <xdr:col>4</xdr:col>
                    <xdr:colOff>50800</xdr:colOff>
                    <xdr:row>34</xdr:row>
                    <xdr:rowOff>31750</xdr:rowOff>
                  </from>
                  <to>
                    <xdr:col>5</xdr:col>
                    <xdr:colOff>12700</xdr:colOff>
                    <xdr:row>34</xdr:row>
                    <xdr:rowOff>355600</xdr:rowOff>
                  </to>
                </anchor>
              </controlPr>
            </control>
          </mc:Choice>
        </mc:AlternateContent>
        <mc:AlternateContent xmlns:mc="http://schemas.openxmlformats.org/markup-compatibility/2006">
          <mc:Choice Requires="x14">
            <control shapeId="10273" r:id="rId36" name="Check Box 33">
              <controlPr defaultSize="0" autoFill="0" autoLine="0" autoPict="0">
                <anchor moveWithCells="1">
                  <from>
                    <xdr:col>4</xdr:col>
                    <xdr:colOff>50800</xdr:colOff>
                    <xdr:row>35</xdr:row>
                    <xdr:rowOff>31750</xdr:rowOff>
                  </from>
                  <to>
                    <xdr:col>5</xdr:col>
                    <xdr:colOff>12700</xdr:colOff>
                    <xdr:row>35</xdr:row>
                    <xdr:rowOff>355600</xdr:rowOff>
                  </to>
                </anchor>
              </controlPr>
            </control>
          </mc:Choice>
        </mc:AlternateContent>
        <mc:AlternateContent xmlns:mc="http://schemas.openxmlformats.org/markup-compatibility/2006">
          <mc:Choice Requires="x14">
            <control shapeId="10274" r:id="rId37" name="Check Box 34">
              <controlPr defaultSize="0" autoFill="0" autoLine="0" autoPict="0">
                <anchor moveWithCells="1">
                  <from>
                    <xdr:col>4</xdr:col>
                    <xdr:colOff>50800</xdr:colOff>
                    <xdr:row>36</xdr:row>
                    <xdr:rowOff>31750</xdr:rowOff>
                  </from>
                  <to>
                    <xdr:col>5</xdr:col>
                    <xdr:colOff>12700</xdr:colOff>
                    <xdr:row>37</xdr:row>
                    <xdr:rowOff>171450</xdr:rowOff>
                  </to>
                </anchor>
              </controlPr>
            </control>
          </mc:Choice>
        </mc:AlternateContent>
        <mc:AlternateContent xmlns:mc="http://schemas.openxmlformats.org/markup-compatibility/2006">
          <mc:Choice Requires="x14">
            <control shapeId="10275" r:id="rId38" name="Check Box 35">
              <controlPr defaultSize="0" autoFill="0" autoLine="0" autoPict="0">
                <anchor moveWithCells="1">
                  <from>
                    <xdr:col>4</xdr:col>
                    <xdr:colOff>50800</xdr:colOff>
                    <xdr:row>37</xdr:row>
                    <xdr:rowOff>31750</xdr:rowOff>
                  </from>
                  <to>
                    <xdr:col>5</xdr:col>
                    <xdr:colOff>12700</xdr:colOff>
                    <xdr:row>38</xdr:row>
                    <xdr:rowOff>171450</xdr:rowOff>
                  </to>
                </anchor>
              </controlPr>
            </control>
          </mc:Choice>
        </mc:AlternateContent>
        <mc:AlternateContent xmlns:mc="http://schemas.openxmlformats.org/markup-compatibility/2006">
          <mc:Choice Requires="x14">
            <control shapeId="10276" r:id="rId39" name="Check Box 36">
              <controlPr defaultSize="0" autoFill="0" autoLine="0" autoPict="0">
                <anchor moveWithCells="1">
                  <from>
                    <xdr:col>4</xdr:col>
                    <xdr:colOff>50800</xdr:colOff>
                    <xdr:row>38</xdr:row>
                    <xdr:rowOff>31750</xdr:rowOff>
                  </from>
                  <to>
                    <xdr:col>5</xdr:col>
                    <xdr:colOff>12700</xdr:colOff>
                    <xdr:row>39</xdr:row>
                    <xdr:rowOff>184150</xdr:rowOff>
                  </to>
                </anchor>
              </controlPr>
            </control>
          </mc:Choice>
        </mc:AlternateContent>
        <mc:AlternateContent xmlns:mc="http://schemas.openxmlformats.org/markup-compatibility/2006">
          <mc:Choice Requires="x14">
            <control shapeId="10277" r:id="rId40" name="Check Box 37">
              <controlPr defaultSize="0" autoFill="0" autoLine="0" autoPict="0">
                <anchor moveWithCells="1">
                  <from>
                    <xdr:col>5</xdr:col>
                    <xdr:colOff>50800</xdr:colOff>
                    <xdr:row>33</xdr:row>
                    <xdr:rowOff>31750</xdr:rowOff>
                  </from>
                  <to>
                    <xdr:col>6</xdr:col>
                    <xdr:colOff>12700</xdr:colOff>
                    <xdr:row>33</xdr:row>
                    <xdr:rowOff>355600</xdr:rowOff>
                  </to>
                </anchor>
              </controlPr>
            </control>
          </mc:Choice>
        </mc:AlternateContent>
        <mc:AlternateContent xmlns:mc="http://schemas.openxmlformats.org/markup-compatibility/2006">
          <mc:Choice Requires="x14">
            <control shapeId="10278" r:id="rId41" name="Check Box 38">
              <controlPr defaultSize="0" autoFill="0" autoLine="0" autoPict="0">
                <anchor moveWithCells="1">
                  <from>
                    <xdr:col>5</xdr:col>
                    <xdr:colOff>50800</xdr:colOff>
                    <xdr:row>34</xdr:row>
                    <xdr:rowOff>31750</xdr:rowOff>
                  </from>
                  <to>
                    <xdr:col>6</xdr:col>
                    <xdr:colOff>12700</xdr:colOff>
                    <xdr:row>34</xdr:row>
                    <xdr:rowOff>355600</xdr:rowOff>
                  </to>
                </anchor>
              </controlPr>
            </control>
          </mc:Choice>
        </mc:AlternateContent>
        <mc:AlternateContent xmlns:mc="http://schemas.openxmlformats.org/markup-compatibility/2006">
          <mc:Choice Requires="x14">
            <control shapeId="10279" r:id="rId42" name="Check Box 39">
              <controlPr defaultSize="0" autoFill="0" autoLine="0" autoPict="0">
                <anchor moveWithCells="1">
                  <from>
                    <xdr:col>5</xdr:col>
                    <xdr:colOff>50800</xdr:colOff>
                    <xdr:row>35</xdr:row>
                    <xdr:rowOff>31750</xdr:rowOff>
                  </from>
                  <to>
                    <xdr:col>6</xdr:col>
                    <xdr:colOff>12700</xdr:colOff>
                    <xdr:row>35</xdr:row>
                    <xdr:rowOff>355600</xdr:rowOff>
                  </to>
                </anchor>
              </controlPr>
            </control>
          </mc:Choice>
        </mc:AlternateContent>
        <mc:AlternateContent xmlns:mc="http://schemas.openxmlformats.org/markup-compatibility/2006">
          <mc:Choice Requires="x14">
            <control shapeId="10280" r:id="rId43" name="Check Box 40">
              <controlPr defaultSize="0" autoFill="0" autoLine="0" autoPict="0">
                <anchor moveWithCells="1">
                  <from>
                    <xdr:col>5</xdr:col>
                    <xdr:colOff>50800</xdr:colOff>
                    <xdr:row>36</xdr:row>
                    <xdr:rowOff>31750</xdr:rowOff>
                  </from>
                  <to>
                    <xdr:col>6</xdr:col>
                    <xdr:colOff>12700</xdr:colOff>
                    <xdr:row>37</xdr:row>
                    <xdr:rowOff>171450</xdr:rowOff>
                  </to>
                </anchor>
              </controlPr>
            </control>
          </mc:Choice>
        </mc:AlternateContent>
        <mc:AlternateContent xmlns:mc="http://schemas.openxmlformats.org/markup-compatibility/2006">
          <mc:Choice Requires="x14">
            <control shapeId="10281" r:id="rId44" name="Check Box 41">
              <controlPr defaultSize="0" autoFill="0" autoLine="0" autoPict="0">
                <anchor moveWithCells="1">
                  <from>
                    <xdr:col>4</xdr:col>
                    <xdr:colOff>50800</xdr:colOff>
                    <xdr:row>37</xdr:row>
                    <xdr:rowOff>31750</xdr:rowOff>
                  </from>
                  <to>
                    <xdr:col>5</xdr:col>
                    <xdr:colOff>12700</xdr:colOff>
                    <xdr:row>38</xdr:row>
                    <xdr:rowOff>171450</xdr:rowOff>
                  </to>
                </anchor>
              </controlPr>
            </control>
          </mc:Choice>
        </mc:AlternateContent>
        <mc:AlternateContent xmlns:mc="http://schemas.openxmlformats.org/markup-compatibility/2006">
          <mc:Choice Requires="x14">
            <control shapeId="10282" r:id="rId45" name="Check Box 42">
              <controlPr defaultSize="0" autoFill="0" autoLine="0" autoPict="0">
                <anchor moveWithCells="1">
                  <from>
                    <xdr:col>5</xdr:col>
                    <xdr:colOff>50800</xdr:colOff>
                    <xdr:row>37</xdr:row>
                    <xdr:rowOff>31750</xdr:rowOff>
                  </from>
                  <to>
                    <xdr:col>6</xdr:col>
                    <xdr:colOff>12700</xdr:colOff>
                    <xdr:row>38</xdr:row>
                    <xdr:rowOff>171450</xdr:rowOff>
                  </to>
                </anchor>
              </controlPr>
            </control>
          </mc:Choice>
        </mc:AlternateContent>
        <mc:AlternateContent xmlns:mc="http://schemas.openxmlformats.org/markup-compatibility/2006">
          <mc:Choice Requires="x14">
            <control shapeId="10283" r:id="rId46" name="Check Box 43">
              <controlPr defaultSize="0" autoFill="0" autoLine="0" autoPict="0">
                <anchor moveWithCells="1">
                  <from>
                    <xdr:col>5</xdr:col>
                    <xdr:colOff>50800</xdr:colOff>
                    <xdr:row>38</xdr:row>
                    <xdr:rowOff>31750</xdr:rowOff>
                  </from>
                  <to>
                    <xdr:col>6</xdr:col>
                    <xdr:colOff>12700</xdr:colOff>
                    <xdr:row>39</xdr:row>
                    <xdr:rowOff>184150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530BC-173B-44D8-B32D-CB9A9E3E9D54}">
  <sheetPr>
    <tabColor rgb="FF7030A0"/>
  </sheetPr>
  <dimension ref="B1:Z252"/>
  <sheetViews>
    <sheetView showGridLines="0" zoomScaleNormal="100" workbookViewId="0">
      <pane xSplit="3" ySplit="1" topLeftCell="D2" activePane="bottomRight" state="frozen"/>
      <selection pane="topRight" activeCell="D1" sqref="D1"/>
      <selection pane="bottomLeft" activeCell="A2" sqref="A2"/>
      <selection pane="bottomRight" activeCell="B1" sqref="B1"/>
    </sheetView>
  </sheetViews>
  <sheetFormatPr baseColWidth="10" defaultRowHeight="14.5" x14ac:dyDescent="0.35"/>
  <cols>
    <col min="1" max="1" width="2.453125" customWidth="1"/>
    <col min="2" max="2" width="4.54296875" customWidth="1"/>
    <col min="3" max="3" width="47.26953125" customWidth="1"/>
    <col min="4" max="4" width="16.453125" customWidth="1"/>
    <col min="5" max="5" width="10.54296875" customWidth="1"/>
    <col min="6" max="8" width="10.81640625" customWidth="1"/>
    <col min="9" max="10" width="11.453125" customWidth="1"/>
    <col min="11" max="11" width="10.81640625" customWidth="1"/>
    <col min="12" max="17" width="11.453125" customWidth="1"/>
    <col min="18" max="21" width="10.81640625" customWidth="1"/>
    <col min="22" max="22" width="10.54296875" customWidth="1"/>
    <col min="23" max="23" width="10.453125" customWidth="1"/>
    <col min="24" max="24" width="10" customWidth="1"/>
    <col min="25" max="25" width="58.26953125" customWidth="1"/>
    <col min="26" max="26" width="117.453125" customWidth="1"/>
  </cols>
  <sheetData>
    <row r="1" spans="2:10" x14ac:dyDescent="0.35">
      <c r="B1" s="4" t="s">
        <v>553</v>
      </c>
      <c r="D1" s="3" t="s">
        <v>590</v>
      </c>
      <c r="J1" s="28"/>
    </row>
    <row r="3" spans="2:10" ht="18.5" x14ac:dyDescent="0.45">
      <c r="B3" s="26" t="s">
        <v>50</v>
      </c>
    </row>
    <row r="4" spans="2:10" ht="15.5" x14ac:dyDescent="0.35">
      <c r="B4" s="6"/>
    </row>
    <row r="22" spans="2:2" x14ac:dyDescent="0.35">
      <c r="B22" s="8"/>
    </row>
    <row r="25" spans="2:2" x14ac:dyDescent="0.35">
      <c r="B25" s="8"/>
    </row>
    <row r="27" spans="2:2" ht="15.5" x14ac:dyDescent="0.35">
      <c r="B27" s="6"/>
    </row>
    <row r="28" spans="2:2" ht="15.5" hidden="1" x14ac:dyDescent="0.35">
      <c r="B28" s="6"/>
    </row>
    <row r="29" spans="2:2" ht="15.5" hidden="1" x14ac:dyDescent="0.35">
      <c r="B29" s="6"/>
    </row>
    <row r="30" spans="2:2" ht="15.5" hidden="1" x14ac:dyDescent="0.35">
      <c r="B30" s="6"/>
    </row>
    <row r="31" spans="2:2" ht="15.5" hidden="1" x14ac:dyDescent="0.35">
      <c r="B31" s="6"/>
    </row>
    <row r="32" spans="2:2" ht="15.5" hidden="1" x14ac:dyDescent="0.35">
      <c r="B32" s="6"/>
    </row>
    <row r="33" spans="2:2" ht="15.5" hidden="1" x14ac:dyDescent="0.35">
      <c r="B33" s="6"/>
    </row>
    <row r="34" spans="2:2" ht="15.5" hidden="1" x14ac:dyDescent="0.35">
      <c r="B34" s="6"/>
    </row>
    <row r="35" spans="2:2" ht="15.5" hidden="1" x14ac:dyDescent="0.35">
      <c r="B35" s="6"/>
    </row>
    <row r="36" spans="2:2" ht="15.5" hidden="1" x14ac:dyDescent="0.35">
      <c r="B36" s="6"/>
    </row>
    <row r="37" spans="2:2" ht="15.5" hidden="1" x14ac:dyDescent="0.35">
      <c r="B37" s="6"/>
    </row>
    <row r="38" spans="2:2" ht="15.5" hidden="1" x14ac:dyDescent="0.35">
      <c r="B38" s="6"/>
    </row>
    <row r="39" spans="2:2" ht="15.5" hidden="1" x14ac:dyDescent="0.35">
      <c r="B39" s="6"/>
    </row>
    <row r="40" spans="2:2" ht="15.5" hidden="1" x14ac:dyDescent="0.35">
      <c r="B40" s="6"/>
    </row>
    <row r="41" spans="2:2" ht="15.5" hidden="1" x14ac:dyDescent="0.35">
      <c r="B41" s="6"/>
    </row>
    <row r="42" spans="2:2" ht="15.5" hidden="1" x14ac:dyDescent="0.35">
      <c r="B42" s="6"/>
    </row>
    <row r="43" spans="2:2" ht="15.5" hidden="1" x14ac:dyDescent="0.35">
      <c r="B43" s="6"/>
    </row>
    <row r="44" spans="2:2" ht="15.5" hidden="1" x14ac:dyDescent="0.35">
      <c r="B44" s="6"/>
    </row>
    <row r="45" spans="2:2" ht="15.5" hidden="1" x14ac:dyDescent="0.35">
      <c r="B45" s="6"/>
    </row>
    <row r="46" spans="2:2" ht="15.5" hidden="1" x14ac:dyDescent="0.35">
      <c r="B46" s="6"/>
    </row>
    <row r="47" spans="2:2" ht="15.5" hidden="1" x14ac:dyDescent="0.35">
      <c r="B47" s="6"/>
    </row>
    <row r="48" spans="2:2" ht="15.5" hidden="1" x14ac:dyDescent="0.35">
      <c r="B48" s="6"/>
    </row>
    <row r="49" spans="2:26" ht="15.5" hidden="1" x14ac:dyDescent="0.35">
      <c r="B49" s="6"/>
    </row>
    <row r="50" spans="2:26" ht="15.5" hidden="1" x14ac:dyDescent="0.35">
      <c r="B50" s="6"/>
    </row>
    <row r="51" spans="2:26" ht="15.5" hidden="1" x14ac:dyDescent="0.35">
      <c r="B51" s="6"/>
    </row>
    <row r="52" spans="2:26" ht="15.5" hidden="1" x14ac:dyDescent="0.35">
      <c r="B52" s="6"/>
    </row>
    <row r="53" spans="2:26" ht="15.5" hidden="1" x14ac:dyDescent="0.35">
      <c r="B53" s="6"/>
    </row>
    <row r="54" spans="2:26" ht="15.5" hidden="1" x14ac:dyDescent="0.35">
      <c r="B54" s="6"/>
    </row>
    <row r="55" spans="2:26" ht="15.5" hidden="1" x14ac:dyDescent="0.35">
      <c r="B55" s="6"/>
    </row>
    <row r="56" spans="2:26" hidden="1" x14ac:dyDescent="0.35">
      <c r="E56" s="39"/>
    </row>
    <row r="57" spans="2:26" hidden="1" x14ac:dyDescent="0.35">
      <c r="B57" s="39"/>
      <c r="E57" s="14"/>
    </row>
    <row r="58" spans="2:26" hidden="1" x14ac:dyDescent="0.35">
      <c r="E58" s="14"/>
    </row>
    <row r="59" spans="2:26" ht="15.5" hidden="1" x14ac:dyDescent="0.35">
      <c r="B59" s="6"/>
      <c r="E59" s="14"/>
    </row>
    <row r="60" spans="2:26" x14ac:dyDescent="0.35">
      <c r="B60" s="12" t="s">
        <v>42</v>
      </c>
      <c r="C60" s="12" t="s">
        <v>28</v>
      </c>
      <c r="D60" s="12" t="s">
        <v>2</v>
      </c>
      <c r="E60" s="9" t="s">
        <v>3</v>
      </c>
      <c r="F60" s="9" t="s">
        <v>4</v>
      </c>
      <c r="G60" s="9" t="s">
        <v>5</v>
      </c>
      <c r="H60" s="9" t="s">
        <v>6</v>
      </c>
      <c r="I60" s="9" t="s">
        <v>7</v>
      </c>
      <c r="J60" s="9" t="s">
        <v>8</v>
      </c>
      <c r="K60" s="9" t="s">
        <v>9</v>
      </c>
      <c r="L60" s="10" t="s">
        <v>10</v>
      </c>
      <c r="M60" s="10" t="s">
        <v>11</v>
      </c>
      <c r="N60" s="10" t="s">
        <v>12</v>
      </c>
      <c r="O60" s="10" t="s">
        <v>13</v>
      </c>
      <c r="P60" s="10" t="s">
        <v>14</v>
      </c>
      <c r="Q60" s="10" t="s">
        <v>232</v>
      </c>
      <c r="R60" s="10" t="s">
        <v>233</v>
      </c>
      <c r="S60" s="10" t="s">
        <v>234</v>
      </c>
      <c r="T60" s="10" t="s">
        <v>15</v>
      </c>
      <c r="U60" s="10" t="s">
        <v>16</v>
      </c>
      <c r="V60" s="10" t="s">
        <v>17</v>
      </c>
      <c r="W60" s="10" t="s">
        <v>18</v>
      </c>
      <c r="X60" s="10" t="s">
        <v>19</v>
      </c>
      <c r="Y60" s="10" t="s">
        <v>40</v>
      </c>
      <c r="Z60" s="10" t="s">
        <v>147</v>
      </c>
    </row>
    <row r="61" spans="2:26" ht="16.5" x14ac:dyDescent="0.45">
      <c r="B61" s="20">
        <v>1</v>
      </c>
      <c r="C61" s="20" t="str">
        <f>Refsz_Verbräuche[[#This Row],[Datenpunkt]]</f>
        <v>Elektrischer Strom (Bundesmix)</v>
      </c>
      <c r="D61" t="s">
        <v>116</v>
      </c>
      <c r="E61" s="23">
        <v>542.06700000000001</v>
      </c>
      <c r="F61" s="23">
        <v>548.70799999999997</v>
      </c>
      <c r="G61" s="23">
        <v>504.108</v>
      </c>
      <c r="H61" s="22">
        <v>488.113</v>
      </c>
      <c r="I61" s="23">
        <v>410.81</v>
      </c>
      <c r="J61" s="23">
        <v>504.88299999999998</v>
      </c>
      <c r="K61" s="23">
        <v>395.89699999999999</v>
      </c>
      <c r="L61" s="23">
        <v>395.89699999999999</v>
      </c>
      <c r="M61" s="23">
        <v>395.89699999999999</v>
      </c>
      <c r="N61" s="23">
        <v>395.89699999999999</v>
      </c>
      <c r="O61" s="23">
        <v>395.89699999999999</v>
      </c>
      <c r="P61" s="23">
        <v>395.89699999999999</v>
      </c>
      <c r="Q61" s="23">
        <v>395.89699999999999</v>
      </c>
      <c r="R61" s="23">
        <v>395.89699999999999</v>
      </c>
      <c r="S61" s="23">
        <v>395.89699999999999</v>
      </c>
      <c r="T61" s="23">
        <v>370.61399999999998</v>
      </c>
      <c r="U61" s="23">
        <v>370.61399999999998</v>
      </c>
      <c r="V61" s="23">
        <v>370.61399999999998</v>
      </c>
      <c r="W61" s="23">
        <v>370.61399999999998</v>
      </c>
      <c r="X61" s="23">
        <v>370.61399999999998</v>
      </c>
      <c r="Y61" s="11" t="s">
        <v>30</v>
      </c>
      <c r="Z61" s="11" t="s">
        <v>244</v>
      </c>
    </row>
    <row r="62" spans="2:26" ht="16.5" x14ac:dyDescent="0.45">
      <c r="B62" s="20">
        <v>2</v>
      </c>
      <c r="C62" s="20" t="str">
        <f>Refsz_Verbräuche[[#This Row],[Datenpunkt]]</f>
        <v>Elektrischer Strom (Bundesmix KS80)</v>
      </c>
      <c r="D62" t="s">
        <v>29</v>
      </c>
      <c r="E62" s="22">
        <v>542.06700000000001</v>
      </c>
      <c r="F62" s="22">
        <v>548.70799999999997</v>
      </c>
      <c r="G62" s="22">
        <v>504.108</v>
      </c>
      <c r="H62" s="22">
        <v>488.113</v>
      </c>
      <c r="I62" s="22">
        <v>410.81</v>
      </c>
      <c r="J62" s="22">
        <v>504.88299999999998</v>
      </c>
      <c r="K62" s="22">
        <v>395.89699999999999</v>
      </c>
      <c r="L62" s="22">
        <v>395.89699999999999</v>
      </c>
      <c r="M62" s="22">
        <v>395.89699999999999</v>
      </c>
      <c r="N62" s="22">
        <v>395.89699999999999</v>
      </c>
      <c r="O62" s="22">
        <v>395.89699999999999</v>
      </c>
      <c r="P62" s="22">
        <v>395.89699999999999</v>
      </c>
      <c r="Q62" s="22">
        <v>395.89699999999999</v>
      </c>
      <c r="R62" s="22">
        <v>395.89699999999999</v>
      </c>
      <c r="S62" s="22">
        <v>395.89699999999999</v>
      </c>
      <c r="T62" s="22">
        <v>308.08999999999997</v>
      </c>
      <c r="U62" s="22">
        <v>308.08999999999997</v>
      </c>
      <c r="V62" s="22">
        <v>308.08999999999997</v>
      </c>
      <c r="W62" s="22">
        <v>308.08999999999997</v>
      </c>
      <c r="X62" s="22">
        <v>308.08999999999997</v>
      </c>
      <c r="Y62" s="11" t="s">
        <v>32</v>
      </c>
      <c r="Z62" s="11" t="s">
        <v>243</v>
      </c>
    </row>
    <row r="63" spans="2:26" ht="16.5" x14ac:dyDescent="0.45">
      <c r="B63" s="20">
        <v>3</v>
      </c>
      <c r="C63" s="20" t="str">
        <f>Refsz_Verbräuche[[#This Row],[Datenpunkt]]</f>
        <v>Elektrischer Strom (individueller Strommix Einrichtung 1)</v>
      </c>
      <c r="D63" t="s">
        <v>116</v>
      </c>
      <c r="E63" s="22">
        <f>EF_Tarif1[[#Totals],[2015]]</f>
        <v>0</v>
      </c>
      <c r="F63" s="22">
        <f>EF_Tarif1[[#Totals],[2016]]</f>
        <v>0</v>
      </c>
      <c r="G63" s="22">
        <f>EF_Tarif1[[#Totals],[2017]]</f>
        <v>0</v>
      </c>
      <c r="H63" s="22">
        <f>EF_Tarif1[[#Totals],[2018]]</f>
        <v>0</v>
      </c>
      <c r="I63" s="22">
        <f>EF_Tarif1[[#Totals],[2019]]</f>
        <v>0</v>
      </c>
      <c r="J63" s="22">
        <f>EF_Tarif1[[#Totals],[2020]]</f>
        <v>0</v>
      </c>
      <c r="K63" s="22">
        <f>EF_Tarif1[[#Totals],[2021]]</f>
        <v>0</v>
      </c>
      <c r="L63" s="22">
        <f>EF_Tarif1[[#Totals],[2022]]</f>
        <v>0</v>
      </c>
      <c r="M63" s="22">
        <f>EF_Tarif1[[#Totals],[2023]]</f>
        <v>0</v>
      </c>
      <c r="N63" s="22">
        <f>EF_Tarif1[[#Totals],[2024]]</f>
        <v>0</v>
      </c>
      <c r="O63" s="22">
        <f>EF_Tarif1[[#Totals],[2025]]</f>
        <v>0</v>
      </c>
      <c r="P63" s="22">
        <f>EF_Tarif1[[#Totals],[2026]]</f>
        <v>0</v>
      </c>
      <c r="Q63" s="22">
        <f>EF_Tarif1[[#Totals],[2027]]</f>
        <v>0</v>
      </c>
      <c r="R63" s="22">
        <f>EF_Tarif1[[#Totals],[2028]]</f>
        <v>0</v>
      </c>
      <c r="S63" s="22">
        <f>EF_Tarif1[[#Totals],[2029]]</f>
        <v>0</v>
      </c>
      <c r="T63" s="22">
        <f>EF_Tarif1[[#Totals],[2030]]</f>
        <v>0</v>
      </c>
      <c r="U63" s="22">
        <f>EF_Tarif1[[#Totals],[2035]]</f>
        <v>0</v>
      </c>
      <c r="V63" s="22">
        <f>EF_Tarif1[[#Totals],[2040]]</f>
        <v>0</v>
      </c>
      <c r="W63" s="22">
        <f>EF_Tarif1[[#Totals],[2045]]</f>
        <v>0</v>
      </c>
      <c r="X63" s="22">
        <f>EF_Tarif1[[#Totals],[2050]]</f>
        <v>0</v>
      </c>
      <c r="Y63" s="11" t="s">
        <v>144</v>
      </c>
      <c r="Z63" s="11"/>
    </row>
    <row r="64" spans="2:26" ht="16.5" x14ac:dyDescent="0.45">
      <c r="B64" s="20">
        <v>4</v>
      </c>
      <c r="C64" s="20" t="str">
        <f>Refsz_Verbräuche[[#This Row],[Datenpunkt]]</f>
        <v>Elektrischer Strom (individueller Strommix Einrichtung 2)</v>
      </c>
      <c r="D64" t="s">
        <v>29</v>
      </c>
      <c r="E64" s="22">
        <f>EF_Tarif2[[#Totals],[2015]]</f>
        <v>0</v>
      </c>
      <c r="F64" s="22">
        <f>EF_Tarif2[[#Totals],[2016]]</f>
        <v>0</v>
      </c>
      <c r="G64" s="22">
        <f>EF_Tarif2[[#Totals],[2017]]</f>
        <v>0</v>
      </c>
      <c r="H64" s="22">
        <f>EF_Tarif2[[#Totals],[2018]]</f>
        <v>0</v>
      </c>
      <c r="I64" s="22">
        <f>EF_Tarif2[[#Totals],[2019]]</f>
        <v>0</v>
      </c>
      <c r="J64" s="22">
        <f>EF_Tarif2[[#Totals],[2020]]</f>
        <v>0</v>
      </c>
      <c r="K64" s="22">
        <f>EF_Tarif2[[#Totals],[2021]]</f>
        <v>0</v>
      </c>
      <c r="L64" s="22">
        <f>EF_Tarif2[[#Totals],[2022]]</f>
        <v>0</v>
      </c>
      <c r="M64" s="22">
        <f>EF_Tarif2[[#Totals],[2023]]</f>
        <v>0</v>
      </c>
      <c r="N64" s="22">
        <f>EF_Tarif2[[#Totals],[2024]]</f>
        <v>0</v>
      </c>
      <c r="O64" s="22">
        <f>EF_Tarif2[[#Totals],[2025]]</f>
        <v>0</v>
      </c>
      <c r="P64" s="22">
        <f>EF_Tarif2[[#Totals],[2026]]</f>
        <v>0</v>
      </c>
      <c r="Q64" s="22">
        <f>EF_Tarif2[[#Totals],[2027]]</f>
        <v>0</v>
      </c>
      <c r="R64" s="22">
        <f>EF_Tarif2[[#Totals],[2028]]</f>
        <v>0</v>
      </c>
      <c r="S64" s="22">
        <f>EF_Tarif2[[#Totals],[2029]]</f>
        <v>0</v>
      </c>
      <c r="T64" s="22">
        <f>EF_Tarif2[[#Totals],[2030]]</f>
        <v>0</v>
      </c>
      <c r="U64" s="22">
        <f>EF_Tarif2[[#Totals],[2035]]</f>
        <v>0</v>
      </c>
      <c r="V64" s="22">
        <f>EF_Tarif2[[#Totals],[2040]]</f>
        <v>0</v>
      </c>
      <c r="W64" s="22">
        <f>EF_Tarif2[[#Totals],[2045]]</f>
        <v>0</v>
      </c>
      <c r="X64" s="22">
        <f>EF_Tarif2[[#Totals],[2050]]</f>
        <v>0</v>
      </c>
      <c r="Y64" s="11" t="s">
        <v>144</v>
      </c>
      <c r="Z64" s="11"/>
    </row>
    <row r="65" spans="2:26" ht="16.5" x14ac:dyDescent="0.45">
      <c r="B65" s="20">
        <v>5</v>
      </c>
      <c r="C65" s="20" t="str">
        <f>Refsz_Verbräuche[[#This Row],[Datenpunkt]]</f>
        <v>Elektrischer Strom (individueller Strommix Einrichtung 3)</v>
      </c>
      <c r="D65" t="s">
        <v>29</v>
      </c>
      <c r="E65" s="22">
        <f>EF_Tarif3[[#Totals],[2015]]</f>
        <v>0</v>
      </c>
      <c r="F65" s="22">
        <f>EF_Tarif3[[#Totals],[2016]]</f>
        <v>0</v>
      </c>
      <c r="G65" s="22">
        <f>EF_Tarif3[[#Totals],[2017]]</f>
        <v>0</v>
      </c>
      <c r="H65" s="22">
        <f>EF_Tarif3[[#Totals],[2018]]</f>
        <v>0</v>
      </c>
      <c r="I65" s="22">
        <f>EF_Tarif3[[#Totals],[2019]]</f>
        <v>0</v>
      </c>
      <c r="J65" s="22">
        <f>EF_Tarif3[[#Totals],[2020]]</f>
        <v>0</v>
      </c>
      <c r="K65" s="22">
        <f>EF_Tarif3[[#Totals],[2021]]</f>
        <v>0</v>
      </c>
      <c r="L65" s="22">
        <f>EF_Tarif3[[#Totals],[2022]]</f>
        <v>0</v>
      </c>
      <c r="M65" s="22">
        <f>EF_Tarif3[[#Totals],[2023]]</f>
        <v>0</v>
      </c>
      <c r="N65" s="22">
        <f>EF_Tarif3[[#Totals],[2024]]</f>
        <v>0</v>
      </c>
      <c r="O65" s="22">
        <f>EF_Tarif3[[#Totals],[2025]]</f>
        <v>0</v>
      </c>
      <c r="P65" s="22">
        <f>EF_Tarif3[[#Totals],[2026]]</f>
        <v>0</v>
      </c>
      <c r="Q65" s="22">
        <f>EF_Tarif3[[#Totals],[2027]]</f>
        <v>0</v>
      </c>
      <c r="R65" s="22">
        <f>EF_Tarif3[[#Totals],[2028]]</f>
        <v>0</v>
      </c>
      <c r="S65" s="22">
        <f>EF_Tarif3[[#Totals],[2029]]</f>
        <v>0</v>
      </c>
      <c r="T65" s="22">
        <f>EF_Tarif3[[#Totals],[2030]]</f>
        <v>0</v>
      </c>
      <c r="U65" s="22">
        <f>EF_Tarif3[[#Totals],[2035]]</f>
        <v>0</v>
      </c>
      <c r="V65" s="22">
        <f>EF_Tarif3[[#Totals],[2040]]</f>
        <v>0</v>
      </c>
      <c r="W65" s="22">
        <f>EF_Tarif3[[#Totals],[2045]]</f>
        <v>0</v>
      </c>
      <c r="X65" s="22">
        <f>EF_Tarif3[[#Totals],[2050]]</f>
        <v>0</v>
      </c>
      <c r="Y65" s="11" t="s">
        <v>144</v>
      </c>
      <c r="Z65" s="11"/>
    </row>
    <row r="66" spans="2:26" ht="16.5" x14ac:dyDescent="0.45">
      <c r="B66" s="20">
        <v>6</v>
      </c>
      <c r="C66" s="20" t="str">
        <f>Refsz_Verbräuche[[#This Row],[Datenpunkt]]</f>
        <v>Elektrischer Strom (individueller Strommix Einrichtung 4)</v>
      </c>
      <c r="D66" t="s">
        <v>29</v>
      </c>
      <c r="E66" s="22">
        <f>EF_Tarif4[[#Totals],[2015]]</f>
        <v>0</v>
      </c>
      <c r="F66" s="22">
        <f>EF_Tarif4[[#Totals],[2016]]</f>
        <v>0</v>
      </c>
      <c r="G66" s="22">
        <f>EF_Tarif4[[#Totals],[2017]]</f>
        <v>0</v>
      </c>
      <c r="H66" s="22">
        <f>EF_Tarif4[[#Totals],[2018]]</f>
        <v>0</v>
      </c>
      <c r="I66" s="22">
        <f>EF_Tarif4[[#Totals],[2019]]</f>
        <v>0</v>
      </c>
      <c r="J66" s="22">
        <f>EF_Tarif4[[#Totals],[2020]]</f>
        <v>0</v>
      </c>
      <c r="K66" s="22">
        <f>EF_Tarif4[[#Totals],[2021]]</f>
        <v>0</v>
      </c>
      <c r="L66" s="22">
        <f>EF_Tarif4[[#Totals],[2022]]</f>
        <v>0</v>
      </c>
      <c r="M66" s="22">
        <f>EF_Tarif4[[#Totals],[2023]]</f>
        <v>0</v>
      </c>
      <c r="N66" s="22">
        <f>EF_Tarif4[[#Totals],[2024]]</f>
        <v>0</v>
      </c>
      <c r="O66" s="22">
        <f>EF_Tarif4[[#Totals],[2025]]</f>
        <v>0</v>
      </c>
      <c r="P66" s="22">
        <f>EF_Tarif4[[#Totals],[2026]]</f>
        <v>0</v>
      </c>
      <c r="Q66" s="22">
        <f>EF_Tarif4[[#Totals],[2027]]</f>
        <v>0</v>
      </c>
      <c r="R66" s="22">
        <f>EF_Tarif4[[#Totals],[2028]]</f>
        <v>0</v>
      </c>
      <c r="S66" s="22">
        <f>EF_Tarif4[[#Totals],[2029]]</f>
        <v>0</v>
      </c>
      <c r="T66" s="22">
        <f>EF_Tarif4[[#Totals],[2030]]</f>
        <v>0</v>
      </c>
      <c r="U66" s="22">
        <f>EF_Tarif4[[#Totals],[2035]]</f>
        <v>0</v>
      </c>
      <c r="V66" s="22">
        <f>EF_Tarif4[[#Totals],[2040]]</f>
        <v>0</v>
      </c>
      <c r="W66" s="22">
        <f>EF_Tarif4[[#Totals],[2045]]</f>
        <v>0</v>
      </c>
      <c r="X66" s="22">
        <f>EF_Tarif4[[#Totals],[2050]]</f>
        <v>0</v>
      </c>
      <c r="Y66" s="11" t="s">
        <v>144</v>
      </c>
      <c r="Z66" s="11"/>
    </row>
    <row r="67" spans="2:26" ht="16.5" x14ac:dyDescent="0.45">
      <c r="B67" s="20">
        <v>7</v>
      </c>
      <c r="C67" s="20" t="str">
        <f>Refsz_Verbräuche[[#This Row],[Datenpunkt]]</f>
        <v>Elektrischer Strom (individueller Strommix Einrichtung 5)</v>
      </c>
      <c r="D67" t="s">
        <v>29</v>
      </c>
      <c r="E67" s="22">
        <f>EF_Tarif5[[#Totals],[2015]]</f>
        <v>0</v>
      </c>
      <c r="F67" s="22">
        <f>EF_Tarif5[[#Totals],[2016]]</f>
        <v>0</v>
      </c>
      <c r="G67" s="22">
        <f>EF_Tarif5[[#Totals],[2017]]</f>
        <v>0</v>
      </c>
      <c r="H67" s="22">
        <f>EF_Tarif5[[#Totals],[2018]]</f>
        <v>0</v>
      </c>
      <c r="I67" s="22">
        <f>EF_Tarif5[[#Totals],[2019]]</f>
        <v>0</v>
      </c>
      <c r="J67" s="22">
        <f>EF_Tarif5[[#Totals],[2020]]</f>
        <v>0</v>
      </c>
      <c r="K67" s="22">
        <f>EF_Tarif5[[#Totals],[2021]]</f>
        <v>0</v>
      </c>
      <c r="L67" s="22">
        <f>EF_Tarif5[[#Totals],[2022]]</f>
        <v>0</v>
      </c>
      <c r="M67" s="22">
        <f>EF_Tarif5[[#Totals],[2023]]</f>
        <v>0</v>
      </c>
      <c r="N67" s="22">
        <f>EF_Tarif5[[#Totals],[2024]]</f>
        <v>0</v>
      </c>
      <c r="O67" s="22">
        <f>EF_Tarif5[[#Totals],[2025]]</f>
        <v>0</v>
      </c>
      <c r="P67" s="22">
        <f>EF_Tarif5[[#Totals],[2026]]</f>
        <v>0</v>
      </c>
      <c r="Q67" s="22">
        <f>EF_Tarif5[[#Totals],[2027]]</f>
        <v>0</v>
      </c>
      <c r="R67" s="22">
        <f>EF_Tarif5[[#Totals],[2028]]</f>
        <v>0</v>
      </c>
      <c r="S67" s="22">
        <f>EF_Tarif5[[#Totals],[2029]]</f>
        <v>0</v>
      </c>
      <c r="T67" s="22">
        <f>EF_Tarif5[[#Totals],[2030]]</f>
        <v>0</v>
      </c>
      <c r="U67" s="22">
        <f>EF_Tarif5[[#Totals],[2035]]</f>
        <v>0</v>
      </c>
      <c r="V67" s="22">
        <f>EF_Tarif5[[#Totals],[2040]]</f>
        <v>0</v>
      </c>
      <c r="W67" s="22">
        <f>EF_Tarif5[[#Totals],[2045]]</f>
        <v>0</v>
      </c>
      <c r="X67" s="22">
        <f>EF_Tarif5[[#Totals],[2050]]</f>
        <v>0</v>
      </c>
      <c r="Y67" s="11" t="s">
        <v>144</v>
      </c>
      <c r="Z67" s="11"/>
    </row>
    <row r="68" spans="2:26" ht="16.5" x14ac:dyDescent="0.45">
      <c r="B68" s="20">
        <v>8</v>
      </c>
      <c r="C68" s="20" t="str">
        <f>Refsz_Verbräuche[[#This Row],[Datenpunkt]]</f>
        <v>Elektrischer Strom (individueller Strommix Einrichtung 6)</v>
      </c>
      <c r="D68" t="s">
        <v>29</v>
      </c>
      <c r="E68" s="22">
        <f>EF_Tarif6[[#Totals],[2015]]</f>
        <v>0</v>
      </c>
      <c r="F68" s="22">
        <f>EF_Tarif6[[#Totals],[2016]]</f>
        <v>0</v>
      </c>
      <c r="G68" s="22">
        <f>EF_Tarif6[[#Totals],[2017]]</f>
        <v>0</v>
      </c>
      <c r="H68" s="22">
        <f>EF_Tarif6[[#Totals],[2018]]</f>
        <v>0</v>
      </c>
      <c r="I68" s="22">
        <f>EF_Tarif6[[#Totals],[2019]]</f>
        <v>0</v>
      </c>
      <c r="J68" s="22">
        <f>EF_Tarif6[[#Totals],[2020]]</f>
        <v>0</v>
      </c>
      <c r="K68" s="22">
        <f>EF_Tarif6[[#Totals],[2021]]</f>
        <v>0</v>
      </c>
      <c r="L68" s="22">
        <f>EF_Tarif6[[#Totals],[2022]]</f>
        <v>0</v>
      </c>
      <c r="M68" s="22">
        <f>EF_Tarif6[[#Totals],[2023]]</f>
        <v>0</v>
      </c>
      <c r="N68" s="22">
        <f>EF_Tarif6[[#Totals],[2024]]</f>
        <v>0</v>
      </c>
      <c r="O68" s="22">
        <f>EF_Tarif6[[#Totals],[2025]]</f>
        <v>0</v>
      </c>
      <c r="P68" s="22">
        <f>EF_Tarif6[[#Totals],[2026]]</f>
        <v>0</v>
      </c>
      <c r="Q68" s="22">
        <f>EF_Tarif6[[#Totals],[2027]]</f>
        <v>0</v>
      </c>
      <c r="R68" s="22">
        <f>EF_Tarif6[[#Totals],[2028]]</f>
        <v>0</v>
      </c>
      <c r="S68" s="22">
        <f>EF_Tarif6[[#Totals],[2029]]</f>
        <v>0</v>
      </c>
      <c r="T68" s="22">
        <f>EF_Tarif6[[#Totals],[2030]]</f>
        <v>0</v>
      </c>
      <c r="U68" s="22">
        <f>EF_Tarif6[[#Totals],[2035]]</f>
        <v>0</v>
      </c>
      <c r="V68" s="22">
        <f>EF_Tarif6[[#Totals],[2040]]</f>
        <v>0</v>
      </c>
      <c r="W68" s="22">
        <f>EF_Tarif6[[#Totals],[2045]]</f>
        <v>0</v>
      </c>
      <c r="X68" s="22">
        <f>EF_Tarif6[[#Totals],[2050]]</f>
        <v>0</v>
      </c>
      <c r="Y68" s="11" t="s">
        <v>144</v>
      </c>
      <c r="Z68" s="11"/>
    </row>
    <row r="69" spans="2:26" x14ac:dyDescent="0.35">
      <c r="B69" s="20">
        <v>9</v>
      </c>
      <c r="C69" s="20" t="str">
        <f>Refsz_Verbräuche[[#This Row],[Datenpunkt]]</f>
        <v>Elektrischer Strom (BHKW)</v>
      </c>
      <c r="D69" t="s">
        <v>268</v>
      </c>
      <c r="E69" s="22"/>
      <c r="F69" s="22"/>
      <c r="G69" s="22"/>
      <c r="H69" s="22"/>
      <c r="I69" s="22"/>
      <c r="J69" s="22"/>
      <c r="K69" s="22"/>
      <c r="L69" s="22"/>
      <c r="M69" s="22"/>
      <c r="N69" s="22"/>
      <c r="O69" s="22"/>
      <c r="P69" s="22"/>
      <c r="Q69" s="22"/>
      <c r="R69" s="22"/>
      <c r="S69" s="22"/>
      <c r="T69" s="22"/>
      <c r="U69" s="22"/>
      <c r="V69" s="22"/>
      <c r="W69" s="22"/>
      <c r="X69" s="22"/>
      <c r="Y69" s="11" t="s">
        <v>245</v>
      </c>
      <c r="Z69" s="11"/>
    </row>
    <row r="70" spans="2:26" ht="16.5" x14ac:dyDescent="0.45">
      <c r="B70" s="20">
        <v>10</v>
      </c>
      <c r="C70" s="20" t="str">
        <f>Refsz_Verbräuche[[#This Row],[Datenpunkt]]</f>
        <v>Elektrischer Strom (Ökostrom)</v>
      </c>
      <c r="D70" t="s">
        <v>116</v>
      </c>
      <c r="E70" s="22">
        <v>50</v>
      </c>
      <c r="F70" s="22">
        <v>50</v>
      </c>
      <c r="G70" s="22">
        <v>50</v>
      </c>
      <c r="H70" s="22">
        <v>50</v>
      </c>
      <c r="I70" s="22">
        <v>50</v>
      </c>
      <c r="J70" s="22">
        <v>50</v>
      </c>
      <c r="K70" s="22">
        <v>50</v>
      </c>
      <c r="L70" s="22">
        <v>50</v>
      </c>
      <c r="M70" s="22">
        <v>50</v>
      </c>
      <c r="N70" s="22">
        <v>50</v>
      </c>
      <c r="O70" s="22">
        <v>50</v>
      </c>
      <c r="P70" s="22">
        <v>50</v>
      </c>
      <c r="Q70" s="22">
        <v>50</v>
      </c>
      <c r="R70" s="22">
        <v>50</v>
      </c>
      <c r="S70" s="22">
        <v>50</v>
      </c>
      <c r="T70" s="22">
        <v>50</v>
      </c>
      <c r="U70" s="22">
        <v>50</v>
      </c>
      <c r="V70" s="22">
        <v>50</v>
      </c>
      <c r="W70" s="22">
        <v>50</v>
      </c>
      <c r="X70" s="22">
        <v>50</v>
      </c>
      <c r="Y70" s="11" t="s">
        <v>579</v>
      </c>
      <c r="Z70" s="11"/>
    </row>
    <row r="71" spans="2:26" ht="16.5" x14ac:dyDescent="0.45">
      <c r="B71" s="20">
        <v>11</v>
      </c>
      <c r="C71" s="20" t="str">
        <f>Refsz_Verbräuche[[#This Row],[Datenpunkt]]</f>
        <v>Elektrischer Strom (PV-Eigennutzung)</v>
      </c>
      <c r="D71" t="s">
        <v>116</v>
      </c>
      <c r="E71" s="22">
        <v>40.351999999999997</v>
      </c>
      <c r="F71" s="22">
        <v>40.351999999999997</v>
      </c>
      <c r="G71" s="22">
        <v>40.351999999999997</v>
      </c>
      <c r="H71" s="22">
        <v>40.351999999999997</v>
      </c>
      <c r="I71" s="22">
        <v>40.351999999999997</v>
      </c>
      <c r="J71" s="22">
        <v>26.196999999999999</v>
      </c>
      <c r="K71" s="22">
        <v>26.196999999999999</v>
      </c>
      <c r="L71" s="22">
        <v>26.196999999999999</v>
      </c>
      <c r="M71" s="22">
        <v>26.196999999999999</v>
      </c>
      <c r="N71" s="22">
        <v>26.196999999999999</v>
      </c>
      <c r="O71" s="22">
        <v>26.196999999999999</v>
      </c>
      <c r="P71" s="22">
        <v>26.196999999999999</v>
      </c>
      <c r="Q71" s="22">
        <v>26.196999999999999</v>
      </c>
      <c r="R71" s="22">
        <v>26.196999999999999</v>
      </c>
      <c r="S71" s="22">
        <v>26.196999999999999</v>
      </c>
      <c r="T71" s="22">
        <v>21.277999999999999</v>
      </c>
      <c r="U71" s="22">
        <v>21.277999999999999</v>
      </c>
      <c r="V71" s="22">
        <v>21.277999999999999</v>
      </c>
      <c r="W71" s="22">
        <v>21.277999999999999</v>
      </c>
      <c r="X71" s="22">
        <v>19.152999999999999</v>
      </c>
      <c r="Y71" s="11" t="s">
        <v>32</v>
      </c>
      <c r="Z71" s="11" t="s">
        <v>146</v>
      </c>
    </row>
    <row r="72" spans="2:26" ht="16.5" x14ac:dyDescent="0.45">
      <c r="B72" s="20">
        <v>12</v>
      </c>
      <c r="C72" s="20" t="str">
        <f>Refsz_Verbräuche[[#This Row],[Datenpunkt]]</f>
        <v>Wärme (Erdgas)</v>
      </c>
      <c r="D72" t="s">
        <v>29</v>
      </c>
      <c r="E72" s="23">
        <v>279.24299999999999</v>
      </c>
      <c r="F72" s="23">
        <v>279.24299999999999</v>
      </c>
      <c r="G72" s="23">
        <v>279.24299999999999</v>
      </c>
      <c r="H72" s="22">
        <v>279.24299999999999</v>
      </c>
      <c r="I72" s="23">
        <v>279.24299999999999</v>
      </c>
      <c r="J72" s="23">
        <v>261.16199999999998</v>
      </c>
      <c r="K72" s="23">
        <v>261.16199999999998</v>
      </c>
      <c r="L72" s="23">
        <v>261.16199999999998</v>
      </c>
      <c r="M72" s="23">
        <v>261.16199999999998</v>
      </c>
      <c r="N72" s="23">
        <v>261.16199999999998</v>
      </c>
      <c r="O72" s="23">
        <v>261.16199999999998</v>
      </c>
      <c r="P72" s="23">
        <v>261.16199999999998</v>
      </c>
      <c r="Q72" s="23">
        <v>261.16199999999998</v>
      </c>
      <c r="R72" s="23">
        <v>261.16199999999998</v>
      </c>
      <c r="S72" s="23">
        <v>261.16199999999998</v>
      </c>
      <c r="T72" s="23">
        <v>129.32900000000001</v>
      </c>
      <c r="U72" s="23">
        <v>129.32900000000001</v>
      </c>
      <c r="V72" s="23">
        <v>129.32900000000001</v>
      </c>
      <c r="W72" s="23">
        <v>129.32900000000001</v>
      </c>
      <c r="X72" s="23">
        <v>129.32900000000001</v>
      </c>
      <c r="Y72" s="11" t="s">
        <v>32</v>
      </c>
      <c r="Z72" s="11" t="s">
        <v>145</v>
      </c>
    </row>
    <row r="73" spans="2:26" x14ac:dyDescent="0.35">
      <c r="B73" s="20">
        <v>13</v>
      </c>
      <c r="C73" s="20" t="str">
        <f>Refsz_Verbräuche[[#This Row],[Datenpunkt]]</f>
        <v>Wärme (BHKW)</v>
      </c>
      <c r="D73" t="s">
        <v>268</v>
      </c>
      <c r="E73" s="22"/>
      <c r="F73" s="22"/>
      <c r="G73" s="22"/>
      <c r="H73" s="22"/>
      <c r="I73" s="22"/>
      <c r="J73" s="22"/>
      <c r="K73" s="22"/>
      <c r="L73" s="22"/>
      <c r="M73" s="22"/>
      <c r="N73" s="22"/>
      <c r="O73" s="22"/>
      <c r="P73" s="22"/>
      <c r="Q73" s="22"/>
      <c r="R73" s="22"/>
      <c r="S73" s="22"/>
      <c r="T73" s="22"/>
      <c r="U73" s="22"/>
      <c r="V73" s="22"/>
      <c r="W73" s="22"/>
      <c r="X73" s="22"/>
      <c r="Y73" s="11" t="s">
        <v>245</v>
      </c>
      <c r="Z73" s="11"/>
    </row>
    <row r="74" spans="2:26" ht="16.5" x14ac:dyDescent="0.45">
      <c r="B74" s="20">
        <v>14</v>
      </c>
      <c r="C74" s="20" t="str">
        <f>Refsz_Verbräuche[[#This Row],[Datenpunkt]]</f>
        <v>Wärme (Biogas)</v>
      </c>
      <c r="D74" t="s">
        <v>29</v>
      </c>
      <c r="E74" s="23">
        <f>27.3154*10^3/277.77777</f>
        <v>98.335442753392414</v>
      </c>
      <c r="F74" s="23">
        <f>27.3154*10^3/277.77777</f>
        <v>98.335442753392414</v>
      </c>
      <c r="G74" s="23">
        <f>27.3154*10^3/277.77777</f>
        <v>98.335442753392414</v>
      </c>
      <c r="H74" s="23">
        <f>27.3154*10^3/277.77777</f>
        <v>98.335442753392414</v>
      </c>
      <c r="I74" s="23">
        <f>27.3154*10^3/277.77777</f>
        <v>98.335442753392414</v>
      </c>
      <c r="J74" s="23">
        <f>28.0053*10^3/277.77777</f>
        <v>100.81908282293432</v>
      </c>
      <c r="K74" s="23">
        <f t="shared" ref="K74:S74" si="0">28.0053*10^3/277.77777</f>
        <v>100.81908282293432</v>
      </c>
      <c r="L74" s="23">
        <f t="shared" si="0"/>
        <v>100.81908282293432</v>
      </c>
      <c r="M74" s="23">
        <f t="shared" si="0"/>
        <v>100.81908282293432</v>
      </c>
      <c r="N74" s="23">
        <f t="shared" si="0"/>
        <v>100.81908282293432</v>
      </c>
      <c r="O74" s="23">
        <f t="shared" si="0"/>
        <v>100.81908282293432</v>
      </c>
      <c r="P74" s="23">
        <f t="shared" si="0"/>
        <v>100.81908282293432</v>
      </c>
      <c r="Q74" s="23">
        <f t="shared" si="0"/>
        <v>100.81908282293432</v>
      </c>
      <c r="R74" s="23">
        <f t="shared" si="0"/>
        <v>100.81908282293432</v>
      </c>
      <c r="S74" s="23">
        <f t="shared" si="0"/>
        <v>100.81908282293432</v>
      </c>
      <c r="T74" s="23">
        <f>25.6843*10^3/277.77777</f>
        <v>92.463482588977513</v>
      </c>
      <c r="U74" s="23">
        <f>25.6843*10^3/277.77777</f>
        <v>92.463482588977513</v>
      </c>
      <c r="V74" s="23">
        <f>25.6843*10^3/277.77777</f>
        <v>92.463482588977513</v>
      </c>
      <c r="W74" s="23">
        <f>25.6843*10^3/277.77777</f>
        <v>92.463482588977513</v>
      </c>
      <c r="X74" s="23">
        <f>25.6843*10^3/277.77777</f>
        <v>92.463482588977513</v>
      </c>
      <c r="Y74" s="11" t="s">
        <v>32</v>
      </c>
      <c r="Z74" s="11" t="s">
        <v>293</v>
      </c>
    </row>
    <row r="75" spans="2:26" ht="16.5" x14ac:dyDescent="0.45">
      <c r="B75" s="20">
        <v>15</v>
      </c>
      <c r="C75" s="20" t="str">
        <f>Refsz_Verbräuche[[#This Row],[Datenpunkt]]</f>
        <v>Wärme (individueller Emissionsfaktor)</v>
      </c>
      <c r="D75" t="s">
        <v>29</v>
      </c>
      <c r="E75" s="148"/>
      <c r="F75" s="148"/>
      <c r="G75" s="148"/>
      <c r="H75" s="148"/>
      <c r="I75" s="148"/>
      <c r="J75" s="148"/>
      <c r="K75" s="148"/>
      <c r="L75" s="148"/>
      <c r="M75" s="148"/>
      <c r="N75" s="148"/>
      <c r="O75" s="148"/>
      <c r="P75" s="148"/>
      <c r="Q75" s="148"/>
      <c r="R75" s="148"/>
      <c r="S75" s="148"/>
      <c r="T75" s="148"/>
      <c r="U75" s="148"/>
      <c r="V75" s="148"/>
      <c r="W75" s="148"/>
      <c r="X75" s="148"/>
      <c r="Y75" s="149"/>
      <c r="Z75" s="149"/>
    </row>
    <row r="76" spans="2:26" ht="16.5" x14ac:dyDescent="0.45">
      <c r="B76" s="20">
        <v>16</v>
      </c>
      <c r="C76" s="20" t="str">
        <f>Refsz_Verbräuche[[#This Row],[Datenpunkt]]</f>
        <v>Wärme (Holzhackschnitzel)</v>
      </c>
      <c r="D76" t="s">
        <v>116</v>
      </c>
      <c r="E76" s="22">
        <v>24.585000000000001</v>
      </c>
      <c r="F76" s="22">
        <v>24.585000000000001</v>
      </c>
      <c r="G76" s="22">
        <v>24.585000000000001</v>
      </c>
      <c r="H76" s="22">
        <v>24.585000000000001</v>
      </c>
      <c r="I76" s="22">
        <v>24.585000000000001</v>
      </c>
      <c r="J76" s="22">
        <v>16.485800000000001</v>
      </c>
      <c r="K76" s="22">
        <v>16.485800000000001</v>
      </c>
      <c r="L76" s="22">
        <v>16.485800000000001</v>
      </c>
      <c r="M76" s="22">
        <v>16.485800000000001</v>
      </c>
      <c r="N76" s="22">
        <v>16.485800000000001</v>
      </c>
      <c r="O76" s="22">
        <v>16.485800000000001</v>
      </c>
      <c r="P76" s="22">
        <v>16.485800000000001</v>
      </c>
      <c r="Q76" s="22">
        <v>16.485800000000001</v>
      </c>
      <c r="R76" s="22">
        <v>16.485800000000001</v>
      </c>
      <c r="S76" s="22">
        <v>16.485800000000001</v>
      </c>
      <c r="T76" s="22">
        <v>9.9179999999999993</v>
      </c>
      <c r="U76" s="22">
        <v>9.9179999999999993</v>
      </c>
      <c r="V76" s="22">
        <v>9.9179999999999993</v>
      </c>
      <c r="W76" s="22">
        <v>9.9179999999999993</v>
      </c>
      <c r="X76" s="22">
        <v>9.9179999999999993</v>
      </c>
      <c r="Y76" s="11" t="s">
        <v>32</v>
      </c>
      <c r="Z76" s="11" t="s">
        <v>246</v>
      </c>
    </row>
    <row r="77" spans="2:26" ht="16.5" x14ac:dyDescent="0.45">
      <c r="B77" s="20">
        <v>17</v>
      </c>
      <c r="C77" s="20" t="str">
        <f>Refsz_Verbräuche[[#This Row],[Datenpunkt]]</f>
        <v>Wärme (Holzpellets, 10kW/kleinere Zentralheizung)</v>
      </c>
      <c r="D77" t="s">
        <v>29</v>
      </c>
      <c r="E77" s="22">
        <f>7783.04/277.77777</f>
        <v>28.018944784530458</v>
      </c>
      <c r="F77" s="22">
        <f>7783.04/277.77777</f>
        <v>28.018944784530458</v>
      </c>
      <c r="G77" s="22">
        <f>7783.04/277.77777</f>
        <v>28.018944784530458</v>
      </c>
      <c r="H77" s="22">
        <f>7783.04/277.77777</f>
        <v>28.018944784530458</v>
      </c>
      <c r="I77" s="22">
        <f>7783.04/277.77777</f>
        <v>28.018944784530458</v>
      </c>
      <c r="J77" s="22">
        <f>5516.29/277.77777</f>
        <v>19.858644556042048</v>
      </c>
      <c r="K77" s="22">
        <f t="shared" ref="K77:S77" si="1">5516.29/277.77777</f>
        <v>19.858644556042048</v>
      </c>
      <c r="L77" s="22">
        <f t="shared" si="1"/>
        <v>19.858644556042048</v>
      </c>
      <c r="M77" s="22">
        <f t="shared" si="1"/>
        <v>19.858644556042048</v>
      </c>
      <c r="N77" s="22">
        <f t="shared" si="1"/>
        <v>19.858644556042048</v>
      </c>
      <c r="O77" s="22">
        <f t="shared" si="1"/>
        <v>19.858644556042048</v>
      </c>
      <c r="P77" s="22">
        <f t="shared" si="1"/>
        <v>19.858644556042048</v>
      </c>
      <c r="Q77" s="22">
        <f t="shared" si="1"/>
        <v>19.858644556042048</v>
      </c>
      <c r="R77" s="22">
        <f t="shared" si="1"/>
        <v>19.858644556042048</v>
      </c>
      <c r="S77" s="22">
        <f t="shared" si="1"/>
        <v>19.858644556042048</v>
      </c>
      <c r="T77" s="22">
        <f>3928.27/277.77777</f>
        <v>14.141772395969628</v>
      </c>
      <c r="U77" s="22">
        <f>3928.27/277.77777</f>
        <v>14.141772395969628</v>
      </c>
      <c r="V77" s="22">
        <f>3928.27/277.77777</f>
        <v>14.141772395969628</v>
      </c>
      <c r="W77" s="22">
        <f>3928.27/277.77777</f>
        <v>14.141772395969628</v>
      </c>
      <c r="X77" s="22">
        <f>1328.99/277.77777</f>
        <v>4.7843641339621961</v>
      </c>
      <c r="Y77" s="11" t="s">
        <v>32</v>
      </c>
      <c r="Z77" s="11" t="s">
        <v>139</v>
      </c>
    </row>
    <row r="78" spans="2:26" ht="16.5" x14ac:dyDescent="0.45">
      <c r="B78" s="20">
        <v>18</v>
      </c>
      <c r="C78" s="20" t="str">
        <f>Refsz_Verbräuche[[#This Row],[Datenpunkt]]</f>
        <v>Wärme (Holzpellets, 50kW/größere Zentralheizung)</v>
      </c>
      <c r="D78" t="s">
        <v>29</v>
      </c>
      <c r="E78" s="22">
        <f>7580.4/277.77777</f>
        <v>27.289440764104341</v>
      </c>
      <c r="F78" s="22">
        <f t="shared" ref="F78:X78" si="2">7580.4/277.77777</f>
        <v>27.289440764104341</v>
      </c>
      <c r="G78" s="22">
        <f t="shared" si="2"/>
        <v>27.289440764104341</v>
      </c>
      <c r="H78" s="22">
        <f t="shared" si="2"/>
        <v>27.289440764104341</v>
      </c>
      <c r="I78" s="22">
        <f t="shared" si="2"/>
        <v>27.289440764104341</v>
      </c>
      <c r="J78" s="22">
        <f t="shared" si="2"/>
        <v>27.289440764104341</v>
      </c>
      <c r="K78" s="22">
        <f t="shared" si="2"/>
        <v>27.289440764104341</v>
      </c>
      <c r="L78" s="22">
        <f t="shared" si="2"/>
        <v>27.289440764104341</v>
      </c>
      <c r="M78" s="22">
        <f t="shared" si="2"/>
        <v>27.289440764104341</v>
      </c>
      <c r="N78" s="22">
        <f t="shared" si="2"/>
        <v>27.289440764104341</v>
      </c>
      <c r="O78" s="22">
        <f t="shared" si="2"/>
        <v>27.289440764104341</v>
      </c>
      <c r="P78" s="22">
        <f t="shared" si="2"/>
        <v>27.289440764104341</v>
      </c>
      <c r="Q78" s="22">
        <f t="shared" si="2"/>
        <v>27.289440764104341</v>
      </c>
      <c r="R78" s="22">
        <f t="shared" si="2"/>
        <v>27.289440764104341</v>
      </c>
      <c r="S78" s="22">
        <f t="shared" si="2"/>
        <v>27.289440764104341</v>
      </c>
      <c r="T78" s="22">
        <f t="shared" si="2"/>
        <v>27.289440764104341</v>
      </c>
      <c r="U78" s="22">
        <f t="shared" si="2"/>
        <v>27.289440764104341</v>
      </c>
      <c r="V78" s="22">
        <f t="shared" si="2"/>
        <v>27.289440764104341</v>
      </c>
      <c r="W78" s="22">
        <f t="shared" si="2"/>
        <v>27.289440764104341</v>
      </c>
      <c r="X78" s="22">
        <f t="shared" si="2"/>
        <v>27.289440764104341</v>
      </c>
      <c r="Y78" s="11" t="s">
        <v>32</v>
      </c>
      <c r="Z78" s="11" t="s">
        <v>142</v>
      </c>
    </row>
    <row r="79" spans="2:26" ht="16.5" x14ac:dyDescent="0.45">
      <c r="B79" s="20">
        <v>19</v>
      </c>
      <c r="C79" s="20" t="str">
        <f>Refsz_Verbräuche[[#This Row],[Datenpunkt]]</f>
        <v>Wärme (Fernwärme Mix)</v>
      </c>
      <c r="D79" t="s">
        <v>116</v>
      </c>
      <c r="E79" s="22">
        <v>196.822</v>
      </c>
      <c r="F79" s="22">
        <v>196.822</v>
      </c>
      <c r="G79" s="22">
        <v>196.822</v>
      </c>
      <c r="H79" s="22">
        <v>196.822</v>
      </c>
      <c r="I79" s="22">
        <v>196.822</v>
      </c>
      <c r="J79" s="22">
        <v>152.04400000000001</v>
      </c>
      <c r="K79" s="22">
        <v>152.04400000000001</v>
      </c>
      <c r="L79" s="22">
        <v>152.04400000000001</v>
      </c>
      <c r="M79" s="22">
        <v>152.04400000000001</v>
      </c>
      <c r="N79" s="22">
        <v>152.04400000000001</v>
      </c>
      <c r="O79" s="22">
        <v>152.04400000000001</v>
      </c>
      <c r="P79" s="22">
        <v>152.04400000000001</v>
      </c>
      <c r="Q79" s="22">
        <v>152.04400000000001</v>
      </c>
      <c r="R79" s="22">
        <v>152.04400000000001</v>
      </c>
      <c r="S79" s="22">
        <v>152.04400000000001</v>
      </c>
      <c r="T79" s="22">
        <v>80.155000000000001</v>
      </c>
      <c r="U79" s="22">
        <v>80.155000000000001</v>
      </c>
      <c r="V79" s="22">
        <v>80.155000000000001</v>
      </c>
      <c r="W79" s="22">
        <v>80.155000000000001</v>
      </c>
      <c r="X79" s="22">
        <v>30.327999999999999</v>
      </c>
      <c r="Y79" s="11" t="s">
        <v>32</v>
      </c>
      <c r="Z79" s="11" t="s">
        <v>587</v>
      </c>
    </row>
    <row r="80" spans="2:26" ht="16.5" x14ac:dyDescent="0.45">
      <c r="B80" s="20">
        <v>20</v>
      </c>
      <c r="C80" s="20" t="str">
        <f>Refsz_Verbräuche[[#This Row],[Datenpunkt]]</f>
        <v>Wärme (Fernwärme Abfall)</v>
      </c>
      <c r="D80" t="s">
        <v>29</v>
      </c>
      <c r="E80" s="22">
        <v>130</v>
      </c>
      <c r="F80" s="22">
        <v>130</v>
      </c>
      <c r="G80" s="22">
        <v>130</v>
      </c>
      <c r="H80" s="22">
        <v>130</v>
      </c>
      <c r="I80" s="22">
        <v>130</v>
      </c>
      <c r="J80" s="22">
        <v>130</v>
      </c>
      <c r="K80" s="22">
        <v>130</v>
      </c>
      <c r="L80" s="22">
        <v>130</v>
      </c>
      <c r="M80" s="22">
        <v>130</v>
      </c>
      <c r="N80" s="22">
        <v>130</v>
      </c>
      <c r="O80" s="22">
        <v>130</v>
      </c>
      <c r="P80" s="22">
        <v>130</v>
      </c>
      <c r="Q80" s="22">
        <v>130</v>
      </c>
      <c r="R80" s="22">
        <v>130</v>
      </c>
      <c r="S80" s="22">
        <v>130</v>
      </c>
      <c r="T80" s="22">
        <v>130</v>
      </c>
      <c r="U80" s="22">
        <v>130</v>
      </c>
      <c r="V80" s="22">
        <v>130</v>
      </c>
      <c r="W80" s="22">
        <v>130</v>
      </c>
      <c r="X80" s="22">
        <v>130</v>
      </c>
      <c r="Y80" s="11" t="s">
        <v>579</v>
      </c>
      <c r="Z80" s="11" t="s">
        <v>425</v>
      </c>
    </row>
    <row r="81" spans="2:26" ht="16.5" x14ac:dyDescent="0.45">
      <c r="B81" s="20">
        <v>21</v>
      </c>
      <c r="C81" s="20" t="str">
        <f>Refsz_Verbräuche[[#This Row],[Datenpunkt]]</f>
        <v>Wärme (Heizöl)</v>
      </c>
      <c r="D81" t="s">
        <v>29</v>
      </c>
      <c r="E81" s="22">
        <f>103626/277.77777</f>
        <v>373.05361044550114</v>
      </c>
      <c r="F81" s="22">
        <f>103626/277.77777</f>
        <v>373.05361044550114</v>
      </c>
      <c r="G81" s="22">
        <f>103626/277.77777</f>
        <v>373.05361044550114</v>
      </c>
      <c r="H81" s="22">
        <f>103626/277.77777</f>
        <v>373.05361044550114</v>
      </c>
      <c r="I81" s="22">
        <f>103626/277.77777</f>
        <v>373.05361044550114</v>
      </c>
      <c r="J81" s="22">
        <f>101152/277.77777</f>
        <v>364.14721019612193</v>
      </c>
      <c r="K81" s="22">
        <f t="shared" ref="K81:S81" si="3">101152/277.77777</f>
        <v>364.14721019612193</v>
      </c>
      <c r="L81" s="22">
        <f t="shared" si="3"/>
        <v>364.14721019612193</v>
      </c>
      <c r="M81" s="22">
        <f t="shared" si="3"/>
        <v>364.14721019612193</v>
      </c>
      <c r="N81" s="22">
        <f t="shared" si="3"/>
        <v>364.14721019612193</v>
      </c>
      <c r="O81" s="22">
        <f t="shared" si="3"/>
        <v>364.14721019612193</v>
      </c>
      <c r="P81" s="22">
        <f t="shared" si="3"/>
        <v>364.14721019612193</v>
      </c>
      <c r="Q81" s="22">
        <f t="shared" si="3"/>
        <v>364.14721019612193</v>
      </c>
      <c r="R81" s="22">
        <f t="shared" si="3"/>
        <v>364.14721019612193</v>
      </c>
      <c r="S81" s="22">
        <f t="shared" si="3"/>
        <v>364.14721019612193</v>
      </c>
      <c r="T81" s="22">
        <f>99017.9/277.77777</f>
        <v>356.46444998100463</v>
      </c>
      <c r="U81" s="22">
        <f>99017.9/277.77777</f>
        <v>356.46444998100463</v>
      </c>
      <c r="V81" s="22">
        <f>99017.9/277.77777</f>
        <v>356.46444998100463</v>
      </c>
      <c r="W81" s="22">
        <f>99017.9/277.77777</f>
        <v>356.46444998100463</v>
      </c>
      <c r="X81" s="22">
        <f>91762.3/277.77777</f>
        <v>330.34428924964016</v>
      </c>
      <c r="Y81" s="11" t="s">
        <v>32</v>
      </c>
      <c r="Z81" s="11" t="s">
        <v>140</v>
      </c>
    </row>
    <row r="82" spans="2:26" ht="16.5" x14ac:dyDescent="0.45">
      <c r="B82" s="20">
        <v>22</v>
      </c>
      <c r="C82" s="31" t="str">
        <f>Refsz_Verbräuche[[#This Row],[Datenpunkt]]</f>
        <v>Wärme (Solarthermie)</v>
      </c>
      <c r="D82" t="s">
        <v>29</v>
      </c>
      <c r="E82" s="22">
        <f>6.6445*10^3/277.77777</f>
        <v>23.92020066976562</v>
      </c>
      <c r="F82" s="22">
        <f>6.6445*10^3/277.77777</f>
        <v>23.92020066976562</v>
      </c>
      <c r="G82" s="22">
        <f>6.6445*10^3/277.77777</f>
        <v>23.92020066976562</v>
      </c>
      <c r="H82" s="22">
        <f>6.6445*10^3/277.77777</f>
        <v>23.92020066976562</v>
      </c>
      <c r="I82" s="22">
        <f>6.6445*10^3/277.77777</f>
        <v>23.92020066976562</v>
      </c>
      <c r="J82" s="22">
        <f t="shared" ref="J82:S82" si="4">5.44813*10^3/277.77777</f>
        <v>19.613268549171522</v>
      </c>
      <c r="K82" s="22">
        <f t="shared" si="4"/>
        <v>19.613268549171522</v>
      </c>
      <c r="L82" s="22">
        <f t="shared" si="4"/>
        <v>19.613268549171522</v>
      </c>
      <c r="M82" s="22">
        <f t="shared" si="4"/>
        <v>19.613268549171522</v>
      </c>
      <c r="N82" s="22">
        <f t="shared" si="4"/>
        <v>19.613268549171522</v>
      </c>
      <c r="O82" s="22">
        <f t="shared" si="4"/>
        <v>19.613268549171522</v>
      </c>
      <c r="P82" s="22">
        <f t="shared" si="4"/>
        <v>19.613268549171522</v>
      </c>
      <c r="Q82" s="22">
        <f t="shared" si="4"/>
        <v>19.613268549171522</v>
      </c>
      <c r="R82" s="22">
        <f t="shared" si="4"/>
        <v>19.613268549171522</v>
      </c>
      <c r="S82" s="22">
        <f t="shared" si="4"/>
        <v>19.613268549171522</v>
      </c>
      <c r="T82" s="22">
        <f>4.51353*10^3/277.77777</f>
        <v>16.24870845496384</v>
      </c>
      <c r="U82" s="22">
        <f>4.51353*10^3/277.77777</f>
        <v>16.24870845496384</v>
      </c>
      <c r="V82" s="22">
        <f>4.51353*10^3/277.77777</f>
        <v>16.24870845496384</v>
      </c>
      <c r="W82" s="22">
        <f>4.51353*10^3/277.77777</f>
        <v>16.24870845496384</v>
      </c>
      <c r="X82" s="22">
        <f>2.32892*10^3/277.77777</f>
        <v>8.3841122347551433</v>
      </c>
      <c r="Y82" s="11" t="s">
        <v>32</v>
      </c>
      <c r="Z82" s="11" t="s">
        <v>422</v>
      </c>
    </row>
    <row r="83" spans="2:26" ht="16.5" x14ac:dyDescent="0.45">
      <c r="B83" s="20">
        <v>23</v>
      </c>
      <c r="C83" s="20" t="str">
        <f>Refsz_Verbräuche[[#This Row],[Datenpunkt]]</f>
        <v>Wärme (Sole-Wasser-Wärmepumpe; Bundesstrommix)</v>
      </c>
      <c r="D83" t="s">
        <v>116</v>
      </c>
      <c r="E83" s="22">
        <f>E61/4</f>
        <v>135.51675</v>
      </c>
      <c r="F83" s="22">
        <f t="shared" ref="F83:X83" si="5">F61/4</f>
        <v>137.17699999999999</v>
      </c>
      <c r="G83" s="22">
        <f t="shared" si="5"/>
        <v>126.027</v>
      </c>
      <c r="H83" s="22">
        <f t="shared" si="5"/>
        <v>122.02825</v>
      </c>
      <c r="I83" s="22">
        <f t="shared" si="5"/>
        <v>102.7025</v>
      </c>
      <c r="J83" s="22">
        <f t="shared" si="5"/>
        <v>126.22075</v>
      </c>
      <c r="K83" s="22">
        <f t="shared" si="5"/>
        <v>98.974249999999998</v>
      </c>
      <c r="L83" s="22">
        <f t="shared" si="5"/>
        <v>98.974249999999998</v>
      </c>
      <c r="M83" s="22">
        <f t="shared" si="5"/>
        <v>98.974249999999998</v>
      </c>
      <c r="N83" s="22">
        <f t="shared" si="5"/>
        <v>98.974249999999998</v>
      </c>
      <c r="O83" s="22">
        <f t="shared" si="5"/>
        <v>98.974249999999998</v>
      </c>
      <c r="P83" s="22">
        <f t="shared" si="5"/>
        <v>98.974249999999998</v>
      </c>
      <c r="Q83" s="22">
        <f t="shared" si="5"/>
        <v>98.974249999999998</v>
      </c>
      <c r="R83" s="22">
        <f t="shared" si="5"/>
        <v>98.974249999999998</v>
      </c>
      <c r="S83" s="22">
        <f t="shared" si="5"/>
        <v>98.974249999999998</v>
      </c>
      <c r="T83" s="22">
        <f t="shared" si="5"/>
        <v>92.653499999999994</v>
      </c>
      <c r="U83" s="22">
        <f t="shared" si="5"/>
        <v>92.653499999999994</v>
      </c>
      <c r="V83" s="22">
        <f t="shared" si="5"/>
        <v>92.653499999999994</v>
      </c>
      <c r="W83" s="22">
        <f t="shared" si="5"/>
        <v>92.653499999999994</v>
      </c>
      <c r="X83" s="22">
        <f t="shared" si="5"/>
        <v>92.653499999999994</v>
      </c>
      <c r="Y83" s="11" t="s">
        <v>413</v>
      </c>
      <c r="Z83" s="11" t="s">
        <v>428</v>
      </c>
    </row>
    <row r="84" spans="2:26" ht="16.5" x14ac:dyDescent="0.45">
      <c r="B84" s="20">
        <v>24</v>
      </c>
      <c r="C84" s="20" t="str">
        <f>Refsz_Verbräuche[[#This Row],[Datenpunkt]]</f>
        <v>Wärme (Sole-Wasser-Wärmepumpe; Ökostrom)</v>
      </c>
      <c r="D84" t="s">
        <v>29</v>
      </c>
      <c r="E84" s="22">
        <f>E70/4</f>
        <v>12.5</v>
      </c>
      <c r="F84" s="22">
        <f t="shared" ref="F84:X84" si="6">F70/4</f>
        <v>12.5</v>
      </c>
      <c r="G84" s="22">
        <f t="shared" si="6"/>
        <v>12.5</v>
      </c>
      <c r="H84" s="22">
        <f t="shared" si="6"/>
        <v>12.5</v>
      </c>
      <c r="I84" s="22">
        <f t="shared" si="6"/>
        <v>12.5</v>
      </c>
      <c r="J84" s="22">
        <f t="shared" si="6"/>
        <v>12.5</v>
      </c>
      <c r="K84" s="22">
        <f t="shared" si="6"/>
        <v>12.5</v>
      </c>
      <c r="L84" s="22">
        <f t="shared" si="6"/>
        <v>12.5</v>
      </c>
      <c r="M84" s="22">
        <f t="shared" si="6"/>
        <v>12.5</v>
      </c>
      <c r="N84" s="22">
        <f t="shared" si="6"/>
        <v>12.5</v>
      </c>
      <c r="O84" s="22">
        <f t="shared" si="6"/>
        <v>12.5</v>
      </c>
      <c r="P84" s="22">
        <f t="shared" si="6"/>
        <v>12.5</v>
      </c>
      <c r="Q84" s="22">
        <f t="shared" si="6"/>
        <v>12.5</v>
      </c>
      <c r="R84" s="22">
        <f t="shared" si="6"/>
        <v>12.5</v>
      </c>
      <c r="S84" s="22">
        <f t="shared" si="6"/>
        <v>12.5</v>
      </c>
      <c r="T84" s="22">
        <f t="shared" si="6"/>
        <v>12.5</v>
      </c>
      <c r="U84" s="22">
        <f t="shared" si="6"/>
        <v>12.5</v>
      </c>
      <c r="V84" s="22">
        <f t="shared" si="6"/>
        <v>12.5</v>
      </c>
      <c r="W84" s="22">
        <f t="shared" si="6"/>
        <v>12.5</v>
      </c>
      <c r="X84" s="22">
        <f t="shared" si="6"/>
        <v>12.5</v>
      </c>
      <c r="Y84" s="11" t="s">
        <v>427</v>
      </c>
      <c r="Z84" s="11" t="s">
        <v>143</v>
      </c>
    </row>
    <row r="85" spans="2:26" ht="16.5" x14ac:dyDescent="0.45">
      <c r="B85" s="20">
        <v>25</v>
      </c>
      <c r="C85" s="20" t="str">
        <f>Refsz_Verbräuche[[#This Row],[Datenpunkt]]</f>
        <v>Wärme (individuelle Wärmepumpe)</v>
      </c>
      <c r="D85" t="s">
        <v>29</v>
      </c>
      <c r="E85" s="22">
        <f>E61/$Z$85</f>
        <v>135.51675</v>
      </c>
      <c r="F85" s="22">
        <f t="shared" ref="F85:X85" si="7">F61/$Z$85</f>
        <v>137.17699999999999</v>
      </c>
      <c r="G85" s="22">
        <f t="shared" si="7"/>
        <v>126.027</v>
      </c>
      <c r="H85" s="22">
        <f t="shared" si="7"/>
        <v>122.02825</v>
      </c>
      <c r="I85" s="22">
        <f t="shared" si="7"/>
        <v>102.7025</v>
      </c>
      <c r="J85" s="22">
        <f t="shared" si="7"/>
        <v>126.22075</v>
      </c>
      <c r="K85" s="22">
        <f t="shared" si="7"/>
        <v>98.974249999999998</v>
      </c>
      <c r="L85" s="22">
        <f t="shared" si="7"/>
        <v>98.974249999999998</v>
      </c>
      <c r="M85" s="22">
        <f t="shared" si="7"/>
        <v>98.974249999999998</v>
      </c>
      <c r="N85" s="22">
        <f t="shared" si="7"/>
        <v>98.974249999999998</v>
      </c>
      <c r="O85" s="22">
        <f t="shared" si="7"/>
        <v>98.974249999999998</v>
      </c>
      <c r="P85" s="22">
        <f t="shared" si="7"/>
        <v>98.974249999999998</v>
      </c>
      <c r="Q85" s="22">
        <f t="shared" si="7"/>
        <v>98.974249999999998</v>
      </c>
      <c r="R85" s="22">
        <f t="shared" si="7"/>
        <v>98.974249999999998</v>
      </c>
      <c r="S85" s="22">
        <f t="shared" si="7"/>
        <v>98.974249999999998</v>
      </c>
      <c r="T85" s="22">
        <f t="shared" si="7"/>
        <v>92.653499999999994</v>
      </c>
      <c r="U85" s="22">
        <f t="shared" si="7"/>
        <v>92.653499999999994</v>
      </c>
      <c r="V85" s="22">
        <f t="shared" si="7"/>
        <v>92.653499999999994</v>
      </c>
      <c r="W85" s="22">
        <f t="shared" si="7"/>
        <v>92.653499999999994</v>
      </c>
      <c r="X85" s="22">
        <f t="shared" si="7"/>
        <v>92.653499999999994</v>
      </c>
      <c r="Y85" t="s">
        <v>415</v>
      </c>
      <c r="Z85" s="149">
        <v>4</v>
      </c>
    </row>
    <row r="86" spans="2:26" ht="16.5" x14ac:dyDescent="0.45">
      <c r="B86" s="20">
        <v>26</v>
      </c>
      <c r="C86" s="20" t="str">
        <f>Refsz_Verbräuche[[#This Row],[Datenpunkt]]</f>
        <v>Kältemittel (R22)</v>
      </c>
      <c r="D86" t="s">
        <v>161</v>
      </c>
      <c r="E86" s="23">
        <f>1886</f>
        <v>1886</v>
      </c>
      <c r="F86" s="23">
        <f>1886</f>
        <v>1886</v>
      </c>
      <c r="G86" s="23">
        <f>1886</f>
        <v>1886</v>
      </c>
      <c r="H86" s="23">
        <f>1886</f>
        <v>1886</v>
      </c>
      <c r="I86" s="23">
        <f>1886</f>
        <v>1886</v>
      </c>
      <c r="J86" s="23">
        <f>1886</f>
        <v>1886</v>
      </c>
      <c r="K86" s="23">
        <f>1886</f>
        <v>1886</v>
      </c>
      <c r="L86" s="23">
        <f>1886</f>
        <v>1886</v>
      </c>
      <c r="M86" s="23">
        <f>1886</f>
        <v>1886</v>
      </c>
      <c r="N86" s="23">
        <f>1886</f>
        <v>1886</v>
      </c>
      <c r="O86" s="23">
        <f>1886</f>
        <v>1886</v>
      </c>
      <c r="P86" s="23">
        <f>1886</f>
        <v>1886</v>
      </c>
      <c r="Q86" s="23">
        <f>1886</f>
        <v>1886</v>
      </c>
      <c r="R86" s="23">
        <f>1886</f>
        <v>1886</v>
      </c>
      <c r="S86" s="23">
        <f>1886</f>
        <v>1886</v>
      </c>
      <c r="T86" s="23">
        <f>1886</f>
        <v>1886</v>
      </c>
      <c r="U86" s="23">
        <f>1886</f>
        <v>1886</v>
      </c>
      <c r="V86" s="23">
        <f>1886</f>
        <v>1886</v>
      </c>
      <c r="W86" s="23">
        <f>1886</f>
        <v>1886</v>
      </c>
      <c r="X86" s="23">
        <f>1886</f>
        <v>1886</v>
      </c>
      <c r="Y86" t="s">
        <v>588</v>
      </c>
      <c r="Z86" s="11" t="s">
        <v>574</v>
      </c>
    </row>
    <row r="87" spans="2:26" ht="16.5" x14ac:dyDescent="0.45">
      <c r="B87" s="20">
        <v>27</v>
      </c>
      <c r="C87" s="20" t="str">
        <f>Refsz_Verbräuche[[#This Row],[Datenpunkt]]</f>
        <v>Kältemittel (R134A)</v>
      </c>
      <c r="D87" t="s">
        <v>161</v>
      </c>
      <c r="E87" s="23">
        <v>1533</v>
      </c>
      <c r="F87" s="23">
        <v>1533</v>
      </c>
      <c r="G87" s="23">
        <v>1533</v>
      </c>
      <c r="H87" s="23">
        <v>1533</v>
      </c>
      <c r="I87" s="23">
        <v>1533</v>
      </c>
      <c r="J87" s="23">
        <v>1533</v>
      </c>
      <c r="K87" s="23">
        <v>1533</v>
      </c>
      <c r="L87" s="23">
        <v>1533</v>
      </c>
      <c r="M87" s="23">
        <v>1533</v>
      </c>
      <c r="N87" s="23">
        <v>1533</v>
      </c>
      <c r="O87" s="23">
        <v>1533</v>
      </c>
      <c r="P87" s="23">
        <v>1533</v>
      </c>
      <c r="Q87" s="23">
        <v>1533</v>
      </c>
      <c r="R87" s="23">
        <v>1533</v>
      </c>
      <c r="S87" s="23">
        <v>1533</v>
      </c>
      <c r="T87" s="23">
        <v>1533</v>
      </c>
      <c r="U87" s="23">
        <v>1533</v>
      </c>
      <c r="V87" s="23">
        <v>1533</v>
      </c>
      <c r="W87" s="23">
        <v>1533</v>
      </c>
      <c r="X87" s="23">
        <v>1533</v>
      </c>
      <c r="Y87" t="s">
        <v>588</v>
      </c>
      <c r="Z87" s="11" t="s">
        <v>575</v>
      </c>
    </row>
    <row r="88" spans="2:26" ht="16.5" x14ac:dyDescent="0.45">
      <c r="B88" s="20">
        <v>28</v>
      </c>
      <c r="C88" s="20" t="str">
        <f>Refsz_Verbräuche[[#This Row],[Datenpunkt]]</f>
        <v>Kältemittel (R404A)</v>
      </c>
      <c r="D88" t="s">
        <v>161</v>
      </c>
      <c r="E88" s="23">
        <v>4025</v>
      </c>
      <c r="F88" s="23">
        <v>4025</v>
      </c>
      <c r="G88" s="23">
        <v>4025</v>
      </c>
      <c r="H88" s="23">
        <v>4025</v>
      </c>
      <c r="I88" s="23">
        <v>4025</v>
      </c>
      <c r="J88" s="23">
        <v>4025</v>
      </c>
      <c r="K88" s="23">
        <v>4025</v>
      </c>
      <c r="L88" s="23">
        <v>4025</v>
      </c>
      <c r="M88" s="23">
        <v>4025</v>
      </c>
      <c r="N88" s="23">
        <v>4025</v>
      </c>
      <c r="O88" s="23">
        <v>4025</v>
      </c>
      <c r="P88" s="23">
        <v>4025</v>
      </c>
      <c r="Q88" s="23">
        <v>4025</v>
      </c>
      <c r="R88" s="23">
        <v>4025</v>
      </c>
      <c r="S88" s="23">
        <v>4025</v>
      </c>
      <c r="T88" s="23">
        <v>4025</v>
      </c>
      <c r="U88" s="23">
        <v>4025</v>
      </c>
      <c r="V88" s="23">
        <v>4025</v>
      </c>
      <c r="W88" s="23">
        <v>4025</v>
      </c>
      <c r="X88" s="23">
        <v>4025</v>
      </c>
      <c r="Y88" t="s">
        <v>588</v>
      </c>
      <c r="Z88" s="11" t="s">
        <v>576</v>
      </c>
    </row>
    <row r="89" spans="2:26" ht="16.5" x14ac:dyDescent="0.45">
      <c r="B89" s="20">
        <v>29</v>
      </c>
      <c r="C89" s="20" t="str">
        <f>Refsz_Verbräuche[[#This Row],[Datenpunkt]]</f>
        <v>Kältemittel (R410A)</v>
      </c>
      <c r="D89" t="s">
        <v>161</v>
      </c>
      <c r="E89" s="23">
        <v>2177</v>
      </c>
      <c r="F89" s="23">
        <v>2177</v>
      </c>
      <c r="G89" s="23">
        <v>2177</v>
      </c>
      <c r="H89" s="23">
        <v>2177</v>
      </c>
      <c r="I89" s="23">
        <v>2177</v>
      </c>
      <c r="J89" s="23">
        <v>2177</v>
      </c>
      <c r="K89" s="23">
        <v>2177</v>
      </c>
      <c r="L89" s="23">
        <v>2177</v>
      </c>
      <c r="M89" s="23">
        <v>2177</v>
      </c>
      <c r="N89" s="23">
        <v>2177</v>
      </c>
      <c r="O89" s="23">
        <v>2177</v>
      </c>
      <c r="P89" s="23">
        <v>2177</v>
      </c>
      <c r="Q89" s="23">
        <v>2177</v>
      </c>
      <c r="R89" s="23">
        <v>2177</v>
      </c>
      <c r="S89" s="23">
        <v>2177</v>
      </c>
      <c r="T89" s="23">
        <v>2177</v>
      </c>
      <c r="U89" s="23">
        <v>2177</v>
      </c>
      <c r="V89" s="23">
        <v>2177</v>
      </c>
      <c r="W89" s="23">
        <v>2177</v>
      </c>
      <c r="X89" s="23">
        <v>2177</v>
      </c>
      <c r="Y89" t="s">
        <v>588</v>
      </c>
      <c r="Z89" s="11" t="s">
        <v>577</v>
      </c>
    </row>
    <row r="90" spans="2:26" x14ac:dyDescent="0.35">
      <c r="B90" s="20">
        <v>30</v>
      </c>
      <c r="C90" s="20">
        <f>Refsz_Verbräuche[[#This Row],[Datenpunkt]]</f>
        <v>0</v>
      </c>
      <c r="D90" s="9"/>
      <c r="E90" s="22"/>
      <c r="F90" s="22"/>
      <c r="G90" s="22"/>
      <c r="H90" s="22"/>
      <c r="I90" s="22"/>
      <c r="J90" s="22"/>
      <c r="K90" s="22"/>
      <c r="L90" s="22"/>
      <c r="M90" s="22"/>
      <c r="N90" s="22"/>
      <c r="O90" s="22"/>
      <c r="P90" s="22"/>
      <c r="Q90" s="22"/>
      <c r="R90" s="22"/>
      <c r="S90" s="22"/>
      <c r="T90" s="22"/>
      <c r="U90" s="22"/>
      <c r="V90" s="22"/>
      <c r="W90" s="22"/>
      <c r="X90" s="22"/>
      <c r="Y90" s="11"/>
      <c r="Z90" s="11"/>
    </row>
    <row r="91" spans="2:26" ht="16.5" x14ac:dyDescent="0.45">
      <c r="B91" s="20">
        <v>31</v>
      </c>
      <c r="C91" s="20" t="str">
        <f>Refsz_Verbräuche[[#This Row],[Datenpunkt]]</f>
        <v>Fuhrpark (Diesel)</v>
      </c>
      <c r="D91" t="s">
        <v>481</v>
      </c>
      <c r="E91" s="23">
        <v>0.24147024456164837</v>
      </c>
      <c r="F91" s="23">
        <v>0.24147024456164837</v>
      </c>
      <c r="G91" s="23">
        <v>0.24147024456164837</v>
      </c>
      <c r="H91" s="23">
        <v>0.24147024456164837</v>
      </c>
      <c r="I91" s="23">
        <v>0.24147024456164837</v>
      </c>
      <c r="J91" s="23">
        <v>0.24147024456164837</v>
      </c>
      <c r="K91" s="23">
        <v>0.24147024456164837</v>
      </c>
      <c r="L91" s="23">
        <v>0.24147024456164837</v>
      </c>
      <c r="M91" s="23">
        <v>0.24147024456164837</v>
      </c>
      <c r="N91" s="23">
        <v>0.24147024456164837</v>
      </c>
      <c r="O91" s="23">
        <v>0.24147024456164837</v>
      </c>
      <c r="P91" s="23">
        <v>0.24147024456164837</v>
      </c>
      <c r="Q91" s="23">
        <v>0.24147024456164837</v>
      </c>
      <c r="R91" s="23">
        <v>0.24147024456164837</v>
      </c>
      <c r="S91" s="23">
        <v>0.24147024456164837</v>
      </c>
      <c r="T91" s="23">
        <v>0.2167995587252195</v>
      </c>
      <c r="U91" s="23">
        <v>0.2167995587252195</v>
      </c>
      <c r="V91" s="23">
        <v>0.2167995587252195</v>
      </c>
      <c r="W91" s="23">
        <v>0.2167995587252195</v>
      </c>
      <c r="X91" s="23">
        <v>1.3021317440630929E-2</v>
      </c>
      <c r="Y91" s="11" t="s">
        <v>573</v>
      </c>
      <c r="Z91" t="s">
        <v>484</v>
      </c>
    </row>
    <row r="92" spans="2:26" ht="16.5" x14ac:dyDescent="0.45">
      <c r="B92" s="20">
        <v>32</v>
      </c>
      <c r="C92" s="20" t="str">
        <f>Refsz_Verbräuche[[#This Row],[Datenpunkt]]</f>
        <v>Fuhrpark (Benzin)</v>
      </c>
      <c r="D92" t="s">
        <v>481</v>
      </c>
      <c r="E92" s="23">
        <v>0.23823316764042801</v>
      </c>
      <c r="F92" s="23">
        <v>0.23823316764042801</v>
      </c>
      <c r="G92" s="23">
        <v>0.23823316764042801</v>
      </c>
      <c r="H92" s="23">
        <v>0.23823316764042801</v>
      </c>
      <c r="I92" s="23">
        <v>0.23823316764042801</v>
      </c>
      <c r="J92" s="23">
        <v>0.23823316764042801</v>
      </c>
      <c r="K92" s="23">
        <v>0.23823316764042801</v>
      </c>
      <c r="L92" s="23">
        <v>0.23823316764042801</v>
      </c>
      <c r="M92" s="23">
        <v>0.23823316764042801</v>
      </c>
      <c r="N92" s="23">
        <v>0.23823316764042801</v>
      </c>
      <c r="O92" s="23">
        <v>0.23823316764042801</v>
      </c>
      <c r="P92" s="23">
        <v>0.23823316764042801</v>
      </c>
      <c r="Q92" s="23">
        <v>0.23823316764042801</v>
      </c>
      <c r="R92" s="23">
        <v>0.23823316764042801</v>
      </c>
      <c r="S92" s="23">
        <v>0.23823316764042801</v>
      </c>
      <c r="T92" s="23">
        <v>0.21114519195821158</v>
      </c>
      <c r="U92" s="23">
        <v>0.21114519195821158</v>
      </c>
      <c r="V92" s="23">
        <v>0.21114519195821158</v>
      </c>
      <c r="W92" s="23">
        <v>0.21114519195821158</v>
      </c>
      <c r="X92" s="23">
        <v>1.0557175497570959E-2</v>
      </c>
      <c r="Y92" s="11" t="s">
        <v>573</v>
      </c>
      <c r="Z92" t="s">
        <v>484</v>
      </c>
    </row>
    <row r="93" spans="2:26" ht="16.5" x14ac:dyDescent="0.45">
      <c r="B93" s="20">
        <v>33</v>
      </c>
      <c r="C93" s="20" t="str">
        <f>Refsz_Verbräuche[[#This Row],[Datenpunkt]]</f>
        <v>Fuhrpark (E-Auto/ BEV)</v>
      </c>
      <c r="D93" t="s">
        <v>481</v>
      </c>
      <c r="E93" s="23">
        <v>0.13988990608409799</v>
      </c>
      <c r="F93" s="23">
        <v>0.13988990608409799</v>
      </c>
      <c r="G93" s="23">
        <v>0.13988990608409799</v>
      </c>
      <c r="H93" s="23">
        <v>0.13988990608409799</v>
      </c>
      <c r="I93" s="23">
        <v>0.13988990608409799</v>
      </c>
      <c r="J93" s="23">
        <v>0.13988990608409799</v>
      </c>
      <c r="K93" s="23">
        <v>0.13988990608409799</v>
      </c>
      <c r="L93" s="23">
        <v>0.13988990608409799</v>
      </c>
      <c r="M93" s="23">
        <v>0.13988990608409799</v>
      </c>
      <c r="N93" s="23">
        <v>0.13988990608409799</v>
      </c>
      <c r="O93" s="23">
        <v>0.13988990608409799</v>
      </c>
      <c r="P93" s="23">
        <v>0.13988990608409799</v>
      </c>
      <c r="Q93" s="23">
        <v>0.13988990608409799</v>
      </c>
      <c r="R93" s="23">
        <v>0.13988990608409799</v>
      </c>
      <c r="S93" s="23">
        <v>0.13988990608409799</v>
      </c>
      <c r="T93" s="23">
        <v>0.1106590587034632</v>
      </c>
      <c r="U93" s="23">
        <v>0.1106590587034632</v>
      </c>
      <c r="V93" s="23">
        <v>0.1106590587034632</v>
      </c>
      <c r="W93" s="23">
        <v>0.1106590587034632</v>
      </c>
      <c r="X93" s="23">
        <v>3.4756006759183145E-3</v>
      </c>
      <c r="Y93" s="11" t="s">
        <v>573</v>
      </c>
      <c r="Z93" t="s">
        <v>484</v>
      </c>
    </row>
    <row r="94" spans="2:26" ht="16.5" x14ac:dyDescent="0.45">
      <c r="B94" s="20">
        <v>34</v>
      </c>
      <c r="C94" s="20" t="str">
        <f>Refsz_Verbräuche[[#This Row],[Datenpunkt]]</f>
        <v>Fuhrpark (Wasserstoff/ FCEV)</v>
      </c>
      <c r="D94" t="s">
        <v>481</v>
      </c>
      <c r="E94" s="22">
        <v>0.19898582947594404</v>
      </c>
      <c r="F94" s="22">
        <v>0.19898582947594404</v>
      </c>
      <c r="G94" s="22">
        <v>0.19898582947594404</v>
      </c>
      <c r="H94" s="22">
        <v>0.19898582947594404</v>
      </c>
      <c r="I94" s="22">
        <v>0.19898582947594404</v>
      </c>
      <c r="J94" s="22">
        <v>0.19898582947594404</v>
      </c>
      <c r="K94" s="22">
        <v>0.19898582947594404</v>
      </c>
      <c r="L94" s="22">
        <v>0.19898582947594404</v>
      </c>
      <c r="M94" s="22">
        <v>0.19898582947594404</v>
      </c>
      <c r="N94" s="22">
        <v>0.19898582947594404</v>
      </c>
      <c r="O94" s="22">
        <v>0.19898582947594404</v>
      </c>
      <c r="P94" s="22">
        <v>0.19898582947594404</v>
      </c>
      <c r="Q94" s="22">
        <v>0.19898582947594404</v>
      </c>
      <c r="R94" s="22">
        <v>0.19898582947594404</v>
      </c>
      <c r="S94" s="22">
        <v>0.19898582947594404</v>
      </c>
      <c r="T94" s="22">
        <v>0.18582529423090632</v>
      </c>
      <c r="U94" s="22">
        <v>0.18582529423090632</v>
      </c>
      <c r="V94" s="22">
        <v>0.18582529423090632</v>
      </c>
      <c r="W94" s="22">
        <v>0.18582529423090632</v>
      </c>
      <c r="X94" s="22">
        <v>6.9165711407782439E-3</v>
      </c>
      <c r="Y94" s="11" t="s">
        <v>573</v>
      </c>
      <c r="Z94" t="s">
        <v>484</v>
      </c>
    </row>
    <row r="95" spans="2:26" ht="16.5" x14ac:dyDescent="0.45">
      <c r="B95" s="20">
        <v>35</v>
      </c>
      <c r="C95" s="20" t="str">
        <f>Refsz_Verbräuche[[#This Row],[Datenpunkt]]</f>
        <v>Fuhrpark (CNG)</v>
      </c>
      <c r="D95" t="s">
        <v>481</v>
      </c>
      <c r="E95" s="23">
        <v>0.19430236726041999</v>
      </c>
      <c r="F95" s="23">
        <v>0.19430236726041999</v>
      </c>
      <c r="G95" s="23">
        <v>0.19430236726041999</v>
      </c>
      <c r="H95" s="23">
        <v>0.19430236726041999</v>
      </c>
      <c r="I95" s="23">
        <v>0.19430236726041999</v>
      </c>
      <c r="J95" s="23">
        <v>0.19430236726041999</v>
      </c>
      <c r="K95" s="23">
        <v>0.19430236726041999</v>
      </c>
      <c r="L95" s="23">
        <v>0.19430236726041999</v>
      </c>
      <c r="M95" s="23">
        <v>0.19430236726041999</v>
      </c>
      <c r="N95" s="23">
        <v>0.19430236726041999</v>
      </c>
      <c r="O95" s="23">
        <v>0.19430236726041999</v>
      </c>
      <c r="P95" s="23">
        <v>0.19430236726041999</v>
      </c>
      <c r="Q95" s="23">
        <v>0.19430236726041999</v>
      </c>
      <c r="R95" s="23">
        <v>0.19430236726041999</v>
      </c>
      <c r="S95" s="23">
        <v>0.19430236726041999</v>
      </c>
      <c r="T95" s="23">
        <v>0.17257425041292387</v>
      </c>
      <c r="U95" s="23">
        <v>0.17257425041292387</v>
      </c>
      <c r="V95" s="23">
        <v>0.17257425041292387</v>
      </c>
      <c r="W95" s="23">
        <v>0.17257425041292387</v>
      </c>
      <c r="X95" s="23">
        <v>9.4253410530137013E-3</v>
      </c>
      <c r="Y95" s="11" t="s">
        <v>573</v>
      </c>
      <c r="Z95" t="s">
        <v>484</v>
      </c>
    </row>
    <row r="96" spans="2:26" ht="16.5" x14ac:dyDescent="0.45">
      <c r="B96" s="20">
        <v>36</v>
      </c>
      <c r="C96" s="20" t="str">
        <f>Refsz_Verbräuche[[#This Row],[Datenpunkt]]</f>
        <v>Fuhrpark (Plug-In-Hybrid, PHEV)</v>
      </c>
      <c r="D96" t="s">
        <v>481</v>
      </c>
      <c r="E96" s="23">
        <v>0.19039932667175896</v>
      </c>
      <c r="F96" s="23">
        <v>0.19039932667175896</v>
      </c>
      <c r="G96" s="23">
        <v>0.19039932667175896</v>
      </c>
      <c r="H96" s="23">
        <v>0.19039932667175896</v>
      </c>
      <c r="I96" s="23">
        <v>0.19039932667175896</v>
      </c>
      <c r="J96" s="23">
        <v>0.19039932667175896</v>
      </c>
      <c r="K96" s="23">
        <v>0.19039932667175896</v>
      </c>
      <c r="L96" s="23">
        <v>0.19039932667175896</v>
      </c>
      <c r="M96" s="23">
        <v>0.19039932667175896</v>
      </c>
      <c r="N96" s="23">
        <v>0.19039932667175896</v>
      </c>
      <c r="O96" s="23">
        <v>0.19039932667175896</v>
      </c>
      <c r="P96" s="23">
        <v>0.19039932667175896</v>
      </c>
      <c r="Q96" s="23">
        <v>0.19039932667175896</v>
      </c>
      <c r="R96" s="23">
        <v>0.19039932667175896</v>
      </c>
      <c r="S96" s="23">
        <v>0.19039932667175896</v>
      </c>
      <c r="T96" s="23">
        <v>0.14826064928261593</v>
      </c>
      <c r="U96" s="23">
        <v>0.14826064928261593</v>
      </c>
      <c r="V96" s="23">
        <v>0.14826064928261593</v>
      </c>
      <c r="W96" s="23">
        <v>0.14826064928261593</v>
      </c>
      <c r="X96" s="23">
        <v>6.4973040225473544E-3</v>
      </c>
      <c r="Y96" s="11" t="s">
        <v>573</v>
      </c>
      <c r="Z96" t="s">
        <v>484</v>
      </c>
    </row>
    <row r="97" spans="2:26" x14ac:dyDescent="0.35">
      <c r="B97" s="20">
        <v>37</v>
      </c>
      <c r="C97" s="20">
        <f>Refsz_Verbräuche[[#This Row],[Datenpunkt]]</f>
        <v>0</v>
      </c>
      <c r="E97" s="22"/>
      <c r="F97" s="22"/>
      <c r="G97" s="22"/>
      <c r="H97" s="22"/>
      <c r="I97" s="22"/>
      <c r="J97" s="22"/>
      <c r="K97" s="22"/>
      <c r="L97" s="22"/>
      <c r="M97" s="22"/>
      <c r="N97" s="22"/>
      <c r="O97" s="22"/>
      <c r="P97" s="22"/>
      <c r="Q97" s="22"/>
      <c r="R97" s="22"/>
      <c r="S97" s="22"/>
      <c r="T97" s="22"/>
      <c r="U97" s="22"/>
      <c r="V97" s="22"/>
      <c r="W97" s="22"/>
      <c r="X97" s="22"/>
      <c r="Y97" s="11"/>
      <c r="Z97" s="11"/>
    </row>
    <row r="98" spans="2:26" ht="16.5" x14ac:dyDescent="0.45">
      <c r="B98" s="20">
        <v>38</v>
      </c>
      <c r="C98" s="20" t="str">
        <f>Refsz_Verbräuche[[#This Row],[Datenpunkt]]</f>
        <v>DR - Flugreisen</v>
      </c>
      <c r="D98" t="s">
        <v>162</v>
      </c>
      <c r="E98" s="22">
        <v>0.214</v>
      </c>
      <c r="F98" s="22">
        <v>0.214</v>
      </c>
      <c r="G98" s="22">
        <v>0.20100000000000001</v>
      </c>
      <c r="H98" s="22">
        <v>0.23</v>
      </c>
      <c r="I98" s="22">
        <v>0.214</v>
      </c>
      <c r="J98" s="22">
        <v>0.28399999999999997</v>
      </c>
      <c r="K98" s="22">
        <v>0.28399999999999997</v>
      </c>
      <c r="L98" s="22">
        <v>0.23799999999999999</v>
      </c>
      <c r="M98" s="22">
        <v>0.23799999999999999</v>
      </c>
      <c r="N98" s="22">
        <v>0.23799999999999999</v>
      </c>
      <c r="O98" s="22">
        <v>0.23799999999999999</v>
      </c>
      <c r="P98" s="22">
        <v>0.23799999999999999</v>
      </c>
      <c r="Q98" s="22">
        <v>0.23799999999999999</v>
      </c>
      <c r="R98" s="22">
        <v>0.23799999999999999</v>
      </c>
      <c r="S98" s="22">
        <v>0.23799999999999999</v>
      </c>
      <c r="T98" s="22">
        <v>0.23799999999999999</v>
      </c>
      <c r="U98" s="22">
        <v>0.23799999999999999</v>
      </c>
      <c r="V98" s="22">
        <v>0.23799999999999999</v>
      </c>
      <c r="W98" s="22">
        <v>0.23799999999999999</v>
      </c>
      <c r="X98" s="22">
        <v>0.23799999999999999</v>
      </c>
      <c r="Y98" t="s">
        <v>572</v>
      </c>
      <c r="Z98" t="s">
        <v>543</v>
      </c>
    </row>
    <row r="99" spans="2:26" ht="16.5" x14ac:dyDescent="0.45">
      <c r="B99" s="20">
        <v>39</v>
      </c>
      <c r="C99" s="20" t="str">
        <f>Refsz_Verbräuche[[#This Row],[Datenpunkt]]</f>
        <v>DR - Eisenbahn (Fernverkehr)</v>
      </c>
      <c r="D99" t="s">
        <v>162</v>
      </c>
      <c r="E99" s="23">
        <v>3.7999999999999999E-2</v>
      </c>
      <c r="F99" s="23">
        <v>3.7999999999999999E-2</v>
      </c>
      <c r="G99" s="23">
        <v>3.5999999999999997E-2</v>
      </c>
      <c r="H99" s="23">
        <v>3.2000000000000001E-2</v>
      </c>
      <c r="I99" s="23">
        <v>2.9000000000000001E-2</v>
      </c>
      <c r="J99" s="23">
        <v>2.9000000000000001E-2</v>
      </c>
      <c r="K99" s="22">
        <v>0.05</v>
      </c>
      <c r="L99" s="22">
        <v>3.1E-2</v>
      </c>
      <c r="M99" s="22">
        <v>3.1E-2</v>
      </c>
      <c r="N99" s="22">
        <v>3.1E-2</v>
      </c>
      <c r="O99" s="22">
        <v>3.1E-2</v>
      </c>
      <c r="P99" s="22">
        <v>3.1E-2</v>
      </c>
      <c r="Q99" s="22">
        <v>3.1E-2</v>
      </c>
      <c r="R99" s="22">
        <v>3.1E-2</v>
      </c>
      <c r="S99" s="22">
        <v>3.1E-2</v>
      </c>
      <c r="T99" s="22">
        <v>3.1E-2</v>
      </c>
      <c r="U99" s="22">
        <v>3.1E-2</v>
      </c>
      <c r="V99" s="22">
        <v>3.1E-2</v>
      </c>
      <c r="W99" s="22">
        <v>3.1E-2</v>
      </c>
      <c r="X99" s="22">
        <v>3.1E-2</v>
      </c>
      <c r="Y99" t="s">
        <v>572</v>
      </c>
      <c r="Z99" t="s">
        <v>421</v>
      </c>
    </row>
    <row r="100" spans="2:26" ht="16.5" x14ac:dyDescent="0.45">
      <c r="B100" s="20">
        <v>40</v>
      </c>
      <c r="C100" s="20" t="str">
        <f>Refsz_Verbräuche[[#This Row],[Datenpunkt]]</f>
        <v>DR - Eisenbahn (Nahverkehr)</v>
      </c>
      <c r="D100" t="s">
        <v>162</v>
      </c>
      <c r="E100" s="23">
        <v>6.3E-2</v>
      </c>
      <c r="F100" s="23">
        <v>6.3E-2</v>
      </c>
      <c r="G100" s="23">
        <v>0.06</v>
      </c>
      <c r="H100" s="23">
        <v>5.7000000000000002E-2</v>
      </c>
      <c r="I100" s="23">
        <v>5.3999999999999999E-2</v>
      </c>
      <c r="J100" s="23">
        <v>8.4000000000000005E-2</v>
      </c>
      <c r="K100" s="23">
        <v>8.4000000000000005E-2</v>
      </c>
      <c r="L100" s="22">
        <v>5.8000000000000003E-2</v>
      </c>
      <c r="M100" s="22">
        <v>5.8000000000000003E-2</v>
      </c>
      <c r="N100" s="22">
        <v>5.8000000000000003E-2</v>
      </c>
      <c r="O100" s="22">
        <v>5.8000000000000003E-2</v>
      </c>
      <c r="P100" s="22">
        <v>5.8000000000000003E-2</v>
      </c>
      <c r="Q100" s="22">
        <v>5.8000000000000003E-2</v>
      </c>
      <c r="R100" s="22">
        <v>5.8000000000000003E-2</v>
      </c>
      <c r="S100" s="22">
        <v>5.8000000000000003E-2</v>
      </c>
      <c r="T100" s="22">
        <v>5.8000000000000003E-2</v>
      </c>
      <c r="U100" s="22">
        <v>5.8000000000000003E-2</v>
      </c>
      <c r="V100" s="22">
        <v>5.8000000000000003E-2</v>
      </c>
      <c r="W100" s="22">
        <v>5.8000000000000003E-2</v>
      </c>
      <c r="X100" s="22">
        <v>5.8000000000000003E-2</v>
      </c>
      <c r="Y100" t="s">
        <v>572</v>
      </c>
      <c r="Z100" t="s">
        <v>420</v>
      </c>
    </row>
    <row r="101" spans="2:26" ht="16.5" x14ac:dyDescent="0.45">
      <c r="B101" s="20">
        <v>41</v>
      </c>
      <c r="C101" s="20" t="str">
        <f>Refsz_Verbräuche[[#This Row],[Datenpunkt]]</f>
        <v>DR - Reisebus, Linienbus (Fernverkehr)</v>
      </c>
      <c r="D101" t="s">
        <v>162</v>
      </c>
      <c r="E101" s="23">
        <v>3.2000000000000001E-2</v>
      </c>
      <c r="F101" s="23">
        <v>3.2000000000000001E-2</v>
      </c>
      <c r="G101" s="23">
        <v>3.2000000000000001E-2</v>
      </c>
      <c r="H101" s="23">
        <v>3.1E-2</v>
      </c>
      <c r="I101" s="23">
        <v>3.5999999999999997E-2</v>
      </c>
      <c r="J101" s="23">
        <v>3.5999999999999997E-2</v>
      </c>
      <c r="K101" s="22">
        <v>3.5999999999999997E-2</v>
      </c>
      <c r="L101" s="22">
        <v>3.1E-2</v>
      </c>
      <c r="M101" s="22">
        <v>3.1E-2</v>
      </c>
      <c r="N101" s="22">
        <v>3.1E-2</v>
      </c>
      <c r="O101" s="22">
        <v>3.1E-2</v>
      </c>
      <c r="P101" s="22">
        <v>3.1E-2</v>
      </c>
      <c r="Q101" s="22">
        <v>3.1E-2</v>
      </c>
      <c r="R101" s="22">
        <v>3.1E-2</v>
      </c>
      <c r="S101" s="22">
        <v>3.1E-2</v>
      </c>
      <c r="T101" s="22">
        <v>3.1E-2</v>
      </c>
      <c r="U101" s="22">
        <v>3.1E-2</v>
      </c>
      <c r="V101" s="22">
        <v>3.1E-2</v>
      </c>
      <c r="W101" s="22">
        <v>3.1E-2</v>
      </c>
      <c r="X101" s="22">
        <v>3.1E-2</v>
      </c>
      <c r="Y101" t="s">
        <v>572</v>
      </c>
      <c r="Z101" t="s">
        <v>418</v>
      </c>
    </row>
    <row r="102" spans="2:26" ht="16.5" x14ac:dyDescent="0.45">
      <c r="B102" s="20">
        <v>42</v>
      </c>
      <c r="C102" s="20" t="str">
        <f>Refsz_Verbräuche[[#This Row],[Datenpunkt]]</f>
        <v>DR - Linienbus (Nahverkehr)</v>
      </c>
      <c r="D102" t="s">
        <v>162</v>
      </c>
      <c r="E102" s="23">
        <v>7.4999999999999997E-2</v>
      </c>
      <c r="F102" s="23">
        <v>7.4999999999999997E-2</v>
      </c>
      <c r="G102" s="23">
        <v>7.4999999999999997E-2</v>
      </c>
      <c r="H102" s="23">
        <v>0.08</v>
      </c>
      <c r="I102" s="23">
        <v>8.3000000000000004E-2</v>
      </c>
      <c r="J102" s="23">
        <v>0.111</v>
      </c>
      <c r="K102" s="22">
        <v>0.111</v>
      </c>
      <c r="L102" s="22">
        <v>9.2999999999999999E-2</v>
      </c>
      <c r="M102" s="22">
        <v>9.2999999999999999E-2</v>
      </c>
      <c r="N102" s="22">
        <v>9.2999999999999999E-2</v>
      </c>
      <c r="O102" s="22">
        <v>9.2999999999999999E-2</v>
      </c>
      <c r="P102" s="22">
        <v>9.2999999999999999E-2</v>
      </c>
      <c r="Q102" s="22">
        <v>9.2999999999999999E-2</v>
      </c>
      <c r="R102" s="22">
        <v>9.2999999999999999E-2</v>
      </c>
      <c r="S102" s="22">
        <v>9.2999999999999999E-2</v>
      </c>
      <c r="T102" s="22">
        <v>9.2999999999999999E-2</v>
      </c>
      <c r="U102" s="22">
        <v>9.2999999999999999E-2</v>
      </c>
      <c r="V102" s="22">
        <v>9.2999999999999999E-2</v>
      </c>
      <c r="W102" s="22">
        <v>9.2999999999999999E-2</v>
      </c>
      <c r="X102" s="22">
        <v>9.2999999999999999E-2</v>
      </c>
      <c r="Y102" t="s">
        <v>572</v>
      </c>
      <c r="Z102" t="s">
        <v>419</v>
      </c>
    </row>
    <row r="103" spans="2:26" ht="16.5" x14ac:dyDescent="0.45">
      <c r="B103" s="20">
        <v>43</v>
      </c>
      <c r="C103" s="20" t="str">
        <f>Refsz_Verbräuche[[#This Row],[Datenpunkt]]</f>
        <v>DR - Privater PKW (alle Antriebsarten)</v>
      </c>
      <c r="D103" t="s">
        <v>481</v>
      </c>
      <c r="E103" s="23">
        <v>0.23623978654181144</v>
      </c>
      <c r="F103" s="23">
        <v>0.23623978654181144</v>
      </c>
      <c r="G103" s="23">
        <v>0.23623978654181144</v>
      </c>
      <c r="H103" s="23">
        <v>0.23623978654181144</v>
      </c>
      <c r="I103" s="23">
        <v>0.23422321695168971</v>
      </c>
      <c r="J103" s="23">
        <v>0.22469340606791299</v>
      </c>
      <c r="K103" s="22">
        <v>0.21428223341996916</v>
      </c>
      <c r="L103" s="22">
        <v>0.21264844634438446</v>
      </c>
      <c r="M103" s="22">
        <v>0.21264844634438446</v>
      </c>
      <c r="N103" s="22">
        <v>0.21264844634438446</v>
      </c>
      <c r="O103" s="22">
        <v>0.21264844634438446</v>
      </c>
      <c r="P103" s="22">
        <v>0.21264844634438446</v>
      </c>
      <c r="Q103" s="22">
        <v>0.21264844634438446</v>
      </c>
      <c r="R103" s="22">
        <v>0.21264844634438446</v>
      </c>
      <c r="S103" s="22">
        <v>0.21264844634438446</v>
      </c>
      <c r="T103" s="22">
        <v>0.1862936273223203</v>
      </c>
      <c r="U103" s="22">
        <v>0.1862936273223203</v>
      </c>
      <c r="V103" s="22">
        <v>0.1862936273223203</v>
      </c>
      <c r="W103" s="22">
        <v>0.1862936273223203</v>
      </c>
      <c r="X103" s="22">
        <v>9.2224143716755514E-3</v>
      </c>
      <c r="Y103" s="11" t="s">
        <v>573</v>
      </c>
    </row>
    <row r="104" spans="2:26" ht="16.5" x14ac:dyDescent="0.45">
      <c r="B104" s="20">
        <v>44</v>
      </c>
      <c r="C104" s="20" t="str">
        <f>Refsz_Verbräuche[[#This Row],[Datenpunkt]]</f>
        <v>DR - Privater PKW (Diesel)</v>
      </c>
      <c r="D104" t="s">
        <v>481</v>
      </c>
      <c r="E104" s="23">
        <v>0.24147024456164837</v>
      </c>
      <c r="F104" s="23">
        <v>0.24147024456164837</v>
      </c>
      <c r="G104" s="23">
        <v>0.24147024456164837</v>
      </c>
      <c r="H104" s="23">
        <v>0.24147024456164837</v>
      </c>
      <c r="I104" s="23">
        <v>0.24147024456164837</v>
      </c>
      <c r="J104" s="23">
        <v>0.24147024456164837</v>
      </c>
      <c r="K104" s="23">
        <v>0.24147024456164837</v>
      </c>
      <c r="L104" s="23">
        <v>0.24147024456164837</v>
      </c>
      <c r="M104" s="23">
        <v>0.24147024456164837</v>
      </c>
      <c r="N104" s="23">
        <v>0.24147024456164837</v>
      </c>
      <c r="O104" s="23">
        <v>0.24147024456164837</v>
      </c>
      <c r="P104" s="23">
        <v>0.24147024456164837</v>
      </c>
      <c r="Q104" s="23">
        <v>0.24147024456164837</v>
      </c>
      <c r="R104" s="23">
        <v>0.24147024456164837</v>
      </c>
      <c r="S104" s="23">
        <v>0.24147024456164837</v>
      </c>
      <c r="T104" s="23">
        <v>0.2167995587252195</v>
      </c>
      <c r="U104" s="23">
        <v>0.2167995587252195</v>
      </c>
      <c r="V104" s="23">
        <v>0.2167995587252195</v>
      </c>
      <c r="W104" s="23">
        <v>0.2167995587252195</v>
      </c>
      <c r="X104" s="23">
        <v>1.3021317440630929E-2</v>
      </c>
      <c r="Y104" s="11" t="s">
        <v>573</v>
      </c>
      <c r="Z104" t="s">
        <v>484</v>
      </c>
    </row>
    <row r="105" spans="2:26" ht="16.5" x14ac:dyDescent="0.45">
      <c r="B105" s="20">
        <v>45</v>
      </c>
      <c r="C105" s="20" t="str">
        <f>Refsz_Verbräuche[[#This Row],[Datenpunkt]]</f>
        <v>DR - Privater PKW (Benzin)</v>
      </c>
      <c r="D105" t="s">
        <v>481</v>
      </c>
      <c r="E105" s="23">
        <v>0.23823316764042801</v>
      </c>
      <c r="F105" s="23">
        <v>0.23823316764042801</v>
      </c>
      <c r="G105" s="23">
        <v>0.23823316764042801</v>
      </c>
      <c r="H105" s="23">
        <v>0.23823316764042801</v>
      </c>
      <c r="I105" s="23">
        <v>0.23823316764042801</v>
      </c>
      <c r="J105" s="23">
        <v>0.23823316764042801</v>
      </c>
      <c r="K105" s="23">
        <v>0.23823316764042801</v>
      </c>
      <c r="L105" s="23">
        <v>0.23823316764042801</v>
      </c>
      <c r="M105" s="23">
        <v>0.23823316764042801</v>
      </c>
      <c r="N105" s="23">
        <v>0.23823316764042801</v>
      </c>
      <c r="O105" s="23">
        <v>0.23823316764042801</v>
      </c>
      <c r="P105" s="23">
        <v>0.23823316764042801</v>
      </c>
      <c r="Q105" s="23">
        <v>0.23823316764042801</v>
      </c>
      <c r="R105" s="23">
        <v>0.23823316764042801</v>
      </c>
      <c r="S105" s="23">
        <v>0.23823316764042801</v>
      </c>
      <c r="T105" s="23">
        <v>0.21114519195821158</v>
      </c>
      <c r="U105" s="23">
        <v>0.21114519195821158</v>
      </c>
      <c r="V105" s="23">
        <v>0.21114519195821158</v>
      </c>
      <c r="W105" s="23">
        <v>0.21114519195821158</v>
      </c>
      <c r="X105" s="23">
        <v>1.0557175497570959E-2</v>
      </c>
      <c r="Y105" s="11" t="s">
        <v>573</v>
      </c>
      <c r="Z105" t="s">
        <v>484</v>
      </c>
    </row>
    <row r="106" spans="2:26" ht="16.5" x14ac:dyDescent="0.45">
      <c r="B106" s="20">
        <v>46</v>
      </c>
      <c r="C106" s="20" t="str">
        <f>Refsz_Verbräuche[[#This Row],[Datenpunkt]]</f>
        <v>DR - Mietwägen (Diesel)</v>
      </c>
      <c r="D106" t="s">
        <v>481</v>
      </c>
      <c r="E106" s="23">
        <v>0.24147024456164837</v>
      </c>
      <c r="F106" s="23">
        <v>0.24147024456164837</v>
      </c>
      <c r="G106" s="23">
        <v>0.24147024456164837</v>
      </c>
      <c r="H106" s="23">
        <v>0.24147024456164837</v>
      </c>
      <c r="I106" s="23">
        <v>0.24147024456164837</v>
      </c>
      <c r="J106" s="23">
        <v>0.24147024456164837</v>
      </c>
      <c r="K106" s="23">
        <v>0.24147024456164837</v>
      </c>
      <c r="L106" s="23">
        <v>0.24147024456164837</v>
      </c>
      <c r="M106" s="23">
        <v>0.24147024456164837</v>
      </c>
      <c r="N106" s="23">
        <v>0.24147024456164837</v>
      </c>
      <c r="O106" s="23">
        <v>0.24147024456164837</v>
      </c>
      <c r="P106" s="23">
        <v>0.24147024456164837</v>
      </c>
      <c r="Q106" s="23">
        <v>0.24147024456164837</v>
      </c>
      <c r="R106" s="23">
        <v>0.24147024456164837</v>
      </c>
      <c r="S106" s="23">
        <v>0.24147024456164837</v>
      </c>
      <c r="T106" s="23">
        <v>0.2167995587252195</v>
      </c>
      <c r="U106" s="23">
        <v>0.2167995587252195</v>
      </c>
      <c r="V106" s="23">
        <v>0.2167995587252195</v>
      </c>
      <c r="W106" s="23">
        <v>0.2167995587252195</v>
      </c>
      <c r="X106" s="23">
        <v>1.3021317440630929E-2</v>
      </c>
      <c r="Y106" s="11" t="s">
        <v>573</v>
      </c>
      <c r="Z106" t="s">
        <v>484</v>
      </c>
    </row>
    <row r="107" spans="2:26" ht="16.5" x14ac:dyDescent="0.45">
      <c r="B107" s="20">
        <v>47</v>
      </c>
      <c r="C107" s="20" t="str">
        <f>Refsz_Verbräuche[[#This Row],[Datenpunkt]]</f>
        <v>DR - Mietwägen (Benzin)</v>
      </c>
      <c r="D107" t="s">
        <v>481</v>
      </c>
      <c r="E107" s="23">
        <v>0.23823316764042801</v>
      </c>
      <c r="F107" s="23">
        <v>0.23823316764042801</v>
      </c>
      <c r="G107" s="23">
        <v>0.23823316764042801</v>
      </c>
      <c r="H107" s="23">
        <v>0.23823316764042801</v>
      </c>
      <c r="I107" s="23">
        <v>0.23823316764042801</v>
      </c>
      <c r="J107" s="23">
        <v>0.23823316764042801</v>
      </c>
      <c r="K107" s="23">
        <v>0.23823316764042801</v>
      </c>
      <c r="L107" s="23">
        <v>0.23823316764042801</v>
      </c>
      <c r="M107" s="23">
        <v>0.23823316764042801</v>
      </c>
      <c r="N107" s="23">
        <v>0.23823316764042801</v>
      </c>
      <c r="O107" s="23">
        <v>0.23823316764042801</v>
      </c>
      <c r="P107" s="23">
        <v>0.23823316764042801</v>
      </c>
      <c r="Q107" s="23">
        <v>0.23823316764042801</v>
      </c>
      <c r="R107" s="23">
        <v>0.23823316764042801</v>
      </c>
      <c r="S107" s="23">
        <v>0.23823316764042801</v>
      </c>
      <c r="T107" s="23">
        <v>0.21114519195821158</v>
      </c>
      <c r="U107" s="23">
        <v>0.21114519195821158</v>
      </c>
      <c r="V107" s="23">
        <v>0.21114519195821158</v>
      </c>
      <c r="W107" s="23">
        <v>0.21114519195821158</v>
      </c>
      <c r="X107" s="23">
        <v>1.0557175497570959E-2</v>
      </c>
      <c r="Y107" s="11" t="s">
        <v>573</v>
      </c>
      <c r="Z107" t="s">
        <v>484</v>
      </c>
    </row>
    <row r="108" spans="2:26" ht="16.5" x14ac:dyDescent="0.45">
      <c r="B108" s="20">
        <v>48</v>
      </c>
      <c r="C108" s="20" t="str">
        <f>Refsz_Verbräuche[[#This Row],[Datenpunkt]]</f>
        <v>DR - Mietwägen (E-Auto/ BEV)</v>
      </c>
      <c r="D108" t="s">
        <v>481</v>
      </c>
      <c r="E108" s="23">
        <v>0.13988990608409799</v>
      </c>
      <c r="F108" s="23">
        <v>0.13988990608409799</v>
      </c>
      <c r="G108" s="23">
        <v>0.13988990608409799</v>
      </c>
      <c r="H108" s="23">
        <v>0.13988990608409799</v>
      </c>
      <c r="I108" s="23">
        <v>0.13988990608409799</v>
      </c>
      <c r="J108" s="23">
        <v>0.13988990608409799</v>
      </c>
      <c r="K108" s="23">
        <v>0.13988990608409799</v>
      </c>
      <c r="L108" s="23">
        <v>0.13988990608409799</v>
      </c>
      <c r="M108" s="23">
        <v>0.13988990608409799</v>
      </c>
      <c r="N108" s="23">
        <v>0.13988990608409799</v>
      </c>
      <c r="O108" s="23">
        <v>0.13988990608409799</v>
      </c>
      <c r="P108" s="23">
        <v>0.13988990608409799</v>
      </c>
      <c r="Q108" s="23">
        <v>0.13988990608409799</v>
      </c>
      <c r="R108" s="23">
        <v>0.13988990608409799</v>
      </c>
      <c r="S108" s="23">
        <v>0.13988990608409799</v>
      </c>
      <c r="T108" s="23">
        <v>0.1106590587034632</v>
      </c>
      <c r="U108" s="23">
        <v>0.1106590587034632</v>
      </c>
      <c r="V108" s="23">
        <v>0.1106590587034632</v>
      </c>
      <c r="W108" s="23">
        <v>0.1106590587034632</v>
      </c>
      <c r="X108" s="23">
        <v>3.4756006759183145E-3</v>
      </c>
      <c r="Y108" s="11" t="s">
        <v>573</v>
      </c>
      <c r="Z108" t="s">
        <v>484</v>
      </c>
    </row>
    <row r="109" spans="2:26" ht="16.5" x14ac:dyDescent="0.45">
      <c r="B109" s="20">
        <v>49</v>
      </c>
      <c r="C109" s="20" t="str">
        <f>Refsz_Verbräuche[[#This Row],[Datenpunkt]]</f>
        <v>DR - Mietwägen (Wasserstoff/ FCEV)</v>
      </c>
      <c r="D109" t="s">
        <v>481</v>
      </c>
      <c r="E109" s="22">
        <v>0.19898582947594404</v>
      </c>
      <c r="F109" s="22">
        <v>0.19898582947594404</v>
      </c>
      <c r="G109" s="22">
        <v>0.19898582947594404</v>
      </c>
      <c r="H109" s="22">
        <v>0.19898582947594404</v>
      </c>
      <c r="I109" s="22">
        <v>0.19898582947594404</v>
      </c>
      <c r="J109" s="22">
        <v>0.19898582947594404</v>
      </c>
      <c r="K109" s="22">
        <v>0.19898582947594404</v>
      </c>
      <c r="L109" s="22">
        <v>0.19898582947594404</v>
      </c>
      <c r="M109" s="22">
        <v>0.19898582947594404</v>
      </c>
      <c r="N109" s="22">
        <v>0.19898582947594404</v>
      </c>
      <c r="O109" s="22">
        <v>0.19898582947594404</v>
      </c>
      <c r="P109" s="22">
        <v>0.19898582947594404</v>
      </c>
      <c r="Q109" s="22">
        <v>0.19898582947594404</v>
      </c>
      <c r="R109" s="22">
        <v>0.19898582947594404</v>
      </c>
      <c r="S109" s="22">
        <v>0.19898582947594404</v>
      </c>
      <c r="T109" s="22">
        <v>0.18582529423090632</v>
      </c>
      <c r="U109" s="22">
        <v>0.18582529423090632</v>
      </c>
      <c r="V109" s="22">
        <v>0.18582529423090632</v>
      </c>
      <c r="W109" s="22">
        <v>0.18582529423090632</v>
      </c>
      <c r="X109" s="22">
        <v>6.9165711407782439E-3</v>
      </c>
      <c r="Y109" s="11" t="s">
        <v>573</v>
      </c>
      <c r="Z109" t="s">
        <v>484</v>
      </c>
    </row>
    <row r="110" spans="2:26" ht="16.5" x14ac:dyDescent="0.45">
      <c r="B110" s="20">
        <v>50</v>
      </c>
      <c r="C110" s="20" t="str">
        <f>Refsz_Verbräuche[[#This Row],[Datenpunkt]]</f>
        <v>DR - Mietwägen (CNG)</v>
      </c>
      <c r="D110" t="s">
        <v>481</v>
      </c>
      <c r="E110" s="23">
        <v>0.19430236726041999</v>
      </c>
      <c r="F110" s="23">
        <v>0.19430236726041999</v>
      </c>
      <c r="G110" s="23">
        <v>0.19430236726041999</v>
      </c>
      <c r="H110" s="23">
        <v>0.19430236726041999</v>
      </c>
      <c r="I110" s="23">
        <v>0.19430236726041999</v>
      </c>
      <c r="J110" s="23">
        <v>0.19430236726041999</v>
      </c>
      <c r="K110" s="23">
        <v>0.19430236726041999</v>
      </c>
      <c r="L110" s="23">
        <v>0.19430236726041999</v>
      </c>
      <c r="M110" s="23">
        <v>0.19430236726041999</v>
      </c>
      <c r="N110" s="23">
        <v>0.19430236726041999</v>
      </c>
      <c r="O110" s="23">
        <v>0.19430236726041999</v>
      </c>
      <c r="P110" s="23">
        <v>0.19430236726041999</v>
      </c>
      <c r="Q110" s="23">
        <v>0.19430236726041999</v>
      </c>
      <c r="R110" s="23">
        <v>0.19430236726041999</v>
      </c>
      <c r="S110" s="23">
        <v>0.19430236726041999</v>
      </c>
      <c r="T110" s="23">
        <v>0.17257425041292387</v>
      </c>
      <c r="U110" s="23">
        <v>0.17257425041292387</v>
      </c>
      <c r="V110" s="23">
        <v>0.17257425041292387</v>
      </c>
      <c r="W110" s="23">
        <v>0.17257425041292387</v>
      </c>
      <c r="X110" s="23">
        <v>9.4253410530137013E-3</v>
      </c>
      <c r="Y110" s="11" t="s">
        <v>573</v>
      </c>
      <c r="Z110" t="s">
        <v>484</v>
      </c>
    </row>
    <row r="111" spans="2:26" ht="16.5" x14ac:dyDescent="0.45">
      <c r="B111" s="20">
        <v>51</v>
      </c>
      <c r="C111" s="20" t="str">
        <f>Refsz_Verbräuche[[#This Row],[Datenpunkt]]</f>
        <v>DR - Mietwägen (Plug-In-Hybrid/ PHEV)</v>
      </c>
      <c r="D111" t="s">
        <v>481</v>
      </c>
      <c r="E111" s="23">
        <v>0.19039932667175896</v>
      </c>
      <c r="F111" s="23">
        <v>0.19039932667175896</v>
      </c>
      <c r="G111" s="23">
        <v>0.19039932667175896</v>
      </c>
      <c r="H111" s="23">
        <v>0.19039932667175896</v>
      </c>
      <c r="I111" s="23">
        <v>0.19039932667175896</v>
      </c>
      <c r="J111" s="23">
        <v>0.19039932667175896</v>
      </c>
      <c r="K111" s="23">
        <v>0.19039932667175896</v>
      </c>
      <c r="L111" s="23">
        <v>0.19039932667175896</v>
      </c>
      <c r="M111" s="23">
        <v>0.19039932667175896</v>
      </c>
      <c r="N111" s="23">
        <v>0.19039932667175896</v>
      </c>
      <c r="O111" s="23">
        <v>0.19039932667175896</v>
      </c>
      <c r="P111" s="23">
        <v>0.19039932667175896</v>
      </c>
      <c r="Q111" s="23">
        <v>0.19039932667175896</v>
      </c>
      <c r="R111" s="23">
        <v>0.19039932667175896</v>
      </c>
      <c r="S111" s="23">
        <v>0.19039932667175896</v>
      </c>
      <c r="T111" s="23">
        <v>0.14826064928261593</v>
      </c>
      <c r="U111" s="23">
        <v>0.14826064928261593</v>
      </c>
      <c r="V111" s="23">
        <v>0.14826064928261593</v>
      </c>
      <c r="W111" s="23">
        <v>0.14826064928261593</v>
      </c>
      <c r="X111" s="23">
        <v>6.4973040225473544E-3</v>
      </c>
      <c r="Y111" s="11" t="s">
        <v>573</v>
      </c>
      <c r="Z111" t="s">
        <v>484</v>
      </c>
    </row>
    <row r="112" spans="2:26" ht="16.5" x14ac:dyDescent="0.45">
      <c r="B112" s="20">
        <v>52</v>
      </c>
      <c r="C112" s="20" t="str">
        <f>Refsz_Verbräuche[[#This Row],[Datenpunkt]]</f>
        <v>DR - E-Bike</v>
      </c>
      <c r="D112" t="s">
        <v>481</v>
      </c>
      <c r="E112" s="22">
        <f>0.0087+0.003</f>
        <v>1.1699999999999999E-2</v>
      </c>
      <c r="F112" s="22">
        <f>0.0087+0.003</f>
        <v>1.1699999999999999E-2</v>
      </c>
      <c r="G112" s="22">
        <f t="shared" ref="G112:X112" si="8">0.0087+0.003</f>
        <v>1.1699999999999999E-2</v>
      </c>
      <c r="H112" s="22">
        <f t="shared" si="8"/>
        <v>1.1699999999999999E-2</v>
      </c>
      <c r="I112" s="22">
        <f t="shared" si="8"/>
        <v>1.1699999999999999E-2</v>
      </c>
      <c r="J112" s="22">
        <f t="shared" si="8"/>
        <v>1.1699999999999999E-2</v>
      </c>
      <c r="K112" s="22">
        <f t="shared" si="8"/>
        <v>1.1699999999999999E-2</v>
      </c>
      <c r="L112" s="22">
        <f t="shared" si="8"/>
        <v>1.1699999999999999E-2</v>
      </c>
      <c r="M112" s="22">
        <f t="shared" si="8"/>
        <v>1.1699999999999999E-2</v>
      </c>
      <c r="N112" s="22">
        <f t="shared" si="8"/>
        <v>1.1699999999999999E-2</v>
      </c>
      <c r="O112" s="22">
        <f t="shared" si="8"/>
        <v>1.1699999999999999E-2</v>
      </c>
      <c r="P112" s="22">
        <f t="shared" si="8"/>
        <v>1.1699999999999999E-2</v>
      </c>
      <c r="Q112" s="22">
        <f t="shared" si="8"/>
        <v>1.1699999999999999E-2</v>
      </c>
      <c r="R112" s="22">
        <f t="shared" si="8"/>
        <v>1.1699999999999999E-2</v>
      </c>
      <c r="S112" s="22">
        <f t="shared" si="8"/>
        <v>1.1699999999999999E-2</v>
      </c>
      <c r="T112" s="22">
        <f t="shared" si="8"/>
        <v>1.1699999999999999E-2</v>
      </c>
      <c r="U112" s="22">
        <f t="shared" si="8"/>
        <v>1.1699999999999999E-2</v>
      </c>
      <c r="V112" s="22">
        <f t="shared" si="8"/>
        <v>1.1699999999999999E-2</v>
      </c>
      <c r="W112" s="22">
        <f t="shared" si="8"/>
        <v>1.1699999999999999E-2</v>
      </c>
      <c r="X112" s="22">
        <f t="shared" si="8"/>
        <v>1.1699999999999999E-2</v>
      </c>
      <c r="Y112" s="11" t="s">
        <v>429</v>
      </c>
      <c r="Z112" s="11" t="s">
        <v>565</v>
      </c>
    </row>
    <row r="113" spans="2:26" ht="16.5" x14ac:dyDescent="0.45">
      <c r="B113" s="20">
        <v>53</v>
      </c>
      <c r="C113" s="20" t="str">
        <f>Refsz_Verbräuche[[#This Row],[Datenpunkt]]</f>
        <v>DR - Fahrrad</v>
      </c>
      <c r="D113" t="s">
        <v>481</v>
      </c>
      <c r="E113" s="22">
        <v>8.6999999999999994E-3</v>
      </c>
      <c r="F113" s="22">
        <v>8.6999999999999994E-3</v>
      </c>
      <c r="G113" s="22">
        <v>8.6999999999999994E-3</v>
      </c>
      <c r="H113" s="22">
        <v>8.6999999999999994E-3</v>
      </c>
      <c r="I113" s="22">
        <v>8.6999999999999994E-3</v>
      </c>
      <c r="J113" s="22">
        <v>8.6999999999999994E-3</v>
      </c>
      <c r="K113" s="22">
        <v>8.6999999999999994E-3</v>
      </c>
      <c r="L113" s="22">
        <v>8.6999999999999994E-3</v>
      </c>
      <c r="M113" s="22">
        <v>8.6999999999999994E-3</v>
      </c>
      <c r="N113" s="22">
        <v>8.6999999999999994E-3</v>
      </c>
      <c r="O113" s="22">
        <v>8.6999999999999994E-3</v>
      </c>
      <c r="P113" s="22">
        <v>8.6999999999999994E-3</v>
      </c>
      <c r="Q113" s="22">
        <v>8.6999999999999994E-3</v>
      </c>
      <c r="R113" s="22">
        <v>8.6999999999999994E-3</v>
      </c>
      <c r="S113" s="22">
        <v>8.6999999999999994E-3</v>
      </c>
      <c r="T113" s="22">
        <v>8.6999999999999994E-3</v>
      </c>
      <c r="U113" s="22">
        <v>8.6999999999999994E-3</v>
      </c>
      <c r="V113" s="22">
        <v>8.6999999999999994E-3</v>
      </c>
      <c r="W113" s="22">
        <v>8.6999999999999994E-3</v>
      </c>
      <c r="X113" s="22">
        <v>8.6999999999999994E-3</v>
      </c>
      <c r="Y113" s="11" t="s">
        <v>170</v>
      </c>
      <c r="Z113" s="11" t="s">
        <v>171</v>
      </c>
    </row>
    <row r="114" spans="2:26" x14ac:dyDescent="0.35">
      <c r="B114" s="20">
        <v>54</v>
      </c>
      <c r="C114" s="20">
        <f>Refsz_Verbräuche[[#This Row],[Datenpunkt]]</f>
        <v>0</v>
      </c>
      <c r="D114" s="9"/>
      <c r="E114" s="22"/>
      <c r="F114" s="22"/>
      <c r="G114" s="22"/>
      <c r="H114" s="22"/>
      <c r="I114" s="22"/>
      <c r="J114" s="22"/>
      <c r="K114" s="22"/>
      <c r="L114" s="22"/>
      <c r="M114" s="22"/>
      <c r="N114" s="22"/>
      <c r="O114" s="22"/>
      <c r="P114" s="22"/>
      <c r="Q114" s="22"/>
      <c r="R114" s="22"/>
      <c r="S114" s="22"/>
      <c r="T114" s="22"/>
      <c r="U114" s="22"/>
      <c r="V114" s="22"/>
      <c r="W114" s="22"/>
      <c r="X114" s="22"/>
      <c r="Y114" s="11"/>
      <c r="Z114" s="11"/>
    </row>
    <row r="115" spans="2:26" ht="16.5" x14ac:dyDescent="0.45">
      <c r="B115" s="20">
        <v>55</v>
      </c>
      <c r="C115" s="20" t="str">
        <f>Refsz_Verbräuche[[#This Row],[Datenpunkt]]</f>
        <v>Studierendenreisen (Outgoing) - Flugreisen</v>
      </c>
      <c r="D115" t="s">
        <v>162</v>
      </c>
      <c r="E115" s="22">
        <v>0.214</v>
      </c>
      <c r="F115" s="22">
        <v>0.214</v>
      </c>
      <c r="G115" s="22">
        <v>0.20100000000000001</v>
      </c>
      <c r="H115" s="22">
        <v>0.23</v>
      </c>
      <c r="I115" s="22">
        <v>0.214</v>
      </c>
      <c r="J115" s="22">
        <v>0.28399999999999997</v>
      </c>
      <c r="K115" s="22">
        <v>0.28399999999999997</v>
      </c>
      <c r="L115" s="22">
        <v>0.23799999999999999</v>
      </c>
      <c r="M115" s="22">
        <v>0.23799999999999999</v>
      </c>
      <c r="N115" s="22">
        <v>0.23799999999999999</v>
      </c>
      <c r="O115" s="22">
        <v>0.23799999999999999</v>
      </c>
      <c r="P115" s="22">
        <v>0.23799999999999999</v>
      </c>
      <c r="Q115" s="22">
        <v>0.23799999999999999</v>
      </c>
      <c r="R115" s="22">
        <v>0.23799999999999999</v>
      </c>
      <c r="S115" s="22">
        <v>0.23799999999999999</v>
      </c>
      <c r="T115" s="22">
        <v>0.23799999999999999</v>
      </c>
      <c r="U115" s="22">
        <v>0.23799999999999999</v>
      </c>
      <c r="V115" s="22">
        <v>0.23799999999999999</v>
      </c>
      <c r="W115" s="22">
        <v>0.23799999999999999</v>
      </c>
      <c r="X115" s="22">
        <v>0.23799999999999999</v>
      </c>
      <c r="Y115" t="s">
        <v>572</v>
      </c>
      <c r="Z115" t="s">
        <v>543</v>
      </c>
    </row>
    <row r="116" spans="2:26" ht="16.5" x14ac:dyDescent="0.45">
      <c r="B116" s="20">
        <v>56</v>
      </c>
      <c r="C116" s="20" t="str">
        <f>Refsz_Verbräuche[[#This Row],[Datenpunkt]]</f>
        <v>Studierendenreisen (Outgoing) - Eisenbahn (Nahverkehr)</v>
      </c>
      <c r="D116" t="s">
        <v>162</v>
      </c>
      <c r="E116" s="23">
        <v>6.3E-2</v>
      </c>
      <c r="F116" s="23">
        <v>6.3E-2</v>
      </c>
      <c r="G116" s="23">
        <v>0.06</v>
      </c>
      <c r="H116" s="23">
        <v>5.7000000000000002E-2</v>
      </c>
      <c r="I116" s="23">
        <v>5.3999999999999999E-2</v>
      </c>
      <c r="J116" s="23">
        <v>8.4000000000000005E-2</v>
      </c>
      <c r="K116" s="23">
        <v>8.4000000000000005E-2</v>
      </c>
      <c r="L116" s="22">
        <v>5.8000000000000003E-2</v>
      </c>
      <c r="M116" s="22">
        <v>5.8000000000000003E-2</v>
      </c>
      <c r="N116" s="22">
        <v>5.8000000000000003E-2</v>
      </c>
      <c r="O116" s="22">
        <v>5.8000000000000003E-2</v>
      </c>
      <c r="P116" s="22">
        <v>5.8000000000000003E-2</v>
      </c>
      <c r="Q116" s="22">
        <v>5.8000000000000003E-2</v>
      </c>
      <c r="R116" s="22">
        <v>5.8000000000000003E-2</v>
      </c>
      <c r="S116" s="22">
        <v>5.8000000000000003E-2</v>
      </c>
      <c r="T116" s="22">
        <v>5.8000000000000003E-2</v>
      </c>
      <c r="U116" s="22">
        <v>5.8000000000000003E-2</v>
      </c>
      <c r="V116" s="22">
        <v>5.8000000000000003E-2</v>
      </c>
      <c r="W116" s="22">
        <v>5.8000000000000003E-2</v>
      </c>
      <c r="X116" s="22">
        <v>5.8000000000000003E-2</v>
      </c>
      <c r="Y116" t="s">
        <v>572</v>
      </c>
      <c r="Z116" t="s">
        <v>420</v>
      </c>
    </row>
    <row r="117" spans="2:26" ht="16.5" x14ac:dyDescent="0.45">
      <c r="B117" s="20">
        <v>57</v>
      </c>
      <c r="C117" s="20" t="str">
        <f>Refsz_Verbräuche[[#This Row],[Datenpunkt]]</f>
        <v>Studierendenreisen (Outgoing) - Privater PKW (alle Antriebsarten)</v>
      </c>
      <c r="D117" t="s">
        <v>481</v>
      </c>
      <c r="E117" s="23">
        <v>0.23623978654181144</v>
      </c>
      <c r="F117" s="23">
        <v>0.23623978654181144</v>
      </c>
      <c r="G117" s="23">
        <v>0.23623978654181144</v>
      </c>
      <c r="H117" s="23">
        <v>0.23623978654181144</v>
      </c>
      <c r="I117" s="23">
        <v>0.23422321695168971</v>
      </c>
      <c r="J117" s="23">
        <v>0.22469340606791299</v>
      </c>
      <c r="K117" s="22">
        <v>0.21428223341996916</v>
      </c>
      <c r="L117" s="22">
        <v>0.21264844634438446</v>
      </c>
      <c r="M117" s="22">
        <v>0.21264844634438446</v>
      </c>
      <c r="N117" s="22">
        <v>0.21264844634438446</v>
      </c>
      <c r="O117" s="22">
        <v>0.21264844634438446</v>
      </c>
      <c r="P117" s="22">
        <v>0.21264844634438446</v>
      </c>
      <c r="Q117" s="22">
        <v>0.21264844634438446</v>
      </c>
      <c r="R117" s="22">
        <v>0.21264844634438446</v>
      </c>
      <c r="S117" s="22">
        <v>0.21264844634438446</v>
      </c>
      <c r="T117" s="22">
        <v>0.1862936273223203</v>
      </c>
      <c r="U117" s="22">
        <v>0.1862936273223203</v>
      </c>
      <c r="V117" s="22">
        <v>0.1862936273223203</v>
      </c>
      <c r="W117" s="22">
        <v>0.1862936273223203</v>
      </c>
      <c r="X117" s="22">
        <v>9.2224143716755514E-3</v>
      </c>
      <c r="Y117" s="11" t="s">
        <v>573</v>
      </c>
    </row>
    <row r="118" spans="2:26" x14ac:dyDescent="0.35">
      <c r="B118" s="20">
        <v>58</v>
      </c>
      <c r="C118" s="20">
        <f>Refsz_Verbräuche[[#This Row],[Datenpunkt]]</f>
        <v>0</v>
      </c>
      <c r="E118" s="22"/>
      <c r="F118" s="22"/>
      <c r="G118" s="22"/>
      <c r="H118" s="22"/>
      <c r="I118" s="22"/>
      <c r="J118" s="22"/>
      <c r="K118" s="22"/>
      <c r="L118" s="22"/>
      <c r="M118" s="22"/>
      <c r="N118" s="22"/>
      <c r="O118" s="22"/>
      <c r="P118" s="22"/>
      <c r="Q118" s="22"/>
      <c r="R118" s="22"/>
      <c r="S118" s="22"/>
      <c r="T118" s="22"/>
      <c r="U118" s="22"/>
      <c r="V118" s="22"/>
      <c r="W118" s="22"/>
      <c r="X118" s="22"/>
      <c r="Y118" s="11"/>
      <c r="Z118" s="11"/>
    </row>
    <row r="119" spans="2:26" ht="16.5" x14ac:dyDescent="0.45">
      <c r="B119" s="20">
        <v>59</v>
      </c>
      <c r="C119" s="20" t="str">
        <f>Refsz_Verbräuche[[#This Row],[Datenpunkt]]</f>
        <v>Exkursionen - Flugreisen</v>
      </c>
      <c r="D119" t="s">
        <v>162</v>
      </c>
      <c r="E119" s="22">
        <v>0.214</v>
      </c>
      <c r="F119" s="22">
        <v>0.214</v>
      </c>
      <c r="G119" s="22">
        <v>0.20100000000000001</v>
      </c>
      <c r="H119" s="22">
        <v>0.23</v>
      </c>
      <c r="I119" s="22">
        <v>0.214</v>
      </c>
      <c r="J119" s="22">
        <v>0.28399999999999997</v>
      </c>
      <c r="K119" s="22">
        <v>0.28399999999999997</v>
      </c>
      <c r="L119" s="22">
        <v>0.23799999999999999</v>
      </c>
      <c r="M119" s="22">
        <v>0.23799999999999999</v>
      </c>
      <c r="N119" s="22">
        <v>0.23799999999999999</v>
      </c>
      <c r="O119" s="22">
        <v>0.23799999999999999</v>
      </c>
      <c r="P119" s="22">
        <v>0.23799999999999999</v>
      </c>
      <c r="Q119" s="22">
        <v>0.23799999999999999</v>
      </c>
      <c r="R119" s="22">
        <v>0.23799999999999999</v>
      </c>
      <c r="S119" s="22">
        <v>0.23799999999999999</v>
      </c>
      <c r="T119" s="22">
        <v>0.23799999999999999</v>
      </c>
      <c r="U119" s="22">
        <v>0.23799999999999999</v>
      </c>
      <c r="V119" s="22">
        <v>0.23799999999999999</v>
      </c>
      <c r="W119" s="22">
        <v>0.23799999999999999</v>
      </c>
      <c r="X119" s="22">
        <v>0.23799999999999999</v>
      </c>
      <c r="Y119" t="s">
        <v>572</v>
      </c>
      <c r="Z119" t="s">
        <v>543</v>
      </c>
    </row>
    <row r="120" spans="2:26" ht="16.5" x14ac:dyDescent="0.45">
      <c r="B120" s="20">
        <v>60</v>
      </c>
      <c r="C120" s="20" t="str">
        <f>Refsz_Verbräuche[[#This Row],[Datenpunkt]]</f>
        <v>Exkursionen - Eisenbahn (Nahverkehr)</v>
      </c>
      <c r="D120" t="s">
        <v>162</v>
      </c>
      <c r="E120" s="23">
        <v>6.3E-2</v>
      </c>
      <c r="F120" s="23">
        <v>6.3E-2</v>
      </c>
      <c r="G120" s="23">
        <v>0.06</v>
      </c>
      <c r="H120" s="23">
        <v>5.7000000000000002E-2</v>
      </c>
      <c r="I120" s="23">
        <v>5.3999999999999999E-2</v>
      </c>
      <c r="J120" s="23">
        <v>8.4000000000000005E-2</v>
      </c>
      <c r="K120" s="23">
        <v>8.4000000000000005E-2</v>
      </c>
      <c r="L120" s="22">
        <v>5.8000000000000003E-2</v>
      </c>
      <c r="M120" s="22">
        <v>5.8000000000000003E-2</v>
      </c>
      <c r="N120" s="22">
        <v>5.8000000000000003E-2</v>
      </c>
      <c r="O120" s="22">
        <v>5.8000000000000003E-2</v>
      </c>
      <c r="P120" s="22">
        <v>5.8000000000000003E-2</v>
      </c>
      <c r="Q120" s="22">
        <v>5.8000000000000003E-2</v>
      </c>
      <c r="R120" s="22">
        <v>5.8000000000000003E-2</v>
      </c>
      <c r="S120" s="22">
        <v>5.8000000000000003E-2</v>
      </c>
      <c r="T120" s="22">
        <v>5.8000000000000003E-2</v>
      </c>
      <c r="U120" s="22">
        <v>5.8000000000000003E-2</v>
      </c>
      <c r="V120" s="22">
        <v>5.8000000000000003E-2</v>
      </c>
      <c r="W120" s="22">
        <v>5.8000000000000003E-2</v>
      </c>
      <c r="X120" s="22">
        <v>5.8000000000000003E-2</v>
      </c>
      <c r="Y120" t="s">
        <v>572</v>
      </c>
      <c r="Z120" t="s">
        <v>420</v>
      </c>
    </row>
    <row r="121" spans="2:26" ht="16.5" x14ac:dyDescent="0.45">
      <c r="B121" s="20">
        <v>61</v>
      </c>
      <c r="C121" s="20" t="str">
        <f>Refsz_Verbräuche[[#This Row],[Datenpunkt]]</f>
        <v>Exkursionen - Privater PKW (alle Antriebsarten)</v>
      </c>
      <c r="D121" t="s">
        <v>481</v>
      </c>
      <c r="E121" s="23">
        <v>0.23623978654181144</v>
      </c>
      <c r="F121" s="23">
        <v>0.23623978654181144</v>
      </c>
      <c r="G121" s="23">
        <v>0.23623978654181144</v>
      </c>
      <c r="H121" s="23">
        <v>0.23623978654181144</v>
      </c>
      <c r="I121" s="23">
        <v>0.23422321695168971</v>
      </c>
      <c r="J121" s="23">
        <v>0.22469340606791299</v>
      </c>
      <c r="K121" s="22">
        <v>0.21428223341996916</v>
      </c>
      <c r="L121" s="22">
        <v>0.21264844634438446</v>
      </c>
      <c r="M121" s="22">
        <v>0.21264844634438446</v>
      </c>
      <c r="N121" s="22">
        <v>0.21264844634438446</v>
      </c>
      <c r="O121" s="22">
        <v>0.21264844634438446</v>
      </c>
      <c r="P121" s="22">
        <v>0.21264844634438446</v>
      </c>
      <c r="Q121" s="22">
        <v>0.21264844634438446</v>
      </c>
      <c r="R121" s="22">
        <v>0.21264844634438446</v>
      </c>
      <c r="S121" s="22">
        <v>0.21264844634438446</v>
      </c>
      <c r="T121" s="22">
        <v>0.1862936273223203</v>
      </c>
      <c r="U121" s="22">
        <v>0.1862936273223203</v>
      </c>
      <c r="V121" s="22">
        <v>0.1862936273223203</v>
      </c>
      <c r="W121" s="22">
        <v>0.1862936273223203</v>
      </c>
      <c r="X121" s="22">
        <v>9.2224143716755514E-3</v>
      </c>
      <c r="Y121" s="11" t="s">
        <v>573</v>
      </c>
    </row>
    <row r="122" spans="2:26" x14ac:dyDescent="0.35">
      <c r="B122" s="20">
        <v>62</v>
      </c>
      <c r="C122" s="20">
        <f>Refsz_Verbräuche[[#This Row],[Datenpunkt]]</f>
        <v>0</v>
      </c>
      <c r="E122" s="23"/>
      <c r="F122" s="23"/>
      <c r="G122" s="23"/>
      <c r="H122" s="23"/>
      <c r="I122" s="23"/>
      <c r="J122" s="23"/>
      <c r="K122" s="22"/>
      <c r="L122" s="22"/>
      <c r="M122" s="22"/>
      <c r="N122" s="22"/>
      <c r="O122" s="22"/>
      <c r="P122" s="22"/>
      <c r="Q122" s="22"/>
      <c r="R122" s="22"/>
      <c r="S122" s="22"/>
      <c r="T122" s="22"/>
      <c r="U122" s="22"/>
      <c r="V122" s="22"/>
      <c r="W122" s="22"/>
      <c r="X122" s="22"/>
      <c r="Y122" s="11"/>
      <c r="Z122" s="11"/>
    </row>
    <row r="123" spans="2:26" ht="16.5" x14ac:dyDescent="0.45">
      <c r="B123" s="20">
        <v>63</v>
      </c>
      <c r="C123" s="20" t="str">
        <f>Refsz_Verbräuche[[#This Row],[Datenpunkt]]</f>
        <v>Pendeln - Eisenbahn (Fernverkehr)</v>
      </c>
      <c r="D123" t="s">
        <v>162</v>
      </c>
      <c r="E123" s="23">
        <v>3.7999999999999999E-2</v>
      </c>
      <c r="F123" s="23">
        <v>3.7999999999999999E-2</v>
      </c>
      <c r="G123" s="23">
        <v>3.5999999999999997E-2</v>
      </c>
      <c r="H123" s="23">
        <v>3.2000000000000001E-2</v>
      </c>
      <c r="I123" s="23">
        <v>2.9000000000000001E-2</v>
      </c>
      <c r="J123" s="23">
        <v>2.9000000000000001E-2</v>
      </c>
      <c r="K123" s="22">
        <v>0.05</v>
      </c>
      <c r="L123" s="22">
        <v>3.1E-2</v>
      </c>
      <c r="M123" s="22">
        <v>3.1E-2</v>
      </c>
      <c r="N123" s="22">
        <v>3.1E-2</v>
      </c>
      <c r="O123" s="22">
        <v>3.1E-2</v>
      </c>
      <c r="P123" s="22">
        <v>3.1E-2</v>
      </c>
      <c r="Q123" s="22">
        <v>3.1E-2</v>
      </c>
      <c r="R123" s="22">
        <v>3.1E-2</v>
      </c>
      <c r="S123" s="22">
        <v>3.1E-2</v>
      </c>
      <c r="T123" s="22">
        <v>3.1E-2</v>
      </c>
      <c r="U123" s="22">
        <v>3.1E-2</v>
      </c>
      <c r="V123" s="22">
        <v>3.1E-2</v>
      </c>
      <c r="W123" s="22">
        <v>3.1E-2</v>
      </c>
      <c r="X123" s="22">
        <v>3.1E-2</v>
      </c>
      <c r="Y123" t="s">
        <v>572</v>
      </c>
      <c r="Z123" t="s">
        <v>421</v>
      </c>
    </row>
    <row r="124" spans="2:26" ht="16.5" x14ac:dyDescent="0.45">
      <c r="B124" s="20">
        <v>64</v>
      </c>
      <c r="C124" s="20" t="str">
        <f>Refsz_Verbräuche[[#This Row],[Datenpunkt]]</f>
        <v>Pendeln - Eisenbahn (Nahverkehr)</v>
      </c>
      <c r="D124" t="s">
        <v>162</v>
      </c>
      <c r="E124" s="23">
        <v>6.3E-2</v>
      </c>
      <c r="F124" s="23">
        <v>6.3E-2</v>
      </c>
      <c r="G124" s="23">
        <v>0.06</v>
      </c>
      <c r="H124" s="23">
        <v>5.7000000000000002E-2</v>
      </c>
      <c r="I124" s="23">
        <v>5.3999999999999999E-2</v>
      </c>
      <c r="J124" s="23">
        <v>8.4000000000000005E-2</v>
      </c>
      <c r="K124" s="23">
        <v>8.4000000000000005E-2</v>
      </c>
      <c r="L124" s="22">
        <v>5.8000000000000003E-2</v>
      </c>
      <c r="M124" s="22">
        <v>5.8000000000000003E-2</v>
      </c>
      <c r="N124" s="22">
        <v>5.8000000000000003E-2</v>
      </c>
      <c r="O124" s="22">
        <v>5.8000000000000003E-2</v>
      </c>
      <c r="P124" s="22">
        <v>5.8000000000000003E-2</v>
      </c>
      <c r="Q124" s="22">
        <v>5.8000000000000003E-2</v>
      </c>
      <c r="R124" s="22">
        <v>5.8000000000000003E-2</v>
      </c>
      <c r="S124" s="22">
        <v>5.8000000000000003E-2</v>
      </c>
      <c r="T124" s="22">
        <v>5.8000000000000003E-2</v>
      </c>
      <c r="U124" s="22">
        <v>5.8000000000000003E-2</v>
      </c>
      <c r="V124" s="22">
        <v>5.8000000000000003E-2</v>
      </c>
      <c r="W124" s="22">
        <v>5.8000000000000003E-2</v>
      </c>
      <c r="X124" s="22">
        <v>5.8000000000000003E-2</v>
      </c>
      <c r="Y124" t="s">
        <v>572</v>
      </c>
      <c r="Z124" t="s">
        <v>420</v>
      </c>
    </row>
    <row r="125" spans="2:26" ht="16.5" x14ac:dyDescent="0.45">
      <c r="B125" s="20">
        <v>65</v>
      </c>
      <c r="C125" s="20" t="str">
        <f>Refsz_Verbräuche[[#This Row],[Datenpunkt]]</f>
        <v>Pendeln - Linienbus (Nahverkehr)</v>
      </c>
      <c r="D125" t="s">
        <v>162</v>
      </c>
      <c r="E125" s="23">
        <v>7.4999999999999997E-2</v>
      </c>
      <c r="F125" s="23">
        <v>7.4999999999999997E-2</v>
      </c>
      <c r="G125" s="23">
        <v>7.4999999999999997E-2</v>
      </c>
      <c r="H125" s="23">
        <v>0.08</v>
      </c>
      <c r="I125" s="23">
        <v>8.3000000000000004E-2</v>
      </c>
      <c r="J125" s="23">
        <v>0.111</v>
      </c>
      <c r="K125" s="22">
        <v>0.111</v>
      </c>
      <c r="L125" s="22">
        <v>9.2999999999999999E-2</v>
      </c>
      <c r="M125" s="22">
        <v>9.2999999999999999E-2</v>
      </c>
      <c r="N125" s="22">
        <v>9.2999999999999999E-2</v>
      </c>
      <c r="O125" s="22">
        <v>9.2999999999999999E-2</v>
      </c>
      <c r="P125" s="22">
        <v>9.2999999999999999E-2</v>
      </c>
      <c r="Q125" s="22">
        <v>9.2999999999999999E-2</v>
      </c>
      <c r="R125" s="22">
        <v>9.2999999999999999E-2</v>
      </c>
      <c r="S125" s="22">
        <v>9.2999999999999999E-2</v>
      </c>
      <c r="T125" s="22">
        <v>9.2999999999999999E-2</v>
      </c>
      <c r="U125" s="22">
        <v>9.2999999999999999E-2</v>
      </c>
      <c r="V125" s="22">
        <v>9.2999999999999999E-2</v>
      </c>
      <c r="W125" s="22">
        <v>9.2999999999999999E-2</v>
      </c>
      <c r="X125" s="22">
        <v>9.2999999999999999E-2</v>
      </c>
      <c r="Y125" t="s">
        <v>572</v>
      </c>
      <c r="Z125" t="s">
        <v>419</v>
      </c>
    </row>
    <row r="126" spans="2:26" ht="16.5" x14ac:dyDescent="0.45">
      <c r="B126" s="20">
        <v>66</v>
      </c>
      <c r="C126" s="20" t="str">
        <f>Refsz_Verbräuche[[#This Row],[Datenpunkt]]</f>
        <v>Pendeln - PKW (alle Antriebsarten)</v>
      </c>
      <c r="D126" t="s">
        <v>481</v>
      </c>
      <c r="E126" s="23">
        <v>0.23623978654181144</v>
      </c>
      <c r="F126" s="23">
        <v>0.23623978654181144</v>
      </c>
      <c r="G126" s="23">
        <v>0.23623978654181144</v>
      </c>
      <c r="H126" s="23">
        <v>0.23623978654181144</v>
      </c>
      <c r="I126" s="23">
        <v>0.23422321695168971</v>
      </c>
      <c r="J126" s="23">
        <v>0.22469340606791299</v>
      </c>
      <c r="K126" s="22">
        <v>0.21428223341996916</v>
      </c>
      <c r="L126" s="22">
        <v>0.21264844634438446</v>
      </c>
      <c r="M126" s="22">
        <v>0.21264844634438446</v>
      </c>
      <c r="N126" s="22">
        <v>0.21264844634438446</v>
      </c>
      <c r="O126" s="22">
        <v>0.21264844634438446</v>
      </c>
      <c r="P126" s="22">
        <v>0.21264844634438446</v>
      </c>
      <c r="Q126" s="22">
        <v>0.21264844634438446</v>
      </c>
      <c r="R126" s="22">
        <v>0.21264844634438446</v>
      </c>
      <c r="S126" s="22">
        <v>0.21264844634438446</v>
      </c>
      <c r="T126" s="22">
        <v>0.1862936273223203</v>
      </c>
      <c r="U126" s="22">
        <v>0.1862936273223203</v>
      </c>
      <c r="V126" s="22">
        <v>0.1862936273223203</v>
      </c>
      <c r="W126" s="22">
        <v>0.1862936273223203</v>
      </c>
      <c r="X126" s="22">
        <v>9.2224143716755514E-3</v>
      </c>
      <c r="Y126" s="11" t="s">
        <v>573</v>
      </c>
    </row>
    <row r="127" spans="2:26" ht="16.5" x14ac:dyDescent="0.45">
      <c r="B127" s="20">
        <v>67</v>
      </c>
      <c r="C127" s="20" t="str">
        <f>Refsz_Verbräuche[[#This Row],[Datenpunkt]]</f>
        <v>Pendeln - PKW (Diesel)</v>
      </c>
      <c r="D127" t="s">
        <v>481</v>
      </c>
      <c r="E127" s="23">
        <v>0.24147024456164837</v>
      </c>
      <c r="F127" s="23">
        <v>0.24147024456164837</v>
      </c>
      <c r="G127" s="23">
        <v>0.24147024456164837</v>
      </c>
      <c r="H127" s="23">
        <v>0.24147024456164837</v>
      </c>
      <c r="I127" s="23">
        <v>0.24147024456164837</v>
      </c>
      <c r="J127" s="23">
        <v>0.24147024456164837</v>
      </c>
      <c r="K127" s="23">
        <v>0.24147024456164837</v>
      </c>
      <c r="L127" s="23">
        <v>0.24147024456164837</v>
      </c>
      <c r="M127" s="23">
        <v>0.24147024456164837</v>
      </c>
      <c r="N127" s="23">
        <v>0.24147024456164837</v>
      </c>
      <c r="O127" s="23">
        <v>0.24147024456164837</v>
      </c>
      <c r="P127" s="23">
        <v>0.24147024456164837</v>
      </c>
      <c r="Q127" s="23">
        <v>0.24147024456164837</v>
      </c>
      <c r="R127" s="23">
        <v>0.24147024456164837</v>
      </c>
      <c r="S127" s="23">
        <v>0.24147024456164837</v>
      </c>
      <c r="T127" s="23">
        <v>0.2167995587252195</v>
      </c>
      <c r="U127" s="23">
        <v>0.2167995587252195</v>
      </c>
      <c r="V127" s="23">
        <v>0.2167995587252195</v>
      </c>
      <c r="W127" s="23">
        <v>0.2167995587252195</v>
      </c>
      <c r="X127" s="23">
        <v>1.3021317440630929E-2</v>
      </c>
      <c r="Y127" s="11" t="s">
        <v>573</v>
      </c>
      <c r="Z127" t="s">
        <v>484</v>
      </c>
    </row>
    <row r="128" spans="2:26" ht="16.5" x14ac:dyDescent="0.45">
      <c r="B128" s="20">
        <v>68</v>
      </c>
      <c r="C128" s="20" t="str">
        <f>Refsz_Verbräuche[[#This Row],[Datenpunkt]]</f>
        <v>Pendeln - PKW (Benzin)</v>
      </c>
      <c r="D128" t="s">
        <v>481</v>
      </c>
      <c r="E128" s="23">
        <v>0.23823316764042801</v>
      </c>
      <c r="F128" s="23">
        <v>0.23823316764042801</v>
      </c>
      <c r="G128" s="23">
        <v>0.23823316764042801</v>
      </c>
      <c r="H128" s="23">
        <v>0.23823316764042801</v>
      </c>
      <c r="I128" s="23">
        <v>0.23823316764042801</v>
      </c>
      <c r="J128" s="23">
        <v>0.23823316764042801</v>
      </c>
      <c r="K128" s="23">
        <v>0.23823316764042801</v>
      </c>
      <c r="L128" s="23">
        <v>0.23823316764042801</v>
      </c>
      <c r="M128" s="23">
        <v>0.23823316764042801</v>
      </c>
      <c r="N128" s="23">
        <v>0.23823316764042801</v>
      </c>
      <c r="O128" s="23">
        <v>0.23823316764042801</v>
      </c>
      <c r="P128" s="23">
        <v>0.23823316764042801</v>
      </c>
      <c r="Q128" s="23">
        <v>0.23823316764042801</v>
      </c>
      <c r="R128" s="23">
        <v>0.23823316764042801</v>
      </c>
      <c r="S128" s="23">
        <v>0.23823316764042801</v>
      </c>
      <c r="T128" s="23">
        <v>0.21114519195821158</v>
      </c>
      <c r="U128" s="23">
        <v>0.21114519195821158</v>
      </c>
      <c r="V128" s="23">
        <v>0.21114519195821158</v>
      </c>
      <c r="W128" s="23">
        <v>0.21114519195821158</v>
      </c>
      <c r="X128" s="23">
        <v>1.0557175497570959E-2</v>
      </c>
      <c r="Y128" s="11" t="s">
        <v>573</v>
      </c>
      <c r="Z128" t="s">
        <v>484</v>
      </c>
    </row>
    <row r="129" spans="2:26" ht="16.5" x14ac:dyDescent="0.45">
      <c r="B129" s="20">
        <v>69</v>
      </c>
      <c r="C129" s="20" t="str">
        <f>Refsz_Verbräuche[[#This Row],[Datenpunkt]]</f>
        <v>Pendeln - PKW (E-Auto/ BEV)</v>
      </c>
      <c r="D129" t="s">
        <v>481</v>
      </c>
      <c r="E129" s="23">
        <v>0.13988990608409799</v>
      </c>
      <c r="F129" s="23">
        <v>0.13988990608409799</v>
      </c>
      <c r="G129" s="23">
        <v>0.13988990608409799</v>
      </c>
      <c r="H129" s="23">
        <v>0.13988990608409799</v>
      </c>
      <c r="I129" s="23">
        <v>0.13988990608409799</v>
      </c>
      <c r="J129" s="23">
        <v>0.13988990608409799</v>
      </c>
      <c r="K129" s="23">
        <v>0.13988990608409799</v>
      </c>
      <c r="L129" s="23">
        <v>0.13988990608409799</v>
      </c>
      <c r="M129" s="23">
        <v>0.13988990608409799</v>
      </c>
      <c r="N129" s="23">
        <v>0.13988990608409799</v>
      </c>
      <c r="O129" s="23">
        <v>0.13988990608409799</v>
      </c>
      <c r="P129" s="23">
        <v>0.13988990608409799</v>
      </c>
      <c r="Q129" s="23">
        <v>0.13988990608409799</v>
      </c>
      <c r="R129" s="23">
        <v>0.13988990608409799</v>
      </c>
      <c r="S129" s="23">
        <v>0.13988990608409799</v>
      </c>
      <c r="T129" s="23">
        <v>0.1106590587034632</v>
      </c>
      <c r="U129" s="23">
        <v>0.1106590587034632</v>
      </c>
      <c r="V129" s="23">
        <v>0.1106590587034632</v>
      </c>
      <c r="W129" s="23">
        <v>0.1106590587034632</v>
      </c>
      <c r="X129" s="23">
        <v>3.4756006759183145E-3</v>
      </c>
      <c r="Y129" s="11" t="s">
        <v>573</v>
      </c>
      <c r="Z129" t="s">
        <v>484</v>
      </c>
    </row>
    <row r="130" spans="2:26" ht="16.5" x14ac:dyDescent="0.45">
      <c r="B130" s="20">
        <v>70</v>
      </c>
      <c r="C130" s="20" t="str">
        <f>Refsz_Verbräuche[[#This Row],[Datenpunkt]]</f>
        <v>Pendeln - PKW (Wasserstoff/ FCEV)</v>
      </c>
      <c r="D130" t="s">
        <v>481</v>
      </c>
      <c r="E130" s="22">
        <v>0.19898582947594404</v>
      </c>
      <c r="F130" s="22">
        <v>0.19898582947594404</v>
      </c>
      <c r="G130" s="22">
        <v>0.19898582947594404</v>
      </c>
      <c r="H130" s="22">
        <v>0.19898582947594404</v>
      </c>
      <c r="I130" s="22">
        <v>0.19898582947594404</v>
      </c>
      <c r="J130" s="22">
        <v>0.19898582947594404</v>
      </c>
      <c r="K130" s="22">
        <v>0.19898582947594404</v>
      </c>
      <c r="L130" s="22">
        <v>0.19898582947594404</v>
      </c>
      <c r="M130" s="22">
        <v>0.19898582947594404</v>
      </c>
      <c r="N130" s="22">
        <v>0.19898582947594404</v>
      </c>
      <c r="O130" s="22">
        <v>0.19898582947594404</v>
      </c>
      <c r="P130" s="22">
        <v>0.19898582947594404</v>
      </c>
      <c r="Q130" s="22">
        <v>0.19898582947594404</v>
      </c>
      <c r="R130" s="22">
        <v>0.19898582947594404</v>
      </c>
      <c r="S130" s="22">
        <v>0.19898582947594404</v>
      </c>
      <c r="T130" s="22">
        <v>0.18582529423090632</v>
      </c>
      <c r="U130" s="22">
        <v>0.18582529423090632</v>
      </c>
      <c r="V130" s="22">
        <v>0.18582529423090632</v>
      </c>
      <c r="W130" s="22">
        <v>0.18582529423090632</v>
      </c>
      <c r="X130" s="22">
        <v>6.9165711407782439E-3</v>
      </c>
      <c r="Y130" s="11" t="s">
        <v>573</v>
      </c>
      <c r="Z130" t="s">
        <v>484</v>
      </c>
    </row>
    <row r="131" spans="2:26" ht="16.5" x14ac:dyDescent="0.45">
      <c r="B131" s="20">
        <v>71</v>
      </c>
      <c r="C131" s="20" t="str">
        <f>Refsz_Verbräuche[[#This Row],[Datenpunkt]]</f>
        <v>Pendeln - PKW (CNG)</v>
      </c>
      <c r="D131" t="s">
        <v>481</v>
      </c>
      <c r="E131" s="23">
        <v>0.19430236726041999</v>
      </c>
      <c r="F131" s="23">
        <v>0.19430236726041999</v>
      </c>
      <c r="G131" s="23">
        <v>0.19430236726041999</v>
      </c>
      <c r="H131" s="23">
        <v>0.19430236726041999</v>
      </c>
      <c r="I131" s="23">
        <v>0.19430236726041999</v>
      </c>
      <c r="J131" s="23">
        <v>0.19430236726041999</v>
      </c>
      <c r="K131" s="23">
        <v>0.19430236726041999</v>
      </c>
      <c r="L131" s="23">
        <v>0.19430236726041999</v>
      </c>
      <c r="M131" s="23">
        <v>0.19430236726041999</v>
      </c>
      <c r="N131" s="23">
        <v>0.19430236726041999</v>
      </c>
      <c r="O131" s="23">
        <v>0.19430236726041999</v>
      </c>
      <c r="P131" s="23">
        <v>0.19430236726041999</v>
      </c>
      <c r="Q131" s="23">
        <v>0.19430236726041999</v>
      </c>
      <c r="R131" s="23">
        <v>0.19430236726041999</v>
      </c>
      <c r="S131" s="23">
        <v>0.19430236726041999</v>
      </c>
      <c r="T131" s="23">
        <v>0.17257425041292387</v>
      </c>
      <c r="U131" s="23">
        <v>0.17257425041292387</v>
      </c>
      <c r="V131" s="23">
        <v>0.17257425041292387</v>
      </c>
      <c r="W131" s="23">
        <v>0.17257425041292387</v>
      </c>
      <c r="X131" s="23">
        <v>9.4253410530137013E-3</v>
      </c>
      <c r="Y131" s="11" t="s">
        <v>573</v>
      </c>
      <c r="Z131" t="s">
        <v>484</v>
      </c>
    </row>
    <row r="132" spans="2:26" ht="16.5" x14ac:dyDescent="0.45">
      <c r="B132" s="20">
        <v>72</v>
      </c>
      <c r="C132" s="20" t="str">
        <f>Refsz_Verbräuche[[#This Row],[Datenpunkt]]</f>
        <v>Pendeln - PKW (Plug-In-Hybrid/PHEV)</v>
      </c>
      <c r="D132" t="s">
        <v>481</v>
      </c>
      <c r="E132" s="23">
        <v>0.19039932667175896</v>
      </c>
      <c r="F132" s="23">
        <v>0.19039932667175896</v>
      </c>
      <c r="G132" s="23">
        <v>0.19039932667175896</v>
      </c>
      <c r="H132" s="23">
        <v>0.19039932667175896</v>
      </c>
      <c r="I132" s="23">
        <v>0.19039932667175896</v>
      </c>
      <c r="J132" s="23">
        <v>0.19039932667175896</v>
      </c>
      <c r="K132" s="23">
        <v>0.19039932667175896</v>
      </c>
      <c r="L132" s="23">
        <v>0.19039932667175896</v>
      </c>
      <c r="M132" s="23">
        <v>0.19039932667175896</v>
      </c>
      <c r="N132" s="23">
        <v>0.19039932667175896</v>
      </c>
      <c r="O132" s="23">
        <v>0.19039932667175896</v>
      </c>
      <c r="P132" s="23">
        <v>0.19039932667175896</v>
      </c>
      <c r="Q132" s="23">
        <v>0.19039932667175896</v>
      </c>
      <c r="R132" s="23">
        <v>0.19039932667175896</v>
      </c>
      <c r="S132" s="23">
        <v>0.19039932667175896</v>
      </c>
      <c r="T132" s="23">
        <v>0.14826064928261593</v>
      </c>
      <c r="U132" s="23">
        <v>0.14826064928261593</v>
      </c>
      <c r="V132" s="23">
        <v>0.14826064928261593</v>
      </c>
      <c r="W132" s="23">
        <v>0.14826064928261593</v>
      </c>
      <c r="X132" s="23">
        <v>6.4973040225473544E-3</v>
      </c>
      <c r="Y132" s="11" t="s">
        <v>573</v>
      </c>
      <c r="Z132" t="s">
        <v>484</v>
      </c>
    </row>
    <row r="133" spans="2:26" ht="16.5" x14ac:dyDescent="0.45">
      <c r="B133" s="20">
        <v>73</v>
      </c>
      <c r="C133" s="20" t="str">
        <f>Refsz_Verbräuche[[#This Row],[Datenpunkt]]</f>
        <v>Pendeln - Motorisierte Zweiräder</v>
      </c>
      <c r="D133" t="s">
        <v>481</v>
      </c>
      <c r="E133" s="22">
        <f t="shared" ref="E133:J133" si="9">(0.129+0.129+0.173)/3</f>
        <v>0.14366666666666666</v>
      </c>
      <c r="F133" s="22">
        <f t="shared" si="9"/>
        <v>0.14366666666666666</v>
      </c>
      <c r="G133" s="22">
        <f t="shared" si="9"/>
        <v>0.14366666666666666</v>
      </c>
      <c r="H133" s="22">
        <f t="shared" si="9"/>
        <v>0.14366666666666666</v>
      </c>
      <c r="I133" s="22">
        <f t="shared" si="9"/>
        <v>0.14366666666666666</v>
      </c>
      <c r="J133" s="22">
        <f t="shared" si="9"/>
        <v>0.14366666666666666</v>
      </c>
      <c r="K133" s="22">
        <f>(0.133+0.132+0.186)/3</f>
        <v>0.15033333333333335</v>
      </c>
      <c r="L133" s="22">
        <f t="shared" ref="L133:X133" si="10">(0.133+0.132+0.186)/3</f>
        <v>0.15033333333333335</v>
      </c>
      <c r="M133" s="22">
        <f t="shared" si="10"/>
        <v>0.15033333333333335</v>
      </c>
      <c r="N133" s="22">
        <f t="shared" si="10"/>
        <v>0.15033333333333335</v>
      </c>
      <c r="O133" s="22">
        <f t="shared" si="10"/>
        <v>0.15033333333333335</v>
      </c>
      <c r="P133" s="22">
        <f t="shared" si="10"/>
        <v>0.15033333333333335</v>
      </c>
      <c r="Q133" s="22">
        <f t="shared" si="10"/>
        <v>0.15033333333333335</v>
      </c>
      <c r="R133" s="22">
        <f t="shared" si="10"/>
        <v>0.15033333333333335</v>
      </c>
      <c r="S133" s="22">
        <f t="shared" si="10"/>
        <v>0.15033333333333335</v>
      </c>
      <c r="T133" s="22">
        <f t="shared" si="10"/>
        <v>0.15033333333333335</v>
      </c>
      <c r="U133" s="22">
        <f t="shared" si="10"/>
        <v>0.15033333333333335</v>
      </c>
      <c r="V133" s="22">
        <f t="shared" si="10"/>
        <v>0.15033333333333335</v>
      </c>
      <c r="W133" s="22">
        <f t="shared" si="10"/>
        <v>0.15033333333333335</v>
      </c>
      <c r="X133" s="22">
        <f t="shared" si="10"/>
        <v>0.15033333333333335</v>
      </c>
      <c r="Y133" s="11" t="s">
        <v>578</v>
      </c>
      <c r="Z133" s="11" t="s">
        <v>431</v>
      </c>
    </row>
    <row r="134" spans="2:26" ht="16.5" x14ac:dyDescent="0.45">
      <c r="B134" s="20">
        <v>74</v>
      </c>
      <c r="C134" s="20" t="str">
        <f>Refsz_Verbräuche[[#This Row],[Datenpunkt]]</f>
        <v>Pendeln - Fahrrad</v>
      </c>
      <c r="D134" t="s">
        <v>481</v>
      </c>
      <c r="E134" s="22">
        <v>8.6999999999999994E-3</v>
      </c>
      <c r="F134" s="22">
        <v>8.6999999999999994E-3</v>
      </c>
      <c r="G134" s="22">
        <v>8.6999999999999994E-3</v>
      </c>
      <c r="H134" s="22">
        <v>8.6999999999999994E-3</v>
      </c>
      <c r="I134" s="22">
        <v>8.6999999999999994E-3</v>
      </c>
      <c r="J134" s="22">
        <v>8.6999999999999994E-3</v>
      </c>
      <c r="K134" s="22">
        <v>8.6999999999999994E-3</v>
      </c>
      <c r="L134" s="22">
        <v>8.6999999999999994E-3</v>
      </c>
      <c r="M134" s="22">
        <v>8.6999999999999994E-3</v>
      </c>
      <c r="N134" s="22">
        <v>8.6999999999999994E-3</v>
      </c>
      <c r="O134" s="22">
        <v>8.6999999999999994E-3</v>
      </c>
      <c r="P134" s="22">
        <v>8.6999999999999994E-3</v>
      </c>
      <c r="Q134" s="22">
        <v>8.6999999999999994E-3</v>
      </c>
      <c r="R134" s="22">
        <v>8.6999999999999994E-3</v>
      </c>
      <c r="S134" s="22">
        <v>8.6999999999999994E-3</v>
      </c>
      <c r="T134" s="22">
        <v>8.6999999999999994E-3</v>
      </c>
      <c r="U134" s="22">
        <v>8.6999999999999994E-3</v>
      </c>
      <c r="V134" s="22">
        <v>8.6999999999999994E-3</v>
      </c>
      <c r="W134" s="22">
        <v>8.6999999999999994E-3</v>
      </c>
      <c r="X134" s="22">
        <v>8.6999999999999994E-3</v>
      </c>
      <c r="Y134" s="11" t="s">
        <v>170</v>
      </c>
      <c r="Z134" s="11" t="s">
        <v>171</v>
      </c>
    </row>
    <row r="135" spans="2:26" ht="16.5" x14ac:dyDescent="0.45">
      <c r="B135" s="20">
        <v>75</v>
      </c>
      <c r="C135" s="20" t="str">
        <f>Refsz_Verbräuche[[#This Row],[Datenpunkt]]</f>
        <v>Pendeln - E-Bike</v>
      </c>
      <c r="D135" t="s">
        <v>481</v>
      </c>
      <c r="E135" s="22">
        <f>0.0087+0.003</f>
        <v>1.1699999999999999E-2</v>
      </c>
      <c r="F135" s="22">
        <f>0.0087+0.003</f>
        <v>1.1699999999999999E-2</v>
      </c>
      <c r="G135" s="22">
        <f t="shared" ref="G135:X135" si="11">0.0087+0.003</f>
        <v>1.1699999999999999E-2</v>
      </c>
      <c r="H135" s="22">
        <f t="shared" si="11"/>
        <v>1.1699999999999999E-2</v>
      </c>
      <c r="I135" s="22">
        <f t="shared" si="11"/>
        <v>1.1699999999999999E-2</v>
      </c>
      <c r="J135" s="22">
        <f t="shared" si="11"/>
        <v>1.1699999999999999E-2</v>
      </c>
      <c r="K135" s="22">
        <f t="shared" si="11"/>
        <v>1.1699999999999999E-2</v>
      </c>
      <c r="L135" s="22">
        <f t="shared" si="11"/>
        <v>1.1699999999999999E-2</v>
      </c>
      <c r="M135" s="22">
        <f t="shared" si="11"/>
        <v>1.1699999999999999E-2</v>
      </c>
      <c r="N135" s="22">
        <f t="shared" si="11"/>
        <v>1.1699999999999999E-2</v>
      </c>
      <c r="O135" s="22">
        <f t="shared" si="11"/>
        <v>1.1699999999999999E-2</v>
      </c>
      <c r="P135" s="22">
        <f t="shared" si="11"/>
        <v>1.1699999999999999E-2</v>
      </c>
      <c r="Q135" s="22">
        <f t="shared" si="11"/>
        <v>1.1699999999999999E-2</v>
      </c>
      <c r="R135" s="22">
        <f t="shared" si="11"/>
        <v>1.1699999999999999E-2</v>
      </c>
      <c r="S135" s="22">
        <f t="shared" si="11"/>
        <v>1.1699999999999999E-2</v>
      </c>
      <c r="T135" s="22">
        <f t="shared" si="11"/>
        <v>1.1699999999999999E-2</v>
      </c>
      <c r="U135" s="22">
        <f t="shared" si="11"/>
        <v>1.1699999999999999E-2</v>
      </c>
      <c r="V135" s="22">
        <f t="shared" si="11"/>
        <v>1.1699999999999999E-2</v>
      </c>
      <c r="W135" s="22">
        <f t="shared" si="11"/>
        <v>1.1699999999999999E-2</v>
      </c>
      <c r="X135" s="22">
        <f t="shared" si="11"/>
        <v>1.1699999999999999E-2</v>
      </c>
      <c r="Y135" s="11" t="s">
        <v>429</v>
      </c>
      <c r="Z135" s="11" t="s">
        <v>430</v>
      </c>
    </row>
    <row r="136" spans="2:26" ht="16.5" x14ac:dyDescent="0.45">
      <c r="B136" s="20">
        <v>76</v>
      </c>
      <c r="C136" s="20" t="str">
        <f>Refsz_Verbräuche[[#This Row],[Datenpunkt]]</f>
        <v>Pendeln - zu Fuß</v>
      </c>
      <c r="D136" t="s">
        <v>162</v>
      </c>
      <c r="E136" s="22">
        <v>0</v>
      </c>
      <c r="F136" s="22">
        <v>0</v>
      </c>
      <c r="G136" s="22">
        <v>0</v>
      </c>
      <c r="H136" s="22">
        <v>0</v>
      </c>
      <c r="I136" s="22">
        <v>0</v>
      </c>
      <c r="J136" s="22">
        <v>0</v>
      </c>
      <c r="K136" s="22">
        <v>0</v>
      </c>
      <c r="L136" s="22">
        <v>0</v>
      </c>
      <c r="M136" s="22">
        <v>0</v>
      </c>
      <c r="N136" s="22">
        <v>0</v>
      </c>
      <c r="O136" s="22">
        <v>0</v>
      </c>
      <c r="P136" s="22">
        <v>0</v>
      </c>
      <c r="Q136" s="22">
        <v>0</v>
      </c>
      <c r="R136" s="22">
        <v>0</v>
      </c>
      <c r="S136" s="22">
        <v>0</v>
      </c>
      <c r="T136" s="22">
        <v>0</v>
      </c>
      <c r="U136" s="22">
        <v>0</v>
      </c>
      <c r="V136" s="22">
        <v>0</v>
      </c>
      <c r="W136" s="22">
        <v>0</v>
      </c>
      <c r="X136" s="22">
        <v>0</v>
      </c>
      <c r="Y136" s="11"/>
      <c r="Z136" s="11"/>
    </row>
    <row r="137" spans="2:26" x14ac:dyDescent="0.35">
      <c r="B137" s="20">
        <v>77</v>
      </c>
      <c r="C137" s="20">
        <f>Refsz_Verbräuche[[#This Row],[Datenpunkt]]</f>
        <v>0</v>
      </c>
      <c r="D137" s="9"/>
      <c r="E137" s="22"/>
      <c r="F137" s="22"/>
      <c r="G137" s="22"/>
      <c r="H137" s="22"/>
      <c r="I137" s="22"/>
      <c r="J137" s="22"/>
      <c r="K137" s="22"/>
      <c r="L137" s="22"/>
      <c r="M137" s="22"/>
      <c r="N137" s="22"/>
      <c r="O137" s="22"/>
      <c r="P137" s="22"/>
      <c r="Q137" s="22"/>
      <c r="R137" s="22"/>
      <c r="S137" s="22"/>
      <c r="T137" s="22"/>
      <c r="U137" s="22"/>
      <c r="V137" s="22"/>
      <c r="W137" s="22"/>
      <c r="X137" s="22"/>
      <c r="Y137" s="11"/>
      <c r="Z137" s="11"/>
    </row>
    <row r="138" spans="2:26" ht="16.5" x14ac:dyDescent="0.45">
      <c r="B138" s="20">
        <v>78</v>
      </c>
      <c r="C138" s="20" t="str">
        <f>Refsz_Verbräuche[[#This Row],[Datenpunkt]]</f>
        <v>Studierendenreisen (Incoming) - Flugreisen</v>
      </c>
      <c r="D138" t="s">
        <v>162</v>
      </c>
      <c r="E138" s="22">
        <v>0.214</v>
      </c>
      <c r="F138" s="22">
        <v>0.214</v>
      </c>
      <c r="G138" s="22">
        <v>0.20100000000000001</v>
      </c>
      <c r="H138" s="22">
        <v>0.23</v>
      </c>
      <c r="I138" s="22">
        <v>0.214</v>
      </c>
      <c r="J138" s="22">
        <v>0.28399999999999997</v>
      </c>
      <c r="K138" s="22">
        <v>0.28399999999999997</v>
      </c>
      <c r="L138" s="22">
        <v>0.23799999999999999</v>
      </c>
      <c r="M138" s="22">
        <v>0.23799999999999999</v>
      </c>
      <c r="N138" s="22">
        <v>0.23799999999999999</v>
      </c>
      <c r="O138" s="22">
        <v>0.23799999999999999</v>
      </c>
      <c r="P138" s="22">
        <v>0.23799999999999999</v>
      </c>
      <c r="Q138" s="22">
        <v>0.23799999999999999</v>
      </c>
      <c r="R138" s="22">
        <v>0.23799999999999999</v>
      </c>
      <c r="S138" s="22">
        <v>0.23799999999999999</v>
      </c>
      <c r="T138" s="22">
        <v>0.23799999999999999</v>
      </c>
      <c r="U138" s="22">
        <v>0.23799999999999999</v>
      </c>
      <c r="V138" s="22">
        <v>0.23799999999999999</v>
      </c>
      <c r="W138" s="22">
        <v>0.23799999999999999</v>
      </c>
      <c r="X138" s="22">
        <v>0.23799999999999999</v>
      </c>
      <c r="Y138" t="s">
        <v>572</v>
      </c>
      <c r="Z138" t="s">
        <v>543</v>
      </c>
    </row>
    <row r="139" spans="2:26" ht="16.5" x14ac:dyDescent="0.45">
      <c r="B139" s="20">
        <v>79</v>
      </c>
      <c r="C139" s="20" t="str">
        <f>Refsz_Verbräuche[[#This Row],[Datenpunkt]]</f>
        <v>Studierendenreisen (Incoming) - Eisenbahn (Nahverkehr)</v>
      </c>
      <c r="D139" t="s">
        <v>162</v>
      </c>
      <c r="E139" s="23">
        <v>6.3E-2</v>
      </c>
      <c r="F139" s="23">
        <v>6.3E-2</v>
      </c>
      <c r="G139" s="23">
        <v>0.06</v>
      </c>
      <c r="H139" s="23">
        <v>5.7000000000000002E-2</v>
      </c>
      <c r="I139" s="23">
        <v>5.3999999999999999E-2</v>
      </c>
      <c r="J139" s="23">
        <v>8.4000000000000005E-2</v>
      </c>
      <c r="K139" s="23">
        <v>8.4000000000000005E-2</v>
      </c>
      <c r="L139" s="22">
        <v>5.8000000000000003E-2</v>
      </c>
      <c r="M139" s="22">
        <v>5.8000000000000003E-2</v>
      </c>
      <c r="N139" s="22">
        <v>5.8000000000000003E-2</v>
      </c>
      <c r="O139" s="22">
        <v>5.8000000000000003E-2</v>
      </c>
      <c r="P139" s="22">
        <v>5.8000000000000003E-2</v>
      </c>
      <c r="Q139" s="22">
        <v>5.8000000000000003E-2</v>
      </c>
      <c r="R139" s="22">
        <v>5.8000000000000003E-2</v>
      </c>
      <c r="S139" s="22">
        <v>5.8000000000000003E-2</v>
      </c>
      <c r="T139" s="22">
        <v>5.8000000000000003E-2</v>
      </c>
      <c r="U139" s="22">
        <v>5.8000000000000003E-2</v>
      </c>
      <c r="V139" s="22">
        <v>5.8000000000000003E-2</v>
      </c>
      <c r="W139" s="22">
        <v>5.8000000000000003E-2</v>
      </c>
      <c r="X139" s="22">
        <v>5.8000000000000003E-2</v>
      </c>
      <c r="Y139" t="s">
        <v>572</v>
      </c>
      <c r="Z139" t="s">
        <v>420</v>
      </c>
    </row>
    <row r="140" spans="2:26" ht="16.5" x14ac:dyDescent="0.45">
      <c r="B140" s="20">
        <v>80</v>
      </c>
      <c r="C140" s="20" t="str">
        <f>Refsz_Verbräuche[[#This Row],[Datenpunkt]]</f>
        <v>Studierendenreisen (Incoming) - Privater PKW (alle Antriebsarten)</v>
      </c>
      <c r="D140" t="s">
        <v>481</v>
      </c>
      <c r="E140" s="23">
        <v>0.23623978654181144</v>
      </c>
      <c r="F140" s="23">
        <v>0.23623978654181144</v>
      </c>
      <c r="G140" s="23">
        <v>0.23623978654181144</v>
      </c>
      <c r="H140" s="23">
        <v>0.23623978654181144</v>
      </c>
      <c r="I140" s="23">
        <v>0.23422321695168971</v>
      </c>
      <c r="J140" s="23">
        <v>0.22469340606791299</v>
      </c>
      <c r="K140" s="22">
        <v>0.21428223341996916</v>
      </c>
      <c r="L140" s="22">
        <v>0.21264844634438446</v>
      </c>
      <c r="M140" s="22">
        <v>0.21264844634438446</v>
      </c>
      <c r="N140" s="22">
        <v>0.21264844634438446</v>
      </c>
      <c r="O140" s="22">
        <v>0.21264844634438446</v>
      </c>
      <c r="P140" s="22">
        <v>0.21264844634438446</v>
      </c>
      <c r="Q140" s="22">
        <v>0.21264844634438446</v>
      </c>
      <c r="R140" s="22">
        <v>0.21264844634438446</v>
      </c>
      <c r="S140" s="22">
        <v>0.21264844634438446</v>
      </c>
      <c r="T140" s="22">
        <v>0.1862936273223203</v>
      </c>
      <c r="U140" s="22">
        <v>0.1862936273223203</v>
      </c>
      <c r="V140" s="22">
        <v>0.1862936273223203</v>
      </c>
      <c r="W140" s="22">
        <v>0.1862936273223203</v>
      </c>
      <c r="X140" s="22">
        <v>9.2224143716755514E-3</v>
      </c>
      <c r="Y140" s="11" t="s">
        <v>573</v>
      </c>
    </row>
    <row r="141" spans="2:26" x14ac:dyDescent="0.35">
      <c r="B141" s="20">
        <v>81</v>
      </c>
      <c r="C141" s="20">
        <f>Refsz_Verbräuche[[#This Row],[Datenpunkt]]</f>
        <v>0</v>
      </c>
      <c r="D141" s="9"/>
      <c r="E141" s="22"/>
      <c r="F141" s="22"/>
      <c r="G141" s="22"/>
      <c r="H141" s="22"/>
      <c r="I141" s="22"/>
      <c r="J141" s="22"/>
      <c r="K141" s="22"/>
      <c r="L141" s="22"/>
      <c r="M141" s="22"/>
      <c r="N141" s="22"/>
      <c r="O141" s="22"/>
      <c r="P141" s="22"/>
      <c r="Q141" s="22"/>
      <c r="R141" s="22"/>
      <c r="S141" s="22"/>
      <c r="T141" s="22"/>
      <c r="U141" s="22"/>
      <c r="V141" s="22"/>
      <c r="W141" s="22"/>
      <c r="X141" s="22"/>
      <c r="Y141" s="11"/>
      <c r="Z141" s="11"/>
    </row>
    <row r="142" spans="2:26" ht="16.5" x14ac:dyDescent="0.45">
      <c r="B142" s="20">
        <v>82</v>
      </c>
      <c r="C142" s="20" t="str">
        <f>Refsz_Verbräuche[[#This Row],[Datenpunkt]]</f>
        <v>An- und Abreise von Gästen - Flugreisen</v>
      </c>
      <c r="D142" t="s">
        <v>162</v>
      </c>
      <c r="E142" s="22">
        <v>0.214</v>
      </c>
      <c r="F142" s="22">
        <v>0.214</v>
      </c>
      <c r="G142" s="22">
        <v>0.20100000000000001</v>
      </c>
      <c r="H142" s="22">
        <v>0.23</v>
      </c>
      <c r="I142" s="22">
        <v>0.214</v>
      </c>
      <c r="J142" s="22">
        <v>0.28399999999999997</v>
      </c>
      <c r="K142" s="22">
        <v>0.28399999999999997</v>
      </c>
      <c r="L142" s="22">
        <v>0.23799999999999999</v>
      </c>
      <c r="M142" s="22">
        <v>0.23799999999999999</v>
      </c>
      <c r="N142" s="22">
        <v>0.23799999999999999</v>
      </c>
      <c r="O142" s="22">
        <v>0.23799999999999999</v>
      </c>
      <c r="P142" s="22">
        <v>0.23799999999999999</v>
      </c>
      <c r="Q142" s="22">
        <v>0.23799999999999999</v>
      </c>
      <c r="R142" s="22">
        <v>0.23799999999999999</v>
      </c>
      <c r="S142" s="22">
        <v>0.23799999999999999</v>
      </c>
      <c r="T142" s="22">
        <v>0.23799999999999999</v>
      </c>
      <c r="U142" s="22">
        <v>0.23799999999999999</v>
      </c>
      <c r="V142" s="22">
        <v>0.23799999999999999</v>
      </c>
      <c r="W142" s="22">
        <v>0.23799999999999999</v>
      </c>
      <c r="X142" s="22">
        <v>0.23799999999999999</v>
      </c>
      <c r="Y142" t="s">
        <v>572</v>
      </c>
      <c r="Z142" t="s">
        <v>543</v>
      </c>
    </row>
    <row r="143" spans="2:26" ht="16.5" x14ac:dyDescent="0.45">
      <c r="B143" s="20">
        <v>83</v>
      </c>
      <c r="C143" s="20" t="str">
        <f>Refsz_Verbräuche[[#This Row],[Datenpunkt]]</f>
        <v>An- und Abreise von Gästen - Eisenbahn (Nahverkehr)</v>
      </c>
      <c r="D143" t="s">
        <v>162</v>
      </c>
      <c r="E143" s="23">
        <v>6.3E-2</v>
      </c>
      <c r="F143" s="23">
        <v>6.3E-2</v>
      </c>
      <c r="G143" s="23">
        <v>0.06</v>
      </c>
      <c r="H143" s="23">
        <v>5.7000000000000002E-2</v>
      </c>
      <c r="I143" s="23">
        <v>5.3999999999999999E-2</v>
      </c>
      <c r="J143" s="23">
        <v>8.4000000000000005E-2</v>
      </c>
      <c r="K143" s="23">
        <v>8.4000000000000005E-2</v>
      </c>
      <c r="L143" s="22">
        <v>5.8000000000000003E-2</v>
      </c>
      <c r="M143" s="22">
        <v>5.8000000000000003E-2</v>
      </c>
      <c r="N143" s="22">
        <v>5.8000000000000003E-2</v>
      </c>
      <c r="O143" s="22">
        <v>5.8000000000000003E-2</v>
      </c>
      <c r="P143" s="22">
        <v>5.8000000000000003E-2</v>
      </c>
      <c r="Q143" s="22">
        <v>5.8000000000000003E-2</v>
      </c>
      <c r="R143" s="22">
        <v>5.8000000000000003E-2</v>
      </c>
      <c r="S143" s="22">
        <v>5.8000000000000003E-2</v>
      </c>
      <c r="T143" s="22">
        <v>5.8000000000000003E-2</v>
      </c>
      <c r="U143" s="22">
        <v>5.8000000000000003E-2</v>
      </c>
      <c r="V143" s="22">
        <v>5.8000000000000003E-2</v>
      </c>
      <c r="W143" s="22">
        <v>5.8000000000000003E-2</v>
      </c>
      <c r="X143" s="22">
        <v>5.8000000000000003E-2</v>
      </c>
      <c r="Y143" t="s">
        <v>572</v>
      </c>
      <c r="Z143" t="s">
        <v>420</v>
      </c>
    </row>
    <row r="144" spans="2:26" ht="16.5" x14ac:dyDescent="0.45">
      <c r="B144" s="20">
        <v>84</v>
      </c>
      <c r="C144" s="20" t="str">
        <f>Refsz_Verbräuche[[#This Row],[Datenpunkt]]</f>
        <v>An- und Abreise von Gästen - Privater PKW (alle Antriebsarten)</v>
      </c>
      <c r="D144" t="s">
        <v>481</v>
      </c>
      <c r="E144" s="23">
        <v>0.23623978654181144</v>
      </c>
      <c r="F144" s="23">
        <v>0.23623978654181144</v>
      </c>
      <c r="G144" s="23">
        <v>0.23623978654181144</v>
      </c>
      <c r="H144" s="23">
        <v>0.23623978654181144</v>
      </c>
      <c r="I144" s="23">
        <v>0.23422321695168971</v>
      </c>
      <c r="J144" s="23">
        <v>0.22469340606791299</v>
      </c>
      <c r="K144" s="22">
        <v>0.21428223341996916</v>
      </c>
      <c r="L144" s="22">
        <v>0.21264844634438446</v>
      </c>
      <c r="M144" s="22">
        <v>0.21264844634438446</v>
      </c>
      <c r="N144" s="22">
        <v>0.21264844634438446</v>
      </c>
      <c r="O144" s="22">
        <v>0.21264844634438446</v>
      </c>
      <c r="P144" s="22">
        <v>0.21264844634438446</v>
      </c>
      <c r="Q144" s="22">
        <v>0.21264844634438446</v>
      </c>
      <c r="R144" s="22">
        <v>0.21264844634438446</v>
      </c>
      <c r="S144" s="22">
        <v>0.21264844634438446</v>
      </c>
      <c r="T144" s="22">
        <v>0.1862936273223203</v>
      </c>
      <c r="U144" s="22">
        <v>0.1862936273223203</v>
      </c>
      <c r="V144" s="22">
        <v>0.1862936273223203</v>
      </c>
      <c r="W144" s="22">
        <v>0.1862936273223203</v>
      </c>
      <c r="X144" s="22">
        <v>9.2224143716755514E-3</v>
      </c>
      <c r="Y144" s="11" t="s">
        <v>573</v>
      </c>
    </row>
    <row r="145" spans="2:26" x14ac:dyDescent="0.35">
      <c r="B145" s="20">
        <v>85</v>
      </c>
      <c r="C145" s="20">
        <f>Refsz_Verbräuche[[#This Row],[Datenpunkt]]</f>
        <v>0</v>
      </c>
      <c r="D145" s="9"/>
      <c r="E145" s="22"/>
      <c r="F145" s="22"/>
      <c r="G145" s="22"/>
      <c r="H145" s="22"/>
      <c r="I145" s="22"/>
      <c r="J145" s="22"/>
      <c r="K145" s="22"/>
      <c r="L145" s="22"/>
      <c r="M145" s="22"/>
      <c r="N145" s="22"/>
      <c r="O145" s="22"/>
      <c r="P145" s="22"/>
      <c r="Q145" s="22"/>
      <c r="R145" s="22"/>
      <c r="S145" s="22"/>
      <c r="T145" s="22"/>
      <c r="U145" s="22"/>
      <c r="V145" s="22"/>
      <c r="W145" s="22"/>
      <c r="X145" s="22"/>
      <c r="Y145" s="11"/>
      <c r="Z145" s="11"/>
    </row>
    <row r="146" spans="2:26" ht="16.5" x14ac:dyDescent="0.45">
      <c r="B146" s="20">
        <v>86</v>
      </c>
      <c r="C146" s="20" t="str">
        <f>Refsz_Verbräuche[[#This Row],[Datenpunkt]]</f>
        <v>Abwasser</v>
      </c>
      <c r="D146" t="s">
        <v>163</v>
      </c>
      <c r="E146" s="22">
        <v>2.7399999999999999E-4</v>
      </c>
      <c r="F146" s="22">
        <v>2.7399999999999999E-4</v>
      </c>
      <c r="G146" s="22">
        <v>2.7399999999999999E-4</v>
      </c>
      <c r="H146" s="22">
        <v>2.7399999999999999E-4</v>
      </c>
      <c r="I146" s="22">
        <v>2.7399999999999999E-4</v>
      </c>
      <c r="J146" s="22">
        <v>2.7399999999999999E-4</v>
      </c>
      <c r="K146" s="22">
        <v>2.7399999999999999E-4</v>
      </c>
      <c r="L146" s="22">
        <v>2.7399999999999999E-4</v>
      </c>
      <c r="M146" s="22">
        <v>2.7399999999999999E-4</v>
      </c>
      <c r="N146" s="22">
        <v>2.7399999999999999E-4</v>
      </c>
      <c r="O146" s="22">
        <v>2.7399999999999999E-4</v>
      </c>
      <c r="P146" s="22">
        <v>2.7399999999999999E-4</v>
      </c>
      <c r="Q146" s="22">
        <v>2.7399999999999999E-4</v>
      </c>
      <c r="R146" s="22">
        <v>2.7399999999999999E-4</v>
      </c>
      <c r="S146" s="22">
        <v>2.7399999999999999E-4</v>
      </c>
      <c r="T146" s="22">
        <v>2.7399999999999999E-4</v>
      </c>
      <c r="U146" s="22">
        <v>2.7399999999999999E-4</v>
      </c>
      <c r="V146" s="22">
        <v>2.7399999999999999E-4</v>
      </c>
      <c r="W146" s="22">
        <v>2.7399999999999999E-4</v>
      </c>
      <c r="X146" s="22">
        <v>2.7399999999999999E-4</v>
      </c>
      <c r="Y146" s="11" t="s">
        <v>566</v>
      </c>
      <c r="Z146" s="11" t="s">
        <v>37</v>
      </c>
    </row>
    <row r="147" spans="2:26" ht="16.5" x14ac:dyDescent="0.45">
      <c r="B147" s="20">
        <v>87</v>
      </c>
      <c r="C147" s="20" t="str">
        <f>Refsz_Verbräuche[[#This Row],[Datenpunkt]]</f>
        <v>Trinkwasser</v>
      </c>
      <c r="D147" t="s">
        <v>163</v>
      </c>
      <c r="E147" s="22">
        <v>4.0200000000000001E-4</v>
      </c>
      <c r="F147" s="22">
        <v>4.0200000000000001E-4</v>
      </c>
      <c r="G147" s="22">
        <v>4.0200000000000001E-4</v>
      </c>
      <c r="H147" s="22">
        <v>4.0200000000000001E-4</v>
      </c>
      <c r="I147" s="22">
        <v>4.0200000000000001E-4</v>
      </c>
      <c r="J147" s="22">
        <v>4.0200000000000001E-4</v>
      </c>
      <c r="K147" s="22">
        <v>4.0200000000000001E-4</v>
      </c>
      <c r="L147" s="22">
        <v>4.0200000000000001E-4</v>
      </c>
      <c r="M147" s="22">
        <v>4.0200000000000001E-4</v>
      </c>
      <c r="N147" s="22">
        <v>4.0200000000000001E-4</v>
      </c>
      <c r="O147" s="22">
        <v>4.0200000000000001E-4</v>
      </c>
      <c r="P147" s="22">
        <v>4.0200000000000001E-4</v>
      </c>
      <c r="Q147" s="22">
        <v>4.0200000000000001E-4</v>
      </c>
      <c r="R147" s="22">
        <v>4.0200000000000001E-4</v>
      </c>
      <c r="S147" s="22">
        <v>4.0200000000000001E-4</v>
      </c>
      <c r="T147" s="22">
        <v>4.0200000000000001E-4</v>
      </c>
      <c r="U147" s="22">
        <v>4.0200000000000001E-4</v>
      </c>
      <c r="V147" s="22">
        <v>4.0200000000000001E-4</v>
      </c>
      <c r="W147" s="22">
        <v>4.0200000000000001E-4</v>
      </c>
      <c r="X147" s="22">
        <v>4.0200000000000001E-4</v>
      </c>
      <c r="Y147" s="11" t="s">
        <v>567</v>
      </c>
      <c r="Z147" s="11" t="s">
        <v>37</v>
      </c>
    </row>
    <row r="148" spans="2:26" x14ac:dyDescent="0.35">
      <c r="B148" s="20">
        <v>88</v>
      </c>
      <c r="C148" s="20">
        <f>Refsz_Verbräuche[[#This Row],[Datenpunkt]]</f>
        <v>0</v>
      </c>
      <c r="D148" s="9"/>
      <c r="E148" s="22"/>
      <c r="F148" s="22"/>
      <c r="G148" s="22"/>
      <c r="H148" s="22"/>
      <c r="I148" s="22"/>
      <c r="J148" s="22"/>
      <c r="K148" s="22"/>
      <c r="L148" s="22"/>
      <c r="M148" s="22"/>
      <c r="N148" s="22"/>
      <c r="O148" s="22"/>
      <c r="P148" s="22"/>
      <c r="Q148" s="22"/>
      <c r="R148" s="22"/>
      <c r="S148" s="22"/>
      <c r="T148" s="22"/>
      <c r="U148" s="22"/>
      <c r="V148" s="22"/>
      <c r="W148" s="22"/>
      <c r="X148" s="22"/>
      <c r="Y148" s="11"/>
      <c r="Z148" s="11"/>
    </row>
    <row r="149" spans="2:26" ht="16.5" x14ac:dyDescent="0.45">
      <c r="B149" s="20">
        <v>89</v>
      </c>
      <c r="C149" s="20" t="str">
        <f>Refsz_Verbräuche[[#This Row],[Datenpunkt]]</f>
        <v>Recyclingpapier</v>
      </c>
      <c r="D149" t="s">
        <v>161</v>
      </c>
      <c r="E149" s="22">
        <v>0.82199999999999995</v>
      </c>
      <c r="F149" s="22">
        <v>0.82199999999999995</v>
      </c>
      <c r="G149" s="22">
        <v>0.82199999999999995</v>
      </c>
      <c r="H149" s="22">
        <v>0.82199999999999995</v>
      </c>
      <c r="I149" s="22">
        <v>0.82199999999999995</v>
      </c>
      <c r="J149" s="22">
        <v>0.82199999999999995</v>
      </c>
      <c r="K149" s="22">
        <v>0.82199999999999995</v>
      </c>
      <c r="L149" s="22">
        <v>0.82199999999999995</v>
      </c>
      <c r="M149" s="22">
        <v>0.82199999999999995</v>
      </c>
      <c r="N149" s="22">
        <v>0.82199999999999995</v>
      </c>
      <c r="O149" s="22">
        <v>0.82199999999999995</v>
      </c>
      <c r="P149" s="22">
        <v>0.82199999999999995</v>
      </c>
      <c r="Q149" s="22">
        <v>0.82199999999999995</v>
      </c>
      <c r="R149" s="22">
        <v>0.82199999999999995</v>
      </c>
      <c r="S149" s="22">
        <v>0.82199999999999995</v>
      </c>
      <c r="T149" s="22">
        <v>0.82199999999999995</v>
      </c>
      <c r="U149" s="22">
        <v>0.82199999999999995</v>
      </c>
      <c r="V149" s="22">
        <v>0.82199999999999995</v>
      </c>
      <c r="W149" s="22">
        <v>0.82199999999999995</v>
      </c>
      <c r="X149" s="22">
        <v>0.82199999999999995</v>
      </c>
      <c r="Y149" s="11" t="s">
        <v>569</v>
      </c>
      <c r="Z149" s="11" t="s">
        <v>568</v>
      </c>
    </row>
    <row r="150" spans="2:26" ht="16.5" x14ac:dyDescent="0.45">
      <c r="B150" s="20">
        <v>90</v>
      </c>
      <c r="C150" s="20" t="str">
        <f>Refsz_Verbräuche[[#This Row],[Datenpunkt]]</f>
        <v>Frischfaserpapier</v>
      </c>
      <c r="D150" t="s">
        <v>161</v>
      </c>
      <c r="E150" s="22">
        <f>(1193+751)/2/1000</f>
        <v>0.97199999999999998</v>
      </c>
      <c r="F150" s="22">
        <f t="shared" ref="F150:X150" si="12">(1193+751)/2/1000</f>
        <v>0.97199999999999998</v>
      </c>
      <c r="G150" s="22">
        <f t="shared" si="12"/>
        <v>0.97199999999999998</v>
      </c>
      <c r="H150" s="22">
        <f t="shared" si="12"/>
        <v>0.97199999999999998</v>
      </c>
      <c r="I150" s="22">
        <f t="shared" si="12"/>
        <v>0.97199999999999998</v>
      </c>
      <c r="J150" s="22">
        <f t="shared" si="12"/>
        <v>0.97199999999999998</v>
      </c>
      <c r="K150" s="22">
        <f t="shared" si="12"/>
        <v>0.97199999999999998</v>
      </c>
      <c r="L150" s="22">
        <f t="shared" si="12"/>
        <v>0.97199999999999998</v>
      </c>
      <c r="M150" s="22">
        <f t="shared" si="12"/>
        <v>0.97199999999999998</v>
      </c>
      <c r="N150" s="22">
        <f t="shared" si="12"/>
        <v>0.97199999999999998</v>
      </c>
      <c r="O150" s="22">
        <f t="shared" si="12"/>
        <v>0.97199999999999998</v>
      </c>
      <c r="P150" s="22">
        <f t="shared" si="12"/>
        <v>0.97199999999999998</v>
      </c>
      <c r="Q150" s="22">
        <f t="shared" si="12"/>
        <v>0.97199999999999998</v>
      </c>
      <c r="R150" s="22">
        <f t="shared" si="12"/>
        <v>0.97199999999999998</v>
      </c>
      <c r="S150" s="22">
        <f t="shared" si="12"/>
        <v>0.97199999999999998</v>
      </c>
      <c r="T150" s="22">
        <f t="shared" si="12"/>
        <v>0.97199999999999998</v>
      </c>
      <c r="U150" s="22">
        <f t="shared" si="12"/>
        <v>0.97199999999999998</v>
      </c>
      <c r="V150" s="22">
        <f t="shared" si="12"/>
        <v>0.97199999999999998</v>
      </c>
      <c r="W150" s="22">
        <f t="shared" si="12"/>
        <v>0.97199999999999998</v>
      </c>
      <c r="X150" s="22">
        <f t="shared" si="12"/>
        <v>0.97199999999999998</v>
      </c>
      <c r="Y150" s="11" t="s">
        <v>569</v>
      </c>
      <c r="Z150" s="11" t="s">
        <v>570</v>
      </c>
    </row>
    <row r="151" spans="2:26" ht="16.5" x14ac:dyDescent="0.45">
      <c r="B151" s="20">
        <v>91</v>
      </c>
      <c r="C151" s="20" t="str">
        <f>Refsz_Verbräuche[[#This Row],[Datenpunkt]]</f>
        <v>Toilettenpapier (Recycling)</v>
      </c>
      <c r="D151" t="s">
        <v>164</v>
      </c>
      <c r="E151" s="22">
        <v>1193</v>
      </c>
      <c r="F151" s="22">
        <v>1193</v>
      </c>
      <c r="G151" s="22">
        <v>1193</v>
      </c>
      <c r="H151" s="22">
        <v>1193</v>
      </c>
      <c r="I151" s="22">
        <v>1193</v>
      </c>
      <c r="J151" s="22">
        <v>1193</v>
      </c>
      <c r="K151" s="22">
        <v>1193</v>
      </c>
      <c r="L151" s="22">
        <v>1193</v>
      </c>
      <c r="M151" s="22">
        <v>1193</v>
      </c>
      <c r="N151" s="22">
        <v>1193</v>
      </c>
      <c r="O151" s="22">
        <v>1193</v>
      </c>
      <c r="P151" s="22">
        <v>1193</v>
      </c>
      <c r="Q151" s="22">
        <v>1193</v>
      </c>
      <c r="R151" s="22">
        <v>1193</v>
      </c>
      <c r="S151" s="22">
        <v>1193</v>
      </c>
      <c r="T151" s="22">
        <v>1193</v>
      </c>
      <c r="U151" s="22">
        <v>1193</v>
      </c>
      <c r="V151" s="22">
        <v>1193</v>
      </c>
      <c r="W151" s="22">
        <v>1193</v>
      </c>
      <c r="X151" s="22">
        <v>1193</v>
      </c>
      <c r="Y151" s="11" t="s">
        <v>571</v>
      </c>
      <c r="Z151" s="11" t="s">
        <v>568</v>
      </c>
    </row>
    <row r="152" spans="2:26" ht="16.5" x14ac:dyDescent="0.45">
      <c r="B152" s="20">
        <v>92</v>
      </c>
      <c r="C152" s="20" t="str">
        <f>Refsz_Verbräuche[[#This Row],[Datenpunkt]]</f>
        <v>Papierhandtücher (Recycling)</v>
      </c>
      <c r="D152" t="s">
        <v>164</v>
      </c>
      <c r="E152" s="22">
        <v>1193</v>
      </c>
      <c r="F152" s="22">
        <v>1193</v>
      </c>
      <c r="G152" s="22">
        <v>1193</v>
      </c>
      <c r="H152" s="22">
        <v>1193</v>
      </c>
      <c r="I152" s="22">
        <v>1193</v>
      </c>
      <c r="J152" s="22">
        <v>1193</v>
      </c>
      <c r="K152" s="22">
        <v>1193</v>
      </c>
      <c r="L152" s="22">
        <v>1193</v>
      </c>
      <c r="M152" s="22">
        <v>1193</v>
      </c>
      <c r="N152" s="22">
        <v>1193</v>
      </c>
      <c r="O152" s="22">
        <v>1193</v>
      </c>
      <c r="P152" s="22">
        <v>1193</v>
      </c>
      <c r="Q152" s="22">
        <v>1193</v>
      </c>
      <c r="R152" s="22">
        <v>1193</v>
      </c>
      <c r="S152" s="22">
        <v>1193</v>
      </c>
      <c r="T152" s="22">
        <v>1193</v>
      </c>
      <c r="U152" s="22">
        <v>1193</v>
      </c>
      <c r="V152" s="22">
        <v>1193</v>
      </c>
      <c r="W152" s="22">
        <v>1193</v>
      </c>
      <c r="X152" s="22">
        <v>1193</v>
      </c>
      <c r="Y152" s="11" t="s">
        <v>571</v>
      </c>
      <c r="Z152" s="11" t="s">
        <v>568</v>
      </c>
    </row>
    <row r="153" spans="2:26" x14ac:dyDescent="0.35">
      <c r="B153" s="20">
        <v>93</v>
      </c>
      <c r="C153" s="20">
        <f>Refsz_Verbräuche[[#This Row],[Datenpunkt]]</f>
        <v>0</v>
      </c>
      <c r="D153" s="9"/>
      <c r="E153" s="22"/>
      <c r="F153" s="22"/>
      <c r="G153" s="22"/>
      <c r="H153" s="22"/>
      <c r="I153" s="22"/>
      <c r="J153" s="22"/>
      <c r="K153" s="22"/>
      <c r="L153" s="22"/>
      <c r="M153" s="22"/>
      <c r="N153" s="22"/>
      <c r="O153" s="22"/>
      <c r="P153" s="22"/>
      <c r="Q153" s="22"/>
      <c r="R153" s="22"/>
      <c r="S153" s="22"/>
      <c r="T153" s="22"/>
      <c r="U153" s="22"/>
      <c r="V153" s="22"/>
      <c r="W153" s="22"/>
      <c r="X153" s="22"/>
      <c r="Y153" s="11"/>
    </row>
    <row r="154" spans="2:26" ht="16.5" x14ac:dyDescent="0.45">
      <c r="B154" s="20">
        <v>94</v>
      </c>
      <c r="C154" s="20" t="str">
        <f>Refsz_Verbräuche[[#This Row],[Datenpunkt]]</f>
        <v>Outgesourcte Leistungen des Rechenzentrums</v>
      </c>
      <c r="D154" t="s">
        <v>169</v>
      </c>
      <c r="E154" s="22">
        <f t="shared" ref="E154:X154" si="13">E61*30/1000</f>
        <v>16.26201</v>
      </c>
      <c r="F154" s="22">
        <f t="shared" si="13"/>
        <v>16.461239999999997</v>
      </c>
      <c r="G154" s="22">
        <f t="shared" si="13"/>
        <v>15.123239999999999</v>
      </c>
      <c r="H154" s="22">
        <f t="shared" si="13"/>
        <v>14.64339</v>
      </c>
      <c r="I154" s="22">
        <f t="shared" si="13"/>
        <v>12.324299999999999</v>
      </c>
      <c r="J154" s="22">
        <f t="shared" si="13"/>
        <v>15.14649</v>
      </c>
      <c r="K154" s="22">
        <f t="shared" si="13"/>
        <v>11.876910000000001</v>
      </c>
      <c r="L154" s="22">
        <f t="shared" si="13"/>
        <v>11.876910000000001</v>
      </c>
      <c r="M154" s="22">
        <f t="shared" si="13"/>
        <v>11.876910000000001</v>
      </c>
      <c r="N154" s="22">
        <f t="shared" si="13"/>
        <v>11.876910000000001</v>
      </c>
      <c r="O154" s="22">
        <f t="shared" si="13"/>
        <v>11.876910000000001</v>
      </c>
      <c r="P154" s="22">
        <f t="shared" si="13"/>
        <v>11.876910000000001</v>
      </c>
      <c r="Q154" s="22">
        <f>Q61*30/1000</f>
        <v>11.876910000000001</v>
      </c>
      <c r="R154" s="22">
        <f>R61*30/1000</f>
        <v>11.876910000000001</v>
      </c>
      <c r="S154" s="22">
        <f>S61*30/1000</f>
        <v>11.876910000000001</v>
      </c>
      <c r="T154" s="22">
        <f t="shared" si="13"/>
        <v>11.11842</v>
      </c>
      <c r="U154" s="22">
        <f t="shared" si="13"/>
        <v>11.11842</v>
      </c>
      <c r="V154" s="22">
        <f t="shared" si="13"/>
        <v>11.11842</v>
      </c>
      <c r="W154" s="22">
        <f t="shared" si="13"/>
        <v>11.11842</v>
      </c>
      <c r="X154" s="22">
        <f t="shared" si="13"/>
        <v>11.11842</v>
      </c>
      <c r="Y154" s="11" t="s">
        <v>589</v>
      </c>
      <c r="Z154" s="11" t="s">
        <v>168</v>
      </c>
    </row>
    <row r="155" spans="2:26" ht="16.5" x14ac:dyDescent="0.45">
      <c r="B155" s="20">
        <v>95</v>
      </c>
      <c r="C155" s="20" t="str">
        <f>Refsz_Verbräuche[[#This Row],[Datenpunkt]]</f>
        <v>Beamer</v>
      </c>
      <c r="D155" t="s">
        <v>165</v>
      </c>
      <c r="E155" s="22">
        <v>88</v>
      </c>
      <c r="F155" s="22">
        <f>Emissionsfaktoren[[#This Row],[2015]]</f>
        <v>88</v>
      </c>
      <c r="G155" s="22">
        <f>Emissionsfaktoren[[#This Row],[2016]]</f>
        <v>88</v>
      </c>
      <c r="H155" s="22">
        <f>Emissionsfaktoren[[#This Row],[2017]]</f>
        <v>88</v>
      </c>
      <c r="I155" s="22">
        <f>Emissionsfaktoren[[#This Row],[2018]]</f>
        <v>88</v>
      </c>
      <c r="J155" s="22">
        <f>Emissionsfaktoren[[#This Row],[2019]]</f>
        <v>88</v>
      </c>
      <c r="K155" s="22">
        <f>Emissionsfaktoren[[#This Row],[2020]]</f>
        <v>88</v>
      </c>
      <c r="L155" s="22">
        <f>Emissionsfaktoren[[#This Row],[2021]]</f>
        <v>88</v>
      </c>
      <c r="M155" s="22">
        <f>Emissionsfaktoren[[#This Row],[2022]]</f>
        <v>88</v>
      </c>
      <c r="N155" s="22">
        <f>Emissionsfaktoren[[#This Row],[2023]]</f>
        <v>88</v>
      </c>
      <c r="O155" s="22">
        <f>Emissionsfaktoren[[#This Row],[2024]]</f>
        <v>88</v>
      </c>
      <c r="P155" s="22">
        <f>Emissionsfaktoren[[#This Row],[2025]]</f>
        <v>88</v>
      </c>
      <c r="Q155" s="22">
        <f>Emissionsfaktoren[[#This Row],[2025]]</f>
        <v>88</v>
      </c>
      <c r="R155" s="22">
        <f>Emissionsfaktoren[[#This Row],[2025]]</f>
        <v>88</v>
      </c>
      <c r="S155" s="22">
        <f>Emissionsfaktoren[[#This Row],[2025]]</f>
        <v>88</v>
      </c>
      <c r="T155" s="22">
        <f>Emissionsfaktoren[[#This Row],[2026]]</f>
        <v>88</v>
      </c>
      <c r="U155" s="22">
        <f>Emissionsfaktoren[[#This Row],[2030]]</f>
        <v>88</v>
      </c>
      <c r="V155" s="22">
        <f>Emissionsfaktoren[[#This Row],[2035]]</f>
        <v>88</v>
      </c>
      <c r="W155" s="22">
        <f>Emissionsfaktoren[[#This Row],[2040]]</f>
        <v>88</v>
      </c>
      <c r="X155" s="22">
        <f>Emissionsfaktoren[[#This Row],[2045]]</f>
        <v>88</v>
      </c>
      <c r="Y155" s="11" t="s">
        <v>589</v>
      </c>
      <c r="Z155" s="11" t="s">
        <v>584</v>
      </c>
    </row>
    <row r="156" spans="2:26" ht="16.5" x14ac:dyDescent="0.45">
      <c r="B156" s="20">
        <v>96</v>
      </c>
      <c r="C156" s="20" t="str">
        <f>Refsz_Verbräuche[[#This Row],[Datenpunkt]]</f>
        <v>Notebook/Laptop</v>
      </c>
      <c r="D156" t="s">
        <v>165</v>
      </c>
      <c r="E156" s="22">
        <v>311</v>
      </c>
      <c r="F156" s="22">
        <f>Emissionsfaktoren[[#This Row],[2015]]</f>
        <v>311</v>
      </c>
      <c r="G156" s="22">
        <f>Emissionsfaktoren[[#This Row],[2016]]</f>
        <v>311</v>
      </c>
      <c r="H156" s="22">
        <f>Emissionsfaktoren[[#This Row],[2017]]</f>
        <v>311</v>
      </c>
      <c r="I156" s="22">
        <f>Emissionsfaktoren[[#This Row],[2018]]</f>
        <v>311</v>
      </c>
      <c r="J156" s="22">
        <f>Emissionsfaktoren[[#This Row],[2019]]</f>
        <v>311</v>
      </c>
      <c r="K156" s="22">
        <f>Emissionsfaktoren[[#This Row],[2020]]</f>
        <v>311</v>
      </c>
      <c r="L156" s="22">
        <f>Emissionsfaktoren[[#This Row],[2021]]</f>
        <v>311</v>
      </c>
      <c r="M156" s="22">
        <f>Emissionsfaktoren[[#This Row],[2022]]</f>
        <v>311</v>
      </c>
      <c r="N156" s="22">
        <f>Emissionsfaktoren[[#This Row],[2023]]</f>
        <v>311</v>
      </c>
      <c r="O156" s="22">
        <f>Emissionsfaktoren[[#This Row],[2024]]</f>
        <v>311</v>
      </c>
      <c r="P156" s="22">
        <f>Emissionsfaktoren[[#This Row],[2025]]</f>
        <v>311</v>
      </c>
      <c r="Q156" s="22">
        <f>Emissionsfaktoren[[#This Row],[2025]]</f>
        <v>311</v>
      </c>
      <c r="R156" s="22">
        <f>Emissionsfaktoren[[#This Row],[2025]]</f>
        <v>311</v>
      </c>
      <c r="S156" s="22">
        <f>Emissionsfaktoren[[#This Row],[2025]]</f>
        <v>311</v>
      </c>
      <c r="T156" s="22">
        <f>Emissionsfaktoren[[#This Row],[2026]]</f>
        <v>311</v>
      </c>
      <c r="U156" s="22">
        <f>Emissionsfaktoren[[#This Row],[2030]]</f>
        <v>311</v>
      </c>
      <c r="V156" s="22">
        <f>Emissionsfaktoren[[#This Row],[2035]]</f>
        <v>311</v>
      </c>
      <c r="W156" s="22">
        <f>Emissionsfaktoren[[#This Row],[2040]]</f>
        <v>311</v>
      </c>
      <c r="X156" s="22">
        <f>Emissionsfaktoren[[#This Row],[2045]]</f>
        <v>311</v>
      </c>
      <c r="Y156" s="11" t="s">
        <v>589</v>
      </c>
      <c r="Z156" s="11" t="s">
        <v>585</v>
      </c>
    </row>
    <row r="157" spans="2:26" ht="16.5" x14ac:dyDescent="0.45">
      <c r="B157" s="20">
        <v>97</v>
      </c>
      <c r="C157" s="20" t="str">
        <f>Refsz_Verbräuche[[#This Row],[Datenpunkt]]</f>
        <v>Desktop-PC mit Monitor</v>
      </c>
      <c r="D157" t="s">
        <v>165</v>
      </c>
      <c r="E157" s="22">
        <v>435</v>
      </c>
      <c r="F157" s="22">
        <f>Emissionsfaktoren[[#This Row],[2015]]</f>
        <v>435</v>
      </c>
      <c r="G157" s="22">
        <f>Emissionsfaktoren[[#This Row],[2016]]</f>
        <v>435</v>
      </c>
      <c r="H157" s="22">
        <f>Emissionsfaktoren[[#This Row],[2017]]</f>
        <v>435</v>
      </c>
      <c r="I157" s="22">
        <f>Emissionsfaktoren[[#This Row],[2018]]</f>
        <v>435</v>
      </c>
      <c r="J157" s="22">
        <f>Emissionsfaktoren[[#This Row],[2019]]</f>
        <v>435</v>
      </c>
      <c r="K157" s="22">
        <f>Emissionsfaktoren[[#This Row],[2020]]</f>
        <v>435</v>
      </c>
      <c r="L157" s="22">
        <f>Emissionsfaktoren[[#This Row],[2021]]</f>
        <v>435</v>
      </c>
      <c r="M157" s="22">
        <f>Emissionsfaktoren[[#This Row],[2022]]</f>
        <v>435</v>
      </c>
      <c r="N157" s="22">
        <f>Emissionsfaktoren[[#This Row],[2023]]</f>
        <v>435</v>
      </c>
      <c r="O157" s="22">
        <f>Emissionsfaktoren[[#This Row],[2024]]</f>
        <v>435</v>
      </c>
      <c r="P157" s="22">
        <f>Emissionsfaktoren[[#This Row],[2025]]</f>
        <v>435</v>
      </c>
      <c r="Q157" s="22">
        <f>Emissionsfaktoren[[#This Row],[2025]]</f>
        <v>435</v>
      </c>
      <c r="R157" s="22">
        <f>Emissionsfaktoren[[#This Row],[2025]]</f>
        <v>435</v>
      </c>
      <c r="S157" s="22">
        <f>Emissionsfaktoren[[#This Row],[2025]]</f>
        <v>435</v>
      </c>
      <c r="T157" s="22">
        <f>Emissionsfaktoren[[#This Row],[2026]]</f>
        <v>435</v>
      </c>
      <c r="U157" s="22">
        <f>Emissionsfaktoren[[#This Row],[2030]]</f>
        <v>435</v>
      </c>
      <c r="V157" s="22">
        <f>Emissionsfaktoren[[#This Row],[2035]]</f>
        <v>435</v>
      </c>
      <c r="W157" s="22">
        <f>Emissionsfaktoren[[#This Row],[2040]]</f>
        <v>435</v>
      </c>
      <c r="X157" s="22">
        <f>Emissionsfaktoren[[#This Row],[2045]]</f>
        <v>435</v>
      </c>
      <c r="Y157" s="11" t="s">
        <v>589</v>
      </c>
      <c r="Z157" s="11" t="s">
        <v>586</v>
      </c>
    </row>
    <row r="158" spans="2:26" ht="16.5" x14ac:dyDescent="0.45">
      <c r="B158" s="20">
        <v>98</v>
      </c>
      <c r="C158" s="20" t="str">
        <f>Refsz_Verbräuche[[#This Row],[Datenpunkt]]</f>
        <v>Docking-Station</v>
      </c>
      <c r="D158" t="s">
        <v>165</v>
      </c>
      <c r="E158" s="22">
        <f>(38.03+35.74+40.95)/3</f>
        <v>38.24</v>
      </c>
      <c r="F158" s="22">
        <f>Emissionsfaktoren[[#This Row],[2015]]</f>
        <v>38.24</v>
      </c>
      <c r="G158" s="22">
        <f>Emissionsfaktoren[[#This Row],[2016]]</f>
        <v>38.24</v>
      </c>
      <c r="H158" s="22">
        <f>Emissionsfaktoren[[#This Row],[2017]]</f>
        <v>38.24</v>
      </c>
      <c r="I158" s="22">
        <f>Emissionsfaktoren[[#This Row],[2018]]</f>
        <v>38.24</v>
      </c>
      <c r="J158" s="22">
        <f>Emissionsfaktoren[[#This Row],[2019]]</f>
        <v>38.24</v>
      </c>
      <c r="K158" s="22">
        <f>Emissionsfaktoren[[#This Row],[2020]]</f>
        <v>38.24</v>
      </c>
      <c r="L158" s="22">
        <f>Emissionsfaktoren[[#This Row],[2021]]</f>
        <v>38.24</v>
      </c>
      <c r="M158" s="22">
        <f>Emissionsfaktoren[[#This Row],[2022]]</f>
        <v>38.24</v>
      </c>
      <c r="N158" s="22">
        <f>Emissionsfaktoren[[#This Row],[2023]]</f>
        <v>38.24</v>
      </c>
      <c r="O158" s="22">
        <f>Emissionsfaktoren[[#This Row],[2024]]</f>
        <v>38.24</v>
      </c>
      <c r="P158" s="22">
        <f>Emissionsfaktoren[[#This Row],[2025]]</f>
        <v>38.24</v>
      </c>
      <c r="Q158" s="22">
        <f>Emissionsfaktoren[[#This Row],[2025]]</f>
        <v>38.24</v>
      </c>
      <c r="R158" s="22">
        <f>Emissionsfaktoren[[#This Row],[2025]]</f>
        <v>38.24</v>
      </c>
      <c r="S158" s="22">
        <f>Emissionsfaktoren[[#This Row],[2025]]</f>
        <v>38.24</v>
      </c>
      <c r="T158" s="22">
        <f>Emissionsfaktoren[[#This Row],[2026]]</f>
        <v>38.24</v>
      </c>
      <c r="U158" s="22">
        <f>Emissionsfaktoren[[#This Row],[2030]]</f>
        <v>38.24</v>
      </c>
      <c r="V158" s="22">
        <f>Emissionsfaktoren[[#This Row],[2035]]</f>
        <v>38.24</v>
      </c>
      <c r="W158" s="22">
        <f>Emissionsfaktoren[[#This Row],[2040]]</f>
        <v>38.24</v>
      </c>
      <c r="X158" s="22">
        <f>Emissionsfaktoren[[#This Row],[2045]]</f>
        <v>38.24</v>
      </c>
      <c r="Y158" s="11" t="s">
        <v>189</v>
      </c>
      <c r="Z158" s="11" t="s">
        <v>190</v>
      </c>
    </row>
    <row r="159" spans="2:26" ht="16.5" x14ac:dyDescent="0.45">
      <c r="B159" s="20">
        <v>99</v>
      </c>
      <c r="C159" s="20" t="str">
        <f>Refsz_Verbräuche[[#This Row],[Datenpunkt]]</f>
        <v>Laserdrucker</v>
      </c>
      <c r="D159" t="s">
        <v>165</v>
      </c>
      <c r="E159" s="22">
        <v>59.803955149706148</v>
      </c>
      <c r="F159" s="22">
        <f>Emissionsfaktoren[[#This Row],[2015]]</f>
        <v>59.803955149706148</v>
      </c>
      <c r="G159" s="22">
        <f>Emissionsfaktoren[[#This Row],[2016]]</f>
        <v>59.803955149706148</v>
      </c>
      <c r="H159" s="22">
        <f>Emissionsfaktoren[[#This Row],[2017]]</f>
        <v>59.803955149706148</v>
      </c>
      <c r="I159" s="22">
        <f>Emissionsfaktoren[[#This Row],[2018]]</f>
        <v>59.803955149706148</v>
      </c>
      <c r="J159" s="22">
        <f>Emissionsfaktoren[[#This Row],[2019]]</f>
        <v>59.803955149706148</v>
      </c>
      <c r="K159" s="22">
        <f>Emissionsfaktoren[[#This Row],[2020]]</f>
        <v>59.803955149706148</v>
      </c>
      <c r="L159" s="22">
        <f>Emissionsfaktoren[[#This Row],[2021]]</f>
        <v>59.803955149706148</v>
      </c>
      <c r="M159" s="22">
        <f>Emissionsfaktoren[[#This Row],[2022]]</f>
        <v>59.803955149706148</v>
      </c>
      <c r="N159" s="22">
        <f>Emissionsfaktoren[[#This Row],[2023]]</f>
        <v>59.803955149706148</v>
      </c>
      <c r="O159" s="22">
        <f>Emissionsfaktoren[[#This Row],[2024]]</f>
        <v>59.803955149706148</v>
      </c>
      <c r="P159" s="22">
        <f>Emissionsfaktoren[[#This Row],[2025]]</f>
        <v>59.803955149706148</v>
      </c>
      <c r="Q159" s="22">
        <f>Emissionsfaktoren[[#This Row],[2025]]</f>
        <v>59.803955149706148</v>
      </c>
      <c r="R159" s="22">
        <f>Emissionsfaktoren[[#This Row],[2025]]</f>
        <v>59.803955149706148</v>
      </c>
      <c r="S159" s="22">
        <f>Emissionsfaktoren[[#This Row],[2025]]</f>
        <v>59.803955149706148</v>
      </c>
      <c r="T159" s="22">
        <f>Emissionsfaktoren[[#This Row],[2026]]</f>
        <v>59.803955149706148</v>
      </c>
      <c r="U159" s="22">
        <f>Emissionsfaktoren[[#This Row],[2030]]</f>
        <v>59.803955149706148</v>
      </c>
      <c r="V159" s="22">
        <f>Emissionsfaktoren[[#This Row],[2035]]</f>
        <v>59.803955149706148</v>
      </c>
      <c r="W159" s="22">
        <f>Emissionsfaktoren[[#This Row],[2040]]</f>
        <v>59.803955149706148</v>
      </c>
      <c r="X159" s="22">
        <f>Emissionsfaktoren[[#This Row],[2045]]</f>
        <v>59.803955149706148</v>
      </c>
      <c r="Y159" s="11" t="s">
        <v>198</v>
      </c>
      <c r="Z159" s="11" t="s">
        <v>197</v>
      </c>
    </row>
    <row r="160" spans="2:26" ht="16.5" x14ac:dyDescent="0.45">
      <c r="B160" s="20">
        <v>100</v>
      </c>
      <c r="C160" s="20" t="str">
        <f>Refsz_Verbräuche[[#This Row],[Datenpunkt]]</f>
        <v>Multifunktionsdrucker klein (31 x 44 x 42 cm)</v>
      </c>
      <c r="D160" t="s">
        <v>165</v>
      </c>
      <c r="E160" s="22">
        <f>143</f>
        <v>143</v>
      </c>
      <c r="F160" s="22">
        <f>Emissionsfaktoren[[#This Row],[2015]]</f>
        <v>143</v>
      </c>
      <c r="G160" s="22">
        <f>Emissionsfaktoren[[#This Row],[2016]]</f>
        <v>143</v>
      </c>
      <c r="H160" s="22">
        <f>Emissionsfaktoren[[#This Row],[2017]]</f>
        <v>143</v>
      </c>
      <c r="I160" s="22">
        <f>Emissionsfaktoren[[#This Row],[2018]]</f>
        <v>143</v>
      </c>
      <c r="J160" s="22">
        <f>Emissionsfaktoren[[#This Row],[2019]]</f>
        <v>143</v>
      </c>
      <c r="K160" s="22">
        <f>Emissionsfaktoren[[#This Row],[2020]]</f>
        <v>143</v>
      </c>
      <c r="L160" s="22">
        <f>Emissionsfaktoren[[#This Row],[2021]]</f>
        <v>143</v>
      </c>
      <c r="M160" s="22">
        <f>Emissionsfaktoren[[#This Row],[2022]]</f>
        <v>143</v>
      </c>
      <c r="N160" s="22">
        <f>Emissionsfaktoren[[#This Row],[2023]]</f>
        <v>143</v>
      </c>
      <c r="O160" s="22">
        <f>Emissionsfaktoren[[#This Row],[2024]]</f>
        <v>143</v>
      </c>
      <c r="P160" s="22">
        <f>Emissionsfaktoren[[#This Row],[2025]]</f>
        <v>143</v>
      </c>
      <c r="Q160" s="22">
        <f>Emissionsfaktoren[[#This Row],[2025]]</f>
        <v>143</v>
      </c>
      <c r="R160" s="22">
        <f>Emissionsfaktoren[[#This Row],[2025]]</f>
        <v>143</v>
      </c>
      <c r="S160" s="22">
        <f>Emissionsfaktoren[[#This Row],[2025]]</f>
        <v>143</v>
      </c>
      <c r="T160" s="22">
        <f>Emissionsfaktoren[[#This Row],[2026]]</f>
        <v>143</v>
      </c>
      <c r="U160" s="22">
        <f>Emissionsfaktoren[[#This Row],[2030]]</f>
        <v>143</v>
      </c>
      <c r="V160" s="22">
        <f>Emissionsfaktoren[[#This Row],[2035]]</f>
        <v>143</v>
      </c>
      <c r="W160" s="22">
        <f>Emissionsfaktoren[[#This Row],[2040]]</f>
        <v>143</v>
      </c>
      <c r="X160" s="22">
        <f>Emissionsfaktoren[[#This Row],[2045]]</f>
        <v>143</v>
      </c>
      <c r="Y160" s="11" t="s">
        <v>201</v>
      </c>
      <c r="Z160" s="11" t="s">
        <v>203</v>
      </c>
    </row>
    <row r="161" spans="2:26" ht="16.5" x14ac:dyDescent="0.45">
      <c r="B161" s="20">
        <v>101</v>
      </c>
      <c r="C161" s="20" t="str">
        <f>Refsz_Verbräuche[[#This Row],[Datenpunkt]]</f>
        <v>Multifunktionsdrucker mittel (54 x 56 x 52 cm)</v>
      </c>
      <c r="D161" t="s">
        <v>165</v>
      </c>
      <c r="E161" s="23">
        <f>638</f>
        <v>638</v>
      </c>
      <c r="F161" s="23">
        <f>638</f>
        <v>638</v>
      </c>
      <c r="G161" s="23">
        <f>638</f>
        <v>638</v>
      </c>
      <c r="H161" s="23">
        <f>638</f>
        <v>638</v>
      </c>
      <c r="I161" s="23">
        <f>638</f>
        <v>638</v>
      </c>
      <c r="J161" s="23">
        <f>638</f>
        <v>638</v>
      </c>
      <c r="K161" s="23">
        <f>638</f>
        <v>638</v>
      </c>
      <c r="L161" s="23">
        <f>638</f>
        <v>638</v>
      </c>
      <c r="M161" s="23">
        <f>638</f>
        <v>638</v>
      </c>
      <c r="N161" s="23">
        <f>638</f>
        <v>638</v>
      </c>
      <c r="O161" s="23">
        <f>638</f>
        <v>638</v>
      </c>
      <c r="P161" s="23">
        <f>638</f>
        <v>638</v>
      </c>
      <c r="Q161" s="23">
        <f>638</f>
        <v>638</v>
      </c>
      <c r="R161" s="23">
        <f>638</f>
        <v>638</v>
      </c>
      <c r="S161" s="23">
        <f>638</f>
        <v>638</v>
      </c>
      <c r="T161" s="23">
        <f>638</f>
        <v>638</v>
      </c>
      <c r="U161" s="23">
        <f>638</f>
        <v>638</v>
      </c>
      <c r="V161" s="23">
        <f>638</f>
        <v>638</v>
      </c>
      <c r="W161" s="23">
        <f>638</f>
        <v>638</v>
      </c>
      <c r="X161" s="23">
        <f>638</f>
        <v>638</v>
      </c>
      <c r="Y161" t="s">
        <v>200</v>
      </c>
      <c r="Z161" s="11" t="s">
        <v>202</v>
      </c>
    </row>
    <row r="162" spans="2:26" ht="16.5" x14ac:dyDescent="0.45">
      <c r="B162" s="20">
        <v>102</v>
      </c>
      <c r="C162" s="20" t="str">
        <f>Refsz_Verbräuche[[#This Row],[Datenpunkt]]</f>
        <v>Multifunktionsdrucker groß (114 x 65 x 59 cm)</v>
      </c>
      <c r="D162" t="s">
        <v>165</v>
      </c>
      <c r="E162" s="22">
        <v>760</v>
      </c>
      <c r="F162" s="22">
        <v>760</v>
      </c>
      <c r="G162" s="22">
        <v>760</v>
      </c>
      <c r="H162" s="22">
        <v>760</v>
      </c>
      <c r="I162" s="22">
        <v>760</v>
      </c>
      <c r="J162" s="22">
        <v>760</v>
      </c>
      <c r="K162" s="22">
        <v>760</v>
      </c>
      <c r="L162" s="22">
        <v>760</v>
      </c>
      <c r="M162" s="22">
        <v>760</v>
      </c>
      <c r="N162" s="22">
        <v>760</v>
      </c>
      <c r="O162" s="22">
        <v>760</v>
      </c>
      <c r="P162" s="22">
        <v>760</v>
      </c>
      <c r="Q162" s="22">
        <v>760</v>
      </c>
      <c r="R162" s="22">
        <v>760</v>
      </c>
      <c r="S162" s="22">
        <v>760</v>
      </c>
      <c r="T162" s="22">
        <v>760</v>
      </c>
      <c r="U162" s="22">
        <v>760</v>
      </c>
      <c r="V162" s="22">
        <v>760</v>
      </c>
      <c r="W162" s="22">
        <v>760</v>
      </c>
      <c r="X162" s="22">
        <v>760</v>
      </c>
      <c r="Y162" t="s">
        <v>200</v>
      </c>
      <c r="Z162" s="11" t="s">
        <v>204</v>
      </c>
    </row>
    <row r="163" spans="2:26" ht="16.5" x14ac:dyDescent="0.45">
      <c r="B163" s="20">
        <v>103</v>
      </c>
      <c r="C163" s="20" t="str">
        <f>Refsz_Verbräuche[[#This Row],[Datenpunkt]]</f>
        <v>Toner</v>
      </c>
      <c r="D163" t="s">
        <v>165</v>
      </c>
      <c r="E163" s="22">
        <v>13.60604</v>
      </c>
      <c r="F163" s="22">
        <f>Emissionsfaktoren[[#This Row],[2015]]</f>
        <v>13.60604</v>
      </c>
      <c r="G163" s="22">
        <f>Emissionsfaktoren[[#This Row],[2016]]</f>
        <v>13.60604</v>
      </c>
      <c r="H163" s="22">
        <f>Emissionsfaktoren[[#This Row],[2017]]</f>
        <v>13.60604</v>
      </c>
      <c r="I163" s="22">
        <f>Emissionsfaktoren[[#This Row],[2018]]</f>
        <v>13.60604</v>
      </c>
      <c r="J163" s="22">
        <f>Emissionsfaktoren[[#This Row],[2019]]</f>
        <v>13.60604</v>
      </c>
      <c r="K163" s="22">
        <f>Emissionsfaktoren[[#This Row],[2020]]</f>
        <v>13.60604</v>
      </c>
      <c r="L163" s="22">
        <f>Emissionsfaktoren[[#This Row],[2021]]</f>
        <v>13.60604</v>
      </c>
      <c r="M163" s="22">
        <f>Emissionsfaktoren[[#This Row],[2022]]</f>
        <v>13.60604</v>
      </c>
      <c r="N163" s="22">
        <f>Emissionsfaktoren[[#This Row],[2023]]</f>
        <v>13.60604</v>
      </c>
      <c r="O163" s="22">
        <f>Emissionsfaktoren[[#This Row],[2024]]</f>
        <v>13.60604</v>
      </c>
      <c r="P163" s="22">
        <f>Emissionsfaktoren[[#This Row],[2025]]</f>
        <v>13.60604</v>
      </c>
      <c r="Q163" s="22">
        <f>Emissionsfaktoren[[#This Row],[2025]]</f>
        <v>13.60604</v>
      </c>
      <c r="R163" s="22">
        <f>Emissionsfaktoren[[#This Row],[2025]]</f>
        <v>13.60604</v>
      </c>
      <c r="S163" s="22">
        <f>Emissionsfaktoren[[#This Row],[2025]]</f>
        <v>13.60604</v>
      </c>
      <c r="T163" s="22">
        <f>Emissionsfaktoren[[#This Row],[2026]]</f>
        <v>13.60604</v>
      </c>
      <c r="U163" s="22">
        <f>Emissionsfaktoren[[#This Row],[2030]]</f>
        <v>13.60604</v>
      </c>
      <c r="V163" s="22">
        <f>Emissionsfaktoren[[#This Row],[2035]]</f>
        <v>13.60604</v>
      </c>
      <c r="W163" s="22">
        <f>Emissionsfaktoren[[#This Row],[2040]]</f>
        <v>13.60604</v>
      </c>
      <c r="X163" s="22">
        <f>Emissionsfaktoren[[#This Row],[2045]]</f>
        <v>13.60604</v>
      </c>
      <c r="Y163" s="11" t="s">
        <v>198</v>
      </c>
      <c r="Z163" s="11" t="s">
        <v>199</v>
      </c>
    </row>
    <row r="164" spans="2:26" x14ac:dyDescent="0.35">
      <c r="B164" s="20">
        <v>104</v>
      </c>
      <c r="C164" s="20">
        <f>Refsz_Verbräuche[[#This Row],[Datenpunkt]]</f>
        <v>0</v>
      </c>
      <c r="D164" s="9"/>
      <c r="E164" s="22"/>
      <c r="F164" s="22"/>
      <c r="G164" s="22"/>
      <c r="H164" s="22"/>
      <c r="I164" s="22"/>
      <c r="J164" s="22"/>
      <c r="K164" s="22"/>
      <c r="L164" s="22"/>
      <c r="M164" s="22"/>
      <c r="N164" s="22"/>
      <c r="O164" s="22"/>
      <c r="P164" s="22"/>
      <c r="Q164" s="22"/>
      <c r="R164" s="22"/>
      <c r="S164" s="22"/>
      <c r="T164" s="22"/>
      <c r="U164" s="22"/>
      <c r="V164" s="22"/>
      <c r="W164" s="22"/>
      <c r="X164" s="22"/>
      <c r="Y164" s="11"/>
      <c r="Z164" s="11"/>
    </row>
    <row r="165" spans="2:26" ht="16.5" x14ac:dyDescent="0.45">
      <c r="B165" s="20">
        <v>105</v>
      </c>
      <c r="C165" s="20" t="str">
        <f>Refsz_Verbräuche[[#This Row],[Datenpunkt]]</f>
        <v>Bioabfall, Grünschnitt (Kompostierung)</v>
      </c>
      <c r="D165" t="s">
        <v>164</v>
      </c>
      <c r="E165" s="22">
        <v>6</v>
      </c>
      <c r="F165" s="22">
        <v>6</v>
      </c>
      <c r="G165" s="22">
        <v>6</v>
      </c>
      <c r="H165" s="22">
        <v>10.258599999999999</v>
      </c>
      <c r="I165" s="22">
        <v>10.204000000000001</v>
      </c>
      <c r="J165" s="22">
        <v>10.204000000000001</v>
      </c>
      <c r="K165" s="22">
        <v>8.9510000000000005</v>
      </c>
      <c r="L165" s="22">
        <f t="shared" ref="L165:X165" si="14">0.00891058139534884*1000</f>
        <v>8.9105813953488386</v>
      </c>
      <c r="M165" s="22">
        <f t="shared" si="14"/>
        <v>8.9105813953488386</v>
      </c>
      <c r="N165" s="22">
        <f t="shared" si="14"/>
        <v>8.9105813953488386</v>
      </c>
      <c r="O165" s="22">
        <f t="shared" si="14"/>
        <v>8.9105813953488386</v>
      </c>
      <c r="P165" s="22">
        <f t="shared" si="14"/>
        <v>8.9105813953488386</v>
      </c>
      <c r="Q165" s="22">
        <f t="shared" si="14"/>
        <v>8.9105813953488386</v>
      </c>
      <c r="R165" s="22">
        <f t="shared" si="14"/>
        <v>8.9105813953488386</v>
      </c>
      <c r="S165" s="22">
        <f t="shared" si="14"/>
        <v>8.9105813953488386</v>
      </c>
      <c r="T165" s="22">
        <f t="shared" si="14"/>
        <v>8.9105813953488386</v>
      </c>
      <c r="U165" s="22">
        <f t="shared" si="14"/>
        <v>8.9105813953488386</v>
      </c>
      <c r="V165" s="22">
        <f t="shared" si="14"/>
        <v>8.9105813953488386</v>
      </c>
      <c r="W165" s="22">
        <f t="shared" si="14"/>
        <v>8.9105813953488386</v>
      </c>
      <c r="X165" s="22">
        <f t="shared" si="14"/>
        <v>8.9105813953488386</v>
      </c>
      <c r="Y165" t="s">
        <v>62</v>
      </c>
      <c r="Z165" s="11" t="s">
        <v>148</v>
      </c>
    </row>
    <row r="166" spans="2:26" ht="16.5" x14ac:dyDescent="0.45">
      <c r="B166" s="20">
        <v>106</v>
      </c>
      <c r="C166" s="20" t="str">
        <f>Refsz_Verbräuche[[#This Row],[Datenpunkt]]</f>
        <v>Bioabfall (Verbrennung)</v>
      </c>
      <c r="D166" t="s">
        <v>164</v>
      </c>
      <c r="E166" s="22">
        <v>21</v>
      </c>
      <c r="F166" s="22">
        <v>21</v>
      </c>
      <c r="G166" s="22">
        <v>21.8</v>
      </c>
      <c r="H166" s="22">
        <v>21.3842</v>
      </c>
      <c r="I166" s="22">
        <v>21.353999999999999</v>
      </c>
      <c r="J166" s="22">
        <v>21.317</v>
      </c>
      <c r="K166" s="22">
        <v>21.294</v>
      </c>
      <c r="L166" s="22">
        <v>21.280193798449599</v>
      </c>
      <c r="M166" s="22">
        <v>21.280193798449599</v>
      </c>
      <c r="N166" s="22">
        <v>21.280193798449599</v>
      </c>
      <c r="O166" s="22">
        <v>21.280193798449599</v>
      </c>
      <c r="P166" s="22">
        <v>21.280193798449599</v>
      </c>
      <c r="Q166" s="22">
        <v>21.280193798449599</v>
      </c>
      <c r="R166" s="22">
        <v>21.280193798449599</v>
      </c>
      <c r="S166" s="22">
        <v>21.280193798449599</v>
      </c>
      <c r="T166" s="22">
        <v>21.280193798449599</v>
      </c>
      <c r="U166" s="22">
        <v>21.280193798449599</v>
      </c>
      <c r="V166" s="22">
        <v>21.280193798449599</v>
      </c>
      <c r="W166" s="22">
        <v>21.280193798449599</v>
      </c>
      <c r="X166" s="22">
        <v>21.280193798449599</v>
      </c>
      <c r="Y166" t="s">
        <v>62</v>
      </c>
      <c r="Z166" s="11" t="s">
        <v>149</v>
      </c>
    </row>
    <row r="167" spans="2:26" ht="16.5" x14ac:dyDescent="0.45">
      <c r="B167" s="20">
        <v>107</v>
      </c>
      <c r="C167" s="20" t="str">
        <f>Refsz_Verbräuche[[#This Row],[Datenpunkt]]</f>
        <v>Papierabfall</v>
      </c>
      <c r="D167" t="s">
        <v>164</v>
      </c>
      <c r="E167" s="22">
        <v>21</v>
      </c>
      <c r="F167" s="22">
        <v>21</v>
      </c>
      <c r="G167" s="22">
        <v>21.8</v>
      </c>
      <c r="H167" s="22">
        <v>21.3842</v>
      </c>
      <c r="I167" s="22">
        <v>21.353999999999999</v>
      </c>
      <c r="J167" s="22">
        <v>21.317</v>
      </c>
      <c r="K167" s="22">
        <v>21.294</v>
      </c>
      <c r="L167" s="22">
        <v>21.280193798449599</v>
      </c>
      <c r="M167" s="22">
        <v>21.280193798449599</v>
      </c>
      <c r="N167" s="22">
        <v>21.280193798449599</v>
      </c>
      <c r="O167" s="22">
        <v>21.280193798449599</v>
      </c>
      <c r="P167" s="22">
        <v>21.280193798449599</v>
      </c>
      <c r="Q167" s="22">
        <v>21.280193798449599</v>
      </c>
      <c r="R167" s="22">
        <v>21.280193798449599</v>
      </c>
      <c r="S167" s="22">
        <v>21.280193798449599</v>
      </c>
      <c r="T167" s="22">
        <v>21.280193798449599</v>
      </c>
      <c r="U167" s="22">
        <v>21.280193798449599</v>
      </c>
      <c r="V167" s="22">
        <v>21.280193798449599</v>
      </c>
      <c r="W167" s="22">
        <v>21.280193798449599</v>
      </c>
      <c r="X167" s="22">
        <v>21.280193798449599</v>
      </c>
      <c r="Y167" t="s">
        <v>62</v>
      </c>
      <c r="Z167" t="s">
        <v>150</v>
      </c>
    </row>
    <row r="168" spans="2:26" ht="16.5" x14ac:dyDescent="0.45">
      <c r="B168" s="20">
        <v>108</v>
      </c>
      <c r="C168" s="20" t="str">
        <f>Refsz_Verbräuche[[#This Row],[Datenpunkt]]</f>
        <v>Plastik- und Verpackungsabfall</v>
      </c>
      <c r="D168" t="s">
        <v>164</v>
      </c>
      <c r="E168" s="22">
        <v>21</v>
      </c>
      <c r="F168" s="22">
        <v>21</v>
      </c>
      <c r="G168" s="22">
        <v>21.8</v>
      </c>
      <c r="H168" s="22">
        <v>21.3842</v>
      </c>
      <c r="I168" s="22">
        <v>21.353999999999999</v>
      </c>
      <c r="J168" s="22">
        <v>21.317</v>
      </c>
      <c r="K168" s="22">
        <v>21.294</v>
      </c>
      <c r="L168" s="22">
        <v>21.280193798449599</v>
      </c>
      <c r="M168" s="22">
        <v>21.280193798449599</v>
      </c>
      <c r="N168" s="22">
        <v>21.280193798449599</v>
      </c>
      <c r="O168" s="22">
        <v>21.280193798449599</v>
      </c>
      <c r="P168" s="22">
        <v>21.280193798449599</v>
      </c>
      <c r="Q168" s="22">
        <v>21.280193798449599</v>
      </c>
      <c r="R168" s="22">
        <v>21.280193798449599</v>
      </c>
      <c r="S168" s="22">
        <v>21.280193798449599</v>
      </c>
      <c r="T168" s="22">
        <v>21.280193798449599</v>
      </c>
      <c r="U168" s="22">
        <v>21.280193798449599</v>
      </c>
      <c r="V168" s="22">
        <v>21.280193798449599</v>
      </c>
      <c r="W168" s="22">
        <v>21.280193798449599</v>
      </c>
      <c r="X168" s="22">
        <v>21.280193798449599</v>
      </c>
      <c r="Y168" t="s">
        <v>62</v>
      </c>
      <c r="Z168" t="s">
        <v>156</v>
      </c>
    </row>
    <row r="169" spans="2:26" ht="16.5" x14ac:dyDescent="0.45">
      <c r="B169" s="20">
        <v>109</v>
      </c>
      <c r="C169" s="20" t="str">
        <f>Refsz_Verbräuche[[#This Row],[Datenpunkt]]</f>
        <v>Restmüll</v>
      </c>
      <c r="D169" t="s">
        <v>164</v>
      </c>
      <c r="E169" s="22">
        <v>21</v>
      </c>
      <c r="F169" s="22">
        <v>21</v>
      </c>
      <c r="G169" s="22">
        <v>21.8</v>
      </c>
      <c r="H169" s="22">
        <v>21.3842</v>
      </c>
      <c r="I169" s="22">
        <v>21.353999999999999</v>
      </c>
      <c r="J169" s="22">
        <v>21.317</v>
      </c>
      <c r="K169" s="22">
        <v>21.294</v>
      </c>
      <c r="L169" s="22">
        <v>21.280193798449599</v>
      </c>
      <c r="M169" s="22">
        <v>21.280193798449599</v>
      </c>
      <c r="N169" s="22">
        <v>21.280193798449599</v>
      </c>
      <c r="O169" s="22">
        <v>21.280193798449599</v>
      </c>
      <c r="P169" s="22">
        <v>21.280193798449599</v>
      </c>
      <c r="Q169" s="22">
        <v>21.280193798449599</v>
      </c>
      <c r="R169" s="22">
        <v>21.280193798449599</v>
      </c>
      <c r="S169" s="22">
        <v>21.280193798449599</v>
      </c>
      <c r="T169" s="22">
        <v>21.280193798449599</v>
      </c>
      <c r="U169" s="22">
        <v>21.280193798449599</v>
      </c>
      <c r="V169" s="22">
        <v>21.280193798449599</v>
      </c>
      <c r="W169" s="22">
        <v>21.280193798449599</v>
      </c>
      <c r="X169" s="22">
        <v>21.280193798449599</v>
      </c>
      <c r="Y169" t="s">
        <v>62</v>
      </c>
      <c r="Z169" t="s">
        <v>151</v>
      </c>
    </row>
    <row r="170" spans="2:26" ht="16.5" x14ac:dyDescent="0.45">
      <c r="B170" s="20">
        <v>110</v>
      </c>
      <c r="C170" s="20" t="str">
        <f>Refsz_Verbräuche[[#This Row],[Datenpunkt]]</f>
        <v>Sperrmüll</v>
      </c>
      <c r="D170" t="s">
        <v>164</v>
      </c>
      <c r="E170" s="23">
        <v>21</v>
      </c>
      <c r="F170" s="23">
        <v>21</v>
      </c>
      <c r="G170" s="23">
        <v>21.8</v>
      </c>
      <c r="H170" s="23">
        <v>21.3842</v>
      </c>
      <c r="I170" s="23">
        <v>21.353999999999999</v>
      </c>
      <c r="J170" s="23">
        <v>21.317</v>
      </c>
      <c r="K170" s="23">
        <v>21.294</v>
      </c>
      <c r="L170" s="23">
        <v>21.280193798449599</v>
      </c>
      <c r="M170" s="23">
        <v>21.280193798449599</v>
      </c>
      <c r="N170" s="23">
        <v>21.280193798449599</v>
      </c>
      <c r="O170" s="23">
        <v>21.280193798449599</v>
      </c>
      <c r="P170" s="23">
        <v>21.280193798449599</v>
      </c>
      <c r="Q170" s="23">
        <v>21.280193798449599</v>
      </c>
      <c r="R170" s="23">
        <v>21.280193798449599</v>
      </c>
      <c r="S170" s="23">
        <v>21.280193798449599</v>
      </c>
      <c r="T170" s="23">
        <v>21.280193798449599</v>
      </c>
      <c r="U170" s="23">
        <v>21.280193798449599</v>
      </c>
      <c r="V170" s="23">
        <v>21.280193798449599</v>
      </c>
      <c r="W170" s="23">
        <v>21.280193798449599</v>
      </c>
      <c r="X170" s="23">
        <v>21.280193798449599</v>
      </c>
      <c r="Y170" t="s">
        <v>62</v>
      </c>
      <c r="Z170" s="11" t="s">
        <v>158</v>
      </c>
    </row>
    <row r="171" spans="2:26" ht="16.5" x14ac:dyDescent="0.35">
      <c r="B171" s="20">
        <v>111</v>
      </c>
      <c r="C171" s="20" t="str">
        <f>Refsz_Verbräuche[[#This Row],[Datenpunkt]]</f>
        <v>Altholz</v>
      </c>
      <c r="D171" s="9" t="s">
        <v>164</v>
      </c>
      <c r="E171" s="22">
        <v>21</v>
      </c>
      <c r="F171" s="22">
        <v>21</v>
      </c>
      <c r="G171" s="22">
        <v>21.8</v>
      </c>
      <c r="H171" s="22">
        <v>21.3842</v>
      </c>
      <c r="I171" s="22">
        <v>21.353999999999999</v>
      </c>
      <c r="J171" s="22">
        <v>21.317</v>
      </c>
      <c r="K171" s="22">
        <v>21.294</v>
      </c>
      <c r="L171" s="22">
        <v>21.280193798449599</v>
      </c>
      <c r="M171" s="22">
        <v>21.280193798449599</v>
      </c>
      <c r="N171" s="22">
        <v>21.280193798449599</v>
      </c>
      <c r="O171" s="22">
        <v>21.280193798449599</v>
      </c>
      <c r="P171" s="22">
        <v>21.280193798449599</v>
      </c>
      <c r="Q171" s="22">
        <v>21.280193798449599</v>
      </c>
      <c r="R171" s="22">
        <v>21.280193798449599</v>
      </c>
      <c r="S171" s="22">
        <v>21.280193798449599</v>
      </c>
      <c r="T171" s="22">
        <v>21.280193798449599</v>
      </c>
      <c r="U171" s="22">
        <v>21.280193798449599</v>
      </c>
      <c r="V171" s="22">
        <v>21.280193798449599</v>
      </c>
      <c r="W171" s="22">
        <v>21.280193798449599</v>
      </c>
      <c r="X171" s="22">
        <v>21.280193798449599</v>
      </c>
      <c r="Y171" s="11" t="s">
        <v>62</v>
      </c>
      <c r="Z171" s="11" t="s">
        <v>152</v>
      </c>
    </row>
    <row r="172" spans="2:26" ht="16.5" x14ac:dyDescent="0.35">
      <c r="B172" s="20">
        <v>112</v>
      </c>
      <c r="C172" s="20" t="str">
        <f>Refsz_Verbräuche[[#This Row],[Datenpunkt]]</f>
        <v>Altglas</v>
      </c>
      <c r="D172" s="9" t="s">
        <v>164</v>
      </c>
      <c r="E172" s="22">
        <v>21</v>
      </c>
      <c r="F172" s="22">
        <v>21</v>
      </c>
      <c r="G172" s="22">
        <v>21.8</v>
      </c>
      <c r="H172" s="22">
        <v>21.3842</v>
      </c>
      <c r="I172" s="22">
        <v>21.353999999999999</v>
      </c>
      <c r="J172" s="22">
        <v>21.317</v>
      </c>
      <c r="K172" s="22">
        <v>21.294</v>
      </c>
      <c r="L172" s="22">
        <v>21.280193798449599</v>
      </c>
      <c r="M172" s="22">
        <v>21.280193798449599</v>
      </c>
      <c r="N172" s="22">
        <v>21.280193798449599</v>
      </c>
      <c r="O172" s="22">
        <v>21.280193798449599</v>
      </c>
      <c r="P172" s="22">
        <v>21.280193798449599</v>
      </c>
      <c r="Q172" s="22">
        <v>21.280193798449599</v>
      </c>
      <c r="R172" s="22">
        <v>21.280193798449599</v>
      </c>
      <c r="S172" s="22">
        <v>21.280193798449599</v>
      </c>
      <c r="T172" s="22">
        <v>21.280193798449599</v>
      </c>
      <c r="U172" s="22">
        <v>21.280193798449599</v>
      </c>
      <c r="V172" s="22">
        <v>21.280193798449599</v>
      </c>
      <c r="W172" s="22">
        <v>21.280193798449599</v>
      </c>
      <c r="X172" s="22">
        <v>21.280193798449599</v>
      </c>
      <c r="Y172" s="11" t="s">
        <v>62</v>
      </c>
      <c r="Z172" s="11" t="s">
        <v>153</v>
      </c>
    </row>
    <row r="173" spans="2:26" ht="16.5" x14ac:dyDescent="0.35">
      <c r="B173" s="20">
        <v>113</v>
      </c>
      <c r="C173" s="20" t="str">
        <f>Refsz_Verbräuche[[#This Row],[Datenpunkt]]</f>
        <v>E-Großgeräte (Abfall)</v>
      </c>
      <c r="D173" s="9" t="s">
        <v>164</v>
      </c>
      <c r="E173" s="22">
        <v>21</v>
      </c>
      <c r="F173" s="22">
        <v>21</v>
      </c>
      <c r="G173" s="22">
        <v>21.8</v>
      </c>
      <c r="H173" s="22">
        <v>21.3842</v>
      </c>
      <c r="I173" s="22">
        <v>21.353999999999999</v>
      </c>
      <c r="J173" s="22">
        <v>21.317</v>
      </c>
      <c r="K173" s="22">
        <v>21.294</v>
      </c>
      <c r="L173" s="22">
        <v>21.280193798449599</v>
      </c>
      <c r="M173" s="22">
        <v>21.280193798449599</v>
      </c>
      <c r="N173" s="22">
        <v>21.280193798449599</v>
      </c>
      <c r="O173" s="22">
        <v>21.280193798449599</v>
      </c>
      <c r="P173" s="22">
        <v>21.280193798449599</v>
      </c>
      <c r="Q173" s="22">
        <v>21.280193798449599</v>
      </c>
      <c r="R173" s="22">
        <v>21.280193798449599</v>
      </c>
      <c r="S173" s="22">
        <v>21.280193798449599</v>
      </c>
      <c r="T173" s="22">
        <v>21.280193798449599</v>
      </c>
      <c r="U173" s="22">
        <v>21.280193798449599</v>
      </c>
      <c r="V173" s="22">
        <v>21.280193798449599</v>
      </c>
      <c r="W173" s="22">
        <v>21.280193798449599</v>
      </c>
      <c r="X173" s="22">
        <v>21.280193798449599</v>
      </c>
      <c r="Y173" s="11" t="s">
        <v>62</v>
      </c>
      <c r="Z173" s="11" t="s">
        <v>155</v>
      </c>
    </row>
    <row r="174" spans="2:26" ht="16.5" x14ac:dyDescent="0.35">
      <c r="B174" s="20">
        <v>114</v>
      </c>
      <c r="C174" s="20" t="str">
        <f>Refsz_Verbräuche[[#This Row],[Datenpunkt]]</f>
        <v>Metalle (Abfall)</v>
      </c>
      <c r="D174" s="9" t="s">
        <v>164</v>
      </c>
      <c r="E174" s="22">
        <v>21</v>
      </c>
      <c r="F174" s="22">
        <v>21</v>
      </c>
      <c r="G174" s="22">
        <v>21.8</v>
      </c>
      <c r="H174" s="22">
        <v>21.3842</v>
      </c>
      <c r="I174" s="22">
        <v>21.353999999999999</v>
      </c>
      <c r="J174" s="22">
        <v>21.317</v>
      </c>
      <c r="K174" s="22">
        <v>21.294</v>
      </c>
      <c r="L174" s="22">
        <v>21.280193798449599</v>
      </c>
      <c r="M174" s="22">
        <v>21.280193798449599</v>
      </c>
      <c r="N174" s="22">
        <v>21.280193798449599</v>
      </c>
      <c r="O174" s="22">
        <v>21.280193798449599</v>
      </c>
      <c r="P174" s="22">
        <v>21.280193798449599</v>
      </c>
      <c r="Q174" s="22">
        <v>21.280193798449599</v>
      </c>
      <c r="R174" s="22">
        <v>21.280193798449599</v>
      </c>
      <c r="S174" s="22">
        <v>21.280193798449599</v>
      </c>
      <c r="T174" s="22">
        <v>21.280193798449599</v>
      </c>
      <c r="U174" s="22">
        <v>21.280193798449599</v>
      </c>
      <c r="V174" s="22">
        <v>21.280193798449599</v>
      </c>
      <c r="W174" s="22">
        <v>21.280193798449599</v>
      </c>
      <c r="X174" s="22">
        <v>21.280193798449599</v>
      </c>
      <c r="Y174" s="11" t="s">
        <v>62</v>
      </c>
      <c r="Z174" s="11" t="s">
        <v>154</v>
      </c>
    </row>
    <row r="175" spans="2:26" ht="16.5" x14ac:dyDescent="0.35">
      <c r="B175" s="20">
        <v>115</v>
      </c>
      <c r="C175" s="20" t="str">
        <f>Refsz_Verbräuche[[#This Row],[Datenpunkt]]</f>
        <v>Bauschutt</v>
      </c>
      <c r="D175" s="9" t="s">
        <v>164</v>
      </c>
      <c r="E175" s="22">
        <v>21</v>
      </c>
      <c r="F175" s="22">
        <v>1</v>
      </c>
      <c r="G175" s="22">
        <v>1.1000000000000001</v>
      </c>
      <c r="H175" s="22">
        <v>1.0192000000000001</v>
      </c>
      <c r="I175" s="22">
        <v>1.0089999999999999</v>
      </c>
      <c r="J175" s="22">
        <v>1.0089999999999999</v>
      </c>
      <c r="K175" s="22">
        <v>0.98899999999999999</v>
      </c>
      <c r="L175" s="22">
        <v>0.98499999999999999</v>
      </c>
      <c r="M175" s="22">
        <v>0.98499999999999999</v>
      </c>
      <c r="N175" s="22">
        <v>0.98499999999999999</v>
      </c>
      <c r="O175" s="22">
        <v>0.98499999999999999</v>
      </c>
      <c r="P175" s="22">
        <v>0.98499999999999999</v>
      </c>
      <c r="Q175" s="22">
        <v>0.98499999999999999</v>
      </c>
      <c r="R175" s="22">
        <v>0.98499999999999999</v>
      </c>
      <c r="S175" s="22">
        <v>0.98499999999999999</v>
      </c>
      <c r="T175" s="22">
        <v>0.98499999999999999</v>
      </c>
      <c r="U175" s="22">
        <v>0.98499999999999999</v>
      </c>
      <c r="V175" s="22">
        <v>0.98499999999999999</v>
      </c>
      <c r="W175" s="22">
        <v>0.98499999999999999</v>
      </c>
      <c r="X175" s="22">
        <v>0.98499999999999999</v>
      </c>
      <c r="Y175" s="11" t="s">
        <v>62</v>
      </c>
      <c r="Z175" s="11" t="s">
        <v>159</v>
      </c>
    </row>
    <row r="176" spans="2:26" x14ac:dyDescent="0.35">
      <c r="B176" s="20">
        <v>116</v>
      </c>
      <c r="C176" s="20">
        <f>Refsz_Verbräuche[[#This Row],[Datenpunkt]]</f>
        <v>0</v>
      </c>
      <c r="D176" s="9"/>
      <c r="E176" s="22"/>
      <c r="F176" s="22"/>
      <c r="G176" s="22"/>
      <c r="H176" s="22"/>
      <c r="I176" s="22"/>
      <c r="J176" s="22"/>
      <c r="K176" s="22"/>
      <c r="L176" s="22"/>
      <c r="M176" s="22"/>
      <c r="N176" s="22"/>
      <c r="O176" s="22"/>
      <c r="P176" s="22"/>
      <c r="Q176" s="22"/>
      <c r="R176" s="22"/>
      <c r="S176" s="22"/>
      <c r="T176" s="22"/>
      <c r="U176" s="22"/>
      <c r="V176" s="22"/>
      <c r="W176" s="22"/>
      <c r="X176" s="22"/>
      <c r="Y176" s="11"/>
      <c r="Z176" s="11"/>
    </row>
    <row r="177" spans="2:26" ht="16.5" x14ac:dyDescent="0.35">
      <c r="B177" s="20">
        <v>117</v>
      </c>
      <c r="C177" s="20" t="str">
        <f>Refsz_Verbräuche[[#This Row],[Datenpunkt]]</f>
        <v>Branntkalk</v>
      </c>
      <c r="D177" s="9" t="s">
        <v>161</v>
      </c>
      <c r="E177" s="22">
        <v>1.0974222</v>
      </c>
      <c r="F177" s="22">
        <v>1.0974222</v>
      </c>
      <c r="G177" s="22">
        <v>1.0974222</v>
      </c>
      <c r="H177" s="22">
        <v>1.0974222</v>
      </c>
      <c r="I177" s="22">
        <v>1.0974222</v>
      </c>
      <c r="J177" s="22">
        <v>1.1025559</v>
      </c>
      <c r="K177" s="22">
        <v>1.1025559</v>
      </c>
      <c r="L177" s="22">
        <v>1.1025559</v>
      </c>
      <c r="M177" s="22">
        <v>1.1025559</v>
      </c>
      <c r="N177" s="22">
        <v>1.1025559</v>
      </c>
      <c r="O177" s="22">
        <v>1.1025559</v>
      </c>
      <c r="P177" s="22">
        <v>1.1025559</v>
      </c>
      <c r="Q177" s="22">
        <v>1.1025559</v>
      </c>
      <c r="R177" s="22">
        <v>1.1025559</v>
      </c>
      <c r="S177" s="22">
        <v>1.1025559</v>
      </c>
      <c r="T177" s="22">
        <v>1.1068046</v>
      </c>
      <c r="U177" s="22">
        <v>1.1068046</v>
      </c>
      <c r="V177" s="22">
        <v>1.1068046</v>
      </c>
      <c r="W177" s="22">
        <v>1.1068046</v>
      </c>
      <c r="X177" s="22">
        <v>1.0342062000000001</v>
      </c>
      <c r="Y177" s="11" t="s">
        <v>32</v>
      </c>
      <c r="Z177" s="11" t="s">
        <v>86</v>
      </c>
    </row>
    <row r="178" spans="2:26" ht="16.5" x14ac:dyDescent="0.35">
      <c r="B178" s="20">
        <v>118</v>
      </c>
      <c r="C178" s="20" t="str">
        <f>Refsz_Verbräuche[[#This Row],[Datenpunkt]]</f>
        <v>Gips</v>
      </c>
      <c r="D178" s="9" t="s">
        <v>161</v>
      </c>
      <c r="E178" s="22">
        <v>4.1050999999999997E-2</v>
      </c>
      <c r="F178" s="22">
        <v>4.1050999999999997E-2</v>
      </c>
      <c r="G178" s="22">
        <v>4.1050999999999997E-2</v>
      </c>
      <c r="H178" s="22">
        <v>4.1050999999999997E-2</v>
      </c>
      <c r="I178" s="22">
        <v>4.1050999999999997E-2</v>
      </c>
      <c r="J178" s="22">
        <v>4.1050999999999997E-2</v>
      </c>
      <c r="K178" s="22">
        <v>4.1050999999999997E-2</v>
      </c>
      <c r="L178" s="22">
        <v>4.1050999999999997E-2</v>
      </c>
      <c r="M178" s="22">
        <v>4.1050999999999997E-2</v>
      </c>
      <c r="N178" s="22">
        <v>4.1050999999999997E-2</v>
      </c>
      <c r="O178" s="22">
        <v>4.1050999999999997E-2</v>
      </c>
      <c r="P178" s="22">
        <v>4.1050999999999997E-2</v>
      </c>
      <c r="Q178" s="22">
        <v>4.1050999999999997E-2</v>
      </c>
      <c r="R178" s="22">
        <v>4.1050999999999997E-2</v>
      </c>
      <c r="S178" s="22">
        <v>4.1050999999999997E-2</v>
      </c>
      <c r="T178" s="22">
        <v>4.1050999999999997E-2</v>
      </c>
      <c r="U178" s="22">
        <v>4.1050999999999997E-2</v>
      </c>
      <c r="V178" s="22">
        <v>4.1050999999999997E-2</v>
      </c>
      <c r="W178" s="22">
        <v>4.1050999999999997E-2</v>
      </c>
      <c r="X178" s="22">
        <v>4.1050999999999997E-2</v>
      </c>
      <c r="Y178" s="11" t="s">
        <v>32</v>
      </c>
      <c r="Z178" s="11" t="s">
        <v>89</v>
      </c>
    </row>
    <row r="179" spans="2:26" ht="16.5" x14ac:dyDescent="0.35">
      <c r="B179" s="20">
        <v>119</v>
      </c>
      <c r="C179" s="20" t="str">
        <f>Refsz_Verbräuche[[#This Row],[Datenpunkt]]</f>
        <v>Gipsplatte</v>
      </c>
      <c r="D179" s="9" t="s">
        <v>161</v>
      </c>
      <c r="E179" s="22">
        <v>0.22531000000000001</v>
      </c>
      <c r="F179" s="22">
        <v>0.22531000000000001</v>
      </c>
      <c r="G179" s="22">
        <v>0.22531000000000001</v>
      </c>
      <c r="H179" s="22">
        <v>0.22531000000000001</v>
      </c>
      <c r="I179" s="22">
        <v>0.22531000000000001</v>
      </c>
      <c r="J179" s="22">
        <v>0.22531000000000001</v>
      </c>
      <c r="K179" s="22">
        <v>0.22531000000000001</v>
      </c>
      <c r="L179" s="22">
        <v>0.22531000000000001</v>
      </c>
      <c r="M179" s="22">
        <v>0.22531000000000001</v>
      </c>
      <c r="N179" s="22">
        <v>0.22531000000000001</v>
      </c>
      <c r="O179" s="22">
        <v>0.22531000000000001</v>
      </c>
      <c r="P179" s="22">
        <v>0.22531000000000001</v>
      </c>
      <c r="Q179" s="22">
        <v>0.22531000000000001</v>
      </c>
      <c r="R179" s="22">
        <v>0.22531000000000001</v>
      </c>
      <c r="S179" s="22">
        <v>0.22531000000000001</v>
      </c>
      <c r="T179" s="22">
        <v>0.22531000000000001</v>
      </c>
      <c r="U179" s="22">
        <v>0.22531000000000001</v>
      </c>
      <c r="V179" s="22">
        <v>0.22531000000000001</v>
      </c>
      <c r="W179" s="22">
        <v>0.22531000000000001</v>
      </c>
      <c r="X179" s="22">
        <v>0.22531000000000001</v>
      </c>
      <c r="Y179" s="11" t="s">
        <v>32</v>
      </c>
      <c r="Z179" s="11" t="s">
        <v>87</v>
      </c>
    </row>
    <row r="180" spans="2:26" ht="16.5" x14ac:dyDescent="0.35">
      <c r="B180" s="20">
        <v>120</v>
      </c>
      <c r="C180" s="20" t="str">
        <f>Refsz_Verbräuche[[#This Row],[Datenpunkt]]</f>
        <v>Glas (flach)</v>
      </c>
      <c r="D180" s="9" t="s">
        <v>161</v>
      </c>
      <c r="E180" s="22">
        <v>1.1172065</v>
      </c>
      <c r="F180" s="22">
        <v>1.1172065</v>
      </c>
      <c r="G180" s="22">
        <v>1.1172065</v>
      </c>
      <c r="H180" s="22">
        <v>1.1172065</v>
      </c>
      <c r="I180" s="22">
        <v>1.1172065</v>
      </c>
      <c r="J180" s="22">
        <v>1.0860445999999999</v>
      </c>
      <c r="K180" s="22">
        <v>1.0860445999999999</v>
      </c>
      <c r="L180" s="22">
        <v>1.0860445999999999</v>
      </c>
      <c r="M180" s="22">
        <v>1.0860445999999999</v>
      </c>
      <c r="N180" s="22">
        <v>1.0860445999999999</v>
      </c>
      <c r="O180" s="22">
        <v>1.0860445999999999</v>
      </c>
      <c r="P180" s="22">
        <v>1.0860445999999999</v>
      </c>
      <c r="Q180" s="22">
        <v>1.0860445999999999</v>
      </c>
      <c r="R180" s="22">
        <v>1.0860445999999999</v>
      </c>
      <c r="S180" s="22">
        <v>1.0860445999999999</v>
      </c>
      <c r="T180" s="22">
        <v>1.0731375000000001</v>
      </c>
      <c r="U180" s="22">
        <v>1.0731375000000001</v>
      </c>
      <c r="V180" s="22">
        <v>1.0731375000000001</v>
      </c>
      <c r="W180" s="22">
        <v>1.0731375000000001</v>
      </c>
      <c r="X180" s="22">
        <v>0.88875000000000004</v>
      </c>
      <c r="Y180" s="11" t="s">
        <v>32</v>
      </c>
      <c r="Z180" s="11" t="s">
        <v>90</v>
      </c>
    </row>
    <row r="181" spans="2:26" ht="16.5" x14ac:dyDescent="0.35">
      <c r="B181" s="20">
        <v>121</v>
      </c>
      <c r="C181" s="20" t="str">
        <f>Refsz_Verbräuche[[#This Row],[Datenpunkt]]</f>
        <v>Gussasphalt</v>
      </c>
      <c r="D181" s="9" t="s">
        <v>161</v>
      </c>
      <c r="E181" s="22">
        <v>9.8223000000000005E-2</v>
      </c>
      <c r="F181" s="22">
        <v>9.8223000000000005E-2</v>
      </c>
      <c r="G181" s="22">
        <v>9.8223000000000005E-2</v>
      </c>
      <c r="H181" s="22">
        <v>9.8223000000000005E-2</v>
      </c>
      <c r="I181" s="22">
        <v>9.8223000000000005E-2</v>
      </c>
      <c r="J181" s="22">
        <v>9.8223000000000005E-2</v>
      </c>
      <c r="K181" s="22">
        <v>9.8223000000000005E-2</v>
      </c>
      <c r="L181" s="22">
        <v>9.8223000000000005E-2</v>
      </c>
      <c r="M181" s="22">
        <v>9.8223000000000005E-2</v>
      </c>
      <c r="N181" s="22">
        <v>9.8223000000000005E-2</v>
      </c>
      <c r="O181" s="22">
        <v>9.8223000000000005E-2</v>
      </c>
      <c r="P181" s="22">
        <v>9.8223000000000005E-2</v>
      </c>
      <c r="Q181" s="22">
        <v>9.8223000000000005E-2</v>
      </c>
      <c r="R181" s="22">
        <v>9.8223000000000005E-2</v>
      </c>
      <c r="S181" s="22">
        <v>9.8223000000000005E-2</v>
      </c>
      <c r="T181" s="22">
        <v>9.8223000000000005E-2</v>
      </c>
      <c r="U181" s="22">
        <v>9.8223000000000005E-2</v>
      </c>
      <c r="V181" s="22">
        <v>9.8223000000000005E-2</v>
      </c>
      <c r="W181" s="22">
        <v>9.8223000000000005E-2</v>
      </c>
      <c r="X181" s="22">
        <v>9.8223000000000005E-2</v>
      </c>
      <c r="Y181" s="11" t="s">
        <v>32</v>
      </c>
      <c r="Z181" s="11" t="s">
        <v>92</v>
      </c>
    </row>
    <row r="182" spans="2:26" ht="16.5" x14ac:dyDescent="0.35">
      <c r="B182" s="20">
        <v>122</v>
      </c>
      <c r="C182" s="20" t="str">
        <f>Refsz_Verbräuche[[#This Row],[Datenpunkt]]</f>
        <v>Kalksandstein</v>
      </c>
      <c r="D182" s="9" t="s">
        <v>161</v>
      </c>
      <c r="E182" s="22">
        <v>0.14632000000000001</v>
      </c>
      <c r="F182" s="22">
        <v>0.14632000000000001</v>
      </c>
      <c r="G182" s="22">
        <v>0.14632000000000001</v>
      </c>
      <c r="H182" s="22">
        <v>0.14632000000000001</v>
      </c>
      <c r="I182" s="22">
        <v>0.14632000000000001</v>
      </c>
      <c r="J182" s="22">
        <v>0.14632000000000001</v>
      </c>
      <c r="K182" s="22">
        <v>0.14632000000000001</v>
      </c>
      <c r="L182" s="22">
        <v>0.14632000000000001</v>
      </c>
      <c r="M182" s="22">
        <v>0.14632000000000001</v>
      </c>
      <c r="N182" s="22">
        <v>0.14632000000000001</v>
      </c>
      <c r="O182" s="22">
        <v>0.14632000000000001</v>
      </c>
      <c r="P182" s="22">
        <v>0.14632000000000001</v>
      </c>
      <c r="Q182" s="22">
        <v>0.14632000000000001</v>
      </c>
      <c r="R182" s="22">
        <v>0.14632000000000001</v>
      </c>
      <c r="S182" s="22">
        <v>0.14632000000000001</v>
      </c>
      <c r="T182" s="22">
        <v>0.14632000000000001</v>
      </c>
      <c r="U182" s="22">
        <v>0.14632000000000001</v>
      </c>
      <c r="V182" s="22">
        <v>0.14632000000000001</v>
      </c>
      <c r="W182" s="22">
        <v>0.14632000000000001</v>
      </c>
      <c r="X182" s="22">
        <v>0.14632000000000001</v>
      </c>
      <c r="Y182" s="11" t="s">
        <v>32</v>
      </c>
      <c r="Z182" s="11" t="s">
        <v>99</v>
      </c>
    </row>
    <row r="183" spans="2:26" ht="16.5" x14ac:dyDescent="0.35">
      <c r="B183" s="20">
        <v>123</v>
      </c>
      <c r="C183" s="20" t="str">
        <f>Refsz_Verbräuche[[#This Row],[Datenpunkt]]</f>
        <v>Porenbetonstein</v>
      </c>
      <c r="D183" s="9" t="s">
        <v>161</v>
      </c>
      <c r="E183" s="22">
        <v>0.43173</v>
      </c>
      <c r="F183" s="22">
        <v>0.43173</v>
      </c>
      <c r="G183" s="22">
        <v>0.43173</v>
      </c>
      <c r="H183" s="22">
        <v>0.43173</v>
      </c>
      <c r="I183" s="22">
        <v>0.43173</v>
      </c>
      <c r="J183" s="22">
        <v>0.43173</v>
      </c>
      <c r="K183" s="22">
        <v>0.43173</v>
      </c>
      <c r="L183" s="22">
        <v>0.43173</v>
      </c>
      <c r="M183" s="22">
        <v>0.43173</v>
      </c>
      <c r="N183" s="22">
        <v>0.43173</v>
      </c>
      <c r="O183" s="22">
        <v>0.43173</v>
      </c>
      <c r="P183" s="22">
        <v>0.43173</v>
      </c>
      <c r="Q183" s="22">
        <v>0.43173</v>
      </c>
      <c r="R183" s="22">
        <v>0.43173</v>
      </c>
      <c r="S183" s="22">
        <v>0.43173</v>
      </c>
      <c r="T183" s="22">
        <v>0.43173</v>
      </c>
      <c r="U183" s="22">
        <v>0.43173</v>
      </c>
      <c r="V183" s="22">
        <v>0.43173</v>
      </c>
      <c r="W183" s="22">
        <v>0.43173</v>
      </c>
      <c r="X183" s="22">
        <v>0.43173</v>
      </c>
      <c r="Y183" s="11" t="s">
        <v>32</v>
      </c>
      <c r="Z183" s="11" t="s">
        <v>93</v>
      </c>
    </row>
    <row r="184" spans="2:26" ht="16.5" x14ac:dyDescent="0.35">
      <c r="B184" s="20">
        <v>124</v>
      </c>
      <c r="C184" s="20" t="str">
        <f>Refsz_Verbräuche[[#This Row],[Datenpunkt]]</f>
        <v>Steinwolle</v>
      </c>
      <c r="D184" s="9" t="s">
        <v>161</v>
      </c>
      <c r="E184" s="22">
        <v>1.0455904</v>
      </c>
      <c r="F184" s="22">
        <v>1.0455904</v>
      </c>
      <c r="G184" s="22">
        <v>1.0455904</v>
      </c>
      <c r="H184" s="22">
        <v>1.0455904</v>
      </c>
      <c r="I184" s="22">
        <v>1.0455904</v>
      </c>
      <c r="J184" s="22">
        <v>0.94989999999999997</v>
      </c>
      <c r="K184" s="22">
        <v>0.94989999999999997</v>
      </c>
      <c r="L184" s="22">
        <v>0.94989999999999997</v>
      </c>
      <c r="M184" s="22">
        <v>0.94989999999999997</v>
      </c>
      <c r="N184" s="22">
        <v>0.94989999999999997</v>
      </c>
      <c r="O184" s="22">
        <v>0.94989999999999997</v>
      </c>
      <c r="P184" s="22">
        <v>0.94989999999999997</v>
      </c>
      <c r="Q184" s="22">
        <v>0.94989999999999997</v>
      </c>
      <c r="R184" s="22">
        <v>0.94989999999999997</v>
      </c>
      <c r="S184" s="22">
        <v>0.94989999999999997</v>
      </c>
      <c r="T184" s="22">
        <v>0.84950999999999999</v>
      </c>
      <c r="U184" s="22">
        <v>0.84950999999999999</v>
      </c>
      <c r="V184" s="22">
        <v>0.84950999999999999</v>
      </c>
      <c r="W184" s="22">
        <v>0.84950999999999999</v>
      </c>
      <c r="X184" s="22">
        <v>0.77410999999999996</v>
      </c>
      <c r="Y184" s="11" t="s">
        <v>32</v>
      </c>
      <c r="Z184" s="11" t="s">
        <v>94</v>
      </c>
    </row>
    <row r="185" spans="2:26" ht="16.5" x14ac:dyDescent="0.35">
      <c r="B185" s="20">
        <v>125</v>
      </c>
      <c r="C185" s="20" t="str">
        <f>Refsz_Verbräuche[[#This Row],[Datenpunkt]]</f>
        <v>Tonziegel (fürs Dach)</v>
      </c>
      <c r="D185" s="9" t="s">
        <v>161</v>
      </c>
      <c r="E185" s="22">
        <v>0.50661999999999996</v>
      </c>
      <c r="F185" s="22">
        <v>0.50661999999999996</v>
      </c>
      <c r="G185" s="22">
        <v>0.50661999999999996</v>
      </c>
      <c r="H185" s="22">
        <v>0.50661999999999996</v>
      </c>
      <c r="I185" s="22">
        <v>0.50661999999999996</v>
      </c>
      <c r="J185" s="22">
        <v>0.50661999999999996</v>
      </c>
      <c r="K185" s="22">
        <v>0.50661999999999996</v>
      </c>
      <c r="L185" s="22">
        <v>0.50661999999999996</v>
      </c>
      <c r="M185" s="22">
        <v>0.50661999999999996</v>
      </c>
      <c r="N185" s="22">
        <v>0.50661999999999996</v>
      </c>
      <c r="O185" s="22">
        <v>0.50661999999999996</v>
      </c>
      <c r="P185" s="22">
        <v>0.50661999999999996</v>
      </c>
      <c r="Q185" s="22">
        <v>0.50661999999999996</v>
      </c>
      <c r="R185" s="22">
        <v>0.50661999999999996</v>
      </c>
      <c r="S185" s="22">
        <v>0.50661999999999996</v>
      </c>
      <c r="T185" s="22">
        <v>0.50661999999999996</v>
      </c>
      <c r="U185" s="22">
        <v>0.50661999999999996</v>
      </c>
      <c r="V185" s="22">
        <v>0.50661999999999996</v>
      </c>
      <c r="W185" s="22">
        <v>0.50661999999999996</v>
      </c>
      <c r="X185" s="22">
        <v>0.50661999999999996</v>
      </c>
      <c r="Y185" s="11" t="s">
        <v>32</v>
      </c>
      <c r="Z185" s="11" t="s">
        <v>98</v>
      </c>
    </row>
    <row r="186" spans="2:26" ht="16.5" x14ac:dyDescent="0.35">
      <c r="B186" s="20">
        <v>126</v>
      </c>
      <c r="C186" s="20" t="str">
        <f>Refsz_Verbräuche[[#This Row],[Datenpunkt]]</f>
        <v>Zement (Portland)</v>
      </c>
      <c r="D186" s="9" t="s">
        <v>161</v>
      </c>
      <c r="E186" s="22">
        <v>0.95237000000000005</v>
      </c>
      <c r="F186" s="22">
        <v>0.95237000000000005</v>
      </c>
      <c r="G186" s="22">
        <v>0.95237000000000005</v>
      </c>
      <c r="H186" s="22">
        <v>0.95237000000000005</v>
      </c>
      <c r="I186" s="22">
        <v>0.95237000000000005</v>
      </c>
      <c r="J186" s="22">
        <v>0.93013999999999997</v>
      </c>
      <c r="K186" s="22">
        <v>0.93013999999999997</v>
      </c>
      <c r="L186" s="22">
        <v>0.93013999999999997</v>
      </c>
      <c r="M186" s="22">
        <v>0.93013999999999997</v>
      </c>
      <c r="N186" s="22">
        <v>0.93013999999999997</v>
      </c>
      <c r="O186" s="22">
        <v>0.93013999999999997</v>
      </c>
      <c r="P186" s="22">
        <v>0.93013999999999997</v>
      </c>
      <c r="Q186" s="22">
        <v>0.93013999999999997</v>
      </c>
      <c r="R186" s="22">
        <v>0.93013999999999997</v>
      </c>
      <c r="S186" s="22">
        <v>0.93013999999999997</v>
      </c>
      <c r="T186" s="22">
        <v>0.90737999999999996</v>
      </c>
      <c r="U186" s="22">
        <v>0.90737999999999996</v>
      </c>
      <c r="V186" s="22">
        <v>0.90737999999999996</v>
      </c>
      <c r="W186" s="22">
        <v>0.90737999999999996</v>
      </c>
      <c r="X186" s="22">
        <v>0.87788999999999995</v>
      </c>
      <c r="Y186" s="11" t="s">
        <v>32</v>
      </c>
      <c r="Z186" s="11" t="s">
        <v>97</v>
      </c>
    </row>
    <row r="187" spans="2:26" ht="16.5" x14ac:dyDescent="0.35">
      <c r="B187" s="20">
        <v>127</v>
      </c>
      <c r="C187" s="20" t="str">
        <f>Refsz_Verbräuche[[#This Row],[Datenpunkt]]</f>
        <v>Kies</v>
      </c>
      <c r="D187" s="9" t="s">
        <v>161</v>
      </c>
      <c r="E187" s="22">
        <v>9.4655999999999994E-3</v>
      </c>
      <c r="F187" s="22">
        <v>9.4655999999999994E-3</v>
      </c>
      <c r="G187" s="22">
        <v>9.4655999999999994E-3</v>
      </c>
      <c r="H187" s="22">
        <v>9.4655999999999994E-3</v>
      </c>
      <c r="I187" s="22">
        <v>9.4655999999999994E-3</v>
      </c>
      <c r="J187" s="22">
        <v>7.5335999999999997E-3</v>
      </c>
      <c r="K187" s="22">
        <v>7.5335999999999997E-3</v>
      </c>
      <c r="L187" s="22">
        <v>7.5335999999999997E-3</v>
      </c>
      <c r="M187" s="22">
        <v>7.5335999999999997E-3</v>
      </c>
      <c r="N187" s="22">
        <v>7.5335999999999997E-3</v>
      </c>
      <c r="O187" s="22">
        <v>7.5335999999999997E-3</v>
      </c>
      <c r="P187" s="22">
        <v>7.5335999999999997E-3</v>
      </c>
      <c r="Q187" s="22">
        <v>7.5335999999999997E-3</v>
      </c>
      <c r="R187" s="22">
        <v>7.5335999999999997E-3</v>
      </c>
      <c r="S187" s="22">
        <v>7.5335999999999997E-3</v>
      </c>
      <c r="T187" s="22">
        <v>6.0067000000000002E-3</v>
      </c>
      <c r="U187" s="22">
        <v>6.0067000000000002E-3</v>
      </c>
      <c r="V187" s="22">
        <v>6.0067000000000002E-3</v>
      </c>
      <c r="W187" s="22">
        <v>6.0067000000000002E-3</v>
      </c>
      <c r="X187" s="22">
        <v>3.7212E-3</v>
      </c>
      <c r="Y187" s="11" t="s">
        <v>32</v>
      </c>
      <c r="Z187" s="11" t="s">
        <v>100</v>
      </c>
    </row>
    <row r="188" spans="2:26" ht="16.5" x14ac:dyDescent="0.35">
      <c r="B188" s="20">
        <v>128</v>
      </c>
      <c r="C188" s="20" t="str">
        <f>Refsz_Verbräuche[[#This Row],[Datenpunkt]]</f>
        <v>Sand</v>
      </c>
      <c r="D188" s="9" t="s">
        <v>161</v>
      </c>
      <c r="E188" s="22">
        <v>5.7390999999999996E-3</v>
      </c>
      <c r="F188" s="22">
        <v>5.7390999999999996E-3</v>
      </c>
      <c r="G188" s="22">
        <v>5.7390999999999996E-3</v>
      </c>
      <c r="H188" s="22">
        <v>5.7390999999999996E-3</v>
      </c>
      <c r="I188" s="22">
        <v>5.7390999999999996E-3</v>
      </c>
      <c r="J188" s="22">
        <v>4.9841E-3</v>
      </c>
      <c r="K188" s="22">
        <v>4.9841E-3</v>
      </c>
      <c r="L188" s="22">
        <v>4.9841E-3</v>
      </c>
      <c r="M188" s="22">
        <v>4.9841E-3</v>
      </c>
      <c r="N188" s="22">
        <v>4.9841E-3</v>
      </c>
      <c r="O188" s="22">
        <v>4.9841E-3</v>
      </c>
      <c r="P188" s="22">
        <v>4.9841E-3</v>
      </c>
      <c r="Q188" s="22">
        <v>4.9841E-3</v>
      </c>
      <c r="R188" s="22">
        <v>4.9841E-3</v>
      </c>
      <c r="S188" s="22">
        <v>4.9841E-3</v>
      </c>
      <c r="T188" s="22">
        <v>4.2180999999999998E-3</v>
      </c>
      <c r="U188" s="22">
        <v>4.2180999999999998E-3</v>
      </c>
      <c r="V188" s="22">
        <v>4.2180999999999998E-3</v>
      </c>
      <c r="W188" s="22">
        <v>4.2180999999999998E-3</v>
      </c>
      <c r="X188" s="22">
        <v>3.4824999999999999E-3</v>
      </c>
      <c r="Y188" s="11" t="s">
        <v>32</v>
      </c>
      <c r="Z188" s="11" t="s">
        <v>101</v>
      </c>
    </row>
    <row r="189" spans="2:26" ht="16.5" x14ac:dyDescent="0.35">
      <c r="B189" s="20">
        <v>129</v>
      </c>
      <c r="C189" s="20" t="str">
        <f>Refsz_Verbräuche[[#This Row],[Datenpunkt]]</f>
        <v>Kupferdraht</v>
      </c>
      <c r="D189" s="9" t="s">
        <v>161</v>
      </c>
      <c r="E189" s="22">
        <v>4.2422829999999996</v>
      </c>
      <c r="F189" s="22">
        <v>4.2422829999999996</v>
      </c>
      <c r="G189" s="22">
        <v>4.2422829999999996</v>
      </c>
      <c r="H189" s="22">
        <v>4.2422829999999996</v>
      </c>
      <c r="I189" s="22">
        <v>4.2422829999999996</v>
      </c>
      <c r="J189" s="22">
        <v>4.2422829999999996</v>
      </c>
      <c r="K189" s="22">
        <v>4.2422829999999996</v>
      </c>
      <c r="L189" s="22">
        <v>4.2422829999999996</v>
      </c>
      <c r="M189" s="22">
        <v>4.2422829999999996</v>
      </c>
      <c r="N189" s="22">
        <v>4.2422829999999996</v>
      </c>
      <c r="O189" s="22">
        <v>4.2422829999999996</v>
      </c>
      <c r="P189" s="22">
        <v>4.2422829999999996</v>
      </c>
      <c r="Q189" s="22">
        <v>4.2422829999999996</v>
      </c>
      <c r="R189" s="22">
        <v>4.2422829999999996</v>
      </c>
      <c r="S189" s="22">
        <v>4.2422829999999996</v>
      </c>
      <c r="T189" s="22">
        <v>4.2422829999999996</v>
      </c>
      <c r="U189" s="22">
        <v>4.2422829999999996</v>
      </c>
      <c r="V189" s="22">
        <v>4.2422829999999996</v>
      </c>
      <c r="W189" s="22">
        <v>4.2422829999999996</v>
      </c>
      <c r="X189" s="22">
        <v>4.2422829999999996</v>
      </c>
      <c r="Y189" s="11" t="s">
        <v>32</v>
      </c>
      <c r="Z189" s="11" t="s">
        <v>104</v>
      </c>
    </row>
    <row r="190" spans="2:26" ht="16.5" x14ac:dyDescent="0.35">
      <c r="B190" s="20">
        <v>130</v>
      </c>
      <c r="C190" s="20" t="str">
        <f>Refsz_Verbräuche[[#This Row],[Datenpunkt]]</f>
        <v>Kupferrohr</v>
      </c>
      <c r="D190" s="9" t="s">
        <v>161</v>
      </c>
      <c r="E190" s="22">
        <v>2.4067535000000002</v>
      </c>
      <c r="F190" s="22">
        <v>2.4067535000000002</v>
      </c>
      <c r="G190" s="22">
        <v>2.4067535000000002</v>
      </c>
      <c r="H190" s="22">
        <v>2.4067535000000002</v>
      </c>
      <c r="I190" s="22">
        <v>2.4067535000000002</v>
      </c>
      <c r="J190" s="22">
        <v>2.4067535000000002</v>
      </c>
      <c r="K190" s="22">
        <v>2.4067535000000002</v>
      </c>
      <c r="L190" s="22">
        <v>2.4067535000000002</v>
      </c>
      <c r="M190" s="22">
        <v>2.4067535000000002</v>
      </c>
      <c r="N190" s="22">
        <v>2.4067535000000002</v>
      </c>
      <c r="O190" s="22">
        <v>2.4067535000000002</v>
      </c>
      <c r="P190" s="22">
        <v>2.4067535000000002</v>
      </c>
      <c r="Q190" s="22">
        <v>2.4067535000000002</v>
      </c>
      <c r="R190" s="22">
        <v>2.4067535000000002</v>
      </c>
      <c r="S190" s="22">
        <v>2.4067535000000002</v>
      </c>
      <c r="T190" s="22">
        <v>2.4067535000000002</v>
      </c>
      <c r="U190" s="22">
        <v>2.4067535000000002</v>
      </c>
      <c r="V190" s="22">
        <v>2.4067535000000002</v>
      </c>
      <c r="W190" s="22">
        <v>2.4067535000000002</v>
      </c>
      <c r="X190" s="22">
        <v>2.4067535000000002</v>
      </c>
      <c r="Y190" s="11" t="s">
        <v>32</v>
      </c>
      <c r="Z190" s="11" t="s">
        <v>105</v>
      </c>
    </row>
    <row r="191" spans="2:26" ht="16.5" x14ac:dyDescent="0.35">
      <c r="B191" s="20">
        <v>131</v>
      </c>
      <c r="C191" s="20" t="str">
        <f>Refsz_Verbräuche[[#This Row],[Datenpunkt]]</f>
        <v>Stahl-Blech</v>
      </c>
      <c r="D191" s="9" t="s">
        <v>161</v>
      </c>
      <c r="E191" s="22">
        <v>1.8307004</v>
      </c>
      <c r="F191" s="22">
        <v>1.8307004</v>
      </c>
      <c r="G191" s="22">
        <v>1.8307004</v>
      </c>
      <c r="H191" s="22">
        <v>1.8307004</v>
      </c>
      <c r="I191" s="22">
        <v>1.8307004</v>
      </c>
      <c r="J191" s="22">
        <v>1.7526278</v>
      </c>
      <c r="K191" s="22">
        <v>1.7526278</v>
      </c>
      <c r="L191" s="22">
        <v>1.7526278</v>
      </c>
      <c r="M191" s="22">
        <v>1.7526278</v>
      </c>
      <c r="N191" s="22">
        <v>1.7526278</v>
      </c>
      <c r="O191" s="22">
        <v>1.7526278</v>
      </c>
      <c r="P191" s="22">
        <v>1.7526278</v>
      </c>
      <c r="Q191" s="22">
        <v>1.7526278</v>
      </c>
      <c r="R191" s="22">
        <v>1.7526278</v>
      </c>
      <c r="S191" s="22">
        <v>1.7526278</v>
      </c>
      <c r="T191" s="22">
        <v>1.4832083</v>
      </c>
      <c r="U191" s="22">
        <v>1.4832083</v>
      </c>
      <c r="V191" s="22">
        <v>1.4832083</v>
      </c>
      <c r="W191" s="22">
        <v>1.4832083</v>
      </c>
      <c r="X191" s="22">
        <v>1.4832083</v>
      </c>
      <c r="Y191" s="11" t="s">
        <v>32</v>
      </c>
      <c r="Z191" s="11" t="s">
        <v>108</v>
      </c>
    </row>
    <row r="192" spans="2:26" ht="16.5" x14ac:dyDescent="0.35">
      <c r="B192" s="20">
        <v>132</v>
      </c>
      <c r="C192" s="20" t="str">
        <f>Refsz_Verbräuche[[#This Row],[Datenpunkt]]</f>
        <v>Stahl-Blech verzinkt</v>
      </c>
      <c r="D192" s="9" t="s">
        <v>161</v>
      </c>
      <c r="E192" s="22">
        <v>2.4594748000000002</v>
      </c>
      <c r="F192" s="22">
        <v>2.4594748000000002</v>
      </c>
      <c r="G192" s="22">
        <v>2.4594748000000002</v>
      </c>
      <c r="H192" s="22">
        <v>2.4594748000000002</v>
      </c>
      <c r="I192" s="22">
        <v>2.4594748000000002</v>
      </c>
      <c r="J192" s="22">
        <v>2.2349291</v>
      </c>
      <c r="K192" s="22">
        <v>2.2349291</v>
      </c>
      <c r="L192" s="22">
        <v>2.2349291</v>
      </c>
      <c r="M192" s="22">
        <v>2.2349291</v>
      </c>
      <c r="N192" s="22">
        <v>2.2349291</v>
      </c>
      <c r="O192" s="22">
        <v>2.2349291</v>
      </c>
      <c r="P192" s="22">
        <v>2.2349291</v>
      </c>
      <c r="Q192" s="22">
        <v>2.2349291</v>
      </c>
      <c r="R192" s="22">
        <v>2.2349291</v>
      </c>
      <c r="S192" s="22">
        <v>2.2349291</v>
      </c>
      <c r="T192" s="22">
        <v>1.9009343000000001</v>
      </c>
      <c r="U192" s="22">
        <v>1.9009343000000001</v>
      </c>
      <c r="V192" s="22">
        <v>1.9009343000000001</v>
      </c>
      <c r="W192" s="22">
        <v>1.9009343000000001</v>
      </c>
      <c r="X192" s="22">
        <v>1.0982144</v>
      </c>
      <c r="Y192" s="11" t="s">
        <v>32</v>
      </c>
      <c r="Z192" s="11" t="s">
        <v>109</v>
      </c>
    </row>
    <row r="193" spans="2:26" ht="16.5" x14ac:dyDescent="0.35">
      <c r="B193" s="20">
        <v>133</v>
      </c>
      <c r="C193" s="20" t="str">
        <f>Refsz_Verbräuche[[#This Row],[Datenpunkt]]</f>
        <v>Stahl-Elektro</v>
      </c>
      <c r="D193" s="9" t="s">
        <v>161</v>
      </c>
      <c r="E193" s="22">
        <v>0.53459999999999996</v>
      </c>
      <c r="F193" s="22">
        <v>0.53459999999999996</v>
      </c>
      <c r="G193" s="22">
        <v>0.53459999999999996</v>
      </c>
      <c r="H193" s="22">
        <v>0.53459999999999996</v>
      </c>
      <c r="I193" s="22">
        <v>0.53459999999999996</v>
      </c>
      <c r="J193" s="22">
        <v>0.46728999999999998</v>
      </c>
      <c r="K193" s="22">
        <v>0.46728999999999998</v>
      </c>
      <c r="L193" s="22">
        <v>0.46728999999999998</v>
      </c>
      <c r="M193" s="22">
        <v>0.46728999999999998</v>
      </c>
      <c r="N193" s="22">
        <v>0.46728999999999998</v>
      </c>
      <c r="O193" s="22">
        <v>0.46728999999999998</v>
      </c>
      <c r="P193" s="22">
        <v>0.46728999999999998</v>
      </c>
      <c r="Q193" s="22">
        <v>0.46728999999999998</v>
      </c>
      <c r="R193" s="22">
        <v>0.46728999999999998</v>
      </c>
      <c r="S193" s="22">
        <v>0.46728999999999998</v>
      </c>
      <c r="T193" s="22">
        <v>0.39960000000000001</v>
      </c>
      <c r="U193" s="22">
        <v>0.39960000000000001</v>
      </c>
      <c r="V193" s="22">
        <v>0.39960000000000001</v>
      </c>
      <c r="W193" s="22">
        <v>0.39960000000000001</v>
      </c>
      <c r="X193" s="22">
        <v>0.30909999999999999</v>
      </c>
      <c r="Y193" s="11" t="s">
        <v>32</v>
      </c>
      <c r="Z193" s="11" t="s">
        <v>110</v>
      </c>
    </row>
    <row r="194" spans="2:26" ht="16.5" x14ac:dyDescent="0.35">
      <c r="B194" s="20">
        <v>134</v>
      </c>
      <c r="C194" s="20" t="str">
        <f>Refsz_Verbräuche[[#This Row],[Datenpunkt]]</f>
        <v>Stahl-mix</v>
      </c>
      <c r="D194" s="9" t="s">
        <v>161</v>
      </c>
      <c r="E194" s="22">
        <v>1.4582119</v>
      </c>
      <c r="F194" s="22">
        <v>1.4582119</v>
      </c>
      <c r="G194" s="22">
        <v>1.4582119</v>
      </c>
      <c r="H194" s="22">
        <v>1.4582119</v>
      </c>
      <c r="I194" s="22">
        <v>1.4582119</v>
      </c>
      <c r="J194" s="22">
        <v>1.3666703</v>
      </c>
      <c r="K194" s="22">
        <v>1.3666703</v>
      </c>
      <c r="L194" s="22">
        <v>1.3666703</v>
      </c>
      <c r="M194" s="22">
        <v>1.3666703</v>
      </c>
      <c r="N194" s="22">
        <v>1.3666703</v>
      </c>
      <c r="O194" s="22">
        <v>1.3666703</v>
      </c>
      <c r="P194" s="22">
        <v>1.3666703</v>
      </c>
      <c r="Q194" s="22">
        <v>1.3666703</v>
      </c>
      <c r="R194" s="22">
        <v>1.3666703</v>
      </c>
      <c r="S194" s="22">
        <v>1.3666703</v>
      </c>
      <c r="T194" s="22">
        <v>1.1482642000000001</v>
      </c>
      <c r="U194" s="22">
        <v>1.1482642000000001</v>
      </c>
      <c r="V194" s="22">
        <v>1.1482642000000001</v>
      </c>
      <c r="W194" s="22">
        <v>1.1482642000000001</v>
      </c>
      <c r="X194" s="22">
        <v>0.76171</v>
      </c>
      <c r="Y194" s="11" t="s">
        <v>32</v>
      </c>
      <c r="Z194" s="11" t="s">
        <v>111</v>
      </c>
    </row>
    <row r="195" spans="2:26" ht="16.5" x14ac:dyDescent="0.35">
      <c r="B195" s="20">
        <v>135</v>
      </c>
      <c r="C195" s="20" t="str">
        <f>Refsz_Verbräuche[[#This Row],[Datenpunkt]]</f>
        <v>Beton</v>
      </c>
      <c r="D195" s="9" t="s">
        <v>161</v>
      </c>
      <c r="E195" s="22">
        <v>0.16954</v>
      </c>
      <c r="F195" s="22">
        <v>0.16954</v>
      </c>
      <c r="G195" s="22">
        <v>0.16954</v>
      </c>
      <c r="H195" s="22">
        <v>0.16954</v>
      </c>
      <c r="I195" s="22">
        <v>0.16954</v>
      </c>
      <c r="J195" s="22">
        <v>0.16413</v>
      </c>
      <c r="K195" s="22">
        <v>0.16413</v>
      </c>
      <c r="L195" s="22">
        <v>0.16413</v>
      </c>
      <c r="M195" s="22">
        <v>0.16413</v>
      </c>
      <c r="N195" s="22">
        <v>0.16413</v>
      </c>
      <c r="O195" s="22">
        <v>0.16413</v>
      </c>
      <c r="P195" s="22">
        <v>0.16413</v>
      </c>
      <c r="Q195" s="22">
        <v>0.16413</v>
      </c>
      <c r="R195" s="22">
        <v>0.16413</v>
      </c>
      <c r="S195" s="22">
        <v>0.16413</v>
      </c>
      <c r="T195" s="22">
        <v>0.1585</v>
      </c>
      <c r="U195" s="22">
        <v>0.1585</v>
      </c>
      <c r="V195" s="22">
        <v>0.1585</v>
      </c>
      <c r="W195" s="22">
        <v>0.1585</v>
      </c>
      <c r="X195" s="22">
        <v>0.15104000000000001</v>
      </c>
      <c r="Y195" s="11" t="s">
        <v>32</v>
      </c>
      <c r="Z195" s="11" t="s">
        <v>112</v>
      </c>
    </row>
    <row r="196" spans="2:26" ht="16.5" x14ac:dyDescent="0.35">
      <c r="B196" s="20">
        <v>136</v>
      </c>
      <c r="C196" s="20" t="str">
        <f>Refsz_Verbräuche[[#This Row],[Datenpunkt]]</f>
        <v>Glaswolle</v>
      </c>
      <c r="D196" s="9" t="s">
        <v>161</v>
      </c>
      <c r="E196" s="22">
        <v>1.141</v>
      </c>
      <c r="F196" s="22">
        <v>1.141</v>
      </c>
      <c r="G196" s="22">
        <v>1.141</v>
      </c>
      <c r="H196" s="22">
        <v>1.141</v>
      </c>
      <c r="I196" s="22">
        <v>1.141</v>
      </c>
      <c r="J196" s="22">
        <v>1.141</v>
      </c>
      <c r="K196" s="22">
        <v>1.141</v>
      </c>
      <c r="L196" s="22">
        <v>1.141</v>
      </c>
      <c r="M196" s="22">
        <v>1.141</v>
      </c>
      <c r="N196" s="22">
        <v>1.141</v>
      </c>
      <c r="O196" s="22">
        <v>1.141</v>
      </c>
      <c r="P196" s="22">
        <v>1.141</v>
      </c>
      <c r="Q196" s="22">
        <v>1.141</v>
      </c>
      <c r="R196" s="22">
        <v>1.141</v>
      </c>
      <c r="S196" s="22">
        <v>1.141</v>
      </c>
      <c r="T196" s="22">
        <v>1.141</v>
      </c>
      <c r="U196" s="22">
        <v>1.141</v>
      </c>
      <c r="V196" s="22">
        <v>1.141</v>
      </c>
      <c r="W196" s="22">
        <v>1.141</v>
      </c>
      <c r="X196" s="22">
        <v>1.141</v>
      </c>
      <c r="Y196" s="11" t="s">
        <v>580</v>
      </c>
      <c r="Z196" s="11" t="s">
        <v>113</v>
      </c>
    </row>
    <row r="197" spans="2:26" ht="16.5" x14ac:dyDescent="0.35">
      <c r="B197" s="20">
        <v>137</v>
      </c>
      <c r="C197" s="20" t="str">
        <f>Refsz_Verbräuche[[#This Row],[Datenpunkt]]</f>
        <v>Konstruktionsvollholz</v>
      </c>
      <c r="D197" s="9" t="s">
        <v>166</v>
      </c>
      <c r="E197" s="22">
        <f>-727+5577</f>
        <v>4850</v>
      </c>
      <c r="F197" s="22">
        <f t="shared" ref="F197:X197" si="15">-727+5577</f>
        <v>4850</v>
      </c>
      <c r="G197" s="22">
        <f t="shared" si="15"/>
        <v>4850</v>
      </c>
      <c r="H197" s="22">
        <f t="shared" si="15"/>
        <v>4850</v>
      </c>
      <c r="I197" s="22">
        <f t="shared" si="15"/>
        <v>4850</v>
      </c>
      <c r="J197" s="22">
        <f t="shared" si="15"/>
        <v>4850</v>
      </c>
      <c r="K197" s="22">
        <f t="shared" si="15"/>
        <v>4850</v>
      </c>
      <c r="L197" s="22">
        <f t="shared" si="15"/>
        <v>4850</v>
      </c>
      <c r="M197" s="22">
        <f t="shared" si="15"/>
        <v>4850</v>
      </c>
      <c r="N197" s="22">
        <f t="shared" si="15"/>
        <v>4850</v>
      </c>
      <c r="O197" s="22">
        <f t="shared" si="15"/>
        <v>4850</v>
      </c>
      <c r="P197" s="22">
        <f t="shared" si="15"/>
        <v>4850</v>
      </c>
      <c r="Q197" s="22">
        <f t="shared" si="15"/>
        <v>4850</v>
      </c>
      <c r="R197" s="22">
        <f t="shared" si="15"/>
        <v>4850</v>
      </c>
      <c r="S197" s="22">
        <f t="shared" si="15"/>
        <v>4850</v>
      </c>
      <c r="T197" s="22">
        <f t="shared" si="15"/>
        <v>4850</v>
      </c>
      <c r="U197" s="22">
        <f t="shared" si="15"/>
        <v>4850</v>
      </c>
      <c r="V197" s="22">
        <f t="shared" si="15"/>
        <v>4850</v>
      </c>
      <c r="W197" s="22">
        <f t="shared" si="15"/>
        <v>4850</v>
      </c>
      <c r="X197" s="22">
        <f t="shared" si="15"/>
        <v>4850</v>
      </c>
      <c r="Y197" s="11" t="s">
        <v>115</v>
      </c>
      <c r="Z197" s="11" t="s">
        <v>124</v>
      </c>
    </row>
    <row r="198" spans="2:26" ht="16.5" x14ac:dyDescent="0.35">
      <c r="B198" s="20">
        <v>138</v>
      </c>
      <c r="C198" s="20" t="str">
        <f>Refsz_Verbräuche[[#This Row],[Datenpunkt]]</f>
        <v>Spanplatte</v>
      </c>
      <c r="D198" s="9" t="s">
        <v>161</v>
      </c>
      <c r="E198" s="22">
        <v>0.46100000000000002</v>
      </c>
      <c r="F198" s="22">
        <v>0.46100000000000002</v>
      </c>
      <c r="G198" s="22">
        <v>0.46100000000000002</v>
      </c>
      <c r="H198" s="22">
        <v>0.46100000000000002</v>
      </c>
      <c r="I198" s="22">
        <v>0.46100000000000002</v>
      </c>
      <c r="J198" s="22">
        <v>0.46100000000000002</v>
      </c>
      <c r="K198" s="22">
        <v>0.46100000000000002</v>
      </c>
      <c r="L198" s="22">
        <v>0.46100000000000002</v>
      </c>
      <c r="M198" s="22">
        <v>0.46100000000000002</v>
      </c>
      <c r="N198" s="22">
        <v>0.46100000000000002</v>
      </c>
      <c r="O198" s="22">
        <v>0.46100000000000002</v>
      </c>
      <c r="P198" s="22">
        <v>0.46100000000000002</v>
      </c>
      <c r="Q198" s="22">
        <v>0.46100000000000002</v>
      </c>
      <c r="R198" s="22">
        <v>0.46100000000000002</v>
      </c>
      <c r="S198" s="22">
        <v>0.46100000000000002</v>
      </c>
      <c r="T198" s="22">
        <v>0.46100000000000002</v>
      </c>
      <c r="U198" s="22">
        <v>0.46100000000000002</v>
      </c>
      <c r="V198" s="22">
        <v>0.46100000000000002</v>
      </c>
      <c r="W198" s="22">
        <v>0.46100000000000002</v>
      </c>
      <c r="X198" s="22">
        <v>0.46100000000000002</v>
      </c>
      <c r="Y198" s="11" t="s">
        <v>581</v>
      </c>
      <c r="Z198" s="11" t="s">
        <v>119</v>
      </c>
    </row>
    <row r="199" spans="2:26" ht="16.5" x14ac:dyDescent="0.35">
      <c r="B199" s="20">
        <v>139</v>
      </c>
      <c r="C199" s="20" t="str">
        <f>Refsz_Verbräuche[[#This Row],[Datenpunkt]]</f>
        <v>Perlit</v>
      </c>
      <c r="D199" s="9" t="s">
        <v>161</v>
      </c>
      <c r="E199" s="22">
        <v>0.56510000000000005</v>
      </c>
      <c r="F199" s="22">
        <v>0.56510000000000005</v>
      </c>
      <c r="G199" s="22">
        <v>0.56510000000000005</v>
      </c>
      <c r="H199" s="22">
        <v>0.56510000000000005</v>
      </c>
      <c r="I199" s="22">
        <v>0.56510000000000005</v>
      </c>
      <c r="J199" s="22">
        <v>0.56510000000000005</v>
      </c>
      <c r="K199" s="22">
        <v>0.56510000000000005</v>
      </c>
      <c r="L199" s="22">
        <v>0.56510000000000005</v>
      </c>
      <c r="M199" s="22">
        <v>0.56510000000000005</v>
      </c>
      <c r="N199" s="22">
        <v>0.56510000000000005</v>
      </c>
      <c r="O199" s="22">
        <v>0.56510000000000005</v>
      </c>
      <c r="P199" s="22">
        <v>0.56510000000000005</v>
      </c>
      <c r="Q199" s="22">
        <v>0.56510000000000005</v>
      </c>
      <c r="R199" s="22">
        <v>0.56510000000000005</v>
      </c>
      <c r="S199" s="22">
        <v>0.56510000000000005</v>
      </c>
      <c r="T199" s="22">
        <v>0.56510000000000005</v>
      </c>
      <c r="U199" s="22">
        <v>0.56510000000000005</v>
      </c>
      <c r="V199" s="22">
        <v>0.56510000000000005</v>
      </c>
      <c r="W199" s="22">
        <v>0.56510000000000005</v>
      </c>
      <c r="X199" s="22">
        <v>0.56510000000000005</v>
      </c>
      <c r="Y199" s="11" t="s">
        <v>115</v>
      </c>
      <c r="Z199" s="11" t="s">
        <v>127</v>
      </c>
    </row>
    <row r="200" spans="2:26" ht="16.5" x14ac:dyDescent="0.35">
      <c r="B200" s="20">
        <v>140</v>
      </c>
      <c r="C200" s="20" t="str">
        <f>Refsz_Verbräuche[[#This Row],[Datenpunkt]]</f>
        <v>Stahlbeton Fertigteil Decke (20cm Dicke)</v>
      </c>
      <c r="D200" s="9" t="s">
        <v>167</v>
      </c>
      <c r="E200" s="22">
        <v>85.83</v>
      </c>
      <c r="F200" s="22">
        <v>85.83</v>
      </c>
      <c r="G200" s="22">
        <v>85.83</v>
      </c>
      <c r="H200" s="22">
        <v>85.83</v>
      </c>
      <c r="I200" s="22">
        <v>85.83</v>
      </c>
      <c r="J200" s="22">
        <v>85.83</v>
      </c>
      <c r="K200" s="22">
        <v>85.83</v>
      </c>
      <c r="L200" s="22">
        <v>85.83</v>
      </c>
      <c r="M200" s="22">
        <v>85.83</v>
      </c>
      <c r="N200" s="22">
        <v>85.83</v>
      </c>
      <c r="O200" s="22">
        <v>85.83</v>
      </c>
      <c r="P200" s="22">
        <v>85.83</v>
      </c>
      <c r="Q200" s="22">
        <v>85.83</v>
      </c>
      <c r="R200" s="22">
        <v>85.83</v>
      </c>
      <c r="S200" s="22">
        <v>85.83</v>
      </c>
      <c r="T200" s="22">
        <v>85.83</v>
      </c>
      <c r="U200" s="22">
        <v>85.83</v>
      </c>
      <c r="V200" s="22">
        <v>85.83</v>
      </c>
      <c r="W200" s="22">
        <v>85.83</v>
      </c>
      <c r="X200" s="22">
        <v>85.83</v>
      </c>
      <c r="Y200" s="11" t="s">
        <v>115</v>
      </c>
      <c r="Z200" s="11" t="s">
        <v>129</v>
      </c>
    </row>
    <row r="201" spans="2:26" ht="16.5" x14ac:dyDescent="0.35">
      <c r="B201" s="20">
        <v>141</v>
      </c>
      <c r="C201" s="20" t="str">
        <f>Refsz_Verbräuche[[#This Row],[Datenpunkt]]</f>
        <v>Stahlbeton Fertigteil Wand (12cm Dicke)</v>
      </c>
      <c r="D201" s="9" t="s">
        <v>167</v>
      </c>
      <c r="E201" s="22">
        <v>36.700000000000003</v>
      </c>
      <c r="F201" s="22">
        <v>36.700000000000003</v>
      </c>
      <c r="G201" s="22">
        <v>36.700000000000003</v>
      </c>
      <c r="H201" s="22">
        <v>36.700000000000003</v>
      </c>
      <c r="I201" s="22">
        <v>36.700000000000003</v>
      </c>
      <c r="J201" s="22">
        <v>36.700000000000003</v>
      </c>
      <c r="K201" s="22">
        <v>36.700000000000003</v>
      </c>
      <c r="L201" s="22">
        <v>36.700000000000003</v>
      </c>
      <c r="M201" s="22">
        <v>36.700000000000003</v>
      </c>
      <c r="N201" s="22">
        <v>36.700000000000003</v>
      </c>
      <c r="O201" s="22">
        <v>36.700000000000003</v>
      </c>
      <c r="P201" s="22">
        <v>36.700000000000003</v>
      </c>
      <c r="Q201" s="22">
        <v>36.700000000000003</v>
      </c>
      <c r="R201" s="22">
        <v>36.700000000000003</v>
      </c>
      <c r="S201" s="22">
        <v>36.700000000000003</v>
      </c>
      <c r="T201" s="22">
        <v>36.700000000000003</v>
      </c>
      <c r="U201" s="22">
        <v>36.700000000000003</v>
      </c>
      <c r="V201" s="22">
        <v>36.700000000000003</v>
      </c>
      <c r="W201" s="22">
        <v>36.700000000000003</v>
      </c>
      <c r="X201" s="22">
        <v>36.700000000000003</v>
      </c>
      <c r="Y201" s="11" t="s">
        <v>115</v>
      </c>
      <c r="Z201" s="11" t="s">
        <v>131</v>
      </c>
    </row>
    <row r="202" spans="2:26" ht="16.5" x14ac:dyDescent="0.35">
      <c r="B202" s="20">
        <v>142</v>
      </c>
      <c r="C202" s="20" t="str">
        <f>Refsz_Verbräuche[[#This Row],[Datenpunkt]]</f>
        <v xml:space="preserve">Stahlbeton Fertigteil Treppe (1,1 m Breite, 9 Stufen a 16 cm) </v>
      </c>
      <c r="D202" s="9" t="s">
        <v>165</v>
      </c>
      <c r="E202" s="22">
        <v>265</v>
      </c>
      <c r="F202" s="22">
        <v>265</v>
      </c>
      <c r="G202" s="22">
        <v>265</v>
      </c>
      <c r="H202" s="22">
        <v>265</v>
      </c>
      <c r="I202" s="22">
        <v>265</v>
      </c>
      <c r="J202" s="22">
        <v>265</v>
      </c>
      <c r="K202" s="22">
        <v>265</v>
      </c>
      <c r="L202" s="22">
        <v>265</v>
      </c>
      <c r="M202" s="22">
        <v>265</v>
      </c>
      <c r="N202" s="22">
        <v>265</v>
      </c>
      <c r="O202" s="22">
        <v>265</v>
      </c>
      <c r="P202" s="22">
        <v>265</v>
      </c>
      <c r="Q202" s="22">
        <v>265</v>
      </c>
      <c r="R202" s="22">
        <v>265</v>
      </c>
      <c r="S202" s="22">
        <v>265</v>
      </c>
      <c r="T202" s="22">
        <v>265</v>
      </c>
      <c r="U202" s="22">
        <v>265</v>
      </c>
      <c r="V202" s="22">
        <v>265</v>
      </c>
      <c r="W202" s="22">
        <v>265</v>
      </c>
      <c r="X202" s="22">
        <v>265</v>
      </c>
      <c r="Y202" s="11" t="s">
        <v>115</v>
      </c>
      <c r="Z202" s="11" t="s">
        <v>133</v>
      </c>
    </row>
    <row r="203" spans="2:26" ht="16.5" x14ac:dyDescent="0.35">
      <c r="B203" s="20">
        <v>143</v>
      </c>
      <c r="C203" s="20" t="str">
        <f>Refsz_Verbräuche[[#This Row],[Datenpunkt]]</f>
        <v>Mineralwolle</v>
      </c>
      <c r="D203" s="9" t="s">
        <v>166</v>
      </c>
      <c r="E203" s="22">
        <v>39.82</v>
      </c>
      <c r="F203" s="22">
        <v>39.82</v>
      </c>
      <c r="G203" s="22">
        <v>39.82</v>
      </c>
      <c r="H203" s="22">
        <v>39.82</v>
      </c>
      <c r="I203" s="22">
        <v>39.82</v>
      </c>
      <c r="J203" s="22">
        <v>39.82</v>
      </c>
      <c r="K203" s="22">
        <v>39.82</v>
      </c>
      <c r="L203" s="22">
        <v>39.82</v>
      </c>
      <c r="M203" s="22">
        <v>39.82</v>
      </c>
      <c r="N203" s="22">
        <v>39.82</v>
      </c>
      <c r="O203" s="22">
        <v>39.82</v>
      </c>
      <c r="P203" s="22">
        <v>39.82</v>
      </c>
      <c r="Q203" s="22">
        <v>39.82</v>
      </c>
      <c r="R203" s="22">
        <v>39.82</v>
      </c>
      <c r="S203" s="22">
        <v>39.82</v>
      </c>
      <c r="T203" s="22">
        <v>39.82</v>
      </c>
      <c r="U203" s="22">
        <v>39.82</v>
      </c>
      <c r="V203" s="22">
        <v>39.82</v>
      </c>
      <c r="W203" s="22">
        <v>39.82</v>
      </c>
      <c r="X203" s="22">
        <v>39.82</v>
      </c>
      <c r="Y203" s="11" t="s">
        <v>115</v>
      </c>
      <c r="Z203" s="11" t="s">
        <v>134</v>
      </c>
    </row>
    <row r="204" spans="2:26" ht="16.5" x14ac:dyDescent="0.35">
      <c r="B204" s="20">
        <v>144</v>
      </c>
      <c r="C204" s="20" t="str">
        <f>Refsz_Verbräuche[[#This Row],[Datenpunkt]]</f>
        <v>Mauerziegel (ungefüllt)</v>
      </c>
      <c r="D204" s="9" t="s">
        <v>166</v>
      </c>
      <c r="E204" s="22">
        <f>113+4.15+0.824</f>
        <v>117.974</v>
      </c>
      <c r="F204" s="22">
        <f>113+4.15+0.824</f>
        <v>117.974</v>
      </c>
      <c r="G204" s="22">
        <f>113+4.15+0.824</f>
        <v>117.974</v>
      </c>
      <c r="H204" s="22">
        <f>113+4.15+0.824</f>
        <v>117.974</v>
      </c>
      <c r="I204" s="22">
        <f>113+4.15+0.824</f>
        <v>117.974</v>
      </c>
      <c r="J204" s="22">
        <f t="shared" ref="J204:X204" si="16">113+4.15+0.824</f>
        <v>117.974</v>
      </c>
      <c r="K204" s="22">
        <f t="shared" si="16"/>
        <v>117.974</v>
      </c>
      <c r="L204" s="22">
        <f t="shared" si="16"/>
        <v>117.974</v>
      </c>
      <c r="M204" s="22">
        <f t="shared" si="16"/>
        <v>117.974</v>
      </c>
      <c r="N204" s="22">
        <f t="shared" si="16"/>
        <v>117.974</v>
      </c>
      <c r="O204" s="22">
        <f t="shared" si="16"/>
        <v>117.974</v>
      </c>
      <c r="P204" s="22">
        <f t="shared" si="16"/>
        <v>117.974</v>
      </c>
      <c r="Q204" s="22">
        <f t="shared" si="16"/>
        <v>117.974</v>
      </c>
      <c r="R204" s="22">
        <f t="shared" si="16"/>
        <v>117.974</v>
      </c>
      <c r="S204" s="22">
        <f t="shared" si="16"/>
        <v>117.974</v>
      </c>
      <c r="T204" s="22">
        <f t="shared" si="16"/>
        <v>117.974</v>
      </c>
      <c r="U204" s="22">
        <f t="shared" si="16"/>
        <v>117.974</v>
      </c>
      <c r="V204" s="22">
        <f t="shared" si="16"/>
        <v>117.974</v>
      </c>
      <c r="W204" s="22">
        <f t="shared" si="16"/>
        <v>117.974</v>
      </c>
      <c r="X204" s="22">
        <f t="shared" si="16"/>
        <v>117.974</v>
      </c>
      <c r="Y204" s="11" t="s">
        <v>115</v>
      </c>
      <c r="Z204" s="11" t="s">
        <v>136</v>
      </c>
    </row>
    <row r="205" spans="2:26" x14ac:dyDescent="0.35">
      <c r="B205" s="20">
        <v>145</v>
      </c>
      <c r="C205" s="20">
        <f>Refsz_Verbräuche[[#This Row],[Datenpunkt]]</f>
        <v>0</v>
      </c>
      <c r="D205" s="9"/>
      <c r="E205" s="22"/>
      <c r="F205" s="22"/>
      <c r="G205" s="22"/>
      <c r="H205" s="22"/>
      <c r="I205" s="22"/>
      <c r="J205" s="22"/>
      <c r="K205" s="22"/>
      <c r="L205" s="22"/>
      <c r="M205" s="22"/>
      <c r="N205" s="22"/>
      <c r="O205" s="22"/>
      <c r="P205" s="22"/>
      <c r="Q205" s="22"/>
      <c r="R205" s="22"/>
      <c r="S205" s="22"/>
      <c r="T205" s="22"/>
      <c r="U205" s="22"/>
      <c r="V205" s="22"/>
      <c r="W205" s="22"/>
      <c r="X205" s="22"/>
      <c r="Y205" s="11"/>
      <c r="Z205" s="11"/>
    </row>
    <row r="206" spans="2:26" ht="16.5" x14ac:dyDescent="0.35">
      <c r="B206" s="20">
        <v>146</v>
      </c>
      <c r="C206" s="20" t="str">
        <f>Refsz_Verbräuche[[#This Row],[Datenpunkt]]</f>
        <v>Holzfaserdämmpatte (flexibe Matte)</v>
      </c>
      <c r="D206" s="9" t="s">
        <v>166</v>
      </c>
      <c r="E206" s="22">
        <f>-42+8.07</f>
        <v>-33.93</v>
      </c>
      <c r="F206" s="22">
        <f t="shared" ref="F206:X206" si="17">-42+8.07</f>
        <v>-33.93</v>
      </c>
      <c r="G206" s="22">
        <f t="shared" si="17"/>
        <v>-33.93</v>
      </c>
      <c r="H206" s="22">
        <f t="shared" si="17"/>
        <v>-33.93</v>
      </c>
      <c r="I206" s="22">
        <f t="shared" si="17"/>
        <v>-33.93</v>
      </c>
      <c r="J206" s="22">
        <f t="shared" si="17"/>
        <v>-33.93</v>
      </c>
      <c r="K206" s="22">
        <f t="shared" si="17"/>
        <v>-33.93</v>
      </c>
      <c r="L206" s="22">
        <f t="shared" si="17"/>
        <v>-33.93</v>
      </c>
      <c r="M206" s="22">
        <f t="shared" si="17"/>
        <v>-33.93</v>
      </c>
      <c r="N206" s="22">
        <f t="shared" si="17"/>
        <v>-33.93</v>
      </c>
      <c r="O206" s="22">
        <f t="shared" si="17"/>
        <v>-33.93</v>
      </c>
      <c r="P206" s="22">
        <f t="shared" si="17"/>
        <v>-33.93</v>
      </c>
      <c r="Q206" s="22">
        <f t="shared" si="17"/>
        <v>-33.93</v>
      </c>
      <c r="R206" s="22">
        <f t="shared" si="17"/>
        <v>-33.93</v>
      </c>
      <c r="S206" s="22">
        <f t="shared" si="17"/>
        <v>-33.93</v>
      </c>
      <c r="T206" s="22">
        <f t="shared" si="17"/>
        <v>-33.93</v>
      </c>
      <c r="U206" s="22">
        <f t="shared" si="17"/>
        <v>-33.93</v>
      </c>
      <c r="V206" s="22">
        <f t="shared" si="17"/>
        <v>-33.93</v>
      </c>
      <c r="W206" s="22">
        <f t="shared" si="17"/>
        <v>-33.93</v>
      </c>
      <c r="X206" s="22">
        <f t="shared" si="17"/>
        <v>-33.93</v>
      </c>
      <c r="Y206" s="11" t="s">
        <v>115</v>
      </c>
      <c r="Z206" s="11" t="s">
        <v>125</v>
      </c>
    </row>
    <row r="207" spans="2:26" x14ac:dyDescent="0.35">
      <c r="B207" s="20">
        <v>147</v>
      </c>
      <c r="C207" s="20">
        <f>Refsz_Verbräuche[[#This Row],[Datenpunkt]]</f>
        <v>0</v>
      </c>
      <c r="D207" s="9"/>
      <c r="E207" s="22"/>
      <c r="F207" s="22"/>
      <c r="G207" s="22"/>
      <c r="H207" s="22"/>
      <c r="I207" s="22"/>
      <c r="J207" s="22"/>
      <c r="K207" s="22"/>
      <c r="L207" s="22"/>
      <c r="M207" s="22"/>
      <c r="N207" s="22"/>
      <c r="O207" s="22"/>
      <c r="P207" s="22"/>
      <c r="Q207" s="22"/>
      <c r="R207" s="22"/>
      <c r="S207" s="22"/>
      <c r="T207" s="22"/>
      <c r="U207" s="22"/>
      <c r="V207" s="22"/>
      <c r="W207" s="22"/>
      <c r="X207" s="22"/>
      <c r="Y207" s="11"/>
      <c r="Z207" s="11"/>
    </row>
    <row r="208" spans="2:26" ht="16.5" x14ac:dyDescent="0.35">
      <c r="B208" s="20">
        <v>148</v>
      </c>
      <c r="C208" s="20" t="str">
        <f>Refsz_Verbräuche[[#This Row],[Datenpunkt]]</f>
        <v>Kompensation</v>
      </c>
      <c r="D208" s="9" t="s">
        <v>164</v>
      </c>
      <c r="E208" s="22">
        <v>-1000</v>
      </c>
      <c r="F208" s="22">
        <v>-1000</v>
      </c>
      <c r="G208" s="22">
        <v>-1000</v>
      </c>
      <c r="H208" s="22">
        <v>-1000</v>
      </c>
      <c r="I208" s="22">
        <v>-1000</v>
      </c>
      <c r="J208" s="22">
        <v>-1000</v>
      </c>
      <c r="K208" s="22">
        <v>-1000</v>
      </c>
      <c r="L208" s="22">
        <v>-1000</v>
      </c>
      <c r="M208" s="22">
        <v>-1000</v>
      </c>
      <c r="N208" s="22">
        <v>-1000</v>
      </c>
      <c r="O208" s="22">
        <v>-1000</v>
      </c>
      <c r="P208" s="22">
        <v>-1000</v>
      </c>
      <c r="Q208" s="22">
        <v>-1000</v>
      </c>
      <c r="R208" s="22">
        <v>-1000</v>
      </c>
      <c r="S208" s="22">
        <v>-1000</v>
      </c>
      <c r="T208" s="22">
        <v>-1000</v>
      </c>
      <c r="U208" s="22">
        <v>-1000</v>
      </c>
      <c r="V208" s="22">
        <v>-1000</v>
      </c>
      <c r="W208" s="22">
        <v>-1000</v>
      </c>
      <c r="X208" s="22"/>
      <c r="Y208" s="11"/>
      <c r="Z208" s="11"/>
    </row>
    <row r="209" spans="2:26" x14ac:dyDescent="0.35">
      <c r="B209" s="20">
        <v>149</v>
      </c>
      <c r="C209" s="127">
        <f>Refsz_Verbräuche[[#This Row],[Datenpunkt]]</f>
        <v>0</v>
      </c>
      <c r="D209" s="139"/>
      <c r="E209" s="148"/>
      <c r="F209" s="148"/>
      <c r="G209" s="148"/>
      <c r="H209" s="148"/>
      <c r="I209" s="148"/>
      <c r="J209" s="148"/>
      <c r="K209" s="148"/>
      <c r="L209" s="148"/>
      <c r="M209" s="148"/>
      <c r="N209" s="148"/>
      <c r="O209" s="148"/>
      <c r="P209" s="148"/>
      <c r="Q209" s="148"/>
      <c r="R209" s="148"/>
      <c r="S209" s="148"/>
      <c r="T209" s="148"/>
      <c r="U209" s="148"/>
      <c r="V209" s="148"/>
      <c r="W209" s="148"/>
      <c r="X209" s="148"/>
      <c r="Y209" s="149"/>
      <c r="Z209" s="149"/>
    </row>
    <row r="210" spans="2:26" x14ac:dyDescent="0.35">
      <c r="B210" s="20">
        <v>150</v>
      </c>
      <c r="C210" s="127">
        <f>Refsz_Verbräuche[[#This Row],[Datenpunkt]]</f>
        <v>0</v>
      </c>
      <c r="D210" s="139"/>
      <c r="E210" s="148"/>
      <c r="F210" s="148"/>
      <c r="G210" s="148"/>
      <c r="H210" s="148"/>
      <c r="I210" s="148"/>
      <c r="J210" s="148"/>
      <c r="K210" s="148"/>
      <c r="L210" s="148"/>
      <c r="M210" s="148"/>
      <c r="N210" s="148"/>
      <c r="O210" s="148"/>
      <c r="P210" s="148"/>
      <c r="Q210" s="148"/>
      <c r="R210" s="148"/>
      <c r="S210" s="148"/>
      <c r="T210" s="148"/>
      <c r="U210" s="148"/>
      <c r="V210" s="148"/>
      <c r="W210" s="148"/>
      <c r="X210" s="148"/>
      <c r="Y210" s="149"/>
      <c r="Z210" s="149"/>
    </row>
    <row r="211" spans="2:26" x14ac:dyDescent="0.35">
      <c r="B211" s="20">
        <v>151</v>
      </c>
      <c r="C211" s="127">
        <f>Refsz_Verbräuche[[#This Row],[Datenpunkt]]</f>
        <v>0</v>
      </c>
      <c r="D211" s="139"/>
      <c r="E211" s="148"/>
      <c r="F211" s="148"/>
      <c r="G211" s="148"/>
      <c r="H211" s="148"/>
      <c r="I211" s="148"/>
      <c r="J211" s="148"/>
      <c r="K211" s="148"/>
      <c r="L211" s="148"/>
      <c r="M211" s="148"/>
      <c r="N211" s="148"/>
      <c r="O211" s="148"/>
      <c r="P211" s="148"/>
      <c r="Q211" s="148"/>
      <c r="R211" s="148"/>
      <c r="S211" s="148"/>
      <c r="T211" s="148"/>
      <c r="U211" s="148"/>
      <c r="V211" s="148"/>
      <c r="W211" s="148"/>
      <c r="X211" s="148"/>
      <c r="Y211" s="149"/>
      <c r="Z211" s="149"/>
    </row>
    <row r="212" spans="2:26" x14ac:dyDescent="0.35">
      <c r="B212" s="20">
        <v>152</v>
      </c>
      <c r="C212" s="127">
        <f>Refsz_Verbräuche[[#This Row],[Datenpunkt]]</f>
        <v>0</v>
      </c>
      <c r="D212" s="139"/>
      <c r="E212" s="148"/>
      <c r="F212" s="148"/>
      <c r="G212" s="148"/>
      <c r="H212" s="148"/>
      <c r="I212" s="148"/>
      <c r="J212" s="148"/>
      <c r="K212" s="148"/>
      <c r="L212" s="148"/>
      <c r="M212" s="148"/>
      <c r="N212" s="148"/>
      <c r="O212" s="148"/>
      <c r="P212" s="148"/>
      <c r="Q212" s="148"/>
      <c r="R212" s="148"/>
      <c r="S212" s="148"/>
      <c r="T212" s="148"/>
      <c r="U212" s="148"/>
      <c r="V212" s="148"/>
      <c r="W212" s="148"/>
      <c r="X212" s="148"/>
      <c r="Y212" s="149"/>
      <c r="Z212" s="149"/>
    </row>
    <row r="213" spans="2:26" x14ac:dyDescent="0.35">
      <c r="B213" s="20">
        <v>153</v>
      </c>
      <c r="C213" s="127">
        <f>Refsz_Verbräuche[[#This Row],[Datenpunkt]]</f>
        <v>0</v>
      </c>
      <c r="D213" s="139"/>
      <c r="E213" s="148"/>
      <c r="F213" s="148"/>
      <c r="G213" s="148"/>
      <c r="H213" s="148"/>
      <c r="I213" s="148"/>
      <c r="J213" s="148"/>
      <c r="K213" s="148"/>
      <c r="L213" s="148"/>
      <c r="M213" s="148"/>
      <c r="N213" s="148"/>
      <c r="O213" s="148"/>
      <c r="P213" s="148"/>
      <c r="Q213" s="148"/>
      <c r="R213" s="148"/>
      <c r="S213" s="148"/>
      <c r="T213" s="148"/>
      <c r="U213" s="148"/>
      <c r="V213" s="148"/>
      <c r="W213" s="148"/>
      <c r="X213" s="148"/>
      <c r="Y213" s="149"/>
      <c r="Z213" s="149"/>
    </row>
    <row r="214" spans="2:26" x14ac:dyDescent="0.35">
      <c r="B214" s="20">
        <v>154</v>
      </c>
      <c r="C214" s="127">
        <f>Refsz_Verbräuche[[#This Row],[Datenpunkt]]</f>
        <v>0</v>
      </c>
      <c r="D214" s="139"/>
      <c r="E214" s="148"/>
      <c r="F214" s="148"/>
      <c r="G214" s="148"/>
      <c r="H214" s="148"/>
      <c r="I214" s="148"/>
      <c r="J214" s="148"/>
      <c r="K214" s="148"/>
      <c r="L214" s="148"/>
      <c r="M214" s="148"/>
      <c r="N214" s="148"/>
      <c r="O214" s="148"/>
      <c r="P214" s="148"/>
      <c r="Q214" s="148"/>
      <c r="R214" s="148"/>
      <c r="S214" s="148"/>
      <c r="T214" s="148"/>
      <c r="U214" s="148"/>
      <c r="V214" s="148"/>
      <c r="W214" s="148"/>
      <c r="X214" s="148"/>
      <c r="Y214" s="149"/>
      <c r="Z214" s="149"/>
    </row>
    <row r="215" spans="2:26" x14ac:dyDescent="0.35">
      <c r="B215" s="20">
        <v>155</v>
      </c>
      <c r="C215" s="127">
        <f>Refsz_Verbräuche[[#This Row],[Datenpunkt]]</f>
        <v>0</v>
      </c>
      <c r="D215" s="139"/>
      <c r="E215" s="148"/>
      <c r="F215" s="148"/>
      <c r="G215" s="148"/>
      <c r="H215" s="148"/>
      <c r="I215" s="148"/>
      <c r="J215" s="148"/>
      <c r="K215" s="148"/>
      <c r="L215" s="148"/>
      <c r="M215" s="148"/>
      <c r="N215" s="148"/>
      <c r="O215" s="148"/>
      <c r="P215" s="148"/>
      <c r="Q215" s="148"/>
      <c r="R215" s="148"/>
      <c r="S215" s="148"/>
      <c r="T215" s="148"/>
      <c r="U215" s="148"/>
      <c r="V215" s="148"/>
      <c r="W215" s="148"/>
      <c r="X215" s="148"/>
      <c r="Y215" s="149"/>
      <c r="Z215" s="149"/>
    </row>
    <row r="216" spans="2:26" x14ac:dyDescent="0.35">
      <c r="B216" s="20">
        <v>156</v>
      </c>
      <c r="C216" s="127">
        <f>Refsz_Verbräuche[[#This Row],[Datenpunkt]]</f>
        <v>0</v>
      </c>
      <c r="D216" s="139"/>
      <c r="E216" s="148"/>
      <c r="F216" s="148"/>
      <c r="G216" s="148"/>
      <c r="H216" s="148"/>
      <c r="I216" s="148"/>
      <c r="J216" s="148"/>
      <c r="K216" s="148"/>
      <c r="L216" s="148"/>
      <c r="M216" s="148"/>
      <c r="N216" s="148"/>
      <c r="O216" s="148"/>
      <c r="P216" s="148"/>
      <c r="Q216" s="148"/>
      <c r="R216" s="148"/>
      <c r="S216" s="148"/>
      <c r="T216" s="148"/>
      <c r="U216" s="148"/>
      <c r="V216" s="148"/>
      <c r="W216" s="148"/>
      <c r="X216" s="148"/>
      <c r="Y216" s="149"/>
      <c r="Z216" s="149"/>
    </row>
    <row r="217" spans="2:26" x14ac:dyDescent="0.35">
      <c r="B217" s="20">
        <v>157</v>
      </c>
      <c r="C217" s="127">
        <f>Refsz_Verbräuche[[#This Row],[Datenpunkt]]</f>
        <v>0</v>
      </c>
      <c r="D217" s="139"/>
      <c r="E217" s="148"/>
      <c r="F217" s="148"/>
      <c r="G217" s="148"/>
      <c r="H217" s="148"/>
      <c r="I217" s="148"/>
      <c r="J217" s="148"/>
      <c r="K217" s="148"/>
      <c r="L217" s="148"/>
      <c r="M217" s="148"/>
      <c r="N217" s="148"/>
      <c r="O217" s="148"/>
      <c r="P217" s="148"/>
      <c r="Q217" s="148"/>
      <c r="R217" s="148"/>
      <c r="S217" s="148"/>
      <c r="T217" s="148"/>
      <c r="U217" s="148"/>
      <c r="V217" s="148"/>
      <c r="W217" s="148"/>
      <c r="X217" s="148"/>
      <c r="Y217" s="149"/>
      <c r="Z217" s="149"/>
    </row>
    <row r="218" spans="2:26" x14ac:dyDescent="0.35">
      <c r="B218" s="20">
        <v>158</v>
      </c>
      <c r="C218" s="127">
        <f>Refsz_Verbräuche[[#This Row],[Datenpunkt]]</f>
        <v>0</v>
      </c>
      <c r="D218" s="139"/>
      <c r="E218" s="148"/>
      <c r="F218" s="148"/>
      <c r="G218" s="148"/>
      <c r="H218" s="148"/>
      <c r="I218" s="148"/>
      <c r="J218" s="148"/>
      <c r="K218" s="148"/>
      <c r="L218" s="148"/>
      <c r="M218" s="148"/>
      <c r="N218" s="148"/>
      <c r="O218" s="148"/>
      <c r="P218" s="148"/>
      <c r="Q218" s="148"/>
      <c r="R218" s="148"/>
      <c r="S218" s="148"/>
      <c r="T218" s="148"/>
      <c r="U218" s="148"/>
      <c r="V218" s="148"/>
      <c r="W218" s="148"/>
      <c r="X218" s="148"/>
      <c r="Y218" s="149"/>
      <c r="Z218" s="149"/>
    </row>
    <row r="219" spans="2:26" x14ac:dyDescent="0.35">
      <c r="B219" s="20">
        <v>159</v>
      </c>
      <c r="C219" s="127">
        <f>Refsz_Verbräuche[[#This Row],[Datenpunkt]]</f>
        <v>0</v>
      </c>
      <c r="D219" s="139"/>
      <c r="E219" s="148"/>
      <c r="F219" s="148"/>
      <c r="G219" s="148"/>
      <c r="H219" s="148"/>
      <c r="I219" s="148"/>
      <c r="J219" s="148"/>
      <c r="K219" s="148"/>
      <c r="L219" s="148"/>
      <c r="M219" s="148"/>
      <c r="N219" s="148"/>
      <c r="O219" s="148"/>
      <c r="P219" s="148"/>
      <c r="Q219" s="148"/>
      <c r="R219" s="148"/>
      <c r="S219" s="148"/>
      <c r="T219" s="148"/>
      <c r="U219" s="148"/>
      <c r="V219" s="148"/>
      <c r="W219" s="148"/>
      <c r="X219" s="148"/>
      <c r="Y219" s="149"/>
      <c r="Z219" s="149"/>
    </row>
    <row r="220" spans="2:26" x14ac:dyDescent="0.35">
      <c r="B220" s="20">
        <v>160</v>
      </c>
      <c r="C220" s="127">
        <f>Refsz_Verbräuche[[#This Row],[Datenpunkt]]</f>
        <v>0</v>
      </c>
      <c r="D220" s="139"/>
      <c r="E220" s="148"/>
      <c r="F220" s="148"/>
      <c r="G220" s="148"/>
      <c r="H220" s="148"/>
      <c r="I220" s="148"/>
      <c r="J220" s="148"/>
      <c r="K220" s="148"/>
      <c r="L220" s="148"/>
      <c r="M220" s="148"/>
      <c r="N220" s="148"/>
      <c r="O220" s="148"/>
      <c r="P220" s="148"/>
      <c r="Q220" s="148"/>
      <c r="R220" s="148"/>
      <c r="S220" s="148"/>
      <c r="T220" s="148"/>
      <c r="U220" s="148"/>
      <c r="V220" s="148"/>
      <c r="W220" s="148"/>
      <c r="X220" s="148"/>
      <c r="Y220" s="149"/>
      <c r="Z220" s="149"/>
    </row>
    <row r="221" spans="2:26" x14ac:dyDescent="0.35">
      <c r="B221" s="20">
        <v>161</v>
      </c>
      <c r="C221" s="127">
        <f>Refsz_Verbräuche[[#This Row],[Datenpunkt]]</f>
        <v>0</v>
      </c>
      <c r="D221" s="139"/>
      <c r="E221" s="148"/>
      <c r="F221" s="148"/>
      <c r="G221" s="148"/>
      <c r="H221" s="148"/>
      <c r="I221" s="148"/>
      <c r="J221" s="148"/>
      <c r="K221" s="148"/>
      <c r="L221" s="148"/>
      <c r="M221" s="148"/>
      <c r="N221" s="148"/>
      <c r="O221" s="148"/>
      <c r="P221" s="148"/>
      <c r="Q221" s="148"/>
      <c r="R221" s="148"/>
      <c r="S221" s="148"/>
      <c r="T221" s="148"/>
      <c r="U221" s="148"/>
      <c r="V221" s="148"/>
      <c r="W221" s="148"/>
      <c r="X221" s="148"/>
      <c r="Y221" s="149"/>
      <c r="Z221" s="149"/>
    </row>
    <row r="223" spans="2:26" x14ac:dyDescent="0.35">
      <c r="B223" s="1" t="s">
        <v>545</v>
      </c>
    </row>
    <row r="224" spans="2:26" x14ac:dyDescent="0.35">
      <c r="B224" t="s">
        <v>42</v>
      </c>
      <c r="C224" t="s">
        <v>283</v>
      </c>
      <c r="D224" t="s">
        <v>2</v>
      </c>
      <c r="E224" t="s">
        <v>3</v>
      </c>
      <c r="F224" t="s">
        <v>4</v>
      </c>
      <c r="G224" t="s">
        <v>5</v>
      </c>
      <c r="H224" t="s">
        <v>6</v>
      </c>
      <c r="I224" t="s">
        <v>7</v>
      </c>
      <c r="J224" t="s">
        <v>8</v>
      </c>
      <c r="K224" t="s">
        <v>9</v>
      </c>
      <c r="L224" t="s">
        <v>10</v>
      </c>
      <c r="M224" t="s">
        <v>11</v>
      </c>
      <c r="N224" t="s">
        <v>12</v>
      </c>
      <c r="O224" t="s">
        <v>13</v>
      </c>
      <c r="P224" t="s">
        <v>14</v>
      </c>
      <c r="Q224" t="s">
        <v>232</v>
      </c>
      <c r="R224" t="s">
        <v>233</v>
      </c>
      <c r="S224" t="s">
        <v>234</v>
      </c>
      <c r="T224" t="s">
        <v>15</v>
      </c>
      <c r="U224" t="s">
        <v>16</v>
      </c>
      <c r="V224" t="s">
        <v>17</v>
      </c>
      <c r="W224" t="s">
        <v>18</v>
      </c>
      <c r="X224" t="s">
        <v>19</v>
      </c>
      <c r="Y224" t="s">
        <v>40</v>
      </c>
      <c r="Z224" t="s">
        <v>147</v>
      </c>
    </row>
    <row r="225" spans="2:26" ht="16.5" x14ac:dyDescent="0.45">
      <c r="B225" s="20">
        <v>12</v>
      </c>
      <c r="C225" s="20" t="s">
        <v>141</v>
      </c>
      <c r="D225" t="s">
        <v>284</v>
      </c>
      <c r="E225" s="23">
        <v>279.24299999999999</v>
      </c>
      <c r="F225" s="23">
        <v>279.24299999999999</v>
      </c>
      <c r="G225" s="23">
        <v>279.24299999999999</v>
      </c>
      <c r="H225" s="22">
        <v>279.24299999999999</v>
      </c>
      <c r="I225" s="23">
        <v>279.24299999999999</v>
      </c>
      <c r="J225" s="23">
        <v>261.16199999999998</v>
      </c>
      <c r="K225" s="23">
        <v>261.16199999999998</v>
      </c>
      <c r="L225" s="23">
        <v>261.16199999999998</v>
      </c>
      <c r="M225" s="23">
        <v>261.16199999999998</v>
      </c>
      <c r="N225" s="23">
        <v>261.16199999999998</v>
      </c>
      <c r="O225" s="23">
        <v>261.16199999999998</v>
      </c>
      <c r="P225" s="23">
        <v>261.16199999999998</v>
      </c>
      <c r="Q225" s="23">
        <v>261.16199999999998</v>
      </c>
      <c r="R225" s="23">
        <v>261.16199999999998</v>
      </c>
      <c r="S225" s="23">
        <v>261.16199999999998</v>
      </c>
      <c r="T225" s="23">
        <v>129.32900000000001</v>
      </c>
      <c r="U225" s="23">
        <v>129.32900000000001</v>
      </c>
      <c r="V225" s="23">
        <v>129.32900000000001</v>
      </c>
      <c r="W225" s="23">
        <v>129.32900000000001</v>
      </c>
      <c r="X225" s="23">
        <v>129.32900000000001</v>
      </c>
      <c r="Y225" s="11" t="s">
        <v>32</v>
      </c>
      <c r="Z225" s="11" t="s">
        <v>145</v>
      </c>
    </row>
    <row r="226" spans="2:26" ht="16.5" x14ac:dyDescent="0.45">
      <c r="B226" s="20">
        <v>162</v>
      </c>
      <c r="C226" s="20" t="s">
        <v>285</v>
      </c>
      <c r="D226" t="s">
        <v>284</v>
      </c>
      <c r="E226" s="23">
        <f>121.726*10^3/277.77777</f>
        <v>438.21361226998118</v>
      </c>
      <c r="F226" s="23">
        <f>121.726*10^3/277.77777</f>
        <v>438.21361226998118</v>
      </c>
      <c r="G226" s="23">
        <f>121.726*10^3/277.77777</f>
        <v>438.21361226998118</v>
      </c>
      <c r="H226" s="23">
        <f>121.726*10^3/277.77777</f>
        <v>438.21361226998118</v>
      </c>
      <c r="I226" s="23">
        <f>121.726*10^3/277.77777</f>
        <v>438.21361226998118</v>
      </c>
      <c r="J226" s="23">
        <f>120.964*10^3/277.77777</f>
        <v>435.47041219317157</v>
      </c>
      <c r="K226" s="23">
        <f t="shared" ref="K226:X226" si="18">120.964*10^3/277.77777</f>
        <v>435.47041219317157</v>
      </c>
      <c r="L226" s="23">
        <f t="shared" si="18"/>
        <v>435.47041219317157</v>
      </c>
      <c r="M226" s="23">
        <f t="shared" si="18"/>
        <v>435.47041219317157</v>
      </c>
      <c r="N226" s="23">
        <f t="shared" si="18"/>
        <v>435.47041219317157</v>
      </c>
      <c r="O226" s="23">
        <f t="shared" si="18"/>
        <v>435.47041219317157</v>
      </c>
      <c r="P226" s="23">
        <f t="shared" si="18"/>
        <v>435.47041219317157</v>
      </c>
      <c r="Q226" s="23">
        <f t="shared" si="18"/>
        <v>435.47041219317157</v>
      </c>
      <c r="R226" s="23">
        <f t="shared" si="18"/>
        <v>435.47041219317157</v>
      </c>
      <c r="S226" s="23">
        <f t="shared" si="18"/>
        <v>435.47041219317157</v>
      </c>
      <c r="T226" s="23">
        <f t="shared" si="18"/>
        <v>435.47041219317157</v>
      </c>
      <c r="U226" s="23">
        <f t="shared" si="18"/>
        <v>435.47041219317157</v>
      </c>
      <c r="V226" s="23">
        <f t="shared" si="18"/>
        <v>435.47041219317157</v>
      </c>
      <c r="W226" s="23">
        <f t="shared" si="18"/>
        <v>435.47041219317157</v>
      </c>
      <c r="X226" s="23">
        <f t="shared" si="18"/>
        <v>435.47041219317157</v>
      </c>
      <c r="Y226" s="11" t="s">
        <v>32</v>
      </c>
      <c r="Z226" s="11" t="s">
        <v>286</v>
      </c>
    </row>
    <row r="227" spans="2:26" ht="16.5" x14ac:dyDescent="0.45">
      <c r="B227" s="20">
        <v>163</v>
      </c>
      <c r="C227" s="20" t="s">
        <v>287</v>
      </c>
      <c r="D227" t="s">
        <v>284</v>
      </c>
      <c r="E227" s="23">
        <f>((126.211*10^3/277.77777)+(114.338*10^3/277.77777))/2</f>
        <v>432.98821212367</v>
      </c>
      <c r="F227" s="23">
        <f>((126.211*10^3/277.77777)+(114.338*10^3/277.77777))/2</f>
        <v>432.98821212367</v>
      </c>
      <c r="G227" s="23">
        <f>((126.211*10^3/277.77777)+(114.338*10^3/277.77777))/2</f>
        <v>432.98821212367</v>
      </c>
      <c r="H227" s="23">
        <f>((126.211*10^3/277.77777)+(114.338*10^3/277.77777))/2</f>
        <v>432.98821212367</v>
      </c>
      <c r="I227" s="23">
        <f>((126.211*10^3/277.77777)+(114.338*10^3/277.77777))/2</f>
        <v>432.98821212367</v>
      </c>
      <c r="J227" s="23">
        <f>((124.93*10^3/277.77777)+(113.63*10^3/277.77777))/2</f>
        <v>429.40801202342436</v>
      </c>
      <c r="K227" s="23">
        <f t="shared" ref="K227:X227" si="19">((124.93*10^3/277.77777)+(113.63*10^3/277.77777))/2</f>
        <v>429.40801202342436</v>
      </c>
      <c r="L227" s="23">
        <f t="shared" si="19"/>
        <v>429.40801202342436</v>
      </c>
      <c r="M227" s="23">
        <f t="shared" si="19"/>
        <v>429.40801202342436</v>
      </c>
      <c r="N227" s="23">
        <f t="shared" si="19"/>
        <v>429.40801202342436</v>
      </c>
      <c r="O227" s="23">
        <f t="shared" si="19"/>
        <v>429.40801202342436</v>
      </c>
      <c r="P227" s="23">
        <f t="shared" si="19"/>
        <v>429.40801202342436</v>
      </c>
      <c r="Q227" s="23">
        <f t="shared" si="19"/>
        <v>429.40801202342436</v>
      </c>
      <c r="R227" s="23">
        <f t="shared" si="19"/>
        <v>429.40801202342436</v>
      </c>
      <c r="S227" s="23">
        <f t="shared" si="19"/>
        <v>429.40801202342436</v>
      </c>
      <c r="T227" s="23">
        <f t="shared" si="19"/>
        <v>429.40801202342436</v>
      </c>
      <c r="U227" s="23">
        <f t="shared" si="19"/>
        <v>429.40801202342436</v>
      </c>
      <c r="V227" s="23">
        <f t="shared" si="19"/>
        <v>429.40801202342436</v>
      </c>
      <c r="W227" s="23">
        <f t="shared" si="19"/>
        <v>429.40801202342436</v>
      </c>
      <c r="X227" s="23">
        <f t="shared" si="19"/>
        <v>429.40801202342436</v>
      </c>
      <c r="Y227" s="11" t="s">
        <v>32</v>
      </c>
      <c r="Z227" s="11" t="s">
        <v>288</v>
      </c>
    </row>
    <row r="228" spans="2:26" ht="16.5" x14ac:dyDescent="0.45">
      <c r="B228" s="20">
        <v>164</v>
      </c>
      <c r="C228" s="20" t="s">
        <v>289</v>
      </c>
      <c r="D228" t="s">
        <v>284</v>
      </c>
      <c r="E228" s="23">
        <f>88.4204*10^3/277.77777</f>
        <v>318.31344891277655</v>
      </c>
      <c r="F228" s="23">
        <f>88.4204*10^3/277.77777</f>
        <v>318.31344891277655</v>
      </c>
      <c r="G228" s="23">
        <f>88.4204*10^3/277.77777</f>
        <v>318.31344891277655</v>
      </c>
      <c r="H228" s="23">
        <f>88.4204*10^3/277.77777</f>
        <v>318.31344891277655</v>
      </c>
      <c r="I228" s="23">
        <f>88.4204*10^3/277.77777</f>
        <v>318.31344891277655</v>
      </c>
      <c r="J228" s="23">
        <f>87.2378*10^3/277.77777</f>
        <v>314.0560887935705</v>
      </c>
      <c r="K228" s="23">
        <f t="shared" ref="K228:S228" si="20">87.2378*10^3/277.77777</f>
        <v>314.0560887935705</v>
      </c>
      <c r="L228" s="23">
        <f t="shared" si="20"/>
        <v>314.0560887935705</v>
      </c>
      <c r="M228" s="23">
        <f t="shared" si="20"/>
        <v>314.0560887935705</v>
      </c>
      <c r="N228" s="23">
        <f t="shared" si="20"/>
        <v>314.0560887935705</v>
      </c>
      <c r="O228" s="23">
        <f t="shared" si="20"/>
        <v>314.0560887935705</v>
      </c>
      <c r="P228" s="23">
        <f t="shared" si="20"/>
        <v>314.0560887935705</v>
      </c>
      <c r="Q228" s="23">
        <f t="shared" si="20"/>
        <v>314.0560887935705</v>
      </c>
      <c r="R228" s="23">
        <f t="shared" si="20"/>
        <v>314.0560887935705</v>
      </c>
      <c r="S228" s="23">
        <f t="shared" si="20"/>
        <v>314.0560887935705</v>
      </c>
      <c r="T228" s="23">
        <f>86.3221*10^3/277.77777</f>
        <v>310.75956870126799</v>
      </c>
      <c r="U228" s="23">
        <f>86.3221*10^3/277.77777</f>
        <v>310.75956870126799</v>
      </c>
      <c r="V228" s="23">
        <f>86.3221*10^3/277.77777</f>
        <v>310.75956870126799</v>
      </c>
      <c r="W228" s="23">
        <f>86.3221*10^3/277.77777</f>
        <v>310.75956870126799</v>
      </c>
      <c r="X228" s="23">
        <f>82.6313*10^3/277.77777</f>
        <v>297.47268832923532</v>
      </c>
      <c r="Y228" s="11" t="s">
        <v>32</v>
      </c>
      <c r="Z228" s="11" t="s">
        <v>290</v>
      </c>
    </row>
    <row r="229" spans="2:26" ht="16.5" x14ac:dyDescent="0.45">
      <c r="B229" s="20">
        <v>165</v>
      </c>
      <c r="C229" s="20" t="s">
        <v>214</v>
      </c>
      <c r="D229" t="s">
        <v>284</v>
      </c>
      <c r="E229" s="55">
        <f>66.0905*10^3/277.77777</f>
        <v>237.92580666192262</v>
      </c>
      <c r="F229" s="55">
        <f>66.0905*10^3/277.77777</f>
        <v>237.92580666192262</v>
      </c>
      <c r="G229" s="55">
        <f>66.0905*10^3/277.77777</f>
        <v>237.92580666192262</v>
      </c>
      <c r="H229" s="55">
        <f>66.0905*10^3/277.77777</f>
        <v>237.92580666192262</v>
      </c>
      <c r="I229" s="55">
        <f>66.0905*10^3/277.77777</f>
        <v>237.92580666192262</v>
      </c>
      <c r="J229" s="23">
        <f t="shared" ref="J229:X229" si="21">50.8564*10^3/277.77777</f>
        <v>183.08304512632529</v>
      </c>
      <c r="K229" s="23">
        <f t="shared" si="21"/>
        <v>183.08304512632529</v>
      </c>
      <c r="L229" s="23">
        <f t="shared" si="21"/>
        <v>183.08304512632529</v>
      </c>
      <c r="M229" s="23">
        <f t="shared" si="21"/>
        <v>183.08304512632529</v>
      </c>
      <c r="N229" s="23">
        <f t="shared" si="21"/>
        <v>183.08304512632529</v>
      </c>
      <c r="O229" s="23">
        <f t="shared" si="21"/>
        <v>183.08304512632529</v>
      </c>
      <c r="P229" s="23">
        <f t="shared" si="21"/>
        <v>183.08304512632529</v>
      </c>
      <c r="Q229" s="23">
        <f t="shared" si="21"/>
        <v>183.08304512632529</v>
      </c>
      <c r="R229" s="23">
        <f t="shared" si="21"/>
        <v>183.08304512632529</v>
      </c>
      <c r="S229" s="23">
        <f t="shared" si="21"/>
        <v>183.08304512632529</v>
      </c>
      <c r="T229" s="23">
        <f t="shared" si="21"/>
        <v>183.08304512632529</v>
      </c>
      <c r="U229" s="23">
        <f t="shared" si="21"/>
        <v>183.08304512632529</v>
      </c>
      <c r="V229" s="23">
        <f t="shared" si="21"/>
        <v>183.08304512632529</v>
      </c>
      <c r="W229" s="23">
        <f t="shared" si="21"/>
        <v>183.08304512632529</v>
      </c>
      <c r="X229" s="23">
        <f t="shared" si="21"/>
        <v>183.08304512632529</v>
      </c>
      <c r="Y229" s="11" t="s">
        <v>32</v>
      </c>
      <c r="Z229" s="11" t="s">
        <v>291</v>
      </c>
    </row>
    <row r="230" spans="2:26" ht="16.5" x14ac:dyDescent="0.45">
      <c r="B230" s="20">
        <v>14</v>
      </c>
      <c r="C230" s="20" t="s">
        <v>292</v>
      </c>
      <c r="D230" t="s">
        <v>284</v>
      </c>
      <c r="E230" s="23">
        <f>27.3154*10^3/277.77777</f>
        <v>98.335442753392414</v>
      </c>
      <c r="F230" s="23">
        <f>27.3154*10^3/277.77777</f>
        <v>98.335442753392414</v>
      </c>
      <c r="G230" s="23">
        <f>27.3154*10^3/277.77777</f>
        <v>98.335442753392414</v>
      </c>
      <c r="H230" s="23">
        <f>27.3154*10^3/277.77777</f>
        <v>98.335442753392414</v>
      </c>
      <c r="I230" s="23">
        <f>27.3154*10^3/277.77777</f>
        <v>98.335442753392414</v>
      </c>
      <c r="J230" s="23">
        <f>28.0053*10^3/277.77777</f>
        <v>100.81908282293432</v>
      </c>
      <c r="K230" s="23">
        <f t="shared" ref="K230:S230" si="22">28.0053*10^3/277.77777</f>
        <v>100.81908282293432</v>
      </c>
      <c r="L230" s="23">
        <f t="shared" si="22"/>
        <v>100.81908282293432</v>
      </c>
      <c r="M230" s="23">
        <f t="shared" si="22"/>
        <v>100.81908282293432</v>
      </c>
      <c r="N230" s="23">
        <f t="shared" si="22"/>
        <v>100.81908282293432</v>
      </c>
      <c r="O230" s="23">
        <f t="shared" si="22"/>
        <v>100.81908282293432</v>
      </c>
      <c r="P230" s="23">
        <f t="shared" si="22"/>
        <v>100.81908282293432</v>
      </c>
      <c r="Q230" s="23">
        <f t="shared" si="22"/>
        <v>100.81908282293432</v>
      </c>
      <c r="R230" s="23">
        <f t="shared" si="22"/>
        <v>100.81908282293432</v>
      </c>
      <c r="S230" s="23">
        <f t="shared" si="22"/>
        <v>100.81908282293432</v>
      </c>
      <c r="T230" s="23">
        <f>25.6843*10^3/277.77777</f>
        <v>92.463482588977513</v>
      </c>
      <c r="U230" s="23">
        <f>25.6843*10^3/277.77777</f>
        <v>92.463482588977513</v>
      </c>
      <c r="V230" s="23">
        <f>25.6843*10^3/277.77777</f>
        <v>92.463482588977513</v>
      </c>
      <c r="W230" s="23">
        <f>25.6843*10^3/277.77777</f>
        <v>92.463482588977513</v>
      </c>
      <c r="X230" s="23">
        <f>25.6843*10^3/277.77777</f>
        <v>92.463482588977513</v>
      </c>
      <c r="Y230" s="11" t="s">
        <v>32</v>
      </c>
      <c r="Z230" s="11" t="s">
        <v>293</v>
      </c>
    </row>
    <row r="231" spans="2:26" ht="16.5" x14ac:dyDescent="0.45">
      <c r="B231" s="20">
        <v>166</v>
      </c>
      <c r="C231" s="20" t="s">
        <v>294</v>
      </c>
      <c r="D231" t="s">
        <v>284</v>
      </c>
      <c r="E231" s="23">
        <f>6.95274*10^3/277.77777</f>
        <v>25.029864700836217</v>
      </c>
      <c r="F231" s="23">
        <f>6.95274*10^3/277.77777</f>
        <v>25.029864700836217</v>
      </c>
      <c r="G231" s="23">
        <f>6.95274*10^3/277.77777</f>
        <v>25.029864700836217</v>
      </c>
      <c r="H231" s="23">
        <f>6.95274*10^3/277.77777</f>
        <v>25.029864700836217</v>
      </c>
      <c r="I231" s="23">
        <f>6.95274*10^3/277.77777</f>
        <v>25.029864700836217</v>
      </c>
      <c r="J231" s="23">
        <f>5.0578*10^3/277.77777</f>
        <v>18.208080509826257</v>
      </c>
      <c r="K231" s="23">
        <f t="shared" ref="K231:S231" si="23">5.0578*10^3/277.77777</f>
        <v>18.208080509826257</v>
      </c>
      <c r="L231" s="23">
        <f t="shared" si="23"/>
        <v>18.208080509826257</v>
      </c>
      <c r="M231" s="23">
        <f t="shared" si="23"/>
        <v>18.208080509826257</v>
      </c>
      <c r="N231" s="23">
        <f t="shared" si="23"/>
        <v>18.208080509826257</v>
      </c>
      <c r="O231" s="23">
        <f t="shared" si="23"/>
        <v>18.208080509826257</v>
      </c>
      <c r="P231" s="23">
        <f t="shared" si="23"/>
        <v>18.208080509826257</v>
      </c>
      <c r="Q231" s="23">
        <f t="shared" si="23"/>
        <v>18.208080509826257</v>
      </c>
      <c r="R231" s="23">
        <f t="shared" si="23"/>
        <v>18.208080509826257</v>
      </c>
      <c r="S231" s="23">
        <f t="shared" si="23"/>
        <v>18.208080509826257</v>
      </c>
      <c r="T231" s="23">
        <f>3.63091*10^3/277.77777</f>
        <v>13.07127636599574</v>
      </c>
      <c r="U231" s="23">
        <f>3.63091*10^3/277.77777</f>
        <v>13.07127636599574</v>
      </c>
      <c r="V231" s="23">
        <f>3.63091*10^3/277.77777</f>
        <v>13.07127636599574</v>
      </c>
      <c r="W231" s="23">
        <f>3.63091*10^3/277.77777</f>
        <v>13.07127636599574</v>
      </c>
      <c r="X231" s="23">
        <f>1.23142*10^3/277.77777</f>
        <v>4.4331121241271401</v>
      </c>
      <c r="Y231" s="11" t="s">
        <v>32</v>
      </c>
      <c r="Z231" s="11" t="s">
        <v>295</v>
      </c>
    </row>
    <row r="232" spans="2:26" ht="16.5" x14ac:dyDescent="0.45">
      <c r="B232" s="20">
        <v>167</v>
      </c>
      <c r="C232" s="20" t="s">
        <v>296</v>
      </c>
      <c r="D232" t="s">
        <v>284</v>
      </c>
      <c r="E232" s="23">
        <f>76.5342*10^3/277.77777</f>
        <v>275.52312771464761</v>
      </c>
      <c r="F232" s="23">
        <f>76.5342*10^3/277.77777</f>
        <v>275.52312771464761</v>
      </c>
      <c r="G232" s="23">
        <f>76.5342*10^3/277.77777</f>
        <v>275.52312771464761</v>
      </c>
      <c r="H232" s="23">
        <f>76.5342*10^3/277.77777</f>
        <v>275.52312771464761</v>
      </c>
      <c r="I232" s="23">
        <f>76.5342*10^3/277.77777</f>
        <v>275.52312771464761</v>
      </c>
      <c r="J232" s="23">
        <f>152.322*10^3/277.77777</f>
        <v>548.35921535405805</v>
      </c>
      <c r="K232" s="23">
        <f t="shared" ref="K232:S232" si="24">152.322*10^3/277.77777</f>
        <v>548.35921535405805</v>
      </c>
      <c r="L232" s="23">
        <f t="shared" si="24"/>
        <v>548.35921535405805</v>
      </c>
      <c r="M232" s="23">
        <f t="shared" si="24"/>
        <v>548.35921535405805</v>
      </c>
      <c r="N232" s="23">
        <f t="shared" si="24"/>
        <v>548.35921535405805</v>
      </c>
      <c r="O232" s="23">
        <f t="shared" si="24"/>
        <v>548.35921535405805</v>
      </c>
      <c r="P232" s="23">
        <f t="shared" si="24"/>
        <v>548.35921535405805</v>
      </c>
      <c r="Q232" s="23">
        <f t="shared" si="24"/>
        <v>548.35921535405805</v>
      </c>
      <c r="R232" s="23">
        <f t="shared" si="24"/>
        <v>548.35921535405805</v>
      </c>
      <c r="S232" s="23">
        <f t="shared" si="24"/>
        <v>548.35921535405805</v>
      </c>
      <c r="T232" s="23">
        <f>144.025*10^3/277.77777</f>
        <v>518.4900145177204</v>
      </c>
      <c r="U232" s="23">
        <f>144.025*10^3/277.77777</f>
        <v>518.4900145177204</v>
      </c>
      <c r="V232" s="23">
        <f>144.025*10^3/277.77777</f>
        <v>518.4900145177204</v>
      </c>
      <c r="W232" s="23">
        <f>144.025*10^3/277.77777</f>
        <v>518.4900145177204</v>
      </c>
      <c r="X232" s="23">
        <f>143.865*10^3/277.77777</f>
        <v>517.91401450159242</v>
      </c>
      <c r="Y232" s="11" t="s">
        <v>32</v>
      </c>
      <c r="Z232" s="11" t="s">
        <v>297</v>
      </c>
    </row>
    <row r="233" spans="2:26" ht="16.5" x14ac:dyDescent="0.45">
      <c r="B233" s="20">
        <v>168</v>
      </c>
      <c r="C233" s="20" t="s">
        <v>300</v>
      </c>
      <c r="D233" t="s">
        <v>284</v>
      </c>
      <c r="E233" s="23">
        <v>330</v>
      </c>
      <c r="F233" s="23">
        <v>330</v>
      </c>
      <c r="G233" s="23">
        <v>330</v>
      </c>
      <c r="H233" s="23">
        <v>330</v>
      </c>
      <c r="I233" s="23">
        <v>330</v>
      </c>
      <c r="J233" s="23">
        <v>330</v>
      </c>
      <c r="K233" s="23">
        <v>330</v>
      </c>
      <c r="L233" s="23">
        <v>330</v>
      </c>
      <c r="M233" s="23">
        <v>330</v>
      </c>
      <c r="N233" s="23">
        <v>330</v>
      </c>
      <c r="O233" s="23">
        <v>330</v>
      </c>
      <c r="P233" s="23">
        <v>330</v>
      </c>
      <c r="Q233" s="23">
        <v>330</v>
      </c>
      <c r="R233" s="23">
        <v>330</v>
      </c>
      <c r="S233" s="23">
        <v>330</v>
      </c>
      <c r="T233" s="23">
        <v>330</v>
      </c>
      <c r="U233" s="23">
        <v>330</v>
      </c>
      <c r="V233" s="23">
        <v>330</v>
      </c>
      <c r="W233" s="23">
        <v>330</v>
      </c>
      <c r="X233" s="23">
        <v>330</v>
      </c>
      <c r="Y233" s="11" t="s">
        <v>579</v>
      </c>
      <c r="Z233" s="11" t="s">
        <v>583</v>
      </c>
    </row>
    <row r="234" spans="2:26" ht="16.5" x14ac:dyDescent="0.45">
      <c r="B234" s="20">
        <v>169</v>
      </c>
      <c r="C234" s="20" t="s">
        <v>301</v>
      </c>
      <c r="D234" t="s">
        <v>284</v>
      </c>
      <c r="E234" s="23">
        <v>25</v>
      </c>
      <c r="F234" s="23">
        <v>25</v>
      </c>
      <c r="G234" s="23">
        <v>25</v>
      </c>
      <c r="H234" s="23">
        <v>25</v>
      </c>
      <c r="I234" s="23">
        <v>25</v>
      </c>
      <c r="J234" s="23">
        <v>25</v>
      </c>
      <c r="K234" s="23">
        <v>25</v>
      </c>
      <c r="L234" s="23">
        <v>25</v>
      </c>
      <c r="M234" s="23">
        <v>25</v>
      </c>
      <c r="N234" s="23">
        <v>25</v>
      </c>
      <c r="O234" s="23">
        <v>25</v>
      </c>
      <c r="P234" s="23">
        <v>25</v>
      </c>
      <c r="Q234" s="23">
        <v>25</v>
      </c>
      <c r="R234" s="23">
        <v>25</v>
      </c>
      <c r="S234" s="23">
        <v>25</v>
      </c>
      <c r="T234" s="23">
        <v>25</v>
      </c>
      <c r="U234" s="23">
        <v>25</v>
      </c>
      <c r="V234" s="23">
        <v>25</v>
      </c>
      <c r="W234" s="23">
        <v>25</v>
      </c>
      <c r="X234" s="23">
        <v>25</v>
      </c>
      <c r="Y234" s="11" t="s">
        <v>579</v>
      </c>
      <c r="Z234" s="11" t="s">
        <v>582</v>
      </c>
    </row>
    <row r="251" spans="6:6" x14ac:dyDescent="0.35">
      <c r="F251" s="24"/>
    </row>
    <row r="252" spans="6:6" x14ac:dyDescent="0.35">
      <c r="F252" s="24"/>
    </row>
  </sheetData>
  <phoneticPr fontId="8" type="noConversion"/>
  <conditionalFormatting sqref="Y85">
    <cfRule type="cellIs" dxfId="50" priority="1" operator="equal">
      <formula>"x"</formula>
    </cfRule>
  </conditionalFormatting>
  <hyperlinks>
    <hyperlink ref="B1" location="Startseite!B1" tooltip="Zurück zur Einleitung" display="Zur Startseite" xr:uid="{823B8085-8096-4E35-8950-27FBDAA3BB75}"/>
    <hyperlink ref="D1" r:id="rId1" tooltip="Kontakt zur Autorin" display="Kontakt zur Autorin" xr:uid="{7EB2EE82-9137-4648-A7C9-C3DA0905EAC3}"/>
  </hyperlinks>
  <pageMargins left="0.7" right="0.7" top="0.78740157499999996" bottom="0.78740157499999996" header="0.3" footer="0.3"/>
  <pageSetup paperSize="9" orientation="portrait" r:id="rId2"/>
  <drawing r:id="rId3"/>
  <tableParts count="2">
    <tablePart r:id="rId4"/>
    <tablePart r:id="rId5"/>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F2335-3C07-4426-9232-1510BBFA3826}">
  <sheetPr>
    <tabColor rgb="FF92D050"/>
  </sheetPr>
  <dimension ref="B1:Z221"/>
  <sheetViews>
    <sheetView showGridLines="0" zoomScale="115" zoomScaleNormal="115" workbookViewId="0">
      <pane xSplit="3" ySplit="1" topLeftCell="D2" activePane="bottomRight" state="frozen"/>
      <selection pane="topRight" activeCell="D1" sqref="D1"/>
      <selection pane="bottomLeft" activeCell="A2" sqref="A2"/>
      <selection pane="bottomRight" activeCell="B1" sqref="B1"/>
    </sheetView>
  </sheetViews>
  <sheetFormatPr baseColWidth="10" defaultRowHeight="14.5" x14ac:dyDescent="0.35"/>
  <cols>
    <col min="1" max="1" width="2.7265625" customWidth="1"/>
    <col min="2" max="2" width="8.7265625" customWidth="1"/>
    <col min="3" max="3" width="54.81640625" customWidth="1"/>
    <col min="4" max="4" width="7.90625" customWidth="1"/>
    <col min="5" max="5" width="9.1796875" customWidth="1"/>
    <col min="6" max="7" width="9.54296875" customWidth="1"/>
    <col min="8" max="10" width="11" bestFit="1" customWidth="1"/>
    <col min="11" max="11" width="11.6328125" customWidth="1"/>
    <col min="12" max="12" width="11.7265625" customWidth="1"/>
    <col min="13" max="13" width="11.81640625" customWidth="1"/>
    <col min="14" max="18" width="12.54296875" bestFit="1" customWidth="1"/>
    <col min="19" max="19" width="12.1796875" customWidth="1"/>
    <col min="20" max="20" width="12.54296875" customWidth="1"/>
    <col min="21" max="21" width="12" customWidth="1"/>
    <col min="22" max="22" width="10.453125" customWidth="1"/>
    <col min="23" max="23" width="12.81640625" customWidth="1"/>
    <col min="24" max="24" width="11" customWidth="1"/>
    <col min="25" max="25" width="28.7265625" customWidth="1"/>
    <col min="26" max="26" width="22.81640625" customWidth="1"/>
  </cols>
  <sheetData>
    <row r="1" spans="2:15" x14ac:dyDescent="0.35">
      <c r="B1" s="4" t="s">
        <v>553</v>
      </c>
      <c r="C1" s="5"/>
      <c r="D1" s="3"/>
      <c r="E1" s="3" t="s">
        <v>590</v>
      </c>
      <c r="F1" s="5"/>
      <c r="G1" s="5"/>
      <c r="H1" s="5"/>
      <c r="I1" s="5"/>
      <c r="J1" s="116"/>
      <c r="K1" s="5"/>
      <c r="L1" s="5"/>
      <c r="M1" s="5"/>
      <c r="N1" s="5"/>
      <c r="O1" s="5"/>
    </row>
    <row r="2" spans="2:15" x14ac:dyDescent="0.35">
      <c r="B2" s="4"/>
      <c r="C2" s="5"/>
      <c r="D2" s="3"/>
      <c r="E2" s="3"/>
      <c r="F2" s="5"/>
      <c r="G2" s="5"/>
      <c r="H2" s="5"/>
      <c r="I2" s="5"/>
      <c r="J2" s="5"/>
      <c r="K2" s="5"/>
      <c r="L2" s="5"/>
      <c r="M2" s="5"/>
      <c r="N2" s="5"/>
      <c r="O2" s="5"/>
    </row>
    <row r="3" spans="2:15" ht="18.5" x14ac:dyDescent="0.45">
      <c r="B3" s="26" t="s">
        <v>409</v>
      </c>
      <c r="C3" s="5"/>
      <c r="D3" s="5"/>
      <c r="E3" s="5"/>
      <c r="F3" s="5"/>
      <c r="G3" s="5"/>
      <c r="H3" s="5"/>
      <c r="I3" s="5"/>
      <c r="J3" s="5"/>
      <c r="K3" s="5"/>
      <c r="L3" s="5"/>
      <c r="M3" s="5"/>
      <c r="N3" s="5"/>
      <c r="O3" s="5"/>
    </row>
    <row r="4" spans="2:15" x14ac:dyDescent="0.35">
      <c r="B4" s="5"/>
      <c r="C4" s="5"/>
      <c r="D4" s="5"/>
      <c r="E4" s="5"/>
      <c r="F4" s="5"/>
      <c r="G4" s="5"/>
      <c r="H4" s="5"/>
      <c r="I4" s="5"/>
      <c r="J4" s="5"/>
      <c r="K4" s="5"/>
      <c r="L4" s="5"/>
      <c r="M4" s="5"/>
      <c r="N4" s="5"/>
      <c r="O4" s="5"/>
    </row>
    <row r="5" spans="2:15" x14ac:dyDescent="0.35">
      <c r="B5" s="5"/>
      <c r="C5" s="5"/>
      <c r="D5" s="5"/>
      <c r="E5" s="5"/>
      <c r="F5" s="5"/>
      <c r="G5" s="5"/>
      <c r="H5" s="5"/>
      <c r="I5" s="5"/>
      <c r="J5" s="5"/>
      <c r="K5" s="5"/>
      <c r="L5" s="5"/>
      <c r="M5" s="5"/>
      <c r="N5" s="5"/>
      <c r="O5" s="5"/>
    </row>
    <row r="6" spans="2:15" ht="35.15" customHeight="1" x14ac:dyDescent="0.35">
      <c r="B6" s="5"/>
      <c r="C6" s="5"/>
      <c r="D6" s="5"/>
      <c r="E6" s="5"/>
      <c r="F6" s="5"/>
      <c r="G6" s="5"/>
      <c r="H6" s="5"/>
      <c r="I6" s="5"/>
      <c r="J6" s="5"/>
      <c r="K6" s="5"/>
      <c r="L6" s="5"/>
      <c r="M6" s="5"/>
      <c r="N6" s="5"/>
      <c r="O6" s="5"/>
    </row>
    <row r="7" spans="2:15" x14ac:dyDescent="0.35">
      <c r="B7" s="5"/>
      <c r="C7" s="5"/>
      <c r="D7" s="5"/>
      <c r="E7" s="5"/>
      <c r="F7" s="5"/>
      <c r="G7" s="5"/>
      <c r="H7" s="5"/>
      <c r="I7" s="5"/>
      <c r="J7" s="5"/>
      <c r="K7" s="5"/>
      <c r="L7" s="5"/>
      <c r="M7" s="5"/>
      <c r="N7" s="5"/>
      <c r="O7" s="5"/>
    </row>
    <row r="8" spans="2:15" x14ac:dyDescent="0.35">
      <c r="B8" s="5"/>
      <c r="C8" s="5"/>
      <c r="D8" s="5"/>
      <c r="E8" s="5"/>
      <c r="F8" s="5"/>
      <c r="G8" s="5"/>
      <c r="H8" s="5"/>
      <c r="I8" s="5"/>
      <c r="J8" s="5"/>
      <c r="K8" s="5"/>
      <c r="L8" s="5"/>
      <c r="M8" s="5"/>
      <c r="N8" s="5"/>
      <c r="O8" s="5"/>
    </row>
    <row r="9" spans="2:15" x14ac:dyDescent="0.35">
      <c r="B9" s="5"/>
      <c r="C9" s="5"/>
      <c r="D9" s="5"/>
      <c r="E9" s="5"/>
      <c r="F9" s="5"/>
      <c r="G9" s="5"/>
      <c r="H9" s="5"/>
      <c r="I9" s="5"/>
      <c r="J9" s="5"/>
      <c r="K9" s="5"/>
      <c r="L9" s="5"/>
      <c r="M9" s="5"/>
      <c r="N9" s="5"/>
      <c r="O9" s="5"/>
    </row>
    <row r="10" spans="2:15" x14ac:dyDescent="0.35">
      <c r="N10" s="5"/>
      <c r="O10" s="5"/>
    </row>
    <row r="11" spans="2:15" x14ac:dyDescent="0.35">
      <c r="N11" s="5"/>
      <c r="O11" s="5"/>
    </row>
    <row r="12" spans="2:15" x14ac:dyDescent="0.35">
      <c r="N12" s="5"/>
      <c r="O12" s="5"/>
    </row>
    <row r="13" spans="2:15" x14ac:dyDescent="0.35">
      <c r="N13" s="5"/>
      <c r="O13" s="5"/>
    </row>
    <row r="14" spans="2:15" x14ac:dyDescent="0.35">
      <c r="N14" s="5"/>
      <c r="O14" s="5"/>
    </row>
    <row r="15" spans="2:15" x14ac:dyDescent="0.35">
      <c r="N15" s="5"/>
      <c r="O15" s="5"/>
    </row>
    <row r="16" spans="2:15" x14ac:dyDescent="0.35">
      <c r="N16" s="5"/>
      <c r="O16" s="5"/>
    </row>
    <row r="17" spans="14:15" x14ac:dyDescent="0.35">
      <c r="N17" s="5"/>
      <c r="O17" s="5"/>
    </row>
    <row r="18" spans="14:15" x14ac:dyDescent="0.35">
      <c r="N18" s="5"/>
      <c r="O18" s="5"/>
    </row>
    <row r="19" spans="14:15" x14ac:dyDescent="0.35">
      <c r="N19" s="5"/>
      <c r="O19" s="5"/>
    </row>
    <row r="20" spans="14:15" x14ac:dyDescent="0.35">
      <c r="N20" s="5"/>
      <c r="O20" s="5"/>
    </row>
    <row r="21" spans="14:15" x14ac:dyDescent="0.35">
      <c r="N21" s="5"/>
      <c r="O21" s="5"/>
    </row>
    <row r="22" spans="14:15" x14ac:dyDescent="0.35">
      <c r="N22" s="5"/>
      <c r="O22" s="5"/>
    </row>
    <row r="23" spans="14:15" x14ac:dyDescent="0.35">
      <c r="N23" s="5"/>
      <c r="O23" s="5"/>
    </row>
    <row r="24" spans="14:15" x14ac:dyDescent="0.35">
      <c r="N24" s="5"/>
      <c r="O24" s="5"/>
    </row>
    <row r="25" spans="14:15" x14ac:dyDescent="0.35">
      <c r="N25" s="5"/>
      <c r="O25" s="5"/>
    </row>
    <row r="26" spans="14:15" x14ac:dyDescent="0.35">
      <c r="N26" s="5"/>
      <c r="O26" s="5"/>
    </row>
    <row r="27" spans="14:15" x14ac:dyDescent="0.35">
      <c r="N27" s="5"/>
      <c r="O27" s="5"/>
    </row>
    <row r="28" spans="14:15" x14ac:dyDescent="0.35">
      <c r="N28" s="5"/>
      <c r="O28" s="5"/>
    </row>
    <row r="29" spans="14:15" x14ac:dyDescent="0.35">
      <c r="N29" s="5"/>
      <c r="O29" s="5"/>
    </row>
    <row r="30" spans="14:15" x14ac:dyDescent="0.35">
      <c r="N30" s="5"/>
      <c r="O30" s="5"/>
    </row>
    <row r="31" spans="14:15" x14ac:dyDescent="0.35">
      <c r="N31" s="5"/>
      <c r="O31" s="5"/>
    </row>
    <row r="32" spans="14:15" x14ac:dyDescent="0.35">
      <c r="N32" s="5"/>
      <c r="O32" s="5"/>
    </row>
    <row r="33" spans="2:15" x14ac:dyDescent="0.35">
      <c r="N33" s="5"/>
      <c r="O33" s="5"/>
    </row>
    <row r="34" spans="2:15" x14ac:dyDescent="0.35">
      <c r="N34" s="5"/>
      <c r="O34" s="5"/>
    </row>
    <row r="35" spans="2:15" x14ac:dyDescent="0.35">
      <c r="N35" s="5"/>
      <c r="O35" s="5"/>
    </row>
    <row r="36" spans="2:15" x14ac:dyDescent="0.35">
      <c r="N36" s="5"/>
      <c r="O36" s="5"/>
    </row>
    <row r="37" spans="2:15" x14ac:dyDescent="0.35">
      <c r="N37" s="5"/>
      <c r="O37" s="5"/>
    </row>
    <row r="38" spans="2:15" x14ac:dyDescent="0.35">
      <c r="N38" s="5"/>
      <c r="O38" s="5"/>
    </row>
    <row r="39" spans="2:15" ht="21" x14ac:dyDescent="0.5">
      <c r="B39" s="110" t="s">
        <v>408</v>
      </c>
      <c r="N39" s="5"/>
      <c r="O39" s="5"/>
    </row>
    <row r="40" spans="2:15" x14ac:dyDescent="0.35">
      <c r="B40" s="1" t="s">
        <v>510</v>
      </c>
      <c r="N40" s="5"/>
      <c r="O40" s="5"/>
    </row>
    <row r="41" spans="2:15" x14ac:dyDescent="0.35">
      <c r="B41" s="140" t="s">
        <v>7</v>
      </c>
      <c r="C41" s="42" t="s">
        <v>483</v>
      </c>
    </row>
    <row r="42" spans="2:15" x14ac:dyDescent="0.35">
      <c r="B42" s="39" t="s">
        <v>274</v>
      </c>
    </row>
    <row r="43" spans="2:15" x14ac:dyDescent="0.35">
      <c r="B43" s="140" t="s">
        <v>10</v>
      </c>
      <c r="C43" s="42" t="s">
        <v>483</v>
      </c>
    </row>
    <row r="45" spans="2:15" x14ac:dyDescent="0.35">
      <c r="B45" s="145" t="s">
        <v>240</v>
      </c>
      <c r="C45" s="146" t="s">
        <v>561</v>
      </c>
      <c r="D45" s="146" t="s">
        <v>41</v>
      </c>
      <c r="E45" s="146"/>
      <c r="F45" s="146" t="s">
        <v>276</v>
      </c>
      <c r="G45" s="146" t="s">
        <v>277</v>
      </c>
      <c r="H45" s="146" t="s">
        <v>278</v>
      </c>
      <c r="I45" s="146" t="s">
        <v>279</v>
      </c>
      <c r="J45" s="146" t="s">
        <v>280</v>
      </c>
      <c r="K45" s="146" t="s">
        <v>281</v>
      </c>
      <c r="L45" s="146" t="s">
        <v>282</v>
      </c>
    </row>
    <row r="46" spans="2:15" x14ac:dyDescent="0.35">
      <c r="B46" s="143">
        <v>1</v>
      </c>
      <c r="C46" s="144" t="s">
        <v>210</v>
      </c>
      <c r="D46" s="144"/>
      <c r="E46" s="144"/>
      <c r="F46" s="144"/>
      <c r="G46" s="144"/>
      <c r="H46" s="144"/>
      <c r="I46" s="144"/>
      <c r="J46" s="144"/>
      <c r="K46" s="144"/>
      <c r="L46" s="144"/>
      <c r="M46" s="144"/>
    </row>
    <row r="47" spans="2:15" x14ac:dyDescent="0.35">
      <c r="B47" s="143">
        <v>2</v>
      </c>
      <c r="C47" s="144" t="s">
        <v>71</v>
      </c>
      <c r="D47" s="144" t="s">
        <v>275</v>
      </c>
      <c r="E47" s="144"/>
      <c r="F47" s="144"/>
      <c r="G47" s="144"/>
      <c r="H47" s="144"/>
      <c r="I47" s="144"/>
      <c r="J47" s="144"/>
      <c r="K47" s="144"/>
      <c r="L47" s="144"/>
      <c r="M47" s="144"/>
    </row>
    <row r="48" spans="2:15" x14ac:dyDescent="0.35">
      <c r="B48" s="143">
        <v>3</v>
      </c>
      <c r="C48" s="144" t="s">
        <v>220</v>
      </c>
      <c r="D48" s="144" t="s">
        <v>560</v>
      </c>
      <c r="E48" s="144"/>
      <c r="F48" s="144"/>
      <c r="G48" s="144"/>
      <c r="H48" s="144"/>
      <c r="I48" s="144"/>
      <c r="J48" s="144"/>
      <c r="K48" s="144"/>
      <c r="L48" s="144"/>
      <c r="M48" s="144"/>
    </row>
    <row r="49" spans="2:26" x14ac:dyDescent="0.35">
      <c r="B49" s="143">
        <v>4</v>
      </c>
      <c r="C49" s="144" t="s">
        <v>218</v>
      </c>
      <c r="D49" s="171"/>
      <c r="E49" s="171"/>
      <c r="F49" s="171"/>
      <c r="G49" s="171"/>
      <c r="H49" s="171"/>
      <c r="I49" s="171"/>
      <c r="J49" s="171"/>
      <c r="K49" s="171"/>
      <c r="L49" s="171"/>
      <c r="M49" s="171"/>
    </row>
    <row r="50" spans="2:26" x14ac:dyDescent="0.35">
      <c r="B50" s="141">
        <v>5</v>
      </c>
      <c r="C50" s="142" t="s">
        <v>70</v>
      </c>
      <c r="D50" s="142" t="s">
        <v>433</v>
      </c>
      <c r="E50" s="142"/>
      <c r="F50" s="142"/>
      <c r="G50" s="142"/>
      <c r="H50" s="142"/>
      <c r="I50" s="142"/>
      <c r="J50" s="142"/>
      <c r="K50" s="142"/>
      <c r="L50" s="142"/>
      <c r="M50" s="142"/>
    </row>
    <row r="51" spans="2:26" x14ac:dyDescent="0.35">
      <c r="B51" s="141">
        <v>6</v>
      </c>
      <c r="C51" s="142" t="s">
        <v>221</v>
      </c>
      <c r="D51" s="142" t="s">
        <v>433</v>
      </c>
      <c r="E51" s="142"/>
      <c r="F51" s="142"/>
      <c r="G51" s="142"/>
      <c r="H51" s="142"/>
      <c r="I51" s="142"/>
      <c r="J51" s="142"/>
      <c r="K51" s="142"/>
      <c r="L51" s="142"/>
      <c r="M51" s="142"/>
    </row>
    <row r="52" spans="2:26" x14ac:dyDescent="0.35">
      <c r="B52" s="141">
        <v>7</v>
      </c>
      <c r="C52" s="142" t="s">
        <v>219</v>
      </c>
      <c r="D52" s="142" t="s">
        <v>433</v>
      </c>
      <c r="E52" s="142"/>
      <c r="F52" s="142"/>
      <c r="G52" s="142"/>
      <c r="H52" s="142"/>
      <c r="I52" s="142"/>
      <c r="J52" s="142"/>
      <c r="K52" s="142"/>
      <c r="L52" s="142"/>
      <c r="M52" s="142"/>
    </row>
    <row r="53" spans="2:26" x14ac:dyDescent="0.35">
      <c r="I53" s="5"/>
      <c r="K53" s="5"/>
      <c r="L53" s="5"/>
      <c r="M53" s="5"/>
    </row>
    <row r="54" spans="2:26" ht="15.5" x14ac:dyDescent="0.35">
      <c r="B54" s="6" t="s">
        <v>27</v>
      </c>
      <c r="M54" s="5"/>
      <c r="O54" s="5"/>
    </row>
    <row r="55" spans="2:26" x14ac:dyDescent="0.35">
      <c r="B55" s="47" t="s">
        <v>239</v>
      </c>
      <c r="C55" s="43"/>
      <c r="D55" s="31"/>
      <c r="F55" s="14"/>
      <c r="G55" s="14"/>
      <c r="M55" s="5"/>
      <c r="O55" s="5"/>
    </row>
    <row r="56" spans="2:26" x14ac:dyDescent="0.35">
      <c r="B56" s="48" t="s">
        <v>237</v>
      </c>
      <c r="C56" s="47"/>
      <c r="D56" s="32"/>
      <c r="M56" s="5"/>
      <c r="O56" s="5"/>
    </row>
    <row r="57" spans="2:26" x14ac:dyDescent="0.35">
      <c r="B57" s="43" t="s">
        <v>236</v>
      </c>
      <c r="C57" s="48"/>
      <c r="D57" s="33"/>
      <c r="K57" s="14"/>
      <c r="M57" s="5"/>
      <c r="O57" s="5"/>
    </row>
    <row r="58" spans="2:26" x14ac:dyDescent="0.35">
      <c r="K58" s="14"/>
      <c r="L58" s="5"/>
      <c r="M58" s="5"/>
      <c r="O58" s="5"/>
    </row>
    <row r="59" spans="2:26" x14ac:dyDescent="0.35">
      <c r="K59" s="21"/>
      <c r="O59" s="5"/>
    </row>
    <row r="60" spans="2:26" x14ac:dyDescent="0.35">
      <c r="B60" t="s">
        <v>42</v>
      </c>
      <c r="C60" t="s">
        <v>511</v>
      </c>
      <c r="D60" t="s">
        <v>2</v>
      </c>
      <c r="E60" t="s">
        <v>3</v>
      </c>
      <c r="F60" t="s">
        <v>4</v>
      </c>
      <c r="G60" t="s">
        <v>5</v>
      </c>
      <c r="H60" t="s">
        <v>6</v>
      </c>
      <c r="I60" t="s">
        <v>7</v>
      </c>
      <c r="J60" t="s">
        <v>8</v>
      </c>
      <c r="K60" t="s">
        <v>9</v>
      </c>
      <c r="L60" t="s">
        <v>10</v>
      </c>
      <c r="M60" t="s">
        <v>11</v>
      </c>
      <c r="N60" t="s">
        <v>12</v>
      </c>
      <c r="O60" t="s">
        <v>13</v>
      </c>
      <c r="P60" t="s">
        <v>14</v>
      </c>
      <c r="Q60" t="s">
        <v>232</v>
      </c>
      <c r="R60" t="s">
        <v>233</v>
      </c>
      <c r="S60" t="s">
        <v>234</v>
      </c>
      <c r="T60" t="s">
        <v>15</v>
      </c>
      <c r="U60" t="s">
        <v>16</v>
      </c>
      <c r="V60" t="s">
        <v>17</v>
      </c>
      <c r="W60" t="s">
        <v>18</v>
      </c>
      <c r="X60" t="s">
        <v>19</v>
      </c>
      <c r="Y60" t="s">
        <v>49</v>
      </c>
      <c r="Z60" t="s">
        <v>267</v>
      </c>
    </row>
    <row r="61" spans="2:26" x14ac:dyDescent="0.35">
      <c r="B61" s="15">
        <v>1</v>
      </c>
      <c r="C61" s="10" t="s">
        <v>247</v>
      </c>
      <c r="D61" t="s">
        <v>46</v>
      </c>
      <c r="E61" s="124"/>
      <c r="F61" s="124"/>
      <c r="G61" s="124"/>
      <c r="H61" s="124"/>
      <c r="I61" s="124"/>
      <c r="J61" s="124"/>
      <c r="K61" s="124"/>
      <c r="L61" s="124" t="str">
        <f>IF(Refsz_Verbräuche[[#Headers],[2022]]=$B$43,IF(OR(SUMIF($E61:Refsz_Verbräuche[[#This Row],[2021]],"&gt;0")&gt;0,), AVERAGEIF($E61:Refsz_Verbräuche[[#This Row],[2021]],"&lt;&gt;"""), ""),IF($B$43=(Refsz_Verbräuche[[#Headers],[2022]]-1),Refsz_Verbräuche[[#This Row],[2021]],IF($B$43&lt;Refsz_Verbräuche[[#Headers],[2022]],Refsz_Verbräuche[[#This Row],[2021]],"")))</f>
        <v/>
      </c>
      <c r="M61" s="124" t="str">
        <f>IF(Refsz_Verbräuche[[#Headers],[2023]]=$B$43,IF(OR(SUMIF($E61:Refsz_Verbräuche[[#This Row],[2022]],"&gt;0")&gt;0,), AVERAGEIF($E61:Refsz_Verbräuche[[#This Row],[2022]],"&lt;&gt;"""), ""),IF($B$43=(Refsz_Verbräuche[[#Headers],[2023]]-1),Refsz_Verbräuche[[#This Row],[2022]],IF($B$43&lt;Refsz_Verbräuche[[#Headers],[2023]],Refsz_Verbräuche[[#This Row],[2022]],"")))</f>
        <v/>
      </c>
      <c r="N61" s="124" t="str">
        <f>IF(Refsz_Verbräuche[[#Headers],[2024]]=$B$43,IF(OR(SUMIF($E61:Refsz_Verbräuche[[#This Row],[2023]],"&gt;0")&gt;0,), AVERAGEIF($E61:Refsz_Verbräuche[[#This Row],[2023]],"&lt;&gt;"""), ""),IF($B$43=(Refsz_Verbräuche[[#Headers],[2024]]-1),Refsz_Verbräuche[[#This Row],[2023]],IF($B$43&lt;Refsz_Verbräuche[[#Headers],[2024]],Refsz_Verbräuche[[#This Row],[2023]],"")))</f>
        <v/>
      </c>
      <c r="O61" s="124" t="str">
        <f>IF(Refsz_Verbräuche[[#Headers],[2025]]=$B$43,IF(OR(SUMIF($E61:Refsz_Verbräuche[[#This Row],[2024]],"&gt;0")&gt;0,), AVERAGEIF($E61:Refsz_Verbräuche[[#This Row],[2024]],"&lt;&gt;"""), ""),IF($B$43=(Refsz_Verbräuche[[#Headers],[2025]]-1),Refsz_Verbräuche[[#This Row],[2024]],IF($B$43&lt;Refsz_Verbräuche[[#Headers],[2025]],Refsz_Verbräuche[[#This Row],[2024]],"")))</f>
        <v/>
      </c>
      <c r="P61" s="124" t="str">
        <f>IF(Refsz_Verbräuche[[#Headers],[2026]]=$B$43,IF(OR(SUMIF($E61:Refsz_Verbräuche[[#This Row],[2025]],"&gt;0")&gt;0,), AVERAGEIF($E61:Refsz_Verbräuche[[#This Row],[2025]],"&lt;&gt;"""), ""),IF($B$43=(Refsz_Verbräuche[[#Headers],[2026]]-1),Refsz_Verbräuche[[#This Row],[2025]],IF($B$43&lt;Refsz_Verbräuche[[#Headers],[2026]],Refsz_Verbräuche[[#This Row],[2025]],"")))</f>
        <v/>
      </c>
      <c r="Q61" s="124" t="str">
        <f>IF(Refsz_Verbräuche[[#Headers],[2027]]=$B$43,IF(OR(SUMIF($E61:Refsz_Verbräuche[[#This Row],[2026]],"&gt;0")&gt;0,), AVERAGEIF($E61:Refsz_Verbräuche[[#This Row],[2026]],"&lt;&gt;"""), ""),IF($B$43=(Refsz_Verbräuche[[#Headers],[2027]]-1),Refsz_Verbräuche[[#This Row],[2026]],IF($B$43&lt;Refsz_Verbräuche[[#Headers],[2027]],Refsz_Verbräuche[[#This Row],[2026]],"")))</f>
        <v/>
      </c>
      <c r="R61" s="124" t="str">
        <f>IF(Refsz_Verbräuche[[#Headers],[2028]]=$B$43,IF(OR(SUMIF($E61:Refsz_Verbräuche[[#This Row],[2027]],"&gt;0")&gt;0,), AVERAGEIF($E61:Refsz_Verbräuche[[#This Row],[2027]],"&lt;&gt;"""), ""),IF($B$43=(Refsz_Verbräuche[[#Headers],[2028]]-1),Refsz_Verbräuche[[#This Row],[2027]],IF($B$43&lt;Refsz_Verbräuche[[#Headers],[2028]],Refsz_Verbräuche[[#This Row],[2027]],"")))</f>
        <v/>
      </c>
      <c r="S61" s="124" t="str">
        <f>IF(Refsz_Verbräuche[[#Headers],[2029]]=$B$43,IF(OR(SUMIF($E61:Refsz_Verbräuche[[#This Row],[2028]],"&gt;0")&gt;0,), AVERAGEIF($E61:Refsz_Verbräuche[[#This Row],[2028]],"&lt;&gt;"""), ""),IF($B$43=(Refsz_Verbräuche[[#Headers],[2029]]-1),Refsz_Verbräuche[[#This Row],[2028]],IF($B$43&lt;Refsz_Verbräuche[[#Headers],[2029]],Refsz_Verbräuche[[#This Row],[2028]],"")))</f>
        <v/>
      </c>
      <c r="T61" s="124" t="str">
        <f>IF(Refsz_Verbräuche[[#Headers],[2030]]=$B$43,IF(OR(SUMIF($E61:Refsz_Verbräuche[[#This Row],[2029]],"&gt;0")&gt;0,), AVERAGEIF($E61:Refsz_Verbräuche[[#This Row],[2029]],"&lt;&gt;"""), ""),IF($B$43=(Refsz_Verbräuche[[#Headers],[2030]]-1),Refsz_Verbräuche[[#This Row],[2029]],IF($B$43&lt;Refsz_Verbräuche[[#Headers],[2030]],Refsz_Verbräuche[[#This Row],[2029]],"")))</f>
        <v/>
      </c>
      <c r="U61" s="124" t="str">
        <f>IF(Refsz_Verbräuche[[#Headers],[2035]]=$B$43,IF(OR(SUMIF($E61:Refsz_Verbräuche[[#This Row],[2030]],"&gt;0")&gt;0,), AVERAGEIF($E61:Refsz_Verbräuche[[#This Row],[2030]],"&lt;&gt;"""), ""),IF($B$43=(Refsz_Verbräuche[[#Headers],[2035]]-1),Refsz_Verbräuche[[#This Row],[2030]],IF($B$43&lt;Refsz_Verbräuche[[#Headers],[2035]],Refsz_Verbräuche[[#This Row],[2030]],"")))</f>
        <v/>
      </c>
      <c r="V61" s="124" t="str">
        <f>IF(Refsz_Verbräuche[[#Headers],[2040]]=$B$43,IF(OR(SUMIF($E61:Refsz_Verbräuche[[#This Row],[2035]],"&gt;0")&gt;0,), AVERAGEIF($E61:Refsz_Verbräuche[[#This Row],[2035]],"&lt;&gt;"""), ""),IF($B$43=(Refsz_Verbräuche[[#Headers],[2040]]-1),Refsz_Verbräuche[[#This Row],[2035]],IF($B$43&lt;Refsz_Verbräuche[[#Headers],[2040]],Refsz_Verbräuche[[#This Row],[2035]],"")))</f>
        <v/>
      </c>
      <c r="W61" s="124" t="str">
        <f>IF(Refsz_Verbräuche[[#Headers],[2045]]=$B$43,IF(OR(SUMIF($E61:Refsz_Verbräuche[[#This Row],[2040]],"&gt;0")&gt;0,), AVERAGEIF($E61:Refsz_Verbräuche[[#This Row],[2040]],"&lt;&gt;"""), ""),IF($B$43=(Refsz_Verbräuche[[#Headers],[2045]]-1),Refsz_Verbräuche[[#This Row],[2040]],IF($B$43&lt;Refsz_Verbräuche[[#Headers],[2045]],Refsz_Verbräuche[[#This Row],[2040]],"")))</f>
        <v/>
      </c>
      <c r="X61" s="124" t="str">
        <f>IF(Refsz_Verbräuche[[#Headers],[2050]]=$B$43,IF(OR(SUMIF($E61:Refsz_Verbräuche[[#This Row],[2045]],"&gt;0")&gt;0,), AVERAGEIF($E61:Refsz_Verbräuche[[#This Row],[2045]],"&lt;&gt;"""), ""),IF($B$43=(Refsz_Verbräuche[[#Headers],[2050]]-1),Refsz_Verbräuche[[#This Row],[2045]],IF($B$43&lt;Refsz_Verbräuche[[#Headers],[2050]],Refsz_Verbräuche[[#This Row],[2045]],"")))</f>
        <v/>
      </c>
      <c r="Z61" s="15"/>
    </row>
    <row r="62" spans="2:26" hidden="1" x14ac:dyDescent="0.35">
      <c r="B62" s="15">
        <v>2</v>
      </c>
      <c r="C62" s="9" t="s">
        <v>241</v>
      </c>
      <c r="D62" s="53" t="s">
        <v>242</v>
      </c>
      <c r="E62" s="15"/>
      <c r="F62" s="15"/>
      <c r="G62" s="15"/>
      <c r="H62" s="15"/>
      <c r="I62" s="15"/>
      <c r="J62" s="15"/>
      <c r="K62" s="15"/>
      <c r="L62" s="124" t="str">
        <f>IF(Refsz_Verbräuche[[#Headers],[2022]]=$B$43,IF(OR(SUMIF($E62:Refsz_Verbräuche[[#This Row],[2021]],"&gt;0")&gt;0,), AVERAGEIF($E62:Refsz_Verbräuche[[#This Row],[2021]],"&lt;&gt;"""), ""),IF($B$43=(Refsz_Verbräuche[[#Headers],[2022]]-1),Refsz_Verbräuche[[#This Row],[2021]],IF($B$43&lt;Refsz_Verbräuche[[#Headers],[2022]],Refsz_Verbräuche[[#This Row],[2021]],"")))</f>
        <v/>
      </c>
      <c r="M62" s="124" t="str">
        <f>IF(Refsz_Verbräuche[[#Headers],[2023]]=$B$43,IF(OR(SUMIF($E62:Refsz_Verbräuche[[#This Row],[2022]],"&gt;0")&gt;0,), AVERAGEIF($E62:Refsz_Verbräuche[[#This Row],[2022]],"&lt;&gt;"""), ""),IF($B$43=(Refsz_Verbräuche[[#Headers],[2023]]-1),Refsz_Verbräuche[[#This Row],[2022]],IF($B$43&lt;Refsz_Verbräuche[[#Headers],[2023]],Refsz_Verbräuche[[#This Row],[2022]],"")))</f>
        <v/>
      </c>
      <c r="N62" s="124" t="str">
        <f>IF(Refsz_Verbräuche[[#Headers],[2024]]=$B$43,IF(OR(SUMIF($E62:Refsz_Verbräuche[[#This Row],[2023]],"&gt;0")&gt;0,), AVERAGEIF($E62:Refsz_Verbräuche[[#This Row],[2023]],"&lt;&gt;"""), ""),IF($B$43=(Refsz_Verbräuche[[#Headers],[2024]]-1),Refsz_Verbräuche[[#This Row],[2023]],IF($B$43&lt;Refsz_Verbräuche[[#Headers],[2024]],Refsz_Verbräuche[[#This Row],[2023]],"")))</f>
        <v/>
      </c>
      <c r="O62" s="124" t="str">
        <f>IF(Refsz_Verbräuche[[#Headers],[2025]]=$B$43,IF(OR(SUMIF($E62:Refsz_Verbräuche[[#This Row],[2024]],"&gt;0")&gt;0,), AVERAGEIF($E62:Refsz_Verbräuche[[#This Row],[2024]],"&lt;&gt;"""), ""),IF($B$43=(Refsz_Verbräuche[[#Headers],[2025]]-1),Refsz_Verbräuche[[#This Row],[2024]],IF($B$43&lt;Refsz_Verbräuche[[#Headers],[2025]],Refsz_Verbräuche[[#This Row],[2024]],"")))</f>
        <v/>
      </c>
      <c r="P62" s="124" t="str">
        <f>IF(Refsz_Verbräuche[[#Headers],[2026]]=$B$43,IF(OR(SUMIF($E62:Refsz_Verbräuche[[#This Row],[2025]],"&gt;0")&gt;0,), AVERAGEIF($E62:Refsz_Verbräuche[[#This Row],[2025]],"&lt;&gt;"""), ""),IF($B$43=(Refsz_Verbräuche[[#Headers],[2026]]-1),Refsz_Verbräuche[[#This Row],[2025]],IF($B$43&lt;Refsz_Verbräuche[[#Headers],[2026]],Refsz_Verbräuche[[#This Row],[2025]],"")))</f>
        <v/>
      </c>
      <c r="Q62" s="124" t="str">
        <f>IF(Refsz_Verbräuche[[#Headers],[2027]]=$B$43,IF(OR(SUMIF($E62:Refsz_Verbräuche[[#This Row],[2026]],"&gt;0")&gt;0,), AVERAGEIF($E62:Refsz_Verbräuche[[#This Row],[2026]],"&lt;&gt;"""), ""),IF($B$43=(Refsz_Verbräuche[[#Headers],[2027]]-1),Refsz_Verbräuche[[#This Row],[2026]],IF($B$43&lt;Refsz_Verbräuche[[#Headers],[2027]],Refsz_Verbräuche[[#This Row],[2026]],"")))</f>
        <v/>
      </c>
      <c r="R62" s="124" t="str">
        <f>IF(Refsz_Verbräuche[[#Headers],[2028]]=$B$43,IF(OR(SUMIF($E62:Refsz_Verbräuche[[#This Row],[2027]],"&gt;0")&gt;0,), AVERAGEIF($E62:Refsz_Verbräuche[[#This Row],[2027]],"&lt;&gt;"""), ""),IF($B$43=(Refsz_Verbräuche[[#Headers],[2028]]-1),Refsz_Verbräuche[[#This Row],[2027]],IF($B$43&lt;Refsz_Verbräuche[[#Headers],[2028]],Refsz_Verbräuche[[#This Row],[2027]],"")))</f>
        <v/>
      </c>
      <c r="S62" s="124" t="str">
        <f>IF(Refsz_Verbräuche[[#Headers],[2029]]=$B$43,IF(OR(SUMIF($E62:Refsz_Verbräuche[[#This Row],[2028]],"&gt;0")&gt;0,), AVERAGEIF($E62:Refsz_Verbräuche[[#This Row],[2028]],"&lt;&gt;"""), ""),IF($B$43=(Refsz_Verbräuche[[#Headers],[2029]]-1),Refsz_Verbräuche[[#This Row],[2028]],IF($B$43&lt;Refsz_Verbräuche[[#Headers],[2029]],Refsz_Verbräuche[[#This Row],[2028]],"")))</f>
        <v/>
      </c>
      <c r="T62" s="124" t="str">
        <f>IF(Refsz_Verbräuche[[#Headers],[2030]]=$B$43,IF(OR(SUMIF($E62:Refsz_Verbräuche[[#This Row],[2029]],"&gt;0")&gt;0,), AVERAGEIF($E62:Refsz_Verbräuche[[#This Row],[2029]],"&lt;&gt;"""), ""),IF($B$43=(Refsz_Verbräuche[[#Headers],[2030]]-1),Refsz_Verbräuche[[#This Row],[2029]],IF($B$43&lt;Refsz_Verbräuche[[#Headers],[2030]],Refsz_Verbräuche[[#This Row],[2029]],"")))</f>
        <v/>
      </c>
      <c r="U62" s="124" t="str">
        <f>IF(Refsz_Verbräuche[[#Headers],[2035]]=$B$43,IF(OR(SUMIF($E62:Refsz_Verbräuche[[#This Row],[2030]],"&gt;0")&gt;0,), AVERAGEIF($E62:Refsz_Verbräuche[[#This Row],[2030]],"&lt;&gt;"""), ""),IF($B$43=(Refsz_Verbräuche[[#Headers],[2035]]-1),Refsz_Verbräuche[[#This Row],[2030]],IF($B$43&lt;Refsz_Verbräuche[[#Headers],[2035]],Refsz_Verbräuche[[#This Row],[2030]],"")))</f>
        <v/>
      </c>
      <c r="V62" s="124" t="str">
        <f>IF(Refsz_Verbräuche[[#Headers],[2040]]=$B$43,IF(OR(SUMIF($E62:Refsz_Verbräuche[[#This Row],[2035]],"&gt;0")&gt;0,), AVERAGEIF($E62:Refsz_Verbräuche[[#This Row],[2035]],"&lt;&gt;"""), ""),IF($B$43=(Refsz_Verbräuche[[#Headers],[2040]]-1),Refsz_Verbräuche[[#This Row],[2035]],IF($B$43&lt;Refsz_Verbräuche[[#Headers],[2040]],Refsz_Verbräuche[[#This Row],[2035]],"")))</f>
        <v/>
      </c>
      <c r="W62" s="124" t="str">
        <f>IF(Refsz_Verbräuche[[#Headers],[2045]]=$B$43,IF(OR(SUMIF($E62:Refsz_Verbräuche[[#This Row],[2040]],"&gt;0")&gt;0,), AVERAGEIF($E62:Refsz_Verbräuche[[#This Row],[2040]],"&lt;&gt;"""), ""),IF($B$43=(Refsz_Verbräuche[[#Headers],[2045]]-1),Refsz_Verbräuche[[#This Row],[2040]],IF($B$43&lt;Refsz_Verbräuche[[#Headers],[2045]],Refsz_Verbräuche[[#This Row],[2040]],"")))</f>
        <v/>
      </c>
      <c r="X62" s="124" t="str">
        <f>IF(Refsz_Verbräuche[[#Headers],[2050]]=$B$43,IF(OR(SUMIF($E62:Refsz_Verbräuche[[#This Row],[2045]],"&gt;0")&gt;0,), AVERAGEIF($E62:Refsz_Verbräuche[[#This Row],[2045]],"&lt;&gt;"""), ""),IF($B$43=(Refsz_Verbräuche[[#Headers],[2050]]-1),Refsz_Verbräuche[[#This Row],[2045]],IF($B$43&lt;Refsz_Verbräuche[[#Headers],[2050]],Refsz_Verbräuche[[#This Row],[2045]],"")))</f>
        <v/>
      </c>
      <c r="Z62" s="15"/>
    </row>
    <row r="63" spans="2:26" x14ac:dyDescent="0.35">
      <c r="B63" s="15">
        <v>3</v>
      </c>
      <c r="C63" s="50" t="str">
        <f>_xlfn.CONCAT("Elektrischer Strom (individueller Strommix ",'Strommix &amp; BHKW'!B35, ")")</f>
        <v>Elektrischer Strom (individueller Strommix Einrichtung 1)</v>
      </c>
      <c r="D63" t="s">
        <v>46</v>
      </c>
      <c r="E63" s="124"/>
      <c r="F63" s="124"/>
      <c r="G63" s="124"/>
      <c r="H63" s="124"/>
      <c r="I63" s="124"/>
      <c r="J63" s="124"/>
      <c r="K63" s="124"/>
      <c r="L63" s="124" t="str">
        <f>IF(Refsz_Verbräuche[[#Headers],[2022]]=$B$43,IF(OR(SUMIF($E63:Refsz_Verbräuche[[#This Row],[2021]],"&gt;0")&gt;0,), AVERAGEIF($E63:Refsz_Verbräuche[[#This Row],[2021]],"&lt;&gt;"""), ""),IF($B$43=(Refsz_Verbräuche[[#Headers],[2022]]-1),Refsz_Verbräuche[[#This Row],[2021]],IF($B$43&lt;Refsz_Verbräuche[[#Headers],[2022]],Refsz_Verbräuche[[#This Row],[2021]],"")))</f>
        <v/>
      </c>
      <c r="M63" s="124" t="str">
        <f>IF(Refsz_Verbräuche[[#Headers],[2023]]=$B$43,IF(OR(SUMIF($E63:Refsz_Verbräuche[[#This Row],[2022]],"&gt;0")&gt;0,), AVERAGEIF($E63:Refsz_Verbräuche[[#This Row],[2022]],"&lt;&gt;"""), ""),IF($B$43=(Refsz_Verbräuche[[#Headers],[2023]]-1),Refsz_Verbräuche[[#This Row],[2022]],IF($B$43&lt;Refsz_Verbräuche[[#Headers],[2023]],Refsz_Verbräuche[[#This Row],[2022]],"")))</f>
        <v/>
      </c>
      <c r="N63" s="124" t="str">
        <f>IF(Refsz_Verbräuche[[#Headers],[2024]]=$B$43,IF(OR(SUMIF($E63:Refsz_Verbräuche[[#This Row],[2023]],"&gt;0")&gt;0,), AVERAGEIF($E63:Refsz_Verbräuche[[#This Row],[2023]],"&lt;&gt;"""), ""),IF($B$43=(Refsz_Verbräuche[[#Headers],[2024]]-1),Refsz_Verbräuche[[#This Row],[2023]],IF($B$43&lt;Refsz_Verbräuche[[#Headers],[2024]],Refsz_Verbräuche[[#This Row],[2023]],"")))</f>
        <v/>
      </c>
      <c r="O63" s="124" t="str">
        <f>IF(Refsz_Verbräuche[[#Headers],[2025]]=$B$43,IF(OR(SUMIF($E63:Refsz_Verbräuche[[#This Row],[2024]],"&gt;0")&gt;0,), AVERAGEIF($E63:Refsz_Verbräuche[[#This Row],[2024]],"&lt;&gt;"""), ""),IF($B$43=(Refsz_Verbräuche[[#Headers],[2025]]-1),Refsz_Verbräuche[[#This Row],[2024]],IF($B$43&lt;Refsz_Verbräuche[[#Headers],[2025]],Refsz_Verbräuche[[#This Row],[2024]],"")))</f>
        <v/>
      </c>
      <c r="P63" s="124" t="str">
        <f>IF(Refsz_Verbräuche[[#Headers],[2026]]=$B$43,IF(OR(SUMIF($E63:Refsz_Verbräuche[[#This Row],[2025]],"&gt;0")&gt;0,), AVERAGEIF($E63:Refsz_Verbräuche[[#This Row],[2025]],"&lt;&gt;"""), ""),IF($B$43=(Refsz_Verbräuche[[#Headers],[2026]]-1),Refsz_Verbräuche[[#This Row],[2025]],IF($B$43&lt;Refsz_Verbräuche[[#Headers],[2026]],Refsz_Verbräuche[[#This Row],[2025]],"")))</f>
        <v/>
      </c>
      <c r="Q63" s="124" t="str">
        <f>IF(Refsz_Verbräuche[[#Headers],[2027]]=$B$43,IF(OR(SUMIF($E63:Refsz_Verbräuche[[#This Row],[2026]],"&gt;0")&gt;0,), AVERAGEIF($E63:Refsz_Verbräuche[[#This Row],[2026]],"&lt;&gt;"""), ""),IF($B$43=(Refsz_Verbräuche[[#Headers],[2027]]-1),Refsz_Verbräuche[[#This Row],[2026]],IF($B$43&lt;Refsz_Verbräuche[[#Headers],[2027]],Refsz_Verbräuche[[#This Row],[2026]],"")))</f>
        <v/>
      </c>
      <c r="R63" s="124" t="str">
        <f>IF(Refsz_Verbräuche[[#Headers],[2028]]=$B$43,IF(OR(SUMIF($E63:Refsz_Verbräuche[[#This Row],[2027]],"&gt;0")&gt;0,), AVERAGEIF($E63:Refsz_Verbräuche[[#This Row],[2027]],"&lt;&gt;"""), ""),IF($B$43=(Refsz_Verbräuche[[#Headers],[2028]]-1),Refsz_Verbräuche[[#This Row],[2027]],IF($B$43&lt;Refsz_Verbräuche[[#Headers],[2028]],Refsz_Verbräuche[[#This Row],[2027]],"")))</f>
        <v/>
      </c>
      <c r="S63" s="124" t="str">
        <f>IF(Refsz_Verbräuche[[#Headers],[2029]]=$B$43,IF(OR(SUMIF($E63:Refsz_Verbräuche[[#This Row],[2028]],"&gt;0")&gt;0,), AVERAGEIF($E63:Refsz_Verbräuche[[#This Row],[2028]],"&lt;&gt;"""), ""),IF($B$43=(Refsz_Verbräuche[[#Headers],[2029]]-1),Refsz_Verbräuche[[#This Row],[2028]],IF($B$43&lt;Refsz_Verbräuche[[#Headers],[2029]],Refsz_Verbräuche[[#This Row],[2028]],"")))</f>
        <v/>
      </c>
      <c r="T63" s="124" t="str">
        <f>IF(Refsz_Verbräuche[[#Headers],[2030]]=$B$43,IF(OR(SUMIF($E63:Refsz_Verbräuche[[#This Row],[2029]],"&gt;0")&gt;0,), AVERAGEIF($E63:Refsz_Verbräuche[[#This Row],[2029]],"&lt;&gt;"""), ""),IF($B$43=(Refsz_Verbräuche[[#Headers],[2030]]-1),Refsz_Verbräuche[[#This Row],[2029]],IF($B$43&lt;Refsz_Verbräuche[[#Headers],[2030]],Refsz_Verbräuche[[#This Row],[2029]],"")))</f>
        <v/>
      </c>
      <c r="U63" s="124" t="str">
        <f>IF(Refsz_Verbräuche[[#Headers],[2035]]=$B$43,IF(OR(SUMIF($E63:Refsz_Verbräuche[[#This Row],[2030]],"&gt;0")&gt;0,), AVERAGEIF($E63:Refsz_Verbräuche[[#This Row],[2030]],"&lt;&gt;"""), ""),IF($B$43=(Refsz_Verbräuche[[#Headers],[2035]]-1),Refsz_Verbräuche[[#This Row],[2030]],IF($B$43&lt;Refsz_Verbräuche[[#Headers],[2035]],Refsz_Verbräuche[[#This Row],[2030]],"")))</f>
        <v/>
      </c>
      <c r="V63" s="124" t="str">
        <f>IF(Refsz_Verbräuche[[#Headers],[2040]]=$B$43,IF(OR(SUMIF($E63:Refsz_Verbräuche[[#This Row],[2035]],"&gt;0")&gt;0,), AVERAGEIF($E63:Refsz_Verbräuche[[#This Row],[2035]],"&lt;&gt;"""), ""),IF($B$43=(Refsz_Verbräuche[[#Headers],[2040]]-1),Refsz_Verbräuche[[#This Row],[2035]],IF($B$43&lt;Refsz_Verbräuche[[#Headers],[2040]],Refsz_Verbräuche[[#This Row],[2035]],"")))</f>
        <v/>
      </c>
      <c r="W63" s="124" t="str">
        <f>IF(Refsz_Verbräuche[[#Headers],[2045]]=$B$43,IF(OR(SUMIF($E63:Refsz_Verbräuche[[#This Row],[2040]],"&gt;0")&gt;0,), AVERAGEIF($E63:Refsz_Verbräuche[[#This Row],[2040]],"&lt;&gt;"""), ""),IF($B$43=(Refsz_Verbräuche[[#Headers],[2045]]-1),Refsz_Verbräuche[[#This Row],[2040]],IF($B$43&lt;Refsz_Verbräuche[[#Headers],[2045]],Refsz_Verbräuche[[#This Row],[2040]],"")))</f>
        <v/>
      </c>
      <c r="X63" s="124" t="str">
        <f>IF(Refsz_Verbräuche[[#Headers],[2050]]=$B$43,IF(OR(SUMIF($E63:Refsz_Verbräuche[[#This Row],[2045]],"&gt;0")&gt;0,), AVERAGEIF($E63:Refsz_Verbräuche[[#This Row],[2045]],"&lt;&gt;"""), ""),IF($B$43=(Refsz_Verbräuche[[#Headers],[2050]]-1),Refsz_Verbräuche[[#This Row],[2045]],IF($B$43&lt;Refsz_Verbräuche[[#Headers],[2050]],Refsz_Verbräuche[[#This Row],[2045]],"")))</f>
        <v/>
      </c>
      <c r="Z63" s="15"/>
    </row>
    <row r="64" spans="2:26" x14ac:dyDescent="0.35">
      <c r="B64" s="15">
        <v>4</v>
      </c>
      <c r="C64" s="50" t="str">
        <f>_xlfn.CONCAT("Elektrischer Strom (individueller Strommix ",'Strommix &amp; BHKW'!B36, ")")</f>
        <v>Elektrischer Strom (individueller Strommix Einrichtung 2)</v>
      </c>
      <c r="D64" t="s">
        <v>46</v>
      </c>
      <c r="E64" s="124"/>
      <c r="F64" s="124"/>
      <c r="G64" s="124"/>
      <c r="H64" s="124"/>
      <c r="I64" s="124"/>
      <c r="J64" s="124"/>
      <c r="K64" s="124"/>
      <c r="L64" s="124" t="str">
        <f>IF(Refsz_Verbräuche[[#Headers],[2022]]=$B$43,IF(OR(SUMIF($E64:Refsz_Verbräuche[[#This Row],[2021]],"&gt;0")&gt;0,), AVERAGEIF($E64:Refsz_Verbräuche[[#This Row],[2021]],"&lt;&gt;"""), ""),IF($B$43=(Refsz_Verbräuche[[#Headers],[2022]]-1),Refsz_Verbräuche[[#This Row],[2021]],IF($B$43&lt;Refsz_Verbräuche[[#Headers],[2022]],Refsz_Verbräuche[[#This Row],[2021]],"")))</f>
        <v/>
      </c>
      <c r="M64" s="124" t="str">
        <f>IF(Refsz_Verbräuche[[#Headers],[2023]]=$B$43,IF(OR(SUMIF($E64:Refsz_Verbräuche[[#This Row],[2022]],"&gt;0")&gt;0,), AVERAGEIF($E64:Refsz_Verbräuche[[#This Row],[2022]],"&lt;&gt;"""), ""),IF($B$43=(Refsz_Verbräuche[[#Headers],[2023]]-1),Refsz_Verbräuche[[#This Row],[2022]],IF($B$43&lt;Refsz_Verbräuche[[#Headers],[2023]],Refsz_Verbräuche[[#This Row],[2022]],"")))</f>
        <v/>
      </c>
      <c r="N64" s="124" t="str">
        <f>IF(Refsz_Verbräuche[[#Headers],[2024]]=$B$43,IF(OR(SUMIF($E64:Refsz_Verbräuche[[#This Row],[2023]],"&gt;0")&gt;0,), AVERAGEIF($E64:Refsz_Verbräuche[[#This Row],[2023]],"&lt;&gt;"""), ""),IF($B$43=(Refsz_Verbräuche[[#Headers],[2024]]-1),Refsz_Verbräuche[[#This Row],[2023]],IF($B$43&lt;Refsz_Verbräuche[[#Headers],[2024]],Refsz_Verbräuche[[#This Row],[2023]],"")))</f>
        <v/>
      </c>
      <c r="O64" s="124" t="str">
        <f>IF(Refsz_Verbräuche[[#Headers],[2025]]=$B$43,IF(OR(SUMIF($E64:Refsz_Verbräuche[[#This Row],[2024]],"&gt;0")&gt;0,), AVERAGEIF($E64:Refsz_Verbräuche[[#This Row],[2024]],"&lt;&gt;"""), ""),IF($B$43=(Refsz_Verbräuche[[#Headers],[2025]]-1),Refsz_Verbräuche[[#This Row],[2024]],IF($B$43&lt;Refsz_Verbräuche[[#Headers],[2025]],Refsz_Verbräuche[[#This Row],[2024]],"")))</f>
        <v/>
      </c>
      <c r="P64" s="124" t="str">
        <f>IF(Refsz_Verbräuche[[#Headers],[2026]]=$B$43,IF(OR(SUMIF($E64:Refsz_Verbräuche[[#This Row],[2025]],"&gt;0")&gt;0,), AVERAGEIF($E64:Refsz_Verbräuche[[#This Row],[2025]],"&lt;&gt;"""), ""),IF($B$43=(Refsz_Verbräuche[[#Headers],[2026]]-1),Refsz_Verbräuche[[#This Row],[2025]],IF($B$43&lt;Refsz_Verbräuche[[#Headers],[2026]],Refsz_Verbräuche[[#This Row],[2025]],"")))</f>
        <v/>
      </c>
      <c r="Q64" s="124" t="str">
        <f>IF(Refsz_Verbräuche[[#Headers],[2027]]=$B$43,IF(OR(SUMIF($E64:Refsz_Verbräuche[[#This Row],[2026]],"&gt;0")&gt;0,), AVERAGEIF($E64:Refsz_Verbräuche[[#This Row],[2026]],"&lt;&gt;"""), ""),IF($B$43=(Refsz_Verbräuche[[#Headers],[2027]]-1),Refsz_Verbräuche[[#This Row],[2026]],IF($B$43&lt;Refsz_Verbräuche[[#Headers],[2027]],Refsz_Verbräuche[[#This Row],[2026]],"")))</f>
        <v/>
      </c>
      <c r="R64" s="124" t="str">
        <f>IF(Refsz_Verbräuche[[#Headers],[2028]]=$B$43,IF(OR(SUMIF($E64:Refsz_Verbräuche[[#This Row],[2027]],"&gt;0")&gt;0,), AVERAGEIF($E64:Refsz_Verbräuche[[#This Row],[2027]],"&lt;&gt;"""), ""),IF($B$43=(Refsz_Verbräuche[[#Headers],[2028]]-1),Refsz_Verbräuche[[#This Row],[2027]],IF($B$43&lt;Refsz_Verbräuche[[#Headers],[2028]],Refsz_Verbräuche[[#This Row],[2027]],"")))</f>
        <v/>
      </c>
      <c r="S64" s="124" t="str">
        <f>IF(Refsz_Verbräuche[[#Headers],[2029]]=$B$43,IF(OR(SUMIF($E64:Refsz_Verbräuche[[#This Row],[2028]],"&gt;0")&gt;0,), AVERAGEIF($E64:Refsz_Verbräuche[[#This Row],[2028]],"&lt;&gt;"""), ""),IF($B$43=(Refsz_Verbräuche[[#Headers],[2029]]-1),Refsz_Verbräuche[[#This Row],[2028]],IF($B$43&lt;Refsz_Verbräuche[[#Headers],[2029]],Refsz_Verbräuche[[#This Row],[2028]],"")))</f>
        <v/>
      </c>
      <c r="T64" s="124" t="str">
        <f>IF(Refsz_Verbräuche[[#Headers],[2030]]=$B$43,IF(OR(SUMIF($E64:Refsz_Verbräuche[[#This Row],[2029]],"&gt;0")&gt;0,), AVERAGEIF($E64:Refsz_Verbräuche[[#This Row],[2029]],"&lt;&gt;"""), ""),IF($B$43=(Refsz_Verbräuche[[#Headers],[2030]]-1),Refsz_Verbräuche[[#This Row],[2029]],IF($B$43&lt;Refsz_Verbräuche[[#Headers],[2030]],Refsz_Verbräuche[[#This Row],[2029]],"")))</f>
        <v/>
      </c>
      <c r="U64" s="124" t="str">
        <f>IF(Refsz_Verbräuche[[#Headers],[2035]]=$B$43,IF(OR(SUMIF($E64:Refsz_Verbräuche[[#This Row],[2030]],"&gt;0")&gt;0,), AVERAGEIF($E64:Refsz_Verbräuche[[#This Row],[2030]],"&lt;&gt;"""), ""),IF($B$43=(Refsz_Verbräuche[[#Headers],[2035]]-1),Refsz_Verbräuche[[#This Row],[2030]],IF($B$43&lt;Refsz_Verbräuche[[#Headers],[2035]],Refsz_Verbräuche[[#This Row],[2030]],"")))</f>
        <v/>
      </c>
      <c r="V64" s="124" t="str">
        <f>IF(Refsz_Verbräuche[[#Headers],[2040]]=$B$43,IF(OR(SUMIF($E64:Refsz_Verbräuche[[#This Row],[2035]],"&gt;0")&gt;0,), AVERAGEIF($E64:Refsz_Verbräuche[[#This Row],[2035]],"&lt;&gt;"""), ""),IF($B$43=(Refsz_Verbräuche[[#Headers],[2040]]-1),Refsz_Verbräuche[[#This Row],[2035]],IF($B$43&lt;Refsz_Verbräuche[[#Headers],[2040]],Refsz_Verbräuche[[#This Row],[2035]],"")))</f>
        <v/>
      </c>
      <c r="W64" s="124" t="str">
        <f>IF(Refsz_Verbräuche[[#Headers],[2045]]=$B$43,IF(OR(SUMIF($E64:Refsz_Verbräuche[[#This Row],[2040]],"&gt;0")&gt;0,), AVERAGEIF($E64:Refsz_Verbräuche[[#This Row],[2040]],"&lt;&gt;"""), ""),IF($B$43=(Refsz_Verbräuche[[#Headers],[2045]]-1),Refsz_Verbräuche[[#This Row],[2040]],IF($B$43&lt;Refsz_Verbräuche[[#Headers],[2045]],Refsz_Verbräuche[[#This Row],[2040]],"")))</f>
        <v/>
      </c>
      <c r="X64" s="124" t="str">
        <f>IF(Refsz_Verbräuche[[#Headers],[2050]]=$B$43,IF(OR(SUMIF($E64:Refsz_Verbräuche[[#This Row],[2045]],"&gt;0")&gt;0,), AVERAGEIF($E64:Refsz_Verbräuche[[#This Row],[2045]],"&lt;&gt;"""), ""),IF($B$43=(Refsz_Verbräuche[[#Headers],[2050]]-1),Refsz_Verbräuche[[#This Row],[2045]],IF($B$43&lt;Refsz_Verbräuche[[#Headers],[2050]],Refsz_Verbräuche[[#This Row],[2045]],"")))</f>
        <v/>
      </c>
      <c r="Z64" s="15"/>
    </row>
    <row r="65" spans="2:26" x14ac:dyDescent="0.35">
      <c r="B65" s="15">
        <v>5</v>
      </c>
      <c r="C65" s="50" t="str">
        <f>_xlfn.CONCAT("Elektrischer Strom (individueller Strommix ",'Strommix &amp; BHKW'!B37, ")")</f>
        <v>Elektrischer Strom (individueller Strommix Einrichtung 3)</v>
      </c>
      <c r="D65" t="s">
        <v>46</v>
      </c>
      <c r="E65" s="124"/>
      <c r="F65" s="124"/>
      <c r="G65" s="124"/>
      <c r="H65" s="124"/>
      <c r="I65" s="124"/>
      <c r="J65" s="124"/>
      <c r="K65" s="124"/>
      <c r="L65" s="124" t="str">
        <f>IF(Refsz_Verbräuche[[#Headers],[2022]]=$B$43,IF(OR(SUMIF($E65:Refsz_Verbräuche[[#This Row],[2021]],"&gt;0")&gt;0,), AVERAGEIF($E65:Refsz_Verbräuche[[#This Row],[2021]],"&lt;&gt;"""), ""),IF($B$43=(Refsz_Verbräuche[[#Headers],[2022]]-1),Refsz_Verbräuche[[#This Row],[2021]],IF($B$43&lt;Refsz_Verbräuche[[#Headers],[2022]],Refsz_Verbräuche[[#This Row],[2021]],"")))</f>
        <v/>
      </c>
      <c r="M65" s="124" t="str">
        <f>IF(Refsz_Verbräuche[[#Headers],[2023]]=$B$43,IF(OR(SUMIF($E65:Refsz_Verbräuche[[#This Row],[2022]],"&gt;0")&gt;0,), AVERAGEIF($E65:Refsz_Verbräuche[[#This Row],[2022]],"&lt;&gt;"""), ""),IF($B$43=(Refsz_Verbräuche[[#Headers],[2023]]-1),Refsz_Verbräuche[[#This Row],[2022]],IF($B$43&lt;Refsz_Verbräuche[[#Headers],[2023]],Refsz_Verbräuche[[#This Row],[2022]],"")))</f>
        <v/>
      </c>
      <c r="N65" s="124" t="str">
        <f>IF(Refsz_Verbräuche[[#Headers],[2024]]=$B$43,IF(OR(SUMIF($E65:Refsz_Verbräuche[[#This Row],[2023]],"&gt;0")&gt;0,), AVERAGEIF($E65:Refsz_Verbräuche[[#This Row],[2023]],"&lt;&gt;"""), ""),IF($B$43=(Refsz_Verbräuche[[#Headers],[2024]]-1),Refsz_Verbräuche[[#This Row],[2023]],IF($B$43&lt;Refsz_Verbräuche[[#Headers],[2024]],Refsz_Verbräuche[[#This Row],[2023]],"")))</f>
        <v/>
      </c>
      <c r="O65" s="124" t="str">
        <f>IF(Refsz_Verbräuche[[#Headers],[2025]]=$B$43,IF(OR(SUMIF($E65:Refsz_Verbräuche[[#This Row],[2024]],"&gt;0")&gt;0,), AVERAGEIF($E65:Refsz_Verbräuche[[#This Row],[2024]],"&lt;&gt;"""), ""),IF($B$43=(Refsz_Verbräuche[[#Headers],[2025]]-1),Refsz_Verbräuche[[#This Row],[2024]],IF($B$43&lt;Refsz_Verbräuche[[#Headers],[2025]],Refsz_Verbräuche[[#This Row],[2024]],"")))</f>
        <v/>
      </c>
      <c r="P65" s="124" t="str">
        <f>IF(Refsz_Verbräuche[[#Headers],[2026]]=$B$43,IF(OR(SUMIF($E65:Refsz_Verbräuche[[#This Row],[2025]],"&gt;0")&gt;0,), AVERAGEIF($E65:Refsz_Verbräuche[[#This Row],[2025]],"&lt;&gt;"""), ""),IF($B$43=(Refsz_Verbräuche[[#Headers],[2026]]-1),Refsz_Verbräuche[[#This Row],[2025]],IF($B$43&lt;Refsz_Verbräuche[[#Headers],[2026]],Refsz_Verbräuche[[#This Row],[2025]],"")))</f>
        <v/>
      </c>
      <c r="Q65" s="124" t="str">
        <f>IF(Refsz_Verbräuche[[#Headers],[2027]]=$B$43,IF(OR(SUMIF($E65:Refsz_Verbräuche[[#This Row],[2026]],"&gt;0")&gt;0,), AVERAGEIF($E65:Refsz_Verbräuche[[#This Row],[2026]],"&lt;&gt;"""), ""),IF($B$43=(Refsz_Verbräuche[[#Headers],[2027]]-1),Refsz_Verbräuche[[#This Row],[2026]],IF($B$43&lt;Refsz_Verbräuche[[#Headers],[2027]],Refsz_Verbräuche[[#This Row],[2026]],"")))</f>
        <v/>
      </c>
      <c r="R65" s="124" t="str">
        <f>IF(Refsz_Verbräuche[[#Headers],[2028]]=$B$43,IF(OR(SUMIF($E65:Refsz_Verbräuche[[#This Row],[2027]],"&gt;0")&gt;0,), AVERAGEIF($E65:Refsz_Verbräuche[[#This Row],[2027]],"&lt;&gt;"""), ""),IF($B$43=(Refsz_Verbräuche[[#Headers],[2028]]-1),Refsz_Verbräuche[[#This Row],[2027]],IF($B$43&lt;Refsz_Verbräuche[[#Headers],[2028]],Refsz_Verbräuche[[#This Row],[2027]],"")))</f>
        <v/>
      </c>
      <c r="S65" s="124" t="str">
        <f>IF(Refsz_Verbräuche[[#Headers],[2029]]=$B$43,IF(OR(SUMIF($E65:Refsz_Verbräuche[[#This Row],[2028]],"&gt;0")&gt;0,), AVERAGEIF($E65:Refsz_Verbräuche[[#This Row],[2028]],"&lt;&gt;"""), ""),IF($B$43=(Refsz_Verbräuche[[#Headers],[2029]]-1),Refsz_Verbräuche[[#This Row],[2028]],IF($B$43&lt;Refsz_Verbräuche[[#Headers],[2029]],Refsz_Verbräuche[[#This Row],[2028]],"")))</f>
        <v/>
      </c>
      <c r="T65" s="124" t="str">
        <f>IF(Refsz_Verbräuche[[#Headers],[2030]]=$B$43,IF(OR(SUMIF($E65:Refsz_Verbräuche[[#This Row],[2029]],"&gt;0")&gt;0,), AVERAGEIF($E65:Refsz_Verbräuche[[#This Row],[2029]],"&lt;&gt;"""), ""),IF($B$43=(Refsz_Verbräuche[[#Headers],[2030]]-1),Refsz_Verbräuche[[#This Row],[2029]],IF($B$43&lt;Refsz_Verbräuche[[#Headers],[2030]],Refsz_Verbräuche[[#This Row],[2029]],"")))</f>
        <v/>
      </c>
      <c r="U65" s="124" t="str">
        <f>IF(Refsz_Verbräuche[[#Headers],[2035]]=$B$43,IF(OR(SUMIF($E65:Refsz_Verbräuche[[#This Row],[2030]],"&gt;0")&gt;0,), AVERAGEIF($E65:Refsz_Verbräuche[[#This Row],[2030]],"&lt;&gt;"""), ""),IF($B$43=(Refsz_Verbräuche[[#Headers],[2035]]-1),Refsz_Verbräuche[[#This Row],[2030]],IF($B$43&lt;Refsz_Verbräuche[[#Headers],[2035]],Refsz_Verbräuche[[#This Row],[2030]],"")))</f>
        <v/>
      </c>
      <c r="V65" s="124" t="str">
        <f>IF(Refsz_Verbräuche[[#Headers],[2040]]=$B$43,IF(OR(SUMIF($E65:Refsz_Verbräuche[[#This Row],[2035]],"&gt;0")&gt;0,), AVERAGEIF($E65:Refsz_Verbräuche[[#This Row],[2035]],"&lt;&gt;"""), ""),IF($B$43=(Refsz_Verbräuche[[#Headers],[2040]]-1),Refsz_Verbräuche[[#This Row],[2035]],IF($B$43&lt;Refsz_Verbräuche[[#Headers],[2040]],Refsz_Verbräuche[[#This Row],[2035]],"")))</f>
        <v/>
      </c>
      <c r="W65" s="124" t="str">
        <f>IF(Refsz_Verbräuche[[#Headers],[2045]]=$B$43,IF(OR(SUMIF($E65:Refsz_Verbräuche[[#This Row],[2040]],"&gt;0")&gt;0,), AVERAGEIF($E65:Refsz_Verbräuche[[#This Row],[2040]],"&lt;&gt;"""), ""),IF($B$43=(Refsz_Verbräuche[[#Headers],[2045]]-1),Refsz_Verbräuche[[#This Row],[2040]],IF($B$43&lt;Refsz_Verbräuche[[#Headers],[2045]],Refsz_Verbräuche[[#This Row],[2040]],"")))</f>
        <v/>
      </c>
      <c r="X65" s="124" t="str">
        <f>IF(Refsz_Verbräuche[[#Headers],[2050]]=$B$43,IF(OR(SUMIF($E65:Refsz_Verbräuche[[#This Row],[2045]],"&gt;0")&gt;0,), AVERAGEIF($E65:Refsz_Verbräuche[[#This Row],[2045]],"&lt;&gt;"""), ""),IF($B$43=(Refsz_Verbräuche[[#Headers],[2050]]-1),Refsz_Verbräuche[[#This Row],[2045]],IF($B$43&lt;Refsz_Verbräuche[[#Headers],[2050]],Refsz_Verbräuche[[#This Row],[2045]],"")))</f>
        <v/>
      </c>
      <c r="Z65" s="15"/>
    </row>
    <row r="66" spans="2:26" x14ac:dyDescent="0.35">
      <c r="B66" s="15">
        <v>6</v>
      </c>
      <c r="C66" s="50" t="str">
        <f>_xlfn.CONCAT("Elektrischer Strom (individueller Strommix ",'Strommix &amp; BHKW'!B38, ")")</f>
        <v>Elektrischer Strom (individueller Strommix Einrichtung 4)</v>
      </c>
      <c r="D66" t="s">
        <v>46</v>
      </c>
      <c r="E66" s="124"/>
      <c r="F66" s="124"/>
      <c r="G66" s="124"/>
      <c r="H66" s="124"/>
      <c r="I66" s="124"/>
      <c r="J66" s="124"/>
      <c r="K66" s="124"/>
      <c r="L66" s="124" t="str">
        <f>IF(Refsz_Verbräuche[[#Headers],[2022]]=$B$43,IF(OR(SUMIF($E66:Refsz_Verbräuche[[#This Row],[2021]],"&gt;0")&gt;0,), AVERAGEIF($E66:Refsz_Verbräuche[[#This Row],[2021]],"&lt;&gt;"""), ""),IF($B$43=(Refsz_Verbräuche[[#Headers],[2022]]-1),Refsz_Verbräuche[[#This Row],[2021]],IF($B$43&lt;Refsz_Verbräuche[[#Headers],[2022]],Refsz_Verbräuche[[#This Row],[2021]],"")))</f>
        <v/>
      </c>
      <c r="M66" s="124" t="str">
        <f>IF(Refsz_Verbräuche[[#Headers],[2023]]=$B$43,IF(OR(SUMIF($E66:Refsz_Verbräuche[[#This Row],[2022]],"&gt;0")&gt;0,), AVERAGEIF($E66:Refsz_Verbräuche[[#This Row],[2022]],"&lt;&gt;"""), ""),IF($B$43=(Refsz_Verbräuche[[#Headers],[2023]]-1),Refsz_Verbräuche[[#This Row],[2022]],IF($B$43&lt;Refsz_Verbräuche[[#Headers],[2023]],Refsz_Verbräuche[[#This Row],[2022]],"")))</f>
        <v/>
      </c>
      <c r="N66" s="124" t="str">
        <f>IF(Refsz_Verbräuche[[#Headers],[2024]]=$B$43,IF(OR(SUMIF($E66:Refsz_Verbräuche[[#This Row],[2023]],"&gt;0")&gt;0,), AVERAGEIF($E66:Refsz_Verbräuche[[#This Row],[2023]],"&lt;&gt;"""), ""),IF($B$43=(Refsz_Verbräuche[[#Headers],[2024]]-1),Refsz_Verbräuche[[#This Row],[2023]],IF($B$43&lt;Refsz_Verbräuche[[#Headers],[2024]],Refsz_Verbräuche[[#This Row],[2023]],"")))</f>
        <v/>
      </c>
      <c r="O66" s="124" t="str">
        <f>IF(Refsz_Verbräuche[[#Headers],[2025]]=$B$43,IF(OR(SUMIF($E66:Refsz_Verbräuche[[#This Row],[2024]],"&gt;0")&gt;0,), AVERAGEIF($E66:Refsz_Verbräuche[[#This Row],[2024]],"&lt;&gt;"""), ""),IF($B$43=(Refsz_Verbräuche[[#Headers],[2025]]-1),Refsz_Verbräuche[[#This Row],[2024]],IF($B$43&lt;Refsz_Verbräuche[[#Headers],[2025]],Refsz_Verbräuche[[#This Row],[2024]],"")))</f>
        <v/>
      </c>
      <c r="P66" s="124" t="str">
        <f>IF(Refsz_Verbräuche[[#Headers],[2026]]=$B$43,IF(OR(SUMIF($E66:Refsz_Verbräuche[[#This Row],[2025]],"&gt;0")&gt;0,), AVERAGEIF($E66:Refsz_Verbräuche[[#This Row],[2025]],"&lt;&gt;"""), ""),IF($B$43=(Refsz_Verbräuche[[#Headers],[2026]]-1),Refsz_Verbräuche[[#This Row],[2025]],IF($B$43&lt;Refsz_Verbräuche[[#Headers],[2026]],Refsz_Verbräuche[[#This Row],[2025]],"")))</f>
        <v/>
      </c>
      <c r="Q66" s="124" t="str">
        <f>IF(Refsz_Verbräuche[[#Headers],[2027]]=$B$43,IF(OR(SUMIF($E66:Refsz_Verbräuche[[#This Row],[2026]],"&gt;0")&gt;0,), AVERAGEIF($E66:Refsz_Verbräuche[[#This Row],[2026]],"&lt;&gt;"""), ""),IF($B$43=(Refsz_Verbräuche[[#Headers],[2027]]-1),Refsz_Verbräuche[[#This Row],[2026]],IF($B$43&lt;Refsz_Verbräuche[[#Headers],[2027]],Refsz_Verbräuche[[#This Row],[2026]],"")))</f>
        <v/>
      </c>
      <c r="R66" s="124" t="str">
        <f>IF(Refsz_Verbräuche[[#Headers],[2028]]=$B$43,IF(OR(SUMIF($E66:Refsz_Verbräuche[[#This Row],[2027]],"&gt;0")&gt;0,), AVERAGEIF($E66:Refsz_Verbräuche[[#This Row],[2027]],"&lt;&gt;"""), ""),IF($B$43=(Refsz_Verbräuche[[#Headers],[2028]]-1),Refsz_Verbräuche[[#This Row],[2027]],IF($B$43&lt;Refsz_Verbräuche[[#Headers],[2028]],Refsz_Verbräuche[[#This Row],[2027]],"")))</f>
        <v/>
      </c>
      <c r="S66" s="124" t="str">
        <f>IF(Refsz_Verbräuche[[#Headers],[2029]]=$B$43,IF(OR(SUMIF($E66:Refsz_Verbräuche[[#This Row],[2028]],"&gt;0")&gt;0,), AVERAGEIF($E66:Refsz_Verbräuche[[#This Row],[2028]],"&lt;&gt;"""), ""),IF($B$43=(Refsz_Verbräuche[[#Headers],[2029]]-1),Refsz_Verbräuche[[#This Row],[2028]],IF($B$43&lt;Refsz_Verbräuche[[#Headers],[2029]],Refsz_Verbräuche[[#This Row],[2028]],"")))</f>
        <v/>
      </c>
      <c r="T66" s="124" t="str">
        <f>IF(Refsz_Verbräuche[[#Headers],[2030]]=$B$43,IF(OR(SUMIF($E66:Refsz_Verbräuche[[#This Row],[2029]],"&gt;0")&gt;0,), AVERAGEIF($E66:Refsz_Verbräuche[[#This Row],[2029]],"&lt;&gt;"""), ""),IF($B$43=(Refsz_Verbräuche[[#Headers],[2030]]-1),Refsz_Verbräuche[[#This Row],[2029]],IF($B$43&lt;Refsz_Verbräuche[[#Headers],[2030]],Refsz_Verbräuche[[#This Row],[2029]],"")))</f>
        <v/>
      </c>
      <c r="U66" s="124" t="str">
        <f>IF(Refsz_Verbräuche[[#Headers],[2035]]=$B$43,IF(OR(SUMIF($E66:Refsz_Verbräuche[[#This Row],[2030]],"&gt;0")&gt;0,), AVERAGEIF($E66:Refsz_Verbräuche[[#This Row],[2030]],"&lt;&gt;"""), ""),IF($B$43=(Refsz_Verbräuche[[#Headers],[2035]]-1),Refsz_Verbräuche[[#This Row],[2030]],IF($B$43&lt;Refsz_Verbräuche[[#Headers],[2035]],Refsz_Verbräuche[[#This Row],[2030]],"")))</f>
        <v/>
      </c>
      <c r="V66" s="124" t="str">
        <f>IF(Refsz_Verbräuche[[#Headers],[2040]]=$B$43,IF(OR(SUMIF($E66:Refsz_Verbräuche[[#This Row],[2035]],"&gt;0")&gt;0,), AVERAGEIF($E66:Refsz_Verbräuche[[#This Row],[2035]],"&lt;&gt;"""), ""),IF($B$43=(Refsz_Verbräuche[[#Headers],[2040]]-1),Refsz_Verbräuche[[#This Row],[2035]],IF($B$43&lt;Refsz_Verbräuche[[#Headers],[2040]],Refsz_Verbräuche[[#This Row],[2035]],"")))</f>
        <v/>
      </c>
      <c r="W66" s="124" t="str">
        <f>IF(Refsz_Verbräuche[[#Headers],[2045]]=$B$43,IF(OR(SUMIF($E66:Refsz_Verbräuche[[#This Row],[2040]],"&gt;0")&gt;0,), AVERAGEIF($E66:Refsz_Verbräuche[[#This Row],[2040]],"&lt;&gt;"""), ""),IF($B$43=(Refsz_Verbräuche[[#Headers],[2045]]-1),Refsz_Verbräuche[[#This Row],[2040]],IF($B$43&lt;Refsz_Verbräuche[[#Headers],[2045]],Refsz_Verbräuche[[#This Row],[2040]],"")))</f>
        <v/>
      </c>
      <c r="X66" s="124" t="str">
        <f>IF(Refsz_Verbräuche[[#Headers],[2050]]=$B$43,IF(OR(SUMIF($E66:Refsz_Verbräuche[[#This Row],[2045]],"&gt;0")&gt;0,), AVERAGEIF($E66:Refsz_Verbräuche[[#This Row],[2045]],"&lt;&gt;"""), ""),IF($B$43=(Refsz_Verbräuche[[#Headers],[2050]]-1),Refsz_Verbräuche[[#This Row],[2045]],IF($B$43&lt;Refsz_Verbräuche[[#Headers],[2050]],Refsz_Verbräuche[[#This Row],[2045]],"")))</f>
        <v/>
      </c>
      <c r="Z66" s="15"/>
    </row>
    <row r="67" spans="2:26" x14ac:dyDescent="0.35">
      <c r="B67" s="15">
        <v>7</v>
      </c>
      <c r="C67" s="50" t="str">
        <f>_xlfn.CONCAT("Elektrischer Strom (individueller Strommix ",'Strommix &amp; BHKW'!B39, ")")</f>
        <v>Elektrischer Strom (individueller Strommix Einrichtung 5)</v>
      </c>
      <c r="D67" t="s">
        <v>46</v>
      </c>
      <c r="E67" s="124"/>
      <c r="F67" s="124"/>
      <c r="G67" s="124"/>
      <c r="H67" s="124"/>
      <c r="I67" s="124"/>
      <c r="J67" s="124"/>
      <c r="K67" s="124"/>
      <c r="L67" s="124" t="str">
        <f>IF(Refsz_Verbräuche[[#Headers],[2022]]=$B$43,IF(OR(SUMIF($E67:Refsz_Verbräuche[[#This Row],[2021]],"&gt;0")&gt;0,), AVERAGEIF($E67:Refsz_Verbräuche[[#This Row],[2021]],"&lt;&gt;"""), ""),IF($B$43=(Refsz_Verbräuche[[#Headers],[2022]]-1),Refsz_Verbräuche[[#This Row],[2021]],IF($B$43&lt;Refsz_Verbräuche[[#Headers],[2022]],Refsz_Verbräuche[[#This Row],[2021]],"")))</f>
        <v/>
      </c>
      <c r="M67" s="124" t="str">
        <f>IF(Refsz_Verbräuche[[#Headers],[2023]]=$B$43,IF(OR(SUMIF($E67:Refsz_Verbräuche[[#This Row],[2022]],"&gt;0")&gt;0,), AVERAGEIF($E67:Refsz_Verbräuche[[#This Row],[2022]],"&lt;&gt;"""), ""),IF($B$43=(Refsz_Verbräuche[[#Headers],[2023]]-1),Refsz_Verbräuche[[#This Row],[2022]],IF($B$43&lt;Refsz_Verbräuche[[#Headers],[2023]],Refsz_Verbräuche[[#This Row],[2022]],"")))</f>
        <v/>
      </c>
      <c r="N67" s="124" t="str">
        <f>IF(Refsz_Verbräuche[[#Headers],[2024]]=$B$43,IF(OR(SUMIF($E67:Refsz_Verbräuche[[#This Row],[2023]],"&gt;0")&gt;0,), AVERAGEIF($E67:Refsz_Verbräuche[[#This Row],[2023]],"&lt;&gt;"""), ""),IF($B$43=(Refsz_Verbräuche[[#Headers],[2024]]-1),Refsz_Verbräuche[[#This Row],[2023]],IF($B$43&lt;Refsz_Verbräuche[[#Headers],[2024]],Refsz_Verbräuche[[#This Row],[2023]],"")))</f>
        <v/>
      </c>
      <c r="O67" s="124" t="str">
        <f>IF(Refsz_Verbräuche[[#Headers],[2025]]=$B$43,IF(OR(SUMIF($E67:Refsz_Verbräuche[[#This Row],[2024]],"&gt;0")&gt;0,), AVERAGEIF($E67:Refsz_Verbräuche[[#This Row],[2024]],"&lt;&gt;"""), ""),IF($B$43=(Refsz_Verbräuche[[#Headers],[2025]]-1),Refsz_Verbräuche[[#This Row],[2024]],IF($B$43&lt;Refsz_Verbräuche[[#Headers],[2025]],Refsz_Verbräuche[[#This Row],[2024]],"")))</f>
        <v/>
      </c>
      <c r="P67" s="124" t="str">
        <f>IF(Refsz_Verbräuche[[#Headers],[2026]]=$B$43,IF(OR(SUMIF($E67:Refsz_Verbräuche[[#This Row],[2025]],"&gt;0")&gt;0,), AVERAGEIF($E67:Refsz_Verbräuche[[#This Row],[2025]],"&lt;&gt;"""), ""),IF($B$43=(Refsz_Verbräuche[[#Headers],[2026]]-1),Refsz_Verbräuche[[#This Row],[2025]],IF($B$43&lt;Refsz_Verbräuche[[#Headers],[2026]],Refsz_Verbräuche[[#This Row],[2025]],"")))</f>
        <v/>
      </c>
      <c r="Q67" s="124" t="str">
        <f>IF(Refsz_Verbräuche[[#Headers],[2027]]=$B$43,IF(OR(SUMIF($E67:Refsz_Verbräuche[[#This Row],[2026]],"&gt;0")&gt;0,), AVERAGEIF($E67:Refsz_Verbräuche[[#This Row],[2026]],"&lt;&gt;"""), ""),IF($B$43=(Refsz_Verbräuche[[#Headers],[2027]]-1),Refsz_Verbräuche[[#This Row],[2026]],IF($B$43&lt;Refsz_Verbräuche[[#Headers],[2027]],Refsz_Verbräuche[[#This Row],[2026]],"")))</f>
        <v/>
      </c>
      <c r="R67" s="124" t="str">
        <f>IF(Refsz_Verbräuche[[#Headers],[2028]]=$B$43,IF(OR(SUMIF($E67:Refsz_Verbräuche[[#This Row],[2027]],"&gt;0")&gt;0,), AVERAGEIF($E67:Refsz_Verbräuche[[#This Row],[2027]],"&lt;&gt;"""), ""),IF($B$43=(Refsz_Verbräuche[[#Headers],[2028]]-1),Refsz_Verbräuche[[#This Row],[2027]],IF($B$43&lt;Refsz_Verbräuche[[#Headers],[2028]],Refsz_Verbräuche[[#This Row],[2027]],"")))</f>
        <v/>
      </c>
      <c r="S67" s="124" t="str">
        <f>IF(Refsz_Verbräuche[[#Headers],[2029]]=$B$43,IF(OR(SUMIF($E67:Refsz_Verbräuche[[#This Row],[2028]],"&gt;0")&gt;0,), AVERAGEIF($E67:Refsz_Verbräuche[[#This Row],[2028]],"&lt;&gt;"""), ""),IF($B$43=(Refsz_Verbräuche[[#Headers],[2029]]-1),Refsz_Verbräuche[[#This Row],[2028]],IF($B$43&lt;Refsz_Verbräuche[[#Headers],[2029]],Refsz_Verbräuche[[#This Row],[2028]],"")))</f>
        <v/>
      </c>
      <c r="T67" s="124" t="str">
        <f>IF(Refsz_Verbräuche[[#Headers],[2030]]=$B$43,IF(OR(SUMIF($E67:Refsz_Verbräuche[[#This Row],[2029]],"&gt;0")&gt;0,), AVERAGEIF($E67:Refsz_Verbräuche[[#This Row],[2029]],"&lt;&gt;"""), ""),IF($B$43=(Refsz_Verbräuche[[#Headers],[2030]]-1),Refsz_Verbräuche[[#This Row],[2029]],IF($B$43&lt;Refsz_Verbräuche[[#Headers],[2030]],Refsz_Verbräuche[[#This Row],[2029]],"")))</f>
        <v/>
      </c>
      <c r="U67" s="124" t="str">
        <f>IF(Refsz_Verbräuche[[#Headers],[2035]]=$B$43,IF(OR(SUMIF($E67:Refsz_Verbräuche[[#This Row],[2030]],"&gt;0")&gt;0,), AVERAGEIF($E67:Refsz_Verbräuche[[#This Row],[2030]],"&lt;&gt;"""), ""),IF($B$43=(Refsz_Verbräuche[[#Headers],[2035]]-1),Refsz_Verbräuche[[#This Row],[2030]],IF($B$43&lt;Refsz_Verbräuche[[#Headers],[2035]],Refsz_Verbräuche[[#This Row],[2030]],"")))</f>
        <v/>
      </c>
      <c r="V67" s="124" t="str">
        <f>IF(Refsz_Verbräuche[[#Headers],[2040]]=$B$43,IF(OR(SUMIF($E67:Refsz_Verbräuche[[#This Row],[2035]],"&gt;0")&gt;0,), AVERAGEIF($E67:Refsz_Verbräuche[[#This Row],[2035]],"&lt;&gt;"""), ""),IF($B$43=(Refsz_Verbräuche[[#Headers],[2040]]-1),Refsz_Verbräuche[[#This Row],[2035]],IF($B$43&lt;Refsz_Verbräuche[[#Headers],[2040]],Refsz_Verbräuche[[#This Row],[2035]],"")))</f>
        <v/>
      </c>
      <c r="W67" s="124" t="str">
        <f>IF(Refsz_Verbräuche[[#Headers],[2045]]=$B$43,IF(OR(SUMIF($E67:Refsz_Verbräuche[[#This Row],[2040]],"&gt;0")&gt;0,), AVERAGEIF($E67:Refsz_Verbräuche[[#This Row],[2040]],"&lt;&gt;"""), ""),IF($B$43=(Refsz_Verbräuche[[#Headers],[2045]]-1),Refsz_Verbräuche[[#This Row],[2040]],IF($B$43&lt;Refsz_Verbräuche[[#Headers],[2045]],Refsz_Verbräuche[[#This Row],[2040]],"")))</f>
        <v/>
      </c>
      <c r="X67" s="124" t="str">
        <f>IF(Refsz_Verbräuche[[#Headers],[2050]]=$B$43,IF(OR(SUMIF($E67:Refsz_Verbräuche[[#This Row],[2045]],"&gt;0")&gt;0,), AVERAGEIF($E67:Refsz_Verbräuche[[#This Row],[2045]],"&lt;&gt;"""), ""),IF($B$43=(Refsz_Verbräuche[[#Headers],[2050]]-1),Refsz_Verbräuche[[#This Row],[2045]],IF($B$43&lt;Refsz_Verbräuche[[#Headers],[2050]],Refsz_Verbräuche[[#This Row],[2045]],"")))</f>
        <v/>
      </c>
      <c r="Z67" s="15"/>
    </row>
    <row r="68" spans="2:26" x14ac:dyDescent="0.35">
      <c r="B68" s="15">
        <v>8</v>
      </c>
      <c r="C68" s="50" t="str">
        <f>_xlfn.CONCAT("Elektrischer Strom (individueller Strommix ",'Strommix &amp; BHKW'!B40, ")")</f>
        <v>Elektrischer Strom (individueller Strommix Einrichtung 6)</v>
      </c>
      <c r="D68" t="s">
        <v>46</v>
      </c>
      <c r="E68" s="124"/>
      <c r="F68" s="124"/>
      <c r="G68" s="124"/>
      <c r="H68" s="124"/>
      <c r="I68" s="124"/>
      <c r="J68" s="124"/>
      <c r="K68" s="124"/>
      <c r="L68" s="124" t="str">
        <f>IF(Refsz_Verbräuche[[#Headers],[2022]]=$B$43,IF(OR(SUMIF($E68:Refsz_Verbräuche[[#This Row],[2021]],"&gt;0")&gt;0,), AVERAGEIF($E68:Refsz_Verbräuche[[#This Row],[2021]],"&lt;&gt;"""), ""),IF($B$43=(Refsz_Verbräuche[[#Headers],[2022]]-1),Refsz_Verbräuche[[#This Row],[2021]],IF($B$43&lt;Refsz_Verbräuche[[#Headers],[2022]],Refsz_Verbräuche[[#This Row],[2021]],"")))</f>
        <v/>
      </c>
      <c r="M68" s="124" t="str">
        <f>IF(Refsz_Verbräuche[[#Headers],[2023]]=$B$43,IF(OR(SUMIF($E68:Refsz_Verbräuche[[#This Row],[2022]],"&gt;0")&gt;0,), AVERAGEIF($E68:Refsz_Verbräuche[[#This Row],[2022]],"&lt;&gt;"""), ""),IF($B$43=(Refsz_Verbräuche[[#Headers],[2023]]-1),Refsz_Verbräuche[[#This Row],[2022]],IF($B$43&lt;Refsz_Verbräuche[[#Headers],[2023]],Refsz_Verbräuche[[#This Row],[2022]],"")))</f>
        <v/>
      </c>
      <c r="N68" s="124" t="str">
        <f>IF(Refsz_Verbräuche[[#Headers],[2024]]=$B$43,IF(OR(SUMIF($E68:Refsz_Verbräuche[[#This Row],[2023]],"&gt;0")&gt;0,), AVERAGEIF($E68:Refsz_Verbräuche[[#This Row],[2023]],"&lt;&gt;"""), ""),IF($B$43=(Refsz_Verbräuche[[#Headers],[2024]]-1),Refsz_Verbräuche[[#This Row],[2023]],IF($B$43&lt;Refsz_Verbräuche[[#Headers],[2024]],Refsz_Verbräuche[[#This Row],[2023]],"")))</f>
        <v/>
      </c>
      <c r="O68" s="124" t="str">
        <f>IF(Refsz_Verbräuche[[#Headers],[2025]]=$B$43,IF(OR(SUMIF($E68:Refsz_Verbräuche[[#This Row],[2024]],"&gt;0")&gt;0,), AVERAGEIF($E68:Refsz_Verbräuche[[#This Row],[2024]],"&lt;&gt;"""), ""),IF($B$43=(Refsz_Verbräuche[[#Headers],[2025]]-1),Refsz_Verbräuche[[#This Row],[2024]],IF($B$43&lt;Refsz_Verbräuche[[#Headers],[2025]],Refsz_Verbräuche[[#This Row],[2024]],"")))</f>
        <v/>
      </c>
      <c r="P68" s="124" t="str">
        <f>IF(Refsz_Verbräuche[[#Headers],[2026]]=$B$43,IF(OR(SUMIF($E68:Refsz_Verbräuche[[#This Row],[2025]],"&gt;0")&gt;0,), AVERAGEIF($E68:Refsz_Verbräuche[[#This Row],[2025]],"&lt;&gt;"""), ""),IF($B$43=(Refsz_Verbräuche[[#Headers],[2026]]-1),Refsz_Verbräuche[[#This Row],[2025]],IF($B$43&lt;Refsz_Verbräuche[[#Headers],[2026]],Refsz_Verbräuche[[#This Row],[2025]],"")))</f>
        <v/>
      </c>
      <c r="Q68" s="124" t="str">
        <f>IF(Refsz_Verbräuche[[#Headers],[2027]]=$B$43,IF(OR(SUMIF($E68:Refsz_Verbräuche[[#This Row],[2026]],"&gt;0")&gt;0,), AVERAGEIF($E68:Refsz_Verbräuche[[#This Row],[2026]],"&lt;&gt;"""), ""),IF($B$43=(Refsz_Verbräuche[[#Headers],[2027]]-1),Refsz_Verbräuche[[#This Row],[2026]],IF($B$43&lt;Refsz_Verbräuche[[#Headers],[2027]],Refsz_Verbräuche[[#This Row],[2026]],"")))</f>
        <v/>
      </c>
      <c r="R68" s="124" t="str">
        <f>IF(Refsz_Verbräuche[[#Headers],[2028]]=$B$43,IF(OR(SUMIF($E68:Refsz_Verbräuche[[#This Row],[2027]],"&gt;0")&gt;0,), AVERAGEIF($E68:Refsz_Verbräuche[[#This Row],[2027]],"&lt;&gt;"""), ""),IF($B$43=(Refsz_Verbräuche[[#Headers],[2028]]-1),Refsz_Verbräuche[[#This Row],[2027]],IF($B$43&lt;Refsz_Verbräuche[[#Headers],[2028]],Refsz_Verbräuche[[#This Row],[2027]],"")))</f>
        <v/>
      </c>
      <c r="S68" s="124" t="str">
        <f>IF(Refsz_Verbräuche[[#Headers],[2029]]=$B$43,IF(OR(SUMIF($E68:Refsz_Verbräuche[[#This Row],[2028]],"&gt;0")&gt;0,), AVERAGEIF($E68:Refsz_Verbräuche[[#This Row],[2028]],"&lt;&gt;"""), ""),IF($B$43=(Refsz_Verbräuche[[#Headers],[2029]]-1),Refsz_Verbräuche[[#This Row],[2028]],IF($B$43&lt;Refsz_Verbräuche[[#Headers],[2029]],Refsz_Verbräuche[[#This Row],[2028]],"")))</f>
        <v/>
      </c>
      <c r="T68" s="124" t="str">
        <f>IF(Refsz_Verbräuche[[#Headers],[2030]]=$B$43,IF(OR(SUMIF($E68:Refsz_Verbräuche[[#This Row],[2029]],"&gt;0")&gt;0,), AVERAGEIF($E68:Refsz_Verbräuche[[#This Row],[2029]],"&lt;&gt;"""), ""),IF($B$43=(Refsz_Verbräuche[[#Headers],[2030]]-1),Refsz_Verbräuche[[#This Row],[2029]],IF($B$43&lt;Refsz_Verbräuche[[#Headers],[2030]],Refsz_Verbräuche[[#This Row],[2029]],"")))</f>
        <v/>
      </c>
      <c r="U68" s="124" t="str">
        <f>IF(Refsz_Verbräuche[[#Headers],[2035]]=$B$43,IF(OR(SUMIF($E68:Refsz_Verbräuche[[#This Row],[2030]],"&gt;0")&gt;0,), AVERAGEIF($E68:Refsz_Verbräuche[[#This Row],[2030]],"&lt;&gt;"""), ""),IF($B$43=(Refsz_Verbräuche[[#Headers],[2035]]-1),Refsz_Verbräuche[[#This Row],[2030]],IF($B$43&lt;Refsz_Verbräuche[[#Headers],[2035]],Refsz_Verbräuche[[#This Row],[2030]],"")))</f>
        <v/>
      </c>
      <c r="V68" s="124" t="str">
        <f>IF(Refsz_Verbräuche[[#Headers],[2040]]=$B$43,IF(OR(SUMIF($E68:Refsz_Verbräuche[[#This Row],[2035]],"&gt;0")&gt;0,), AVERAGEIF($E68:Refsz_Verbräuche[[#This Row],[2035]],"&lt;&gt;"""), ""),IF($B$43=(Refsz_Verbräuche[[#Headers],[2040]]-1),Refsz_Verbräuche[[#This Row],[2035]],IF($B$43&lt;Refsz_Verbräuche[[#Headers],[2040]],Refsz_Verbräuche[[#This Row],[2035]],"")))</f>
        <v/>
      </c>
      <c r="W68" s="124" t="str">
        <f>IF(Refsz_Verbräuche[[#Headers],[2045]]=$B$43,IF(OR(SUMIF($E68:Refsz_Verbräuche[[#This Row],[2040]],"&gt;0")&gt;0,), AVERAGEIF($E68:Refsz_Verbräuche[[#This Row],[2040]],"&lt;&gt;"""), ""),IF($B$43=(Refsz_Verbräuche[[#Headers],[2045]]-1),Refsz_Verbräuche[[#This Row],[2040]],IF($B$43&lt;Refsz_Verbräuche[[#Headers],[2045]],Refsz_Verbräuche[[#This Row],[2040]],"")))</f>
        <v/>
      </c>
      <c r="X68" s="124" t="str">
        <f>IF(Refsz_Verbräuche[[#Headers],[2050]]=$B$43,IF(OR(SUMIF($E68:Refsz_Verbräuche[[#This Row],[2045]],"&gt;0")&gt;0,), AVERAGEIF($E68:Refsz_Verbräuche[[#This Row],[2045]],"&lt;&gt;"""), ""),IF($B$43=(Refsz_Verbräuche[[#Headers],[2050]]-1),Refsz_Verbräuche[[#This Row],[2045]],IF($B$43&lt;Refsz_Verbräuche[[#Headers],[2050]],Refsz_Verbräuche[[#This Row],[2045]],"")))</f>
        <v/>
      </c>
      <c r="Z68" s="15"/>
    </row>
    <row r="69" spans="2:26" hidden="1" x14ac:dyDescent="0.35">
      <c r="B69" s="15">
        <v>9</v>
      </c>
      <c r="C69" s="50" t="s">
        <v>298</v>
      </c>
      <c r="D69" s="53" t="s">
        <v>242</v>
      </c>
      <c r="E69" s="15"/>
      <c r="F69" s="15"/>
      <c r="G69" s="15"/>
      <c r="H69" s="15"/>
      <c r="I69" s="15"/>
      <c r="J69" s="15"/>
      <c r="K69" s="15"/>
      <c r="L69" s="124" t="str">
        <f>IF(Refsz_Verbräuche[[#Headers],[2022]]=$B$43,IF(OR(SUMIF($E69:Refsz_Verbräuche[[#This Row],[2021]],"&gt;0")&gt;0,), AVERAGEIF($E69:Refsz_Verbräuche[[#This Row],[2021]],"&lt;&gt;"""), ""),IF($B$43=(Refsz_Verbräuche[[#Headers],[2022]]-1),Refsz_Verbräuche[[#This Row],[2021]],IF($B$43&lt;Refsz_Verbräuche[[#Headers],[2022]],Refsz_Verbräuche[[#This Row],[2021]],"")))</f>
        <v/>
      </c>
      <c r="M69" s="124" t="str">
        <f>IF(Refsz_Verbräuche[[#Headers],[2023]]=$B$43,IF(OR(SUMIF($E69:Refsz_Verbräuche[[#This Row],[2022]],"&gt;0")&gt;0,), AVERAGEIF($E69:Refsz_Verbräuche[[#This Row],[2022]],"&lt;&gt;"""), ""),IF($B$43=(Refsz_Verbräuche[[#Headers],[2023]]-1),Refsz_Verbräuche[[#This Row],[2022]],IF($B$43&lt;Refsz_Verbräuche[[#Headers],[2023]],Refsz_Verbräuche[[#This Row],[2022]],"")))</f>
        <v/>
      </c>
      <c r="N69" s="124" t="str">
        <f>IF(Refsz_Verbräuche[[#Headers],[2024]]=$B$43,IF(OR(SUMIF($E69:Refsz_Verbräuche[[#This Row],[2023]],"&gt;0")&gt;0,), AVERAGEIF($E69:Refsz_Verbräuche[[#This Row],[2023]],"&lt;&gt;"""), ""),IF($B$43=(Refsz_Verbräuche[[#Headers],[2024]]-1),Refsz_Verbräuche[[#This Row],[2023]],IF($B$43&lt;Refsz_Verbräuche[[#Headers],[2024]],Refsz_Verbräuche[[#This Row],[2023]],"")))</f>
        <v/>
      </c>
      <c r="O69" s="124" t="str">
        <f>IF(Refsz_Verbräuche[[#Headers],[2025]]=$B$43,IF(OR(SUMIF($E69:Refsz_Verbräuche[[#This Row],[2024]],"&gt;0")&gt;0,), AVERAGEIF($E69:Refsz_Verbräuche[[#This Row],[2024]],"&lt;&gt;"""), ""),IF($B$43=(Refsz_Verbräuche[[#Headers],[2025]]-1),Refsz_Verbräuche[[#This Row],[2024]],IF($B$43&lt;Refsz_Verbräuche[[#Headers],[2025]],Refsz_Verbräuche[[#This Row],[2024]],"")))</f>
        <v/>
      </c>
      <c r="P69" s="124" t="str">
        <f>IF(Refsz_Verbräuche[[#Headers],[2026]]=$B$43,IF(OR(SUMIF($E69:Refsz_Verbräuche[[#This Row],[2025]],"&gt;0")&gt;0,), AVERAGEIF($E69:Refsz_Verbräuche[[#This Row],[2025]],"&lt;&gt;"""), ""),IF($B$43=(Refsz_Verbräuche[[#Headers],[2026]]-1),Refsz_Verbräuche[[#This Row],[2025]],IF($B$43&lt;Refsz_Verbräuche[[#Headers],[2026]],Refsz_Verbräuche[[#This Row],[2025]],"")))</f>
        <v/>
      </c>
      <c r="Q69" s="124" t="str">
        <f>IF(Refsz_Verbräuche[[#Headers],[2027]]=$B$43,IF(OR(SUMIF($E69:Refsz_Verbräuche[[#This Row],[2026]],"&gt;0")&gt;0,), AVERAGEIF($E69:Refsz_Verbräuche[[#This Row],[2026]],"&lt;&gt;"""), ""),IF($B$43=(Refsz_Verbräuche[[#Headers],[2027]]-1),Refsz_Verbräuche[[#This Row],[2026]],IF($B$43&lt;Refsz_Verbräuche[[#Headers],[2027]],Refsz_Verbräuche[[#This Row],[2026]],"")))</f>
        <v/>
      </c>
      <c r="R69" s="124" t="str">
        <f>IF(Refsz_Verbräuche[[#Headers],[2028]]=$B$43,IF(OR(SUMIF($E69:Refsz_Verbräuche[[#This Row],[2027]],"&gt;0")&gt;0,), AVERAGEIF($E69:Refsz_Verbräuche[[#This Row],[2027]],"&lt;&gt;"""), ""),IF($B$43=(Refsz_Verbräuche[[#Headers],[2028]]-1),Refsz_Verbräuche[[#This Row],[2027]],IF($B$43&lt;Refsz_Verbräuche[[#Headers],[2028]],Refsz_Verbräuche[[#This Row],[2027]],"")))</f>
        <v/>
      </c>
      <c r="S69" s="124" t="str">
        <f>IF(Refsz_Verbräuche[[#Headers],[2029]]=$B$43,IF(OR(SUMIF($E69:Refsz_Verbräuche[[#This Row],[2028]],"&gt;0")&gt;0,), AVERAGEIF($E69:Refsz_Verbräuche[[#This Row],[2028]],"&lt;&gt;"""), ""),IF($B$43=(Refsz_Verbräuche[[#Headers],[2029]]-1),Refsz_Verbräuche[[#This Row],[2028]],IF($B$43&lt;Refsz_Verbräuche[[#Headers],[2029]],Refsz_Verbräuche[[#This Row],[2028]],"")))</f>
        <v/>
      </c>
      <c r="T69" s="124" t="str">
        <f>IF(Refsz_Verbräuche[[#Headers],[2030]]=$B$43,IF(OR(SUMIF($E69:Refsz_Verbräuche[[#This Row],[2029]],"&gt;0")&gt;0,), AVERAGEIF($E69:Refsz_Verbräuche[[#This Row],[2029]],"&lt;&gt;"""), ""),IF($B$43=(Refsz_Verbräuche[[#Headers],[2030]]-1),Refsz_Verbräuche[[#This Row],[2029]],IF($B$43&lt;Refsz_Verbräuche[[#Headers],[2030]],Refsz_Verbräuche[[#This Row],[2029]],"")))</f>
        <v/>
      </c>
      <c r="U69" s="124" t="str">
        <f>IF(Refsz_Verbräuche[[#Headers],[2035]]=$B$43,IF(OR(SUMIF($E69:Refsz_Verbräuche[[#This Row],[2030]],"&gt;0")&gt;0,), AVERAGEIF($E69:Refsz_Verbräuche[[#This Row],[2030]],"&lt;&gt;"""), ""),IF($B$43=(Refsz_Verbräuche[[#Headers],[2035]]-1),Refsz_Verbräuche[[#This Row],[2030]],IF($B$43&lt;Refsz_Verbräuche[[#Headers],[2035]],Refsz_Verbräuche[[#This Row],[2030]],"")))</f>
        <v/>
      </c>
      <c r="V69" s="124" t="str">
        <f>IF(Refsz_Verbräuche[[#Headers],[2040]]=$B$43,IF(OR(SUMIF($E69:Refsz_Verbräuche[[#This Row],[2035]],"&gt;0")&gt;0,), AVERAGEIF($E69:Refsz_Verbräuche[[#This Row],[2035]],"&lt;&gt;"""), ""),IF($B$43=(Refsz_Verbräuche[[#Headers],[2040]]-1),Refsz_Verbräuche[[#This Row],[2035]],IF($B$43&lt;Refsz_Verbräuche[[#Headers],[2040]],Refsz_Verbräuche[[#This Row],[2035]],"")))</f>
        <v/>
      </c>
      <c r="W69" s="124" t="str">
        <f>IF(Refsz_Verbräuche[[#Headers],[2045]]=$B$43,IF(OR(SUMIF($E69:Refsz_Verbräuche[[#This Row],[2040]],"&gt;0")&gt;0,), AVERAGEIF($E69:Refsz_Verbräuche[[#This Row],[2040]],"&lt;&gt;"""), ""),IF($B$43=(Refsz_Verbräuche[[#Headers],[2045]]-1),Refsz_Verbräuche[[#This Row],[2040]],IF($B$43&lt;Refsz_Verbräuche[[#Headers],[2045]],Refsz_Verbräuche[[#This Row],[2040]],"")))</f>
        <v/>
      </c>
      <c r="X69" s="124" t="str">
        <f>IF(Refsz_Verbräuche[[#Headers],[2050]]=$B$43,IF(OR(SUMIF($E69:Refsz_Verbräuche[[#This Row],[2045]],"&gt;0")&gt;0,), AVERAGEIF($E69:Refsz_Verbräuche[[#This Row],[2045]],"&lt;&gt;"""), ""),IF($B$43=(Refsz_Verbräuche[[#Headers],[2050]]-1),Refsz_Verbräuche[[#This Row],[2045]],IF($B$43&lt;Refsz_Verbräuche[[#Headers],[2050]],Refsz_Verbräuche[[#This Row],[2045]],"")))</f>
        <v/>
      </c>
      <c r="Z69" s="15"/>
    </row>
    <row r="70" spans="2:26" x14ac:dyDescent="0.35">
      <c r="B70" s="15">
        <v>10</v>
      </c>
      <c r="C70" s="10" t="s">
        <v>31</v>
      </c>
      <c r="D70" t="s">
        <v>46</v>
      </c>
      <c r="E70" s="124"/>
      <c r="F70" s="124"/>
      <c r="G70" s="124"/>
      <c r="H70" s="124"/>
      <c r="I70" s="124"/>
      <c r="J70" s="124"/>
      <c r="K70" s="124"/>
      <c r="L70" s="124" t="str">
        <f>IF(Refsz_Verbräuche[[#Headers],[2022]]=$B$43,IF(OR(SUMIF($E70:Refsz_Verbräuche[[#This Row],[2021]],"&gt;0")&gt;0,), AVERAGEIF($E70:Refsz_Verbräuche[[#This Row],[2021]],"&lt;&gt;"""), ""),IF($B$43=(Refsz_Verbräuche[[#Headers],[2022]]-1),Refsz_Verbräuche[[#This Row],[2021]],IF($B$43&lt;Refsz_Verbräuche[[#Headers],[2022]],Refsz_Verbräuche[[#This Row],[2021]],"")))</f>
        <v/>
      </c>
      <c r="M70" s="124" t="str">
        <f>IF(Refsz_Verbräuche[[#Headers],[2023]]=$B$43,IF(OR(SUMIF($E70:Refsz_Verbräuche[[#This Row],[2022]],"&gt;0")&gt;0,), AVERAGEIF($E70:Refsz_Verbräuche[[#This Row],[2022]],"&lt;&gt;"""), ""),IF($B$43=(Refsz_Verbräuche[[#Headers],[2023]]-1),Refsz_Verbräuche[[#This Row],[2022]],IF($B$43&lt;Refsz_Verbräuche[[#Headers],[2023]],Refsz_Verbräuche[[#This Row],[2022]],"")))</f>
        <v/>
      </c>
      <c r="N70" s="124" t="str">
        <f>IF(Refsz_Verbräuche[[#Headers],[2024]]=$B$43,IF(OR(SUMIF($E70:Refsz_Verbräuche[[#This Row],[2023]],"&gt;0")&gt;0,), AVERAGEIF($E70:Refsz_Verbräuche[[#This Row],[2023]],"&lt;&gt;"""), ""),IF($B$43=(Refsz_Verbräuche[[#Headers],[2024]]-1),Refsz_Verbräuche[[#This Row],[2023]],IF($B$43&lt;Refsz_Verbräuche[[#Headers],[2024]],Refsz_Verbräuche[[#This Row],[2023]],"")))</f>
        <v/>
      </c>
      <c r="O70" s="124" t="str">
        <f>IF(Refsz_Verbräuche[[#Headers],[2025]]=$B$43,IF(OR(SUMIF($E70:Refsz_Verbräuche[[#This Row],[2024]],"&gt;0")&gt;0,), AVERAGEIF($E70:Refsz_Verbräuche[[#This Row],[2024]],"&lt;&gt;"""), ""),IF($B$43=(Refsz_Verbräuche[[#Headers],[2025]]-1),Refsz_Verbräuche[[#This Row],[2024]],IF($B$43&lt;Refsz_Verbräuche[[#Headers],[2025]],Refsz_Verbräuche[[#This Row],[2024]],"")))</f>
        <v/>
      </c>
      <c r="P70" s="124" t="str">
        <f>IF(Refsz_Verbräuche[[#Headers],[2026]]=$B$43,IF(OR(SUMIF($E70:Refsz_Verbräuche[[#This Row],[2025]],"&gt;0")&gt;0,), AVERAGEIF($E70:Refsz_Verbräuche[[#This Row],[2025]],"&lt;&gt;"""), ""),IF($B$43=(Refsz_Verbräuche[[#Headers],[2026]]-1),Refsz_Verbräuche[[#This Row],[2025]],IF($B$43&lt;Refsz_Verbräuche[[#Headers],[2026]],Refsz_Verbräuche[[#This Row],[2025]],"")))</f>
        <v/>
      </c>
      <c r="Q70" s="124" t="str">
        <f>IF(Refsz_Verbräuche[[#Headers],[2027]]=$B$43,IF(OR(SUMIF($E70:Refsz_Verbräuche[[#This Row],[2026]],"&gt;0")&gt;0,), AVERAGEIF($E70:Refsz_Verbräuche[[#This Row],[2026]],"&lt;&gt;"""), ""),IF($B$43=(Refsz_Verbräuche[[#Headers],[2027]]-1),Refsz_Verbräuche[[#This Row],[2026]],IF($B$43&lt;Refsz_Verbräuche[[#Headers],[2027]],Refsz_Verbräuche[[#This Row],[2026]],"")))</f>
        <v/>
      </c>
      <c r="R70" s="124" t="str">
        <f>IF(Refsz_Verbräuche[[#Headers],[2028]]=$B$43,IF(OR(SUMIF($E70:Refsz_Verbräuche[[#This Row],[2027]],"&gt;0")&gt;0,), AVERAGEIF($E70:Refsz_Verbräuche[[#This Row],[2027]],"&lt;&gt;"""), ""),IF($B$43=(Refsz_Verbräuche[[#Headers],[2028]]-1),Refsz_Verbräuche[[#This Row],[2027]],IF($B$43&lt;Refsz_Verbräuche[[#Headers],[2028]],Refsz_Verbräuche[[#This Row],[2027]],"")))</f>
        <v/>
      </c>
      <c r="S70" s="124" t="str">
        <f>IF(Refsz_Verbräuche[[#Headers],[2029]]=$B$43,IF(OR(SUMIF($E70:Refsz_Verbräuche[[#This Row],[2028]],"&gt;0")&gt;0,), AVERAGEIF($E70:Refsz_Verbräuche[[#This Row],[2028]],"&lt;&gt;"""), ""),IF($B$43=(Refsz_Verbräuche[[#Headers],[2029]]-1),Refsz_Verbräuche[[#This Row],[2028]],IF($B$43&lt;Refsz_Verbräuche[[#Headers],[2029]],Refsz_Verbräuche[[#This Row],[2028]],"")))</f>
        <v/>
      </c>
      <c r="T70" s="124" t="str">
        <f>IF(Refsz_Verbräuche[[#Headers],[2030]]=$B$43,IF(OR(SUMIF($E70:Refsz_Verbräuche[[#This Row],[2029]],"&gt;0")&gt;0,), AVERAGEIF($E70:Refsz_Verbräuche[[#This Row],[2029]],"&lt;&gt;"""), ""),IF($B$43=(Refsz_Verbräuche[[#Headers],[2030]]-1),Refsz_Verbräuche[[#This Row],[2029]],IF($B$43&lt;Refsz_Verbräuche[[#Headers],[2030]],Refsz_Verbräuche[[#This Row],[2029]],"")))</f>
        <v/>
      </c>
      <c r="U70" s="124" t="str">
        <f>IF(Refsz_Verbräuche[[#Headers],[2035]]=$B$43,IF(OR(SUMIF($E70:Refsz_Verbräuche[[#This Row],[2030]],"&gt;0")&gt;0,), AVERAGEIF($E70:Refsz_Verbräuche[[#This Row],[2030]],"&lt;&gt;"""), ""),IF($B$43=(Refsz_Verbräuche[[#Headers],[2035]]-1),Refsz_Verbräuche[[#This Row],[2030]],IF($B$43&lt;Refsz_Verbräuche[[#Headers],[2035]],Refsz_Verbräuche[[#This Row],[2030]],"")))</f>
        <v/>
      </c>
      <c r="V70" s="124" t="str">
        <f>IF(Refsz_Verbräuche[[#Headers],[2040]]=$B$43,IF(OR(SUMIF($E70:Refsz_Verbräuche[[#This Row],[2035]],"&gt;0")&gt;0,), AVERAGEIF($E70:Refsz_Verbräuche[[#This Row],[2035]],"&lt;&gt;"""), ""),IF($B$43=(Refsz_Verbräuche[[#Headers],[2040]]-1),Refsz_Verbräuche[[#This Row],[2035]],IF($B$43&lt;Refsz_Verbräuche[[#Headers],[2040]],Refsz_Verbräuche[[#This Row],[2035]],"")))</f>
        <v/>
      </c>
      <c r="W70" s="124" t="str">
        <f>IF(Refsz_Verbräuche[[#Headers],[2045]]=$B$43,IF(OR(SUMIF($E70:Refsz_Verbräuche[[#This Row],[2040]],"&gt;0")&gt;0,), AVERAGEIF($E70:Refsz_Verbräuche[[#This Row],[2040]],"&lt;&gt;"""), ""),IF($B$43=(Refsz_Verbräuche[[#Headers],[2045]]-1),Refsz_Verbräuche[[#This Row],[2040]],IF($B$43&lt;Refsz_Verbräuche[[#Headers],[2045]],Refsz_Verbräuche[[#This Row],[2040]],"")))</f>
        <v/>
      </c>
      <c r="X70" s="124" t="str">
        <f>IF(Refsz_Verbräuche[[#Headers],[2050]]=$B$43,IF(OR(SUMIF($E70:Refsz_Verbräuche[[#This Row],[2045]],"&gt;0")&gt;0,), AVERAGEIF($E70:Refsz_Verbräuche[[#This Row],[2045]],"&lt;&gt;"""), ""),IF($B$43=(Refsz_Verbräuche[[#Headers],[2050]]-1),Refsz_Verbräuche[[#This Row],[2045]],IF($B$43&lt;Refsz_Verbräuche[[#Headers],[2050]],Refsz_Verbräuche[[#This Row],[2045]],"")))</f>
        <v/>
      </c>
      <c r="Z70" s="15"/>
    </row>
    <row r="71" spans="2:26" x14ac:dyDescent="0.35">
      <c r="B71" s="15">
        <v>11</v>
      </c>
      <c r="C71" s="10" t="s">
        <v>33</v>
      </c>
      <c r="D71" t="s">
        <v>46</v>
      </c>
      <c r="E71" s="124"/>
      <c r="F71" s="124"/>
      <c r="G71" s="124"/>
      <c r="H71" s="124"/>
      <c r="I71" s="124"/>
      <c r="J71" s="124"/>
      <c r="K71" s="124"/>
      <c r="L71" s="124" t="str">
        <f>IF(Refsz_Verbräuche[[#Headers],[2022]]=$B$43,IF(OR(SUMIF($E71:Refsz_Verbräuche[[#This Row],[2021]],"&gt;0")&gt;0,), AVERAGEIF($E71:Refsz_Verbräuche[[#This Row],[2021]],"&lt;&gt;"""), ""),IF($B$43=(Refsz_Verbräuche[[#Headers],[2022]]-1),Refsz_Verbräuche[[#This Row],[2021]],IF($B$43&lt;Refsz_Verbräuche[[#Headers],[2022]],Refsz_Verbräuche[[#This Row],[2021]],"")))</f>
        <v/>
      </c>
      <c r="M71" s="124" t="str">
        <f>IF(Refsz_Verbräuche[[#Headers],[2023]]=$B$43,IF(OR(SUMIF($E71:Refsz_Verbräuche[[#This Row],[2022]],"&gt;0")&gt;0,), AVERAGEIF($E71:Refsz_Verbräuche[[#This Row],[2022]],"&lt;&gt;"""), ""),IF($B$43=(Refsz_Verbräuche[[#Headers],[2023]]-1),Refsz_Verbräuche[[#This Row],[2022]],IF($B$43&lt;Refsz_Verbräuche[[#Headers],[2023]],Refsz_Verbräuche[[#This Row],[2022]],"")))</f>
        <v/>
      </c>
      <c r="N71" s="124" t="str">
        <f>IF(Refsz_Verbräuche[[#Headers],[2024]]=$B$43,IF(OR(SUMIF($E71:Refsz_Verbräuche[[#This Row],[2023]],"&gt;0")&gt;0,), AVERAGEIF($E71:Refsz_Verbräuche[[#This Row],[2023]],"&lt;&gt;"""), ""),IF($B$43=(Refsz_Verbräuche[[#Headers],[2024]]-1),Refsz_Verbräuche[[#This Row],[2023]],IF($B$43&lt;Refsz_Verbräuche[[#Headers],[2024]],Refsz_Verbräuche[[#This Row],[2023]],"")))</f>
        <v/>
      </c>
      <c r="O71" s="124" t="str">
        <f>IF(Refsz_Verbräuche[[#Headers],[2025]]=$B$43,IF(OR(SUMIF($E71:Refsz_Verbräuche[[#This Row],[2024]],"&gt;0")&gt;0,), AVERAGEIF($E71:Refsz_Verbräuche[[#This Row],[2024]],"&lt;&gt;"""), ""),IF($B$43=(Refsz_Verbräuche[[#Headers],[2025]]-1),Refsz_Verbräuche[[#This Row],[2024]],IF($B$43&lt;Refsz_Verbräuche[[#Headers],[2025]],Refsz_Verbräuche[[#This Row],[2024]],"")))</f>
        <v/>
      </c>
      <c r="P71" s="124" t="str">
        <f>IF(Refsz_Verbräuche[[#Headers],[2026]]=$B$43,IF(OR(SUMIF($E71:Refsz_Verbräuche[[#This Row],[2025]],"&gt;0")&gt;0,), AVERAGEIF($E71:Refsz_Verbräuche[[#This Row],[2025]],"&lt;&gt;"""), ""),IF($B$43=(Refsz_Verbräuche[[#Headers],[2026]]-1),Refsz_Verbräuche[[#This Row],[2025]],IF($B$43&lt;Refsz_Verbräuche[[#Headers],[2026]],Refsz_Verbräuche[[#This Row],[2025]],"")))</f>
        <v/>
      </c>
      <c r="Q71" s="124" t="str">
        <f>IF(Refsz_Verbräuche[[#Headers],[2027]]=$B$43,IF(OR(SUMIF($E71:Refsz_Verbräuche[[#This Row],[2026]],"&gt;0")&gt;0,), AVERAGEIF($E71:Refsz_Verbräuche[[#This Row],[2026]],"&lt;&gt;"""), ""),IF($B$43=(Refsz_Verbräuche[[#Headers],[2027]]-1),Refsz_Verbräuche[[#This Row],[2026]],IF($B$43&lt;Refsz_Verbräuche[[#Headers],[2027]],Refsz_Verbräuche[[#This Row],[2026]],"")))</f>
        <v/>
      </c>
      <c r="R71" s="124" t="str">
        <f>IF(Refsz_Verbräuche[[#Headers],[2028]]=$B$43,IF(OR(SUMIF($E71:Refsz_Verbräuche[[#This Row],[2027]],"&gt;0")&gt;0,), AVERAGEIF($E71:Refsz_Verbräuche[[#This Row],[2027]],"&lt;&gt;"""), ""),IF($B$43=(Refsz_Verbräuche[[#Headers],[2028]]-1),Refsz_Verbräuche[[#This Row],[2027]],IF($B$43&lt;Refsz_Verbräuche[[#Headers],[2028]],Refsz_Verbräuche[[#This Row],[2027]],"")))</f>
        <v/>
      </c>
      <c r="S71" s="124" t="str">
        <f>IF(Refsz_Verbräuche[[#Headers],[2029]]=$B$43,IF(OR(SUMIF($E71:Refsz_Verbräuche[[#This Row],[2028]],"&gt;0")&gt;0,), AVERAGEIF($E71:Refsz_Verbräuche[[#This Row],[2028]],"&lt;&gt;"""), ""),IF($B$43=(Refsz_Verbräuche[[#Headers],[2029]]-1),Refsz_Verbräuche[[#This Row],[2028]],IF($B$43&lt;Refsz_Verbräuche[[#Headers],[2029]],Refsz_Verbräuche[[#This Row],[2028]],"")))</f>
        <v/>
      </c>
      <c r="T71" s="124" t="str">
        <f>IF(Refsz_Verbräuche[[#Headers],[2030]]=$B$43,IF(OR(SUMIF($E71:Refsz_Verbräuche[[#This Row],[2029]],"&gt;0")&gt;0,), AVERAGEIF($E71:Refsz_Verbräuche[[#This Row],[2029]],"&lt;&gt;"""), ""),IF($B$43=(Refsz_Verbräuche[[#Headers],[2030]]-1),Refsz_Verbräuche[[#This Row],[2029]],IF($B$43&lt;Refsz_Verbräuche[[#Headers],[2030]],Refsz_Verbräuche[[#This Row],[2029]],"")))</f>
        <v/>
      </c>
      <c r="U71" s="124" t="str">
        <f>IF(Refsz_Verbräuche[[#Headers],[2035]]=$B$43,IF(OR(SUMIF($E71:Refsz_Verbräuche[[#This Row],[2030]],"&gt;0")&gt;0,), AVERAGEIF($E71:Refsz_Verbräuche[[#This Row],[2030]],"&lt;&gt;"""), ""),IF($B$43=(Refsz_Verbräuche[[#Headers],[2035]]-1),Refsz_Verbräuche[[#This Row],[2030]],IF($B$43&lt;Refsz_Verbräuche[[#Headers],[2035]],Refsz_Verbräuche[[#This Row],[2030]],"")))</f>
        <v/>
      </c>
      <c r="V71" s="124" t="str">
        <f>IF(Refsz_Verbräuche[[#Headers],[2040]]=$B$43,IF(OR(SUMIF($E71:Refsz_Verbräuche[[#This Row],[2035]],"&gt;0")&gt;0,), AVERAGEIF($E71:Refsz_Verbräuche[[#This Row],[2035]],"&lt;&gt;"""), ""),IF($B$43=(Refsz_Verbräuche[[#Headers],[2040]]-1),Refsz_Verbräuche[[#This Row],[2035]],IF($B$43&lt;Refsz_Verbräuche[[#Headers],[2040]],Refsz_Verbräuche[[#This Row],[2035]],"")))</f>
        <v/>
      </c>
      <c r="W71" s="124" t="str">
        <f>IF(Refsz_Verbräuche[[#Headers],[2045]]=$B$43,IF(OR(SUMIF($E71:Refsz_Verbräuche[[#This Row],[2040]],"&gt;0")&gt;0,), AVERAGEIF($E71:Refsz_Verbräuche[[#This Row],[2040]],"&lt;&gt;"""), ""),IF($B$43=(Refsz_Verbräuche[[#Headers],[2045]]-1),Refsz_Verbräuche[[#This Row],[2040]],IF($B$43&lt;Refsz_Verbräuche[[#Headers],[2045]],Refsz_Verbräuche[[#This Row],[2040]],"")))</f>
        <v/>
      </c>
      <c r="X71" s="124" t="str">
        <f>IF(Refsz_Verbräuche[[#Headers],[2050]]=$B$43,IF(OR(SUMIF($E71:Refsz_Verbräuche[[#This Row],[2045]],"&gt;0")&gt;0,), AVERAGEIF($E71:Refsz_Verbräuche[[#This Row],[2045]],"&lt;&gt;"""), ""),IF($B$43=(Refsz_Verbräuche[[#Headers],[2050]]-1),Refsz_Verbräuche[[#This Row],[2045]],IF($B$43&lt;Refsz_Verbräuche[[#Headers],[2050]],Refsz_Verbräuche[[#This Row],[2045]],"")))</f>
        <v/>
      </c>
      <c r="Z71" s="15"/>
    </row>
    <row r="72" spans="2:26" x14ac:dyDescent="0.35">
      <c r="B72" s="15">
        <v>12</v>
      </c>
      <c r="C72" s="10" t="s">
        <v>34</v>
      </c>
      <c r="D72" t="s">
        <v>46</v>
      </c>
      <c r="E72" s="124"/>
      <c r="F72" s="124"/>
      <c r="G72" s="124"/>
      <c r="H72" s="124"/>
      <c r="I72" s="124"/>
      <c r="J72" s="124"/>
      <c r="K72" s="124"/>
      <c r="L72" s="124" t="str">
        <f>IF(Refsz_Verbräuche[[#Headers],[2022]]=$B$43,IF(OR(SUMIF($E72:Refsz_Verbräuche[[#This Row],[2021]],"&gt;0")&gt;0,), AVERAGEIF($E72:Refsz_Verbräuche[[#This Row],[2021]],"&lt;&gt;"""), ""),IF($B$43=(Refsz_Verbräuche[[#Headers],[2022]]-1),Refsz_Verbräuche[[#This Row],[2021]],IF($B$43&lt;Refsz_Verbräuche[[#Headers],[2022]],Refsz_Verbräuche[[#This Row],[2021]],"")))</f>
        <v/>
      </c>
      <c r="M72" s="124" t="str">
        <f>IF(Refsz_Verbräuche[[#Headers],[2023]]=$B$43,IF(OR(SUMIF($E72:Refsz_Verbräuche[[#This Row],[2022]],"&gt;0")&gt;0,), AVERAGEIF($E72:Refsz_Verbräuche[[#This Row],[2022]],"&lt;&gt;"""), ""),IF($B$43=(Refsz_Verbräuche[[#Headers],[2023]]-1),Refsz_Verbräuche[[#This Row],[2022]],IF($B$43&lt;Refsz_Verbräuche[[#Headers],[2023]],Refsz_Verbräuche[[#This Row],[2022]],"")))</f>
        <v/>
      </c>
      <c r="N72" s="124" t="str">
        <f>IF(Refsz_Verbräuche[[#Headers],[2024]]=$B$43,IF(OR(SUMIF($E72:Refsz_Verbräuche[[#This Row],[2023]],"&gt;0")&gt;0,), AVERAGEIF($E72:Refsz_Verbräuche[[#This Row],[2023]],"&lt;&gt;"""), ""),IF($B$43=(Refsz_Verbräuche[[#Headers],[2024]]-1),Refsz_Verbräuche[[#This Row],[2023]],IF($B$43&lt;Refsz_Verbräuche[[#Headers],[2024]],Refsz_Verbräuche[[#This Row],[2023]],"")))</f>
        <v/>
      </c>
      <c r="O72" s="124" t="str">
        <f>IF(Refsz_Verbräuche[[#Headers],[2025]]=$B$43,IF(OR(SUMIF($E72:Refsz_Verbräuche[[#This Row],[2024]],"&gt;0")&gt;0,), AVERAGEIF($E72:Refsz_Verbräuche[[#This Row],[2024]],"&lt;&gt;"""), ""),IF($B$43=(Refsz_Verbräuche[[#Headers],[2025]]-1),Refsz_Verbräuche[[#This Row],[2024]],IF($B$43&lt;Refsz_Verbräuche[[#Headers],[2025]],Refsz_Verbräuche[[#This Row],[2024]],"")))</f>
        <v/>
      </c>
      <c r="P72" s="124" t="str">
        <f>IF(Refsz_Verbräuche[[#Headers],[2026]]=$B$43,IF(OR(SUMIF($E72:Refsz_Verbräuche[[#This Row],[2025]],"&gt;0")&gt;0,), AVERAGEIF($E72:Refsz_Verbräuche[[#This Row],[2025]],"&lt;&gt;"""), ""),IF($B$43=(Refsz_Verbräuche[[#Headers],[2026]]-1),Refsz_Verbräuche[[#This Row],[2025]],IF($B$43&lt;Refsz_Verbräuche[[#Headers],[2026]],Refsz_Verbräuche[[#This Row],[2025]],"")))</f>
        <v/>
      </c>
      <c r="Q72" s="124" t="str">
        <f>IF(Refsz_Verbräuche[[#Headers],[2027]]=$B$43,IF(OR(SUMIF($E72:Refsz_Verbräuche[[#This Row],[2026]],"&gt;0")&gt;0,), AVERAGEIF($E72:Refsz_Verbräuche[[#This Row],[2026]],"&lt;&gt;"""), ""),IF($B$43=(Refsz_Verbräuche[[#Headers],[2027]]-1),Refsz_Verbräuche[[#This Row],[2026]],IF($B$43&lt;Refsz_Verbräuche[[#Headers],[2027]],Refsz_Verbräuche[[#This Row],[2026]],"")))</f>
        <v/>
      </c>
      <c r="R72" s="124" t="str">
        <f>IF(Refsz_Verbräuche[[#Headers],[2028]]=$B$43,IF(OR(SUMIF($E72:Refsz_Verbräuche[[#This Row],[2027]],"&gt;0")&gt;0,), AVERAGEIF($E72:Refsz_Verbräuche[[#This Row],[2027]],"&lt;&gt;"""), ""),IF($B$43=(Refsz_Verbräuche[[#Headers],[2028]]-1),Refsz_Verbräuche[[#This Row],[2027]],IF($B$43&lt;Refsz_Verbräuche[[#Headers],[2028]],Refsz_Verbräuche[[#This Row],[2027]],"")))</f>
        <v/>
      </c>
      <c r="S72" s="124" t="str">
        <f>IF(Refsz_Verbräuche[[#Headers],[2029]]=$B$43,IF(OR(SUMIF($E72:Refsz_Verbräuche[[#This Row],[2028]],"&gt;0")&gt;0,), AVERAGEIF($E72:Refsz_Verbräuche[[#This Row],[2028]],"&lt;&gt;"""), ""),IF($B$43=(Refsz_Verbräuche[[#Headers],[2029]]-1),Refsz_Verbräuche[[#This Row],[2028]],IF($B$43&lt;Refsz_Verbräuche[[#Headers],[2029]],Refsz_Verbräuche[[#This Row],[2028]],"")))</f>
        <v/>
      </c>
      <c r="T72" s="124" t="str">
        <f>IF(Refsz_Verbräuche[[#Headers],[2030]]=$B$43,IF(OR(SUMIF($E72:Refsz_Verbräuche[[#This Row],[2029]],"&gt;0")&gt;0,), AVERAGEIF($E72:Refsz_Verbräuche[[#This Row],[2029]],"&lt;&gt;"""), ""),IF($B$43=(Refsz_Verbräuche[[#Headers],[2030]]-1),Refsz_Verbräuche[[#This Row],[2029]],IF($B$43&lt;Refsz_Verbräuche[[#Headers],[2030]],Refsz_Verbräuche[[#This Row],[2029]],"")))</f>
        <v/>
      </c>
      <c r="U72" s="124" t="str">
        <f>IF(Refsz_Verbräuche[[#Headers],[2035]]=$B$43,IF(OR(SUMIF($E72:Refsz_Verbräuche[[#This Row],[2030]],"&gt;0")&gt;0,), AVERAGEIF($E72:Refsz_Verbräuche[[#This Row],[2030]],"&lt;&gt;"""), ""),IF($B$43=(Refsz_Verbräuche[[#Headers],[2035]]-1),Refsz_Verbräuche[[#This Row],[2030]],IF($B$43&lt;Refsz_Verbräuche[[#Headers],[2035]],Refsz_Verbräuche[[#This Row],[2030]],"")))</f>
        <v/>
      </c>
      <c r="V72" s="124" t="str">
        <f>IF(Refsz_Verbräuche[[#Headers],[2040]]=$B$43,IF(OR(SUMIF($E72:Refsz_Verbräuche[[#This Row],[2035]],"&gt;0")&gt;0,), AVERAGEIF($E72:Refsz_Verbräuche[[#This Row],[2035]],"&lt;&gt;"""), ""),IF($B$43=(Refsz_Verbräuche[[#Headers],[2040]]-1),Refsz_Verbräuche[[#This Row],[2035]],IF($B$43&lt;Refsz_Verbräuche[[#Headers],[2040]],Refsz_Verbräuche[[#This Row],[2035]],"")))</f>
        <v/>
      </c>
      <c r="W72" s="124" t="str">
        <f>IF(Refsz_Verbräuche[[#Headers],[2045]]=$B$43,IF(OR(SUMIF($E72:Refsz_Verbräuche[[#This Row],[2040]],"&gt;0")&gt;0,), AVERAGEIF($E72:Refsz_Verbräuche[[#This Row],[2040]],"&lt;&gt;"""), ""),IF($B$43=(Refsz_Verbräuche[[#Headers],[2045]]-1),Refsz_Verbräuche[[#This Row],[2040]],IF($B$43&lt;Refsz_Verbräuche[[#Headers],[2045]],Refsz_Verbräuche[[#This Row],[2040]],"")))</f>
        <v/>
      </c>
      <c r="X72" s="124" t="str">
        <f>IF(Refsz_Verbräuche[[#Headers],[2050]]=$B$43,IF(OR(SUMIF($E72:Refsz_Verbräuche[[#This Row],[2045]],"&gt;0")&gt;0,), AVERAGEIF($E72:Refsz_Verbräuche[[#This Row],[2045]],"&lt;&gt;"""), ""),IF($B$43=(Refsz_Verbräuche[[#Headers],[2050]]-1),Refsz_Verbräuche[[#This Row],[2045]],IF($B$43&lt;Refsz_Verbräuche[[#Headers],[2050]],Refsz_Verbräuche[[#This Row],[2045]],"")))</f>
        <v/>
      </c>
      <c r="Z72" s="15"/>
    </row>
    <row r="73" spans="2:26" hidden="1" x14ac:dyDescent="0.35">
      <c r="B73" s="15">
        <v>13</v>
      </c>
      <c r="C73" s="50" t="s">
        <v>299</v>
      </c>
      <c r="D73" s="53" t="s">
        <v>242</v>
      </c>
      <c r="E73" s="15"/>
      <c r="F73" s="15"/>
      <c r="G73" s="15"/>
      <c r="H73" s="15"/>
      <c r="I73" s="15"/>
      <c r="J73" s="15"/>
      <c r="K73" s="15"/>
      <c r="L73" s="124" t="str">
        <f>IF(Refsz_Verbräuche[[#Headers],[2022]]=$B$43,IF(OR(SUMIF($E73:Refsz_Verbräuche[[#This Row],[2021]],"&gt;0")&gt;0,), AVERAGEIF($E73:Refsz_Verbräuche[[#This Row],[2021]],"&lt;&gt;"""), ""),IF($B$43=(Refsz_Verbräuche[[#Headers],[2022]]-1),Refsz_Verbräuche[[#This Row],[2021]],IF($B$43&lt;Refsz_Verbräuche[[#Headers],[2022]],Refsz_Verbräuche[[#This Row],[2021]],"")))</f>
        <v/>
      </c>
      <c r="M73" s="124" t="str">
        <f>IF(Refsz_Verbräuche[[#Headers],[2023]]=$B$43,IF(OR(SUMIF($E73:Refsz_Verbräuche[[#This Row],[2022]],"&gt;0")&gt;0,), AVERAGEIF($E73:Refsz_Verbräuche[[#This Row],[2022]],"&lt;&gt;"""), ""),IF($B$43=(Refsz_Verbräuche[[#Headers],[2023]]-1),Refsz_Verbräuche[[#This Row],[2022]],IF($B$43&lt;Refsz_Verbräuche[[#Headers],[2023]],Refsz_Verbräuche[[#This Row],[2022]],"")))</f>
        <v/>
      </c>
      <c r="N73" s="124" t="str">
        <f>IF(Refsz_Verbräuche[[#Headers],[2024]]=$B$43,IF(OR(SUMIF($E73:Refsz_Verbräuche[[#This Row],[2023]],"&gt;0")&gt;0,), AVERAGEIF($E73:Refsz_Verbräuche[[#This Row],[2023]],"&lt;&gt;"""), ""),IF($B$43=(Refsz_Verbräuche[[#Headers],[2024]]-1),Refsz_Verbräuche[[#This Row],[2023]],IF($B$43&lt;Refsz_Verbräuche[[#Headers],[2024]],Refsz_Verbräuche[[#This Row],[2023]],"")))</f>
        <v/>
      </c>
      <c r="O73" s="124" t="str">
        <f>IF(Refsz_Verbräuche[[#Headers],[2025]]=$B$43,IF(OR(SUMIF($E73:Refsz_Verbräuche[[#This Row],[2024]],"&gt;0")&gt;0,), AVERAGEIF($E73:Refsz_Verbräuche[[#This Row],[2024]],"&lt;&gt;"""), ""),IF($B$43=(Refsz_Verbräuche[[#Headers],[2025]]-1),Refsz_Verbräuche[[#This Row],[2024]],IF($B$43&lt;Refsz_Verbräuche[[#Headers],[2025]],Refsz_Verbräuche[[#This Row],[2024]],"")))</f>
        <v/>
      </c>
      <c r="P73" s="124" t="str">
        <f>IF(Refsz_Verbräuche[[#Headers],[2026]]=$B$43,IF(OR(SUMIF($E73:Refsz_Verbräuche[[#This Row],[2025]],"&gt;0")&gt;0,), AVERAGEIF($E73:Refsz_Verbräuche[[#This Row],[2025]],"&lt;&gt;"""), ""),IF($B$43=(Refsz_Verbräuche[[#Headers],[2026]]-1),Refsz_Verbräuche[[#This Row],[2025]],IF($B$43&lt;Refsz_Verbräuche[[#Headers],[2026]],Refsz_Verbräuche[[#This Row],[2025]],"")))</f>
        <v/>
      </c>
      <c r="Q73" s="124" t="str">
        <f>IF(Refsz_Verbräuche[[#Headers],[2027]]=$B$43,IF(OR(SUMIF($E73:Refsz_Verbräuche[[#This Row],[2026]],"&gt;0")&gt;0,), AVERAGEIF($E73:Refsz_Verbräuche[[#This Row],[2026]],"&lt;&gt;"""), ""),IF($B$43=(Refsz_Verbräuche[[#Headers],[2027]]-1),Refsz_Verbräuche[[#This Row],[2026]],IF($B$43&lt;Refsz_Verbräuche[[#Headers],[2027]],Refsz_Verbräuche[[#This Row],[2026]],"")))</f>
        <v/>
      </c>
      <c r="R73" s="124" t="str">
        <f>IF(Refsz_Verbräuche[[#Headers],[2028]]=$B$43,IF(OR(SUMIF($E73:Refsz_Verbräuche[[#This Row],[2027]],"&gt;0")&gt;0,), AVERAGEIF($E73:Refsz_Verbräuche[[#This Row],[2027]],"&lt;&gt;"""), ""),IF($B$43=(Refsz_Verbräuche[[#Headers],[2028]]-1),Refsz_Verbräuche[[#This Row],[2027]],IF($B$43&lt;Refsz_Verbräuche[[#Headers],[2028]],Refsz_Verbräuche[[#This Row],[2027]],"")))</f>
        <v/>
      </c>
      <c r="S73" s="124" t="str">
        <f>IF(Refsz_Verbräuche[[#Headers],[2029]]=$B$43,IF(OR(SUMIF($E73:Refsz_Verbräuche[[#This Row],[2028]],"&gt;0")&gt;0,), AVERAGEIF($E73:Refsz_Verbräuche[[#This Row],[2028]],"&lt;&gt;"""), ""),IF($B$43=(Refsz_Verbräuche[[#Headers],[2029]]-1),Refsz_Verbräuche[[#This Row],[2028]],IF($B$43&lt;Refsz_Verbräuche[[#Headers],[2029]],Refsz_Verbräuche[[#This Row],[2028]],"")))</f>
        <v/>
      </c>
      <c r="T73" s="124" t="str">
        <f>IF(Refsz_Verbräuche[[#Headers],[2030]]=$B$43,IF(OR(SUMIF($E73:Refsz_Verbräuche[[#This Row],[2029]],"&gt;0")&gt;0,), AVERAGEIF($E73:Refsz_Verbräuche[[#This Row],[2029]],"&lt;&gt;"""), ""),IF($B$43=(Refsz_Verbräuche[[#Headers],[2030]]-1),Refsz_Verbräuche[[#This Row],[2029]],IF($B$43&lt;Refsz_Verbräuche[[#Headers],[2030]],Refsz_Verbräuche[[#This Row],[2029]],"")))</f>
        <v/>
      </c>
      <c r="U73" s="124" t="str">
        <f>IF(Refsz_Verbräuche[[#Headers],[2035]]=$B$43,IF(OR(SUMIF($E73:Refsz_Verbräuche[[#This Row],[2030]],"&gt;0")&gt;0,), AVERAGEIF($E73:Refsz_Verbräuche[[#This Row],[2030]],"&lt;&gt;"""), ""),IF($B$43=(Refsz_Verbräuche[[#Headers],[2035]]-1),Refsz_Verbräuche[[#This Row],[2030]],IF($B$43&lt;Refsz_Verbräuche[[#Headers],[2035]],Refsz_Verbräuche[[#This Row],[2030]],"")))</f>
        <v/>
      </c>
      <c r="V73" s="124" t="str">
        <f>IF(Refsz_Verbräuche[[#Headers],[2040]]=$B$43,IF(OR(SUMIF($E73:Refsz_Verbräuche[[#This Row],[2035]],"&gt;0")&gt;0,), AVERAGEIF($E73:Refsz_Verbräuche[[#This Row],[2035]],"&lt;&gt;"""), ""),IF($B$43=(Refsz_Verbräuche[[#Headers],[2040]]-1),Refsz_Verbräuche[[#This Row],[2035]],IF($B$43&lt;Refsz_Verbräuche[[#Headers],[2040]],Refsz_Verbräuche[[#This Row],[2035]],"")))</f>
        <v/>
      </c>
      <c r="W73" s="124" t="str">
        <f>IF(Refsz_Verbräuche[[#Headers],[2045]]=$B$43,IF(OR(SUMIF($E73:Refsz_Verbräuche[[#This Row],[2040]],"&gt;0")&gt;0,), AVERAGEIF($E73:Refsz_Verbräuche[[#This Row],[2040]],"&lt;&gt;"""), ""),IF($B$43=(Refsz_Verbräuche[[#Headers],[2045]]-1),Refsz_Verbräuche[[#This Row],[2040]],IF($B$43&lt;Refsz_Verbräuche[[#Headers],[2045]],Refsz_Verbräuche[[#This Row],[2040]],"")))</f>
        <v/>
      </c>
      <c r="X73" s="124" t="str">
        <f>IF(Refsz_Verbräuche[[#Headers],[2050]]=$B$43,IF(OR(SUMIF($E73:Refsz_Verbräuche[[#This Row],[2045]],"&gt;0")&gt;0,), AVERAGEIF($E73:Refsz_Verbräuche[[#This Row],[2045]],"&lt;&gt;"""), ""),IF($B$43=(Refsz_Verbräuche[[#Headers],[2050]]-1),Refsz_Verbräuche[[#This Row],[2045]],IF($B$43&lt;Refsz_Verbräuche[[#Headers],[2050]],Refsz_Verbräuche[[#This Row],[2045]],"")))</f>
        <v/>
      </c>
      <c r="Z73" s="15"/>
    </row>
    <row r="74" spans="2:26" x14ac:dyDescent="0.35">
      <c r="B74" s="15">
        <v>14</v>
      </c>
      <c r="C74" s="10" t="s">
        <v>544</v>
      </c>
      <c r="D74" t="s">
        <v>46</v>
      </c>
      <c r="E74" s="124"/>
      <c r="F74" s="124"/>
      <c r="G74" s="124"/>
      <c r="H74" s="124"/>
      <c r="I74" s="124"/>
      <c r="J74" s="124"/>
      <c r="K74" s="124"/>
      <c r="L74" s="124" t="str">
        <f>IF(Refsz_Verbräuche[[#Headers],[2022]]=$B$43,IF(OR(SUMIF($E74:Refsz_Verbräuche[[#This Row],[2021]],"&gt;0")&gt;0,), AVERAGEIF($E74:Refsz_Verbräuche[[#This Row],[2021]],"&lt;&gt;"""), ""),IF($B$43=(Refsz_Verbräuche[[#Headers],[2022]]-1),Refsz_Verbräuche[[#This Row],[2021]],IF($B$43&lt;Refsz_Verbräuche[[#Headers],[2022]],Refsz_Verbräuche[[#This Row],[2021]],"")))</f>
        <v/>
      </c>
      <c r="M74" s="124" t="str">
        <f>IF(Refsz_Verbräuche[[#Headers],[2023]]=$B$43,IF(OR(SUMIF($E74:Refsz_Verbräuche[[#This Row],[2022]],"&gt;0")&gt;0,), AVERAGEIF($E74:Refsz_Verbräuche[[#This Row],[2022]],"&lt;&gt;"""), ""),IF($B$43=(Refsz_Verbräuche[[#Headers],[2023]]-1),Refsz_Verbräuche[[#This Row],[2022]],IF($B$43&lt;Refsz_Verbräuche[[#Headers],[2023]],Refsz_Verbräuche[[#This Row],[2022]],"")))</f>
        <v/>
      </c>
      <c r="N74" s="124" t="str">
        <f>IF(Refsz_Verbräuche[[#Headers],[2024]]=$B$43,IF(OR(SUMIF($E74:Refsz_Verbräuche[[#This Row],[2023]],"&gt;0")&gt;0,), AVERAGEIF($E74:Refsz_Verbräuche[[#This Row],[2023]],"&lt;&gt;"""), ""),IF($B$43=(Refsz_Verbräuche[[#Headers],[2024]]-1),Refsz_Verbräuche[[#This Row],[2023]],IF($B$43&lt;Refsz_Verbräuche[[#Headers],[2024]],Refsz_Verbräuche[[#This Row],[2023]],"")))</f>
        <v/>
      </c>
      <c r="O74" s="124" t="str">
        <f>IF(Refsz_Verbräuche[[#Headers],[2025]]=$B$43,IF(OR(SUMIF($E74:Refsz_Verbräuche[[#This Row],[2024]],"&gt;0")&gt;0,), AVERAGEIF($E74:Refsz_Verbräuche[[#This Row],[2024]],"&lt;&gt;"""), ""),IF($B$43=(Refsz_Verbräuche[[#Headers],[2025]]-1),Refsz_Verbräuche[[#This Row],[2024]],IF($B$43&lt;Refsz_Verbräuche[[#Headers],[2025]],Refsz_Verbräuche[[#This Row],[2024]],"")))</f>
        <v/>
      </c>
      <c r="P74" s="124" t="str">
        <f>IF(Refsz_Verbräuche[[#Headers],[2026]]=$B$43,IF(OR(SUMIF($E74:Refsz_Verbräuche[[#This Row],[2025]],"&gt;0")&gt;0,), AVERAGEIF($E74:Refsz_Verbräuche[[#This Row],[2025]],"&lt;&gt;"""), ""),IF($B$43=(Refsz_Verbräuche[[#Headers],[2026]]-1),Refsz_Verbräuche[[#This Row],[2025]],IF($B$43&lt;Refsz_Verbräuche[[#Headers],[2026]],Refsz_Verbräuche[[#This Row],[2025]],"")))</f>
        <v/>
      </c>
      <c r="Q74" s="124" t="str">
        <f>IF(Refsz_Verbräuche[[#Headers],[2027]]=$B$43,IF(OR(SUMIF($E74:Refsz_Verbräuche[[#This Row],[2026]],"&gt;0")&gt;0,), AVERAGEIF($E74:Refsz_Verbräuche[[#This Row],[2026]],"&lt;&gt;"""), ""),IF($B$43=(Refsz_Verbräuche[[#Headers],[2027]]-1),Refsz_Verbräuche[[#This Row],[2026]],IF($B$43&lt;Refsz_Verbräuche[[#Headers],[2027]],Refsz_Verbräuche[[#This Row],[2026]],"")))</f>
        <v/>
      </c>
      <c r="R74" s="124" t="str">
        <f>IF(Refsz_Verbräuche[[#Headers],[2028]]=$B$43,IF(OR(SUMIF($E74:Refsz_Verbräuche[[#This Row],[2027]],"&gt;0")&gt;0,), AVERAGEIF($E74:Refsz_Verbräuche[[#This Row],[2027]],"&lt;&gt;"""), ""),IF($B$43=(Refsz_Verbräuche[[#Headers],[2028]]-1),Refsz_Verbräuche[[#This Row],[2027]],IF($B$43&lt;Refsz_Verbräuche[[#Headers],[2028]],Refsz_Verbräuche[[#This Row],[2027]],"")))</f>
        <v/>
      </c>
      <c r="S74" s="124" t="str">
        <f>IF(Refsz_Verbräuche[[#Headers],[2029]]=$B$43,IF(OR(SUMIF($E74:Refsz_Verbräuche[[#This Row],[2028]],"&gt;0")&gt;0,), AVERAGEIF($E74:Refsz_Verbräuche[[#This Row],[2028]],"&lt;&gt;"""), ""),IF($B$43=(Refsz_Verbräuche[[#Headers],[2029]]-1),Refsz_Verbräuche[[#This Row],[2028]],IF($B$43&lt;Refsz_Verbräuche[[#Headers],[2029]],Refsz_Verbräuche[[#This Row],[2028]],"")))</f>
        <v/>
      </c>
      <c r="T74" s="124" t="str">
        <f>IF(Refsz_Verbräuche[[#Headers],[2030]]=$B$43,IF(OR(SUMIF($E74:Refsz_Verbräuche[[#This Row],[2029]],"&gt;0")&gt;0,), AVERAGEIF($E74:Refsz_Verbräuche[[#This Row],[2029]],"&lt;&gt;"""), ""),IF($B$43=(Refsz_Verbräuche[[#Headers],[2030]]-1),Refsz_Verbräuche[[#This Row],[2029]],IF($B$43&lt;Refsz_Verbräuche[[#Headers],[2030]],Refsz_Verbräuche[[#This Row],[2029]],"")))</f>
        <v/>
      </c>
      <c r="U74" s="124" t="str">
        <f>IF(Refsz_Verbräuche[[#Headers],[2035]]=$B$43,IF(OR(SUMIF($E74:Refsz_Verbräuche[[#This Row],[2030]],"&gt;0")&gt;0,), AVERAGEIF($E74:Refsz_Verbräuche[[#This Row],[2030]],"&lt;&gt;"""), ""),IF($B$43=(Refsz_Verbräuche[[#Headers],[2035]]-1),Refsz_Verbräuche[[#This Row],[2030]],IF($B$43&lt;Refsz_Verbräuche[[#Headers],[2035]],Refsz_Verbräuche[[#This Row],[2030]],"")))</f>
        <v/>
      </c>
      <c r="V74" s="124" t="str">
        <f>IF(Refsz_Verbräuche[[#Headers],[2040]]=$B$43,IF(OR(SUMIF($E74:Refsz_Verbräuche[[#This Row],[2035]],"&gt;0")&gt;0,), AVERAGEIF($E74:Refsz_Verbräuche[[#This Row],[2035]],"&lt;&gt;"""), ""),IF($B$43=(Refsz_Verbräuche[[#Headers],[2040]]-1),Refsz_Verbräuche[[#This Row],[2035]],IF($B$43&lt;Refsz_Verbräuche[[#Headers],[2040]],Refsz_Verbräuche[[#This Row],[2035]],"")))</f>
        <v/>
      </c>
      <c r="W74" s="124" t="str">
        <f>IF(Refsz_Verbräuche[[#Headers],[2045]]=$B$43,IF(OR(SUMIF($E74:Refsz_Verbräuche[[#This Row],[2040]],"&gt;0")&gt;0,), AVERAGEIF($E74:Refsz_Verbräuche[[#This Row],[2040]],"&lt;&gt;"""), ""),IF($B$43=(Refsz_Verbräuche[[#Headers],[2045]]-1),Refsz_Verbräuche[[#This Row],[2040]],IF($B$43&lt;Refsz_Verbräuche[[#Headers],[2045]],Refsz_Verbräuche[[#This Row],[2040]],"")))</f>
        <v/>
      </c>
      <c r="X74" s="124" t="str">
        <f>IF(Refsz_Verbräuche[[#Headers],[2050]]=$B$43,IF(OR(SUMIF($E74:Refsz_Verbräuche[[#This Row],[2045]],"&gt;0")&gt;0,), AVERAGEIF($E74:Refsz_Verbräuche[[#This Row],[2045]],"&lt;&gt;"""), ""),IF($B$43=(Refsz_Verbräuche[[#Headers],[2050]]-1),Refsz_Verbräuche[[#This Row],[2045]],IF($B$43&lt;Refsz_Verbräuche[[#Headers],[2050]],Refsz_Verbräuche[[#This Row],[2045]],"")))</f>
        <v/>
      </c>
      <c r="Z74" s="15"/>
    </row>
    <row r="75" spans="2:26" x14ac:dyDescent="0.35">
      <c r="B75" s="15">
        <v>15</v>
      </c>
      <c r="C75" s="51" t="s">
        <v>51</v>
      </c>
      <c r="D75" t="s">
        <v>46</v>
      </c>
      <c r="E75" s="124"/>
      <c r="F75" s="124"/>
      <c r="G75" s="124"/>
      <c r="H75" s="124"/>
      <c r="I75" s="124"/>
      <c r="J75" s="124"/>
      <c r="K75" s="124"/>
      <c r="L75" s="124" t="str">
        <f>IF(Refsz_Verbräuche[[#Headers],[2022]]=$B$43,IF(OR(SUMIF($E75:Refsz_Verbräuche[[#This Row],[2021]],"&gt;0")&gt;0,), AVERAGEIF($E75:Refsz_Verbräuche[[#This Row],[2021]],"&lt;&gt;"""), ""),IF($B$43=(Refsz_Verbräuche[[#Headers],[2022]]-1),Refsz_Verbräuche[[#This Row],[2021]],IF($B$43&lt;Refsz_Verbräuche[[#Headers],[2022]],Refsz_Verbräuche[[#This Row],[2021]],"")))</f>
        <v/>
      </c>
      <c r="M75" s="124" t="str">
        <f>IF(Refsz_Verbräuche[[#Headers],[2023]]=$B$43,IF(OR(SUMIF($E75:Refsz_Verbräuche[[#This Row],[2022]],"&gt;0")&gt;0,), AVERAGEIF($E75:Refsz_Verbräuche[[#This Row],[2022]],"&lt;&gt;"""), ""),IF($B$43=(Refsz_Verbräuche[[#Headers],[2023]]-1),Refsz_Verbräuche[[#This Row],[2022]],IF($B$43&lt;Refsz_Verbräuche[[#Headers],[2023]],Refsz_Verbräuche[[#This Row],[2022]],"")))</f>
        <v/>
      </c>
      <c r="N75" s="124" t="str">
        <f>IF(Refsz_Verbräuche[[#Headers],[2024]]=$B$43,IF(OR(SUMIF($E75:Refsz_Verbräuche[[#This Row],[2023]],"&gt;0")&gt;0,), AVERAGEIF($E75:Refsz_Verbräuche[[#This Row],[2023]],"&lt;&gt;"""), ""),IF($B$43=(Refsz_Verbräuche[[#Headers],[2024]]-1),Refsz_Verbräuche[[#This Row],[2023]],IF($B$43&lt;Refsz_Verbräuche[[#Headers],[2024]],Refsz_Verbräuche[[#This Row],[2023]],"")))</f>
        <v/>
      </c>
      <c r="O75" s="124" t="str">
        <f>IF(Refsz_Verbräuche[[#Headers],[2025]]=$B$43,IF(OR(SUMIF($E75:Refsz_Verbräuche[[#This Row],[2024]],"&gt;0")&gt;0,), AVERAGEIF($E75:Refsz_Verbräuche[[#This Row],[2024]],"&lt;&gt;"""), ""),IF($B$43=(Refsz_Verbräuche[[#Headers],[2025]]-1),Refsz_Verbräuche[[#This Row],[2024]],IF($B$43&lt;Refsz_Verbräuche[[#Headers],[2025]],Refsz_Verbräuche[[#This Row],[2024]],"")))</f>
        <v/>
      </c>
      <c r="P75" s="124" t="str">
        <f>IF(Refsz_Verbräuche[[#Headers],[2026]]=$B$43,IF(OR(SUMIF($E75:Refsz_Verbräuche[[#This Row],[2025]],"&gt;0")&gt;0,), AVERAGEIF($E75:Refsz_Verbräuche[[#This Row],[2025]],"&lt;&gt;"""), ""),IF($B$43=(Refsz_Verbräuche[[#Headers],[2026]]-1),Refsz_Verbräuche[[#This Row],[2025]],IF($B$43&lt;Refsz_Verbräuche[[#Headers],[2026]],Refsz_Verbräuche[[#This Row],[2025]],"")))</f>
        <v/>
      </c>
      <c r="Q75" s="124" t="str">
        <f>IF(Refsz_Verbräuche[[#Headers],[2027]]=$B$43,IF(OR(SUMIF($E75:Refsz_Verbräuche[[#This Row],[2026]],"&gt;0")&gt;0,), AVERAGEIF($E75:Refsz_Verbräuche[[#This Row],[2026]],"&lt;&gt;"""), ""),IF($B$43=(Refsz_Verbräuche[[#Headers],[2027]]-1),Refsz_Verbräuche[[#This Row],[2026]],IF($B$43&lt;Refsz_Verbräuche[[#Headers],[2027]],Refsz_Verbräuche[[#This Row],[2026]],"")))</f>
        <v/>
      </c>
      <c r="R75" s="124" t="str">
        <f>IF(Refsz_Verbräuche[[#Headers],[2028]]=$B$43,IF(OR(SUMIF($E75:Refsz_Verbräuche[[#This Row],[2027]],"&gt;0")&gt;0,), AVERAGEIF($E75:Refsz_Verbräuche[[#This Row],[2027]],"&lt;&gt;"""), ""),IF($B$43=(Refsz_Verbräuche[[#Headers],[2028]]-1),Refsz_Verbräuche[[#This Row],[2027]],IF($B$43&lt;Refsz_Verbräuche[[#Headers],[2028]],Refsz_Verbräuche[[#This Row],[2027]],"")))</f>
        <v/>
      </c>
      <c r="S75" s="124" t="str">
        <f>IF(Refsz_Verbräuche[[#Headers],[2029]]=$B$43,IF(OR(SUMIF($E75:Refsz_Verbräuche[[#This Row],[2028]],"&gt;0")&gt;0,), AVERAGEIF($E75:Refsz_Verbräuche[[#This Row],[2028]],"&lt;&gt;"""), ""),IF($B$43=(Refsz_Verbräuche[[#Headers],[2029]]-1),Refsz_Verbräuche[[#This Row],[2028]],IF($B$43&lt;Refsz_Verbräuche[[#Headers],[2029]],Refsz_Verbräuche[[#This Row],[2028]],"")))</f>
        <v/>
      </c>
      <c r="T75" s="124" t="str">
        <f>IF(Refsz_Verbräuche[[#Headers],[2030]]=$B$43,IF(OR(SUMIF($E75:Refsz_Verbräuche[[#This Row],[2029]],"&gt;0")&gt;0,), AVERAGEIF($E75:Refsz_Verbräuche[[#This Row],[2029]],"&lt;&gt;"""), ""),IF($B$43=(Refsz_Verbräuche[[#Headers],[2030]]-1),Refsz_Verbräuche[[#This Row],[2029]],IF($B$43&lt;Refsz_Verbräuche[[#Headers],[2030]],Refsz_Verbräuche[[#This Row],[2029]],"")))</f>
        <v/>
      </c>
      <c r="U75" s="124" t="str">
        <f>IF(Refsz_Verbräuche[[#Headers],[2035]]=$B$43,IF(OR(SUMIF($E75:Refsz_Verbräuche[[#This Row],[2030]],"&gt;0")&gt;0,), AVERAGEIF($E75:Refsz_Verbräuche[[#This Row],[2030]],"&lt;&gt;"""), ""),IF($B$43=(Refsz_Verbräuche[[#Headers],[2035]]-1),Refsz_Verbräuche[[#This Row],[2030]],IF($B$43&lt;Refsz_Verbräuche[[#Headers],[2035]],Refsz_Verbräuche[[#This Row],[2030]],"")))</f>
        <v/>
      </c>
      <c r="V75" s="124" t="str">
        <f>IF(Refsz_Verbräuche[[#Headers],[2040]]=$B$43,IF(OR(SUMIF($E75:Refsz_Verbräuche[[#This Row],[2035]],"&gt;0")&gt;0,), AVERAGEIF($E75:Refsz_Verbräuche[[#This Row],[2035]],"&lt;&gt;"""), ""),IF($B$43=(Refsz_Verbräuche[[#Headers],[2040]]-1),Refsz_Verbräuche[[#This Row],[2035]],IF($B$43&lt;Refsz_Verbräuche[[#Headers],[2040]],Refsz_Verbräuche[[#This Row],[2035]],"")))</f>
        <v/>
      </c>
      <c r="W75" s="124" t="str">
        <f>IF(Refsz_Verbräuche[[#Headers],[2045]]=$B$43,IF(OR(SUMIF($E75:Refsz_Verbräuche[[#This Row],[2040]],"&gt;0")&gt;0,), AVERAGEIF($E75:Refsz_Verbräuche[[#This Row],[2040]],"&lt;&gt;"""), ""),IF($B$43=(Refsz_Verbräuche[[#Headers],[2045]]-1),Refsz_Verbräuche[[#This Row],[2040]],IF($B$43&lt;Refsz_Verbräuche[[#Headers],[2045]],Refsz_Verbräuche[[#This Row],[2040]],"")))</f>
        <v/>
      </c>
      <c r="X75" s="124" t="str">
        <f>IF(Refsz_Verbräuche[[#Headers],[2050]]=$B$43,IF(OR(SUMIF($E75:Refsz_Verbräuche[[#This Row],[2045]],"&gt;0")&gt;0,), AVERAGEIF($E75:Refsz_Verbräuche[[#This Row],[2045]],"&lt;&gt;"""), ""),IF($B$43=(Refsz_Verbräuche[[#Headers],[2050]]-1),Refsz_Verbräuche[[#This Row],[2045]],IF($B$43&lt;Refsz_Verbräuche[[#Headers],[2050]],Refsz_Verbräuche[[#This Row],[2045]],"")))</f>
        <v/>
      </c>
      <c r="Z75" s="15"/>
    </row>
    <row r="76" spans="2:26" x14ac:dyDescent="0.35">
      <c r="B76" s="15">
        <v>16</v>
      </c>
      <c r="C76" s="10" t="s">
        <v>35</v>
      </c>
      <c r="D76" t="s">
        <v>46</v>
      </c>
      <c r="E76" s="124"/>
      <c r="F76" s="124"/>
      <c r="G76" s="124"/>
      <c r="H76" s="124"/>
      <c r="I76" s="124"/>
      <c r="J76" s="124"/>
      <c r="K76" s="124"/>
      <c r="L76" s="124" t="str">
        <f>IF(Refsz_Verbräuche[[#Headers],[2022]]=$B$43,IF(OR(SUMIF($E76:Refsz_Verbräuche[[#This Row],[2021]],"&gt;0")&gt;0,), AVERAGEIF($E76:Refsz_Verbräuche[[#This Row],[2021]],"&lt;&gt;"""), ""),IF($B$43=(Refsz_Verbräuche[[#Headers],[2022]]-1),Refsz_Verbräuche[[#This Row],[2021]],IF($B$43&lt;Refsz_Verbräuche[[#Headers],[2022]],Refsz_Verbräuche[[#This Row],[2021]],"")))</f>
        <v/>
      </c>
      <c r="M76" s="124" t="str">
        <f>IF(Refsz_Verbräuche[[#Headers],[2023]]=$B$43,IF(OR(SUMIF($E76:Refsz_Verbräuche[[#This Row],[2022]],"&gt;0")&gt;0,), AVERAGEIF($E76:Refsz_Verbräuche[[#This Row],[2022]],"&lt;&gt;"""), ""),IF($B$43=(Refsz_Verbräuche[[#Headers],[2023]]-1),Refsz_Verbräuche[[#This Row],[2022]],IF($B$43&lt;Refsz_Verbräuche[[#Headers],[2023]],Refsz_Verbräuche[[#This Row],[2022]],"")))</f>
        <v/>
      </c>
      <c r="N76" s="124" t="str">
        <f>IF(Refsz_Verbräuche[[#Headers],[2024]]=$B$43,IF(OR(SUMIF($E76:Refsz_Verbräuche[[#This Row],[2023]],"&gt;0")&gt;0,), AVERAGEIF($E76:Refsz_Verbräuche[[#This Row],[2023]],"&lt;&gt;"""), ""),IF($B$43=(Refsz_Verbräuche[[#Headers],[2024]]-1),Refsz_Verbräuche[[#This Row],[2023]],IF($B$43&lt;Refsz_Verbräuche[[#Headers],[2024]],Refsz_Verbräuche[[#This Row],[2023]],"")))</f>
        <v/>
      </c>
      <c r="O76" s="124" t="str">
        <f>IF(Refsz_Verbräuche[[#Headers],[2025]]=$B$43,IF(OR(SUMIF($E76:Refsz_Verbräuche[[#This Row],[2024]],"&gt;0")&gt;0,), AVERAGEIF($E76:Refsz_Verbräuche[[#This Row],[2024]],"&lt;&gt;"""), ""),IF($B$43=(Refsz_Verbräuche[[#Headers],[2025]]-1),Refsz_Verbräuche[[#This Row],[2024]],IF($B$43&lt;Refsz_Verbräuche[[#Headers],[2025]],Refsz_Verbräuche[[#This Row],[2024]],"")))</f>
        <v/>
      </c>
      <c r="P76" s="124" t="str">
        <f>IF(Refsz_Verbräuche[[#Headers],[2026]]=$B$43,IF(OR(SUMIF($E76:Refsz_Verbräuche[[#This Row],[2025]],"&gt;0")&gt;0,), AVERAGEIF($E76:Refsz_Verbräuche[[#This Row],[2025]],"&lt;&gt;"""), ""),IF($B$43=(Refsz_Verbräuche[[#Headers],[2026]]-1),Refsz_Verbräuche[[#This Row],[2025]],IF($B$43&lt;Refsz_Verbräuche[[#Headers],[2026]],Refsz_Verbräuche[[#This Row],[2025]],"")))</f>
        <v/>
      </c>
      <c r="Q76" s="124" t="str">
        <f>IF(Refsz_Verbräuche[[#Headers],[2027]]=$B$43,IF(OR(SUMIF($E76:Refsz_Verbräuche[[#This Row],[2026]],"&gt;0")&gt;0,), AVERAGEIF($E76:Refsz_Verbräuche[[#This Row],[2026]],"&lt;&gt;"""), ""),IF($B$43=(Refsz_Verbräuche[[#Headers],[2027]]-1),Refsz_Verbräuche[[#This Row],[2026]],IF($B$43&lt;Refsz_Verbräuche[[#Headers],[2027]],Refsz_Verbräuche[[#This Row],[2026]],"")))</f>
        <v/>
      </c>
      <c r="R76" s="124" t="str">
        <f>IF(Refsz_Verbräuche[[#Headers],[2028]]=$B$43,IF(OR(SUMIF($E76:Refsz_Verbräuche[[#This Row],[2027]],"&gt;0")&gt;0,), AVERAGEIF($E76:Refsz_Verbräuche[[#This Row],[2027]],"&lt;&gt;"""), ""),IF($B$43=(Refsz_Verbräuche[[#Headers],[2028]]-1),Refsz_Verbräuche[[#This Row],[2027]],IF($B$43&lt;Refsz_Verbräuche[[#Headers],[2028]],Refsz_Verbräuche[[#This Row],[2027]],"")))</f>
        <v/>
      </c>
      <c r="S76" s="124" t="str">
        <f>IF(Refsz_Verbräuche[[#Headers],[2029]]=$B$43,IF(OR(SUMIF($E76:Refsz_Verbräuche[[#This Row],[2028]],"&gt;0")&gt;0,), AVERAGEIF($E76:Refsz_Verbräuche[[#This Row],[2028]],"&lt;&gt;"""), ""),IF($B$43=(Refsz_Verbräuche[[#Headers],[2029]]-1),Refsz_Verbräuche[[#This Row],[2028]],IF($B$43&lt;Refsz_Verbräuche[[#Headers],[2029]],Refsz_Verbräuche[[#This Row],[2028]],"")))</f>
        <v/>
      </c>
      <c r="T76" s="124" t="str">
        <f>IF(Refsz_Verbräuche[[#Headers],[2030]]=$B$43,IF(OR(SUMIF($E76:Refsz_Verbräuche[[#This Row],[2029]],"&gt;0")&gt;0,), AVERAGEIF($E76:Refsz_Verbräuche[[#This Row],[2029]],"&lt;&gt;"""), ""),IF($B$43=(Refsz_Verbräuche[[#Headers],[2030]]-1),Refsz_Verbräuche[[#This Row],[2029]],IF($B$43&lt;Refsz_Verbräuche[[#Headers],[2030]],Refsz_Verbräuche[[#This Row],[2029]],"")))</f>
        <v/>
      </c>
      <c r="U76" s="124" t="str">
        <f>IF(Refsz_Verbräuche[[#Headers],[2035]]=$B$43,IF(OR(SUMIF($E76:Refsz_Verbräuche[[#This Row],[2030]],"&gt;0")&gt;0,), AVERAGEIF($E76:Refsz_Verbräuche[[#This Row],[2030]],"&lt;&gt;"""), ""),IF($B$43=(Refsz_Verbräuche[[#Headers],[2035]]-1),Refsz_Verbräuche[[#This Row],[2030]],IF($B$43&lt;Refsz_Verbräuche[[#Headers],[2035]],Refsz_Verbräuche[[#This Row],[2030]],"")))</f>
        <v/>
      </c>
      <c r="V76" s="124" t="str">
        <f>IF(Refsz_Verbräuche[[#Headers],[2040]]=$B$43,IF(OR(SUMIF($E76:Refsz_Verbräuche[[#This Row],[2035]],"&gt;0")&gt;0,), AVERAGEIF($E76:Refsz_Verbräuche[[#This Row],[2035]],"&lt;&gt;"""), ""),IF($B$43=(Refsz_Verbräuche[[#Headers],[2040]]-1),Refsz_Verbräuche[[#This Row],[2035]],IF($B$43&lt;Refsz_Verbräuche[[#Headers],[2040]],Refsz_Verbräuche[[#This Row],[2035]],"")))</f>
        <v/>
      </c>
      <c r="W76" s="124" t="str">
        <f>IF(Refsz_Verbräuche[[#Headers],[2045]]=$B$43,IF(OR(SUMIF($E76:Refsz_Verbräuche[[#This Row],[2040]],"&gt;0")&gt;0,), AVERAGEIF($E76:Refsz_Verbräuche[[#This Row],[2040]],"&lt;&gt;"""), ""),IF($B$43=(Refsz_Verbräuche[[#Headers],[2045]]-1),Refsz_Verbräuche[[#This Row],[2040]],IF($B$43&lt;Refsz_Verbräuche[[#Headers],[2045]],Refsz_Verbräuche[[#This Row],[2040]],"")))</f>
        <v/>
      </c>
      <c r="X76" s="124" t="str">
        <f>IF(Refsz_Verbräuche[[#Headers],[2050]]=$B$43,IF(OR(SUMIF($E76:Refsz_Verbräuche[[#This Row],[2045]],"&gt;0")&gt;0,), AVERAGEIF($E76:Refsz_Verbräuche[[#This Row],[2045]],"&lt;&gt;"""), ""),IF($B$43=(Refsz_Verbräuche[[#Headers],[2050]]-1),Refsz_Verbräuche[[#This Row],[2045]],IF($B$43&lt;Refsz_Verbräuche[[#Headers],[2050]],Refsz_Verbräuche[[#This Row],[2045]],"")))</f>
        <v/>
      </c>
      <c r="Z76" s="15"/>
    </row>
    <row r="77" spans="2:26" x14ac:dyDescent="0.35">
      <c r="B77" s="15">
        <v>17</v>
      </c>
      <c r="C77" s="10" t="s">
        <v>172</v>
      </c>
      <c r="D77" t="s">
        <v>46</v>
      </c>
      <c r="E77" s="124"/>
      <c r="F77" s="124"/>
      <c r="G77" s="124"/>
      <c r="H77" s="124"/>
      <c r="I77" s="124"/>
      <c r="J77" s="124"/>
      <c r="K77" s="124"/>
      <c r="L77" s="124" t="str">
        <f>IF(Refsz_Verbräuche[[#Headers],[2022]]=$B$43,IF(OR(SUMIF($E77:Refsz_Verbräuche[[#This Row],[2021]],"&gt;0")&gt;0,), AVERAGEIF($E77:Refsz_Verbräuche[[#This Row],[2021]],"&lt;&gt;"""), ""),IF($B$43=(Refsz_Verbräuche[[#Headers],[2022]]-1),Refsz_Verbräuche[[#This Row],[2021]],IF($B$43&lt;Refsz_Verbräuche[[#Headers],[2022]],Refsz_Verbräuche[[#This Row],[2021]],"")))</f>
        <v/>
      </c>
      <c r="M77" s="124" t="str">
        <f>IF(Refsz_Verbräuche[[#Headers],[2023]]=$B$43,IF(OR(SUMIF($E77:Refsz_Verbräuche[[#This Row],[2022]],"&gt;0")&gt;0,), AVERAGEIF($E77:Refsz_Verbräuche[[#This Row],[2022]],"&lt;&gt;"""), ""),IF($B$43=(Refsz_Verbräuche[[#Headers],[2023]]-1),Refsz_Verbräuche[[#This Row],[2022]],IF($B$43&lt;Refsz_Verbräuche[[#Headers],[2023]],Refsz_Verbräuche[[#This Row],[2022]],"")))</f>
        <v/>
      </c>
      <c r="N77" s="124" t="str">
        <f>IF(Refsz_Verbräuche[[#Headers],[2024]]=$B$43,IF(OR(SUMIF($E77:Refsz_Verbräuche[[#This Row],[2023]],"&gt;0")&gt;0,), AVERAGEIF($E77:Refsz_Verbräuche[[#This Row],[2023]],"&lt;&gt;"""), ""),IF($B$43=(Refsz_Verbräuche[[#Headers],[2024]]-1),Refsz_Verbräuche[[#This Row],[2023]],IF($B$43&lt;Refsz_Verbräuche[[#Headers],[2024]],Refsz_Verbräuche[[#This Row],[2023]],"")))</f>
        <v/>
      </c>
      <c r="O77" s="124" t="str">
        <f>IF(Refsz_Verbräuche[[#Headers],[2025]]=$B$43,IF(OR(SUMIF($E77:Refsz_Verbräuche[[#This Row],[2024]],"&gt;0")&gt;0,), AVERAGEIF($E77:Refsz_Verbräuche[[#This Row],[2024]],"&lt;&gt;"""), ""),IF($B$43=(Refsz_Verbräuche[[#Headers],[2025]]-1),Refsz_Verbräuche[[#This Row],[2024]],IF($B$43&lt;Refsz_Verbräuche[[#Headers],[2025]],Refsz_Verbräuche[[#This Row],[2024]],"")))</f>
        <v/>
      </c>
      <c r="P77" s="124" t="str">
        <f>IF(Refsz_Verbräuche[[#Headers],[2026]]=$B$43,IF(OR(SUMIF($E77:Refsz_Verbräuche[[#This Row],[2025]],"&gt;0")&gt;0,), AVERAGEIF($E77:Refsz_Verbräuche[[#This Row],[2025]],"&lt;&gt;"""), ""),IF($B$43=(Refsz_Verbräuche[[#Headers],[2026]]-1),Refsz_Verbräuche[[#This Row],[2025]],IF($B$43&lt;Refsz_Verbräuche[[#Headers],[2026]],Refsz_Verbräuche[[#This Row],[2025]],"")))</f>
        <v/>
      </c>
      <c r="Q77" s="124" t="str">
        <f>IF(Refsz_Verbräuche[[#Headers],[2027]]=$B$43,IF(OR(SUMIF($E77:Refsz_Verbräuche[[#This Row],[2026]],"&gt;0")&gt;0,), AVERAGEIF($E77:Refsz_Verbräuche[[#This Row],[2026]],"&lt;&gt;"""), ""),IF($B$43=(Refsz_Verbräuche[[#Headers],[2027]]-1),Refsz_Verbräuche[[#This Row],[2026]],IF($B$43&lt;Refsz_Verbräuche[[#Headers],[2027]],Refsz_Verbräuche[[#This Row],[2026]],"")))</f>
        <v/>
      </c>
      <c r="R77" s="124" t="str">
        <f>IF(Refsz_Verbräuche[[#Headers],[2028]]=$B$43,IF(OR(SUMIF($E77:Refsz_Verbräuche[[#This Row],[2027]],"&gt;0")&gt;0,), AVERAGEIF($E77:Refsz_Verbräuche[[#This Row],[2027]],"&lt;&gt;"""), ""),IF($B$43=(Refsz_Verbräuche[[#Headers],[2028]]-1),Refsz_Verbräuche[[#This Row],[2027]],IF($B$43&lt;Refsz_Verbräuche[[#Headers],[2028]],Refsz_Verbräuche[[#This Row],[2027]],"")))</f>
        <v/>
      </c>
      <c r="S77" s="124" t="str">
        <f>IF(Refsz_Verbräuche[[#Headers],[2029]]=$B$43,IF(OR(SUMIF($E77:Refsz_Verbräuche[[#This Row],[2028]],"&gt;0")&gt;0,), AVERAGEIF($E77:Refsz_Verbräuche[[#This Row],[2028]],"&lt;&gt;"""), ""),IF($B$43=(Refsz_Verbräuche[[#Headers],[2029]]-1),Refsz_Verbräuche[[#This Row],[2028]],IF($B$43&lt;Refsz_Verbräuche[[#Headers],[2029]],Refsz_Verbräuche[[#This Row],[2028]],"")))</f>
        <v/>
      </c>
      <c r="T77" s="124" t="str">
        <f>IF(Refsz_Verbräuche[[#Headers],[2030]]=$B$43,IF(OR(SUMIF($E77:Refsz_Verbräuche[[#This Row],[2029]],"&gt;0")&gt;0,), AVERAGEIF($E77:Refsz_Verbräuche[[#This Row],[2029]],"&lt;&gt;"""), ""),IF($B$43=(Refsz_Verbräuche[[#Headers],[2030]]-1),Refsz_Verbräuche[[#This Row],[2029]],IF($B$43&lt;Refsz_Verbräuche[[#Headers],[2030]],Refsz_Verbräuche[[#This Row],[2029]],"")))</f>
        <v/>
      </c>
      <c r="U77" s="124" t="str">
        <f>IF(Refsz_Verbräuche[[#Headers],[2035]]=$B$43,IF(OR(SUMIF($E77:Refsz_Verbräuche[[#This Row],[2030]],"&gt;0")&gt;0,), AVERAGEIF($E77:Refsz_Verbräuche[[#This Row],[2030]],"&lt;&gt;"""), ""),IF($B$43=(Refsz_Verbräuche[[#Headers],[2035]]-1),Refsz_Verbräuche[[#This Row],[2030]],IF($B$43&lt;Refsz_Verbräuche[[#Headers],[2035]],Refsz_Verbräuche[[#This Row],[2030]],"")))</f>
        <v/>
      </c>
      <c r="V77" s="124" t="str">
        <f>IF(Refsz_Verbräuche[[#Headers],[2040]]=$B$43,IF(OR(SUMIF($E77:Refsz_Verbräuche[[#This Row],[2035]],"&gt;0")&gt;0,), AVERAGEIF($E77:Refsz_Verbräuche[[#This Row],[2035]],"&lt;&gt;"""), ""),IF($B$43=(Refsz_Verbräuche[[#Headers],[2040]]-1),Refsz_Verbräuche[[#This Row],[2035]],IF($B$43&lt;Refsz_Verbräuche[[#Headers],[2040]],Refsz_Verbräuche[[#This Row],[2035]],"")))</f>
        <v/>
      </c>
      <c r="W77" s="124" t="str">
        <f>IF(Refsz_Verbräuche[[#Headers],[2045]]=$B$43,IF(OR(SUMIF($E77:Refsz_Verbräuche[[#This Row],[2040]],"&gt;0")&gt;0,), AVERAGEIF($E77:Refsz_Verbräuche[[#This Row],[2040]],"&lt;&gt;"""), ""),IF($B$43=(Refsz_Verbräuche[[#Headers],[2045]]-1),Refsz_Verbräuche[[#This Row],[2040]],IF($B$43&lt;Refsz_Verbräuche[[#Headers],[2045]],Refsz_Verbräuche[[#This Row],[2040]],"")))</f>
        <v/>
      </c>
      <c r="X77" s="124" t="str">
        <f>IF(Refsz_Verbräuche[[#Headers],[2050]]=$B$43,IF(OR(SUMIF($E77:Refsz_Verbräuche[[#This Row],[2045]],"&gt;0")&gt;0,), AVERAGEIF($E77:Refsz_Verbräuche[[#This Row],[2045]],"&lt;&gt;"""), ""),IF($B$43=(Refsz_Verbräuche[[#Headers],[2050]]-1),Refsz_Verbräuche[[#This Row],[2045]],IF($B$43&lt;Refsz_Verbräuche[[#Headers],[2050]],Refsz_Verbräuche[[#This Row],[2045]],"")))</f>
        <v/>
      </c>
      <c r="Z77" s="15"/>
    </row>
    <row r="78" spans="2:26" x14ac:dyDescent="0.35">
      <c r="B78" s="15">
        <v>18</v>
      </c>
      <c r="C78" s="10" t="s">
        <v>138</v>
      </c>
      <c r="D78" t="s">
        <v>46</v>
      </c>
      <c r="E78" s="124"/>
      <c r="F78" s="124"/>
      <c r="G78" s="124"/>
      <c r="H78" s="124"/>
      <c r="I78" s="124"/>
      <c r="J78" s="124"/>
      <c r="K78" s="124"/>
      <c r="L78" s="124" t="str">
        <f>IF(Refsz_Verbräuche[[#Headers],[2022]]=$B$43,IF(OR(SUMIF($E78:Refsz_Verbräuche[[#This Row],[2021]],"&gt;0")&gt;0,), AVERAGEIF($E78:Refsz_Verbräuche[[#This Row],[2021]],"&lt;&gt;"""), ""),IF($B$43=(Refsz_Verbräuche[[#Headers],[2022]]-1),Refsz_Verbräuche[[#This Row],[2021]],IF($B$43&lt;Refsz_Verbräuche[[#Headers],[2022]],Refsz_Verbräuche[[#This Row],[2021]],"")))</f>
        <v/>
      </c>
      <c r="M78" s="124" t="str">
        <f>IF(Refsz_Verbräuche[[#Headers],[2023]]=$B$43,IF(OR(SUMIF($E78:Refsz_Verbräuche[[#This Row],[2022]],"&gt;0")&gt;0,), AVERAGEIF($E78:Refsz_Verbräuche[[#This Row],[2022]],"&lt;&gt;"""), ""),IF($B$43=(Refsz_Verbräuche[[#Headers],[2023]]-1),Refsz_Verbräuche[[#This Row],[2022]],IF($B$43&lt;Refsz_Verbräuche[[#Headers],[2023]],Refsz_Verbräuche[[#This Row],[2022]],"")))</f>
        <v/>
      </c>
      <c r="N78" s="124" t="str">
        <f>IF(Refsz_Verbräuche[[#Headers],[2024]]=$B$43,IF(OR(SUMIF($E78:Refsz_Verbräuche[[#This Row],[2023]],"&gt;0")&gt;0,), AVERAGEIF($E78:Refsz_Verbräuche[[#This Row],[2023]],"&lt;&gt;"""), ""),IF($B$43=(Refsz_Verbräuche[[#Headers],[2024]]-1),Refsz_Verbräuche[[#This Row],[2023]],IF($B$43&lt;Refsz_Verbräuche[[#Headers],[2024]],Refsz_Verbräuche[[#This Row],[2023]],"")))</f>
        <v/>
      </c>
      <c r="O78" s="124" t="str">
        <f>IF(Refsz_Verbräuche[[#Headers],[2025]]=$B$43,IF(OR(SUMIF($E78:Refsz_Verbräuche[[#This Row],[2024]],"&gt;0")&gt;0,), AVERAGEIF($E78:Refsz_Verbräuche[[#This Row],[2024]],"&lt;&gt;"""), ""),IF($B$43=(Refsz_Verbräuche[[#Headers],[2025]]-1),Refsz_Verbräuche[[#This Row],[2024]],IF($B$43&lt;Refsz_Verbräuche[[#Headers],[2025]],Refsz_Verbräuche[[#This Row],[2024]],"")))</f>
        <v/>
      </c>
      <c r="P78" s="124" t="str">
        <f>IF(Refsz_Verbräuche[[#Headers],[2026]]=$B$43,IF(OR(SUMIF($E78:Refsz_Verbräuche[[#This Row],[2025]],"&gt;0")&gt;0,), AVERAGEIF($E78:Refsz_Verbräuche[[#This Row],[2025]],"&lt;&gt;"""), ""),IF($B$43=(Refsz_Verbräuche[[#Headers],[2026]]-1),Refsz_Verbräuche[[#This Row],[2025]],IF($B$43&lt;Refsz_Verbräuche[[#Headers],[2026]],Refsz_Verbräuche[[#This Row],[2025]],"")))</f>
        <v/>
      </c>
      <c r="Q78" s="124" t="str">
        <f>IF(Refsz_Verbräuche[[#Headers],[2027]]=$B$43,IF(OR(SUMIF($E78:Refsz_Verbräuche[[#This Row],[2026]],"&gt;0")&gt;0,), AVERAGEIF($E78:Refsz_Verbräuche[[#This Row],[2026]],"&lt;&gt;"""), ""),IF($B$43=(Refsz_Verbräuche[[#Headers],[2027]]-1),Refsz_Verbräuche[[#This Row],[2026]],IF($B$43&lt;Refsz_Verbräuche[[#Headers],[2027]],Refsz_Verbräuche[[#This Row],[2026]],"")))</f>
        <v/>
      </c>
      <c r="R78" s="124" t="str">
        <f>IF(Refsz_Verbräuche[[#Headers],[2028]]=$B$43,IF(OR(SUMIF($E78:Refsz_Verbräuche[[#This Row],[2027]],"&gt;0")&gt;0,), AVERAGEIF($E78:Refsz_Verbräuche[[#This Row],[2027]],"&lt;&gt;"""), ""),IF($B$43=(Refsz_Verbräuche[[#Headers],[2028]]-1),Refsz_Verbräuche[[#This Row],[2027]],IF($B$43&lt;Refsz_Verbräuche[[#Headers],[2028]],Refsz_Verbräuche[[#This Row],[2027]],"")))</f>
        <v/>
      </c>
      <c r="S78" s="124" t="str">
        <f>IF(Refsz_Verbräuche[[#Headers],[2029]]=$B$43,IF(OR(SUMIF($E78:Refsz_Verbräuche[[#This Row],[2028]],"&gt;0")&gt;0,), AVERAGEIF($E78:Refsz_Verbräuche[[#This Row],[2028]],"&lt;&gt;"""), ""),IF($B$43=(Refsz_Verbräuche[[#Headers],[2029]]-1),Refsz_Verbräuche[[#This Row],[2028]],IF($B$43&lt;Refsz_Verbräuche[[#Headers],[2029]],Refsz_Verbräuche[[#This Row],[2028]],"")))</f>
        <v/>
      </c>
      <c r="T78" s="124" t="str">
        <f>IF(Refsz_Verbräuche[[#Headers],[2030]]=$B$43,IF(OR(SUMIF($E78:Refsz_Verbräuche[[#This Row],[2029]],"&gt;0")&gt;0,), AVERAGEIF($E78:Refsz_Verbräuche[[#This Row],[2029]],"&lt;&gt;"""), ""),IF($B$43=(Refsz_Verbräuche[[#Headers],[2030]]-1),Refsz_Verbräuche[[#This Row],[2029]],IF($B$43&lt;Refsz_Verbräuche[[#Headers],[2030]],Refsz_Verbräuche[[#This Row],[2029]],"")))</f>
        <v/>
      </c>
      <c r="U78" s="124" t="str">
        <f>IF(Refsz_Verbräuche[[#Headers],[2035]]=$B$43,IF(OR(SUMIF($E78:Refsz_Verbräuche[[#This Row],[2030]],"&gt;0")&gt;0,), AVERAGEIF($E78:Refsz_Verbräuche[[#This Row],[2030]],"&lt;&gt;"""), ""),IF($B$43=(Refsz_Verbräuche[[#Headers],[2035]]-1),Refsz_Verbräuche[[#This Row],[2030]],IF($B$43&lt;Refsz_Verbräuche[[#Headers],[2035]],Refsz_Verbräuche[[#This Row],[2030]],"")))</f>
        <v/>
      </c>
      <c r="V78" s="124" t="str">
        <f>IF(Refsz_Verbräuche[[#Headers],[2040]]=$B$43,IF(OR(SUMIF($E78:Refsz_Verbräuche[[#This Row],[2035]],"&gt;0")&gt;0,), AVERAGEIF($E78:Refsz_Verbräuche[[#This Row],[2035]],"&lt;&gt;"""), ""),IF($B$43=(Refsz_Verbräuche[[#Headers],[2040]]-1),Refsz_Verbräuche[[#This Row],[2035]],IF($B$43&lt;Refsz_Verbräuche[[#Headers],[2040]],Refsz_Verbräuche[[#This Row],[2035]],"")))</f>
        <v/>
      </c>
      <c r="W78" s="124" t="str">
        <f>IF(Refsz_Verbräuche[[#Headers],[2045]]=$B$43,IF(OR(SUMIF($E78:Refsz_Verbräuche[[#This Row],[2040]],"&gt;0")&gt;0,), AVERAGEIF($E78:Refsz_Verbräuche[[#This Row],[2040]],"&lt;&gt;"""), ""),IF($B$43=(Refsz_Verbräuche[[#Headers],[2045]]-1),Refsz_Verbräuche[[#This Row],[2040]],IF($B$43&lt;Refsz_Verbräuche[[#Headers],[2045]],Refsz_Verbräuche[[#This Row],[2040]],"")))</f>
        <v/>
      </c>
      <c r="X78" s="124" t="str">
        <f>IF(Refsz_Verbräuche[[#Headers],[2050]]=$B$43,IF(OR(SUMIF($E78:Refsz_Verbräuche[[#This Row],[2045]],"&gt;0")&gt;0,), AVERAGEIF($E78:Refsz_Verbräuche[[#This Row],[2045]],"&lt;&gt;"""), ""),IF($B$43=(Refsz_Verbräuche[[#Headers],[2050]]-1),Refsz_Verbräuche[[#This Row],[2045]],IF($B$43&lt;Refsz_Verbräuche[[#Headers],[2050]],Refsz_Verbräuche[[#This Row],[2045]],"")))</f>
        <v/>
      </c>
      <c r="Z78" s="15"/>
    </row>
    <row r="79" spans="2:26" x14ac:dyDescent="0.35">
      <c r="B79" s="15">
        <v>19</v>
      </c>
      <c r="C79" s="10" t="s">
        <v>423</v>
      </c>
      <c r="D79" t="s">
        <v>46</v>
      </c>
      <c r="E79" s="124"/>
      <c r="F79" s="124"/>
      <c r="G79" s="124"/>
      <c r="H79" s="124"/>
      <c r="I79" s="124"/>
      <c r="J79" s="124"/>
      <c r="K79" s="124"/>
      <c r="L79" s="124" t="str">
        <f>IF(Refsz_Verbräuche[[#Headers],[2022]]=$B$43,IF(OR(SUMIF($E79:Refsz_Verbräuche[[#This Row],[2021]],"&gt;0")&gt;0,), AVERAGEIF($E79:Refsz_Verbräuche[[#This Row],[2021]],"&lt;&gt;"""), ""),IF($B$43=(Refsz_Verbräuche[[#Headers],[2022]]-1),Refsz_Verbräuche[[#This Row],[2021]],IF($B$43&lt;Refsz_Verbräuche[[#Headers],[2022]],Refsz_Verbräuche[[#This Row],[2021]],"")))</f>
        <v/>
      </c>
      <c r="M79" s="124" t="str">
        <f>IF(Refsz_Verbräuche[[#Headers],[2023]]=$B$43,IF(OR(SUMIF($E79:Refsz_Verbräuche[[#This Row],[2022]],"&gt;0")&gt;0,), AVERAGEIF($E79:Refsz_Verbräuche[[#This Row],[2022]],"&lt;&gt;"""), ""),IF($B$43=(Refsz_Verbräuche[[#Headers],[2023]]-1),Refsz_Verbräuche[[#This Row],[2022]],IF($B$43&lt;Refsz_Verbräuche[[#Headers],[2023]],Refsz_Verbräuche[[#This Row],[2022]],"")))</f>
        <v/>
      </c>
      <c r="N79" s="124" t="str">
        <f>IF(Refsz_Verbräuche[[#Headers],[2024]]=$B$43,IF(OR(SUMIF($E79:Refsz_Verbräuche[[#This Row],[2023]],"&gt;0")&gt;0,), AVERAGEIF($E79:Refsz_Verbräuche[[#This Row],[2023]],"&lt;&gt;"""), ""),IF($B$43=(Refsz_Verbräuche[[#Headers],[2024]]-1),Refsz_Verbräuche[[#This Row],[2023]],IF($B$43&lt;Refsz_Verbräuche[[#Headers],[2024]],Refsz_Verbräuche[[#This Row],[2023]],"")))</f>
        <v/>
      </c>
      <c r="O79" s="124" t="str">
        <f>IF(Refsz_Verbräuche[[#Headers],[2025]]=$B$43,IF(OR(SUMIF($E79:Refsz_Verbräuche[[#This Row],[2024]],"&gt;0")&gt;0,), AVERAGEIF($E79:Refsz_Verbräuche[[#This Row],[2024]],"&lt;&gt;"""), ""),IF($B$43=(Refsz_Verbräuche[[#Headers],[2025]]-1),Refsz_Verbräuche[[#This Row],[2024]],IF($B$43&lt;Refsz_Verbräuche[[#Headers],[2025]],Refsz_Verbräuche[[#This Row],[2024]],"")))</f>
        <v/>
      </c>
      <c r="P79" s="124" t="str">
        <f>IF(Refsz_Verbräuche[[#Headers],[2026]]=$B$43,IF(OR(SUMIF($E79:Refsz_Verbräuche[[#This Row],[2025]],"&gt;0")&gt;0,), AVERAGEIF($E79:Refsz_Verbräuche[[#This Row],[2025]],"&lt;&gt;"""), ""),IF($B$43=(Refsz_Verbräuche[[#Headers],[2026]]-1),Refsz_Verbräuche[[#This Row],[2025]],IF($B$43&lt;Refsz_Verbräuche[[#Headers],[2026]],Refsz_Verbräuche[[#This Row],[2025]],"")))</f>
        <v/>
      </c>
      <c r="Q79" s="124" t="str">
        <f>IF(Refsz_Verbräuche[[#Headers],[2027]]=$B$43,IF(OR(SUMIF($E79:Refsz_Verbräuche[[#This Row],[2026]],"&gt;0")&gt;0,), AVERAGEIF($E79:Refsz_Verbräuche[[#This Row],[2026]],"&lt;&gt;"""), ""),IF($B$43=(Refsz_Verbräuche[[#Headers],[2027]]-1),Refsz_Verbräuche[[#This Row],[2026]],IF($B$43&lt;Refsz_Verbräuche[[#Headers],[2027]],Refsz_Verbräuche[[#This Row],[2026]],"")))</f>
        <v/>
      </c>
      <c r="R79" s="124" t="str">
        <f>IF(Refsz_Verbräuche[[#Headers],[2028]]=$B$43,IF(OR(SUMIF($E79:Refsz_Verbräuche[[#This Row],[2027]],"&gt;0")&gt;0,), AVERAGEIF($E79:Refsz_Verbräuche[[#This Row],[2027]],"&lt;&gt;"""), ""),IF($B$43=(Refsz_Verbräuche[[#Headers],[2028]]-1),Refsz_Verbräuche[[#This Row],[2027]],IF($B$43&lt;Refsz_Verbräuche[[#Headers],[2028]],Refsz_Verbräuche[[#This Row],[2027]],"")))</f>
        <v/>
      </c>
      <c r="S79" s="124" t="str">
        <f>IF(Refsz_Verbräuche[[#Headers],[2029]]=$B$43,IF(OR(SUMIF($E79:Refsz_Verbräuche[[#This Row],[2028]],"&gt;0")&gt;0,), AVERAGEIF($E79:Refsz_Verbräuche[[#This Row],[2028]],"&lt;&gt;"""), ""),IF($B$43=(Refsz_Verbräuche[[#Headers],[2029]]-1),Refsz_Verbräuche[[#This Row],[2028]],IF($B$43&lt;Refsz_Verbräuche[[#Headers],[2029]],Refsz_Verbräuche[[#This Row],[2028]],"")))</f>
        <v/>
      </c>
      <c r="T79" s="124" t="str">
        <f>IF(Refsz_Verbräuche[[#Headers],[2030]]=$B$43,IF(OR(SUMIF($E79:Refsz_Verbräuche[[#This Row],[2029]],"&gt;0")&gt;0,), AVERAGEIF($E79:Refsz_Verbräuche[[#This Row],[2029]],"&lt;&gt;"""), ""),IF($B$43=(Refsz_Verbräuche[[#Headers],[2030]]-1),Refsz_Verbräuche[[#This Row],[2029]],IF($B$43&lt;Refsz_Verbräuche[[#Headers],[2030]],Refsz_Verbräuche[[#This Row],[2029]],"")))</f>
        <v/>
      </c>
      <c r="U79" s="124" t="str">
        <f>IF(Refsz_Verbräuche[[#Headers],[2035]]=$B$43,IF(OR(SUMIF($E79:Refsz_Verbräuche[[#This Row],[2030]],"&gt;0")&gt;0,), AVERAGEIF($E79:Refsz_Verbräuche[[#This Row],[2030]],"&lt;&gt;"""), ""),IF($B$43=(Refsz_Verbräuche[[#Headers],[2035]]-1),Refsz_Verbräuche[[#This Row],[2030]],IF($B$43&lt;Refsz_Verbräuche[[#Headers],[2035]],Refsz_Verbräuche[[#This Row],[2030]],"")))</f>
        <v/>
      </c>
      <c r="V79" s="124" t="str">
        <f>IF(Refsz_Verbräuche[[#Headers],[2040]]=$B$43,IF(OR(SUMIF($E79:Refsz_Verbräuche[[#This Row],[2035]],"&gt;0")&gt;0,), AVERAGEIF($E79:Refsz_Verbräuche[[#This Row],[2035]],"&lt;&gt;"""), ""),IF($B$43=(Refsz_Verbräuche[[#Headers],[2040]]-1),Refsz_Verbräuche[[#This Row],[2035]],IF($B$43&lt;Refsz_Verbräuche[[#Headers],[2040]],Refsz_Verbräuche[[#This Row],[2035]],"")))</f>
        <v/>
      </c>
      <c r="W79" s="124" t="str">
        <f>IF(Refsz_Verbräuche[[#Headers],[2045]]=$B$43,IF(OR(SUMIF($E79:Refsz_Verbräuche[[#This Row],[2040]],"&gt;0")&gt;0,), AVERAGEIF($E79:Refsz_Verbräuche[[#This Row],[2040]],"&lt;&gt;"""), ""),IF($B$43=(Refsz_Verbräuche[[#Headers],[2045]]-1),Refsz_Verbräuche[[#This Row],[2040]],IF($B$43&lt;Refsz_Verbräuche[[#Headers],[2045]],Refsz_Verbräuche[[#This Row],[2040]],"")))</f>
        <v/>
      </c>
      <c r="X79" s="124" t="str">
        <f>IF(Refsz_Verbräuche[[#Headers],[2050]]=$B$43,IF(OR(SUMIF($E79:Refsz_Verbräuche[[#This Row],[2045]],"&gt;0")&gt;0,), AVERAGEIF($E79:Refsz_Verbräuche[[#This Row],[2045]],"&lt;&gt;"""), ""),IF($B$43=(Refsz_Verbräuche[[#Headers],[2050]]-1),Refsz_Verbräuche[[#This Row],[2045]],IF($B$43&lt;Refsz_Verbräuche[[#Headers],[2050]],Refsz_Verbräuche[[#This Row],[2045]],"")))</f>
        <v/>
      </c>
      <c r="Z79" s="15"/>
    </row>
    <row r="80" spans="2:26" x14ac:dyDescent="0.35">
      <c r="B80" s="15">
        <v>20</v>
      </c>
      <c r="C80" s="10" t="s">
        <v>424</v>
      </c>
      <c r="D80" t="s">
        <v>46</v>
      </c>
      <c r="E80" s="124"/>
      <c r="F80" s="124"/>
      <c r="G80" s="124"/>
      <c r="H80" s="124"/>
      <c r="I80" s="124"/>
      <c r="J80" s="124"/>
      <c r="K80" s="124"/>
      <c r="L80" s="124" t="str">
        <f>IF(Refsz_Verbräuche[[#Headers],[2022]]=$B$43,IF(OR(SUMIF($E80:Refsz_Verbräuche[[#This Row],[2021]],"&gt;0")&gt;0,), AVERAGEIF($E80:Refsz_Verbräuche[[#This Row],[2021]],"&lt;&gt;"""), ""),IF($B$43=(Refsz_Verbräuche[[#Headers],[2022]]-1),Refsz_Verbräuche[[#This Row],[2021]],IF($B$43&lt;Refsz_Verbräuche[[#Headers],[2022]],Refsz_Verbräuche[[#This Row],[2021]],"")))</f>
        <v/>
      </c>
      <c r="M80" s="124" t="str">
        <f>IF(Refsz_Verbräuche[[#Headers],[2023]]=$B$43,IF(OR(SUMIF($E80:Refsz_Verbräuche[[#This Row],[2022]],"&gt;0")&gt;0,), AVERAGEIF($E80:Refsz_Verbräuche[[#This Row],[2022]],"&lt;&gt;"""), ""),IF($B$43=(Refsz_Verbräuche[[#Headers],[2023]]-1),Refsz_Verbräuche[[#This Row],[2022]],IF($B$43&lt;Refsz_Verbräuche[[#Headers],[2023]],Refsz_Verbräuche[[#This Row],[2022]],"")))</f>
        <v/>
      </c>
      <c r="N80" s="124" t="str">
        <f>IF(Refsz_Verbräuche[[#Headers],[2024]]=$B$43,IF(OR(SUMIF($E80:Refsz_Verbräuche[[#This Row],[2023]],"&gt;0")&gt;0,), AVERAGEIF($E80:Refsz_Verbräuche[[#This Row],[2023]],"&lt;&gt;"""), ""),IF($B$43=(Refsz_Verbräuche[[#Headers],[2024]]-1),Refsz_Verbräuche[[#This Row],[2023]],IF($B$43&lt;Refsz_Verbräuche[[#Headers],[2024]],Refsz_Verbräuche[[#This Row],[2023]],"")))</f>
        <v/>
      </c>
      <c r="O80" s="124" t="str">
        <f>IF(Refsz_Verbräuche[[#Headers],[2025]]=$B$43,IF(OR(SUMIF($E80:Refsz_Verbräuche[[#This Row],[2024]],"&gt;0")&gt;0,), AVERAGEIF($E80:Refsz_Verbräuche[[#This Row],[2024]],"&lt;&gt;"""), ""),IF($B$43=(Refsz_Verbräuche[[#Headers],[2025]]-1),Refsz_Verbräuche[[#This Row],[2024]],IF($B$43&lt;Refsz_Verbräuche[[#Headers],[2025]],Refsz_Verbräuche[[#This Row],[2024]],"")))</f>
        <v/>
      </c>
      <c r="P80" s="124" t="str">
        <f>IF(Refsz_Verbräuche[[#Headers],[2026]]=$B$43,IF(OR(SUMIF($E80:Refsz_Verbräuche[[#This Row],[2025]],"&gt;0")&gt;0,), AVERAGEIF($E80:Refsz_Verbräuche[[#This Row],[2025]],"&lt;&gt;"""), ""),IF($B$43=(Refsz_Verbräuche[[#Headers],[2026]]-1),Refsz_Verbräuche[[#This Row],[2025]],IF($B$43&lt;Refsz_Verbräuche[[#Headers],[2026]],Refsz_Verbräuche[[#This Row],[2025]],"")))</f>
        <v/>
      </c>
      <c r="Q80" s="124" t="str">
        <f>IF(Refsz_Verbräuche[[#Headers],[2027]]=$B$43,IF(OR(SUMIF($E80:Refsz_Verbräuche[[#This Row],[2026]],"&gt;0")&gt;0,), AVERAGEIF($E80:Refsz_Verbräuche[[#This Row],[2026]],"&lt;&gt;"""), ""),IF($B$43=(Refsz_Verbräuche[[#Headers],[2027]]-1),Refsz_Verbräuche[[#This Row],[2026]],IF($B$43&lt;Refsz_Verbräuche[[#Headers],[2027]],Refsz_Verbräuche[[#This Row],[2026]],"")))</f>
        <v/>
      </c>
      <c r="R80" s="124" t="str">
        <f>IF(Refsz_Verbräuche[[#Headers],[2028]]=$B$43,IF(OR(SUMIF($E80:Refsz_Verbräuche[[#This Row],[2027]],"&gt;0")&gt;0,), AVERAGEIF($E80:Refsz_Verbräuche[[#This Row],[2027]],"&lt;&gt;"""), ""),IF($B$43=(Refsz_Verbräuche[[#Headers],[2028]]-1),Refsz_Verbräuche[[#This Row],[2027]],IF($B$43&lt;Refsz_Verbräuche[[#Headers],[2028]],Refsz_Verbräuche[[#This Row],[2027]],"")))</f>
        <v/>
      </c>
      <c r="S80" s="124" t="str">
        <f>IF(Refsz_Verbräuche[[#Headers],[2029]]=$B$43,IF(OR(SUMIF($E80:Refsz_Verbräuche[[#This Row],[2028]],"&gt;0")&gt;0,), AVERAGEIF($E80:Refsz_Verbräuche[[#This Row],[2028]],"&lt;&gt;"""), ""),IF($B$43=(Refsz_Verbräuche[[#Headers],[2029]]-1),Refsz_Verbräuche[[#This Row],[2028]],IF($B$43&lt;Refsz_Verbräuche[[#Headers],[2029]],Refsz_Verbräuche[[#This Row],[2028]],"")))</f>
        <v/>
      </c>
      <c r="T80" s="124" t="str">
        <f>IF(Refsz_Verbräuche[[#Headers],[2030]]=$B$43,IF(OR(SUMIF($E80:Refsz_Verbräuche[[#This Row],[2029]],"&gt;0")&gt;0,), AVERAGEIF($E80:Refsz_Verbräuche[[#This Row],[2029]],"&lt;&gt;"""), ""),IF($B$43=(Refsz_Verbräuche[[#Headers],[2030]]-1),Refsz_Verbräuche[[#This Row],[2029]],IF($B$43&lt;Refsz_Verbräuche[[#Headers],[2030]],Refsz_Verbräuche[[#This Row],[2029]],"")))</f>
        <v/>
      </c>
      <c r="U80" s="124" t="str">
        <f>IF(Refsz_Verbräuche[[#Headers],[2035]]=$B$43,IF(OR(SUMIF($E80:Refsz_Verbräuche[[#This Row],[2030]],"&gt;0")&gt;0,), AVERAGEIF($E80:Refsz_Verbräuche[[#This Row],[2030]],"&lt;&gt;"""), ""),IF($B$43=(Refsz_Verbräuche[[#Headers],[2035]]-1),Refsz_Verbräuche[[#This Row],[2030]],IF($B$43&lt;Refsz_Verbräuche[[#Headers],[2035]],Refsz_Verbräuche[[#This Row],[2030]],"")))</f>
        <v/>
      </c>
      <c r="V80" s="124" t="str">
        <f>IF(Refsz_Verbräuche[[#Headers],[2040]]=$B$43,IF(OR(SUMIF($E80:Refsz_Verbräuche[[#This Row],[2035]],"&gt;0")&gt;0,), AVERAGEIF($E80:Refsz_Verbräuche[[#This Row],[2035]],"&lt;&gt;"""), ""),IF($B$43=(Refsz_Verbräuche[[#Headers],[2040]]-1),Refsz_Verbräuche[[#This Row],[2035]],IF($B$43&lt;Refsz_Verbräuche[[#Headers],[2040]],Refsz_Verbräuche[[#This Row],[2035]],"")))</f>
        <v/>
      </c>
      <c r="W80" s="124" t="str">
        <f>IF(Refsz_Verbräuche[[#Headers],[2045]]=$B$43,IF(OR(SUMIF($E80:Refsz_Verbräuche[[#This Row],[2040]],"&gt;0")&gt;0,), AVERAGEIF($E80:Refsz_Verbräuche[[#This Row],[2040]],"&lt;&gt;"""), ""),IF($B$43=(Refsz_Verbräuche[[#Headers],[2045]]-1),Refsz_Verbräuche[[#This Row],[2040]],IF($B$43&lt;Refsz_Verbräuche[[#Headers],[2045]],Refsz_Verbräuche[[#This Row],[2040]],"")))</f>
        <v/>
      </c>
      <c r="X80" s="124" t="str">
        <f>IF(Refsz_Verbräuche[[#Headers],[2050]]=$B$43,IF(OR(SUMIF($E80:Refsz_Verbräuche[[#This Row],[2045]],"&gt;0")&gt;0,), AVERAGEIF($E80:Refsz_Verbräuche[[#This Row],[2045]],"&lt;&gt;"""), ""),IF($B$43=(Refsz_Verbräuche[[#Headers],[2050]]-1),Refsz_Verbräuche[[#This Row],[2045]],IF($B$43&lt;Refsz_Verbräuche[[#Headers],[2050]],Refsz_Verbräuche[[#This Row],[2045]],"")))</f>
        <v/>
      </c>
      <c r="Z80" s="15"/>
    </row>
    <row r="81" spans="2:26" x14ac:dyDescent="0.35">
      <c r="B81" s="15">
        <v>21</v>
      </c>
      <c r="C81" s="10" t="s">
        <v>69</v>
      </c>
      <c r="D81" t="s">
        <v>46</v>
      </c>
      <c r="E81" s="124"/>
      <c r="F81" s="124"/>
      <c r="G81" s="124"/>
      <c r="H81" s="124"/>
      <c r="I81" s="124"/>
      <c r="J81" s="124"/>
      <c r="K81" s="124"/>
      <c r="L81" s="124" t="str">
        <f>IF(Refsz_Verbräuche[[#Headers],[2022]]=$B$43,IF(OR(SUMIF($E81:Refsz_Verbräuche[[#This Row],[2021]],"&gt;0")&gt;0,), AVERAGEIF($E81:Refsz_Verbräuche[[#This Row],[2021]],"&lt;&gt;"""), ""),IF($B$43=(Refsz_Verbräuche[[#Headers],[2022]]-1),Refsz_Verbräuche[[#This Row],[2021]],IF($B$43&lt;Refsz_Verbräuche[[#Headers],[2022]],Refsz_Verbräuche[[#This Row],[2021]],"")))</f>
        <v/>
      </c>
      <c r="M81" s="124" t="str">
        <f>IF(Refsz_Verbräuche[[#Headers],[2023]]=$B$43,IF(OR(SUMIF($E81:Refsz_Verbräuche[[#This Row],[2022]],"&gt;0")&gt;0,), AVERAGEIF($E81:Refsz_Verbräuche[[#This Row],[2022]],"&lt;&gt;"""), ""),IF($B$43=(Refsz_Verbräuche[[#Headers],[2023]]-1),Refsz_Verbräuche[[#This Row],[2022]],IF($B$43&lt;Refsz_Verbräuche[[#Headers],[2023]],Refsz_Verbräuche[[#This Row],[2022]],"")))</f>
        <v/>
      </c>
      <c r="N81" s="124" t="str">
        <f>IF(Refsz_Verbräuche[[#Headers],[2024]]=$B$43,IF(OR(SUMIF($E81:Refsz_Verbräuche[[#This Row],[2023]],"&gt;0")&gt;0,), AVERAGEIF($E81:Refsz_Verbräuche[[#This Row],[2023]],"&lt;&gt;"""), ""),IF($B$43=(Refsz_Verbräuche[[#Headers],[2024]]-1),Refsz_Verbräuche[[#This Row],[2023]],IF($B$43&lt;Refsz_Verbräuche[[#Headers],[2024]],Refsz_Verbräuche[[#This Row],[2023]],"")))</f>
        <v/>
      </c>
      <c r="O81" s="124" t="str">
        <f>IF(Refsz_Verbräuche[[#Headers],[2025]]=$B$43,IF(OR(SUMIF($E81:Refsz_Verbräuche[[#This Row],[2024]],"&gt;0")&gt;0,), AVERAGEIF($E81:Refsz_Verbräuche[[#This Row],[2024]],"&lt;&gt;"""), ""),IF($B$43=(Refsz_Verbräuche[[#Headers],[2025]]-1),Refsz_Verbräuche[[#This Row],[2024]],IF($B$43&lt;Refsz_Verbräuche[[#Headers],[2025]],Refsz_Verbräuche[[#This Row],[2024]],"")))</f>
        <v/>
      </c>
      <c r="P81" s="124" t="str">
        <f>IF(Refsz_Verbräuche[[#Headers],[2026]]=$B$43,IF(OR(SUMIF($E81:Refsz_Verbräuche[[#This Row],[2025]],"&gt;0")&gt;0,), AVERAGEIF($E81:Refsz_Verbräuche[[#This Row],[2025]],"&lt;&gt;"""), ""),IF($B$43=(Refsz_Verbräuche[[#Headers],[2026]]-1),Refsz_Verbräuche[[#This Row],[2025]],IF($B$43&lt;Refsz_Verbräuche[[#Headers],[2026]],Refsz_Verbräuche[[#This Row],[2025]],"")))</f>
        <v/>
      </c>
      <c r="Q81" s="124" t="str">
        <f>IF(Refsz_Verbräuche[[#Headers],[2027]]=$B$43,IF(OR(SUMIF($E81:Refsz_Verbräuche[[#This Row],[2026]],"&gt;0")&gt;0,), AVERAGEIF($E81:Refsz_Verbräuche[[#This Row],[2026]],"&lt;&gt;"""), ""),IF($B$43=(Refsz_Verbräuche[[#Headers],[2027]]-1),Refsz_Verbräuche[[#This Row],[2026]],IF($B$43&lt;Refsz_Verbräuche[[#Headers],[2027]],Refsz_Verbräuche[[#This Row],[2026]],"")))</f>
        <v/>
      </c>
      <c r="R81" s="124" t="str">
        <f>IF(Refsz_Verbräuche[[#Headers],[2028]]=$B$43,IF(OR(SUMIF($E81:Refsz_Verbräuche[[#This Row],[2027]],"&gt;0")&gt;0,), AVERAGEIF($E81:Refsz_Verbräuche[[#This Row],[2027]],"&lt;&gt;"""), ""),IF($B$43=(Refsz_Verbräuche[[#Headers],[2028]]-1),Refsz_Verbräuche[[#This Row],[2027]],IF($B$43&lt;Refsz_Verbräuche[[#Headers],[2028]],Refsz_Verbräuche[[#This Row],[2027]],"")))</f>
        <v/>
      </c>
      <c r="S81" s="124" t="str">
        <f>IF(Refsz_Verbräuche[[#Headers],[2029]]=$B$43,IF(OR(SUMIF($E81:Refsz_Verbräuche[[#This Row],[2028]],"&gt;0")&gt;0,), AVERAGEIF($E81:Refsz_Verbräuche[[#This Row],[2028]],"&lt;&gt;"""), ""),IF($B$43=(Refsz_Verbräuche[[#Headers],[2029]]-1),Refsz_Verbräuche[[#This Row],[2028]],IF($B$43&lt;Refsz_Verbräuche[[#Headers],[2029]],Refsz_Verbräuche[[#This Row],[2028]],"")))</f>
        <v/>
      </c>
      <c r="T81" s="124" t="str">
        <f>IF(Refsz_Verbräuche[[#Headers],[2030]]=$B$43,IF(OR(SUMIF($E81:Refsz_Verbräuche[[#This Row],[2029]],"&gt;0")&gt;0,), AVERAGEIF($E81:Refsz_Verbräuche[[#This Row],[2029]],"&lt;&gt;"""), ""),IF($B$43=(Refsz_Verbräuche[[#Headers],[2030]]-1),Refsz_Verbräuche[[#This Row],[2029]],IF($B$43&lt;Refsz_Verbräuche[[#Headers],[2030]],Refsz_Verbräuche[[#This Row],[2029]],"")))</f>
        <v/>
      </c>
      <c r="U81" s="124" t="str">
        <f>IF(Refsz_Verbräuche[[#Headers],[2035]]=$B$43,IF(OR(SUMIF($E81:Refsz_Verbräuche[[#This Row],[2030]],"&gt;0")&gt;0,), AVERAGEIF($E81:Refsz_Verbräuche[[#This Row],[2030]],"&lt;&gt;"""), ""),IF($B$43=(Refsz_Verbräuche[[#Headers],[2035]]-1),Refsz_Verbräuche[[#This Row],[2030]],IF($B$43&lt;Refsz_Verbräuche[[#Headers],[2035]],Refsz_Verbräuche[[#This Row],[2030]],"")))</f>
        <v/>
      </c>
      <c r="V81" s="124" t="str">
        <f>IF(Refsz_Verbräuche[[#Headers],[2040]]=$B$43,IF(OR(SUMIF($E81:Refsz_Verbräuche[[#This Row],[2035]],"&gt;0")&gt;0,), AVERAGEIF($E81:Refsz_Verbräuche[[#This Row],[2035]],"&lt;&gt;"""), ""),IF($B$43=(Refsz_Verbräuche[[#Headers],[2040]]-1),Refsz_Verbräuche[[#This Row],[2035]],IF($B$43&lt;Refsz_Verbräuche[[#Headers],[2040]],Refsz_Verbräuche[[#This Row],[2035]],"")))</f>
        <v/>
      </c>
      <c r="W81" s="124" t="str">
        <f>IF(Refsz_Verbräuche[[#Headers],[2045]]=$B$43,IF(OR(SUMIF($E81:Refsz_Verbräuche[[#This Row],[2040]],"&gt;0")&gt;0,), AVERAGEIF($E81:Refsz_Verbräuche[[#This Row],[2040]],"&lt;&gt;"""), ""),IF($B$43=(Refsz_Verbräuche[[#Headers],[2045]]-1),Refsz_Verbräuche[[#This Row],[2040]],IF($B$43&lt;Refsz_Verbräuche[[#Headers],[2045]],Refsz_Verbräuche[[#This Row],[2040]],"")))</f>
        <v/>
      </c>
      <c r="X81" s="124" t="str">
        <f>IF(Refsz_Verbräuche[[#Headers],[2050]]=$B$43,IF(OR(SUMIF($E81:Refsz_Verbräuche[[#This Row],[2045]],"&gt;0")&gt;0,), AVERAGEIF($E81:Refsz_Verbräuche[[#This Row],[2045]],"&lt;&gt;"""), ""),IF($B$43=(Refsz_Verbräuche[[#Headers],[2050]]-1),Refsz_Verbräuche[[#This Row],[2045]],IF($B$43&lt;Refsz_Verbräuche[[#Headers],[2050]],Refsz_Verbräuche[[#This Row],[2045]],"")))</f>
        <v/>
      </c>
      <c r="Z81" s="15"/>
    </row>
    <row r="82" spans="2:26" x14ac:dyDescent="0.35">
      <c r="B82" s="15">
        <v>22</v>
      </c>
      <c r="C82" s="112" t="s">
        <v>416</v>
      </c>
      <c r="D82" t="s">
        <v>46</v>
      </c>
      <c r="E82" s="124"/>
      <c r="F82" s="124"/>
      <c r="G82" s="124"/>
      <c r="H82" s="124"/>
      <c r="I82" s="124"/>
      <c r="J82" s="124"/>
      <c r="K82" s="124"/>
      <c r="L82" s="124" t="str">
        <f>IF(Refsz_Verbräuche[[#Headers],[2022]]=$B$43,IF(OR(SUMIF($E82:Refsz_Verbräuche[[#This Row],[2021]],"&gt;0")&gt;0,), AVERAGEIF($E82:Refsz_Verbräuche[[#This Row],[2021]],"&lt;&gt;"""), ""),IF($B$43=(Refsz_Verbräuche[[#Headers],[2022]]-1),Refsz_Verbräuche[[#This Row],[2021]],IF($B$43&lt;Refsz_Verbräuche[[#Headers],[2022]],Refsz_Verbräuche[[#This Row],[2021]],"")))</f>
        <v/>
      </c>
      <c r="M82" s="124" t="str">
        <f>IF(Refsz_Verbräuche[[#Headers],[2023]]=$B$43,IF(OR(SUMIF($E82:Refsz_Verbräuche[[#This Row],[2022]],"&gt;0")&gt;0,), AVERAGEIF($E82:Refsz_Verbräuche[[#This Row],[2022]],"&lt;&gt;"""), ""),IF($B$43=(Refsz_Verbräuche[[#Headers],[2023]]-1),Refsz_Verbräuche[[#This Row],[2022]],IF($B$43&lt;Refsz_Verbräuche[[#Headers],[2023]],Refsz_Verbräuche[[#This Row],[2022]],"")))</f>
        <v/>
      </c>
      <c r="N82" s="124" t="str">
        <f>IF(Refsz_Verbräuche[[#Headers],[2024]]=$B$43,IF(OR(SUMIF($E82:Refsz_Verbräuche[[#This Row],[2023]],"&gt;0")&gt;0,), AVERAGEIF($E82:Refsz_Verbräuche[[#This Row],[2023]],"&lt;&gt;"""), ""),IF($B$43=(Refsz_Verbräuche[[#Headers],[2024]]-1),Refsz_Verbräuche[[#This Row],[2023]],IF($B$43&lt;Refsz_Verbräuche[[#Headers],[2024]],Refsz_Verbräuche[[#This Row],[2023]],"")))</f>
        <v/>
      </c>
      <c r="O82" s="124" t="str">
        <f>IF(Refsz_Verbräuche[[#Headers],[2025]]=$B$43,IF(OR(SUMIF($E82:Refsz_Verbräuche[[#This Row],[2024]],"&gt;0")&gt;0,), AVERAGEIF($E82:Refsz_Verbräuche[[#This Row],[2024]],"&lt;&gt;"""), ""),IF($B$43=(Refsz_Verbräuche[[#Headers],[2025]]-1),Refsz_Verbräuche[[#This Row],[2024]],IF($B$43&lt;Refsz_Verbräuche[[#Headers],[2025]],Refsz_Verbräuche[[#This Row],[2024]],"")))</f>
        <v/>
      </c>
      <c r="P82" s="124" t="str">
        <f>IF(Refsz_Verbräuche[[#Headers],[2026]]=$B$43,IF(OR(SUMIF($E82:Refsz_Verbräuche[[#This Row],[2025]],"&gt;0")&gt;0,), AVERAGEIF($E82:Refsz_Verbräuche[[#This Row],[2025]],"&lt;&gt;"""), ""),IF($B$43=(Refsz_Verbräuche[[#Headers],[2026]]-1),Refsz_Verbräuche[[#This Row],[2025]],IF($B$43&lt;Refsz_Verbräuche[[#Headers],[2026]],Refsz_Verbräuche[[#This Row],[2025]],"")))</f>
        <v/>
      </c>
      <c r="Q82" s="124" t="str">
        <f>IF(Refsz_Verbräuche[[#Headers],[2027]]=$B$43,IF(OR(SUMIF($E82:Refsz_Verbräuche[[#This Row],[2026]],"&gt;0")&gt;0,), AVERAGEIF($E82:Refsz_Verbräuche[[#This Row],[2026]],"&lt;&gt;"""), ""),IF($B$43=(Refsz_Verbräuche[[#Headers],[2027]]-1),Refsz_Verbräuche[[#This Row],[2026]],IF($B$43&lt;Refsz_Verbräuche[[#Headers],[2027]],Refsz_Verbräuche[[#This Row],[2026]],"")))</f>
        <v/>
      </c>
      <c r="R82" s="124" t="str">
        <f>IF(Refsz_Verbräuche[[#Headers],[2028]]=$B$43,IF(OR(SUMIF($E82:Refsz_Verbräuche[[#This Row],[2027]],"&gt;0")&gt;0,), AVERAGEIF($E82:Refsz_Verbräuche[[#This Row],[2027]],"&lt;&gt;"""), ""),IF($B$43=(Refsz_Verbräuche[[#Headers],[2028]]-1),Refsz_Verbräuche[[#This Row],[2027]],IF($B$43&lt;Refsz_Verbräuche[[#Headers],[2028]],Refsz_Verbräuche[[#This Row],[2027]],"")))</f>
        <v/>
      </c>
      <c r="S82" s="124" t="str">
        <f>IF(Refsz_Verbräuche[[#Headers],[2029]]=$B$43,IF(OR(SUMIF($E82:Refsz_Verbräuche[[#This Row],[2028]],"&gt;0")&gt;0,), AVERAGEIF($E82:Refsz_Verbräuche[[#This Row],[2028]],"&lt;&gt;"""), ""),IF($B$43=(Refsz_Verbräuche[[#Headers],[2029]]-1),Refsz_Verbräuche[[#This Row],[2028]],IF($B$43&lt;Refsz_Verbräuche[[#Headers],[2029]],Refsz_Verbräuche[[#This Row],[2028]],"")))</f>
        <v/>
      </c>
      <c r="T82" s="124" t="str">
        <f>IF(Refsz_Verbräuche[[#Headers],[2030]]=$B$43,IF(OR(SUMIF($E82:Refsz_Verbräuche[[#This Row],[2029]],"&gt;0")&gt;0,), AVERAGEIF($E82:Refsz_Verbräuche[[#This Row],[2029]],"&lt;&gt;"""), ""),IF($B$43=(Refsz_Verbräuche[[#Headers],[2030]]-1),Refsz_Verbräuche[[#This Row],[2029]],IF($B$43&lt;Refsz_Verbräuche[[#Headers],[2030]],Refsz_Verbräuche[[#This Row],[2029]],"")))</f>
        <v/>
      </c>
      <c r="U82" s="124" t="str">
        <f>IF(Refsz_Verbräuche[[#Headers],[2035]]=$B$43,IF(OR(SUMIF($E82:Refsz_Verbräuche[[#This Row],[2030]],"&gt;0")&gt;0,), AVERAGEIF($E82:Refsz_Verbräuche[[#This Row],[2030]],"&lt;&gt;"""), ""),IF($B$43=(Refsz_Verbräuche[[#Headers],[2035]]-1),Refsz_Verbräuche[[#This Row],[2030]],IF($B$43&lt;Refsz_Verbräuche[[#Headers],[2035]],Refsz_Verbräuche[[#This Row],[2030]],"")))</f>
        <v/>
      </c>
      <c r="V82" s="124" t="str">
        <f>IF(Refsz_Verbräuche[[#Headers],[2040]]=$B$43,IF(OR(SUMIF($E82:Refsz_Verbräuche[[#This Row],[2035]],"&gt;0")&gt;0,), AVERAGEIF($E82:Refsz_Verbräuche[[#This Row],[2035]],"&lt;&gt;"""), ""),IF($B$43=(Refsz_Verbräuche[[#Headers],[2040]]-1),Refsz_Verbräuche[[#This Row],[2035]],IF($B$43&lt;Refsz_Verbräuche[[#Headers],[2040]],Refsz_Verbräuche[[#This Row],[2035]],"")))</f>
        <v/>
      </c>
      <c r="W82" s="124" t="str">
        <f>IF(Refsz_Verbräuche[[#Headers],[2045]]=$B$43,IF(OR(SUMIF($E82:Refsz_Verbräuche[[#This Row],[2040]],"&gt;0")&gt;0,), AVERAGEIF($E82:Refsz_Verbräuche[[#This Row],[2040]],"&lt;&gt;"""), ""),IF($B$43=(Refsz_Verbräuche[[#Headers],[2045]]-1),Refsz_Verbräuche[[#This Row],[2040]],IF($B$43&lt;Refsz_Verbräuche[[#Headers],[2045]],Refsz_Verbräuche[[#This Row],[2040]],"")))</f>
        <v/>
      </c>
      <c r="X82" s="124" t="str">
        <f>IF(Refsz_Verbräuche[[#Headers],[2050]]=$B$43,IF(OR(SUMIF($E82:Refsz_Verbräuche[[#This Row],[2045]],"&gt;0")&gt;0,), AVERAGEIF($E82:Refsz_Verbräuche[[#This Row],[2045]],"&lt;&gt;"""), ""),IF($B$43=(Refsz_Verbräuche[[#Headers],[2050]]-1),Refsz_Verbräuche[[#This Row],[2045]],IF($B$43&lt;Refsz_Verbräuche[[#Headers],[2050]],Refsz_Verbräuche[[#This Row],[2045]],"")))</f>
        <v/>
      </c>
      <c r="Z82" s="15"/>
    </row>
    <row r="83" spans="2:26" x14ac:dyDescent="0.35">
      <c r="B83" s="15">
        <v>23</v>
      </c>
      <c r="C83" s="10" t="s">
        <v>414</v>
      </c>
      <c r="D83" t="s">
        <v>46</v>
      </c>
      <c r="E83" s="124"/>
      <c r="F83" s="124"/>
      <c r="G83" s="124"/>
      <c r="H83" s="124"/>
      <c r="I83" s="124"/>
      <c r="J83" s="124"/>
      <c r="K83" s="124"/>
      <c r="L83" s="124" t="str">
        <f>IF(Refsz_Verbräuche[[#Headers],[2022]]=$B$43,IF(OR(SUMIF($E83:Refsz_Verbräuche[[#This Row],[2021]],"&gt;0")&gt;0,), AVERAGEIF($E83:Refsz_Verbräuche[[#This Row],[2021]],"&lt;&gt;"""), ""),IF($B$43=(Refsz_Verbräuche[[#Headers],[2022]]-1),Refsz_Verbräuche[[#This Row],[2021]],IF($B$43&lt;Refsz_Verbräuche[[#Headers],[2022]],Refsz_Verbräuche[[#This Row],[2021]],"")))</f>
        <v/>
      </c>
      <c r="M83" s="124" t="str">
        <f>IF(Refsz_Verbräuche[[#Headers],[2023]]=$B$43,IF(OR(SUMIF($E83:Refsz_Verbräuche[[#This Row],[2022]],"&gt;0")&gt;0,), AVERAGEIF($E83:Refsz_Verbräuche[[#This Row],[2022]],"&lt;&gt;"""), ""),IF($B$43=(Refsz_Verbräuche[[#Headers],[2023]]-1),Refsz_Verbräuche[[#This Row],[2022]],IF($B$43&lt;Refsz_Verbräuche[[#Headers],[2023]],Refsz_Verbräuche[[#This Row],[2022]],"")))</f>
        <v/>
      </c>
      <c r="N83" s="124" t="str">
        <f>IF(Refsz_Verbräuche[[#Headers],[2024]]=$B$43,IF(OR(SUMIF($E83:Refsz_Verbräuche[[#This Row],[2023]],"&gt;0")&gt;0,), AVERAGEIF($E83:Refsz_Verbräuche[[#This Row],[2023]],"&lt;&gt;"""), ""),IF($B$43=(Refsz_Verbräuche[[#Headers],[2024]]-1),Refsz_Verbräuche[[#This Row],[2023]],IF($B$43&lt;Refsz_Verbräuche[[#Headers],[2024]],Refsz_Verbräuche[[#This Row],[2023]],"")))</f>
        <v/>
      </c>
      <c r="O83" s="124" t="str">
        <f>IF(Refsz_Verbräuche[[#Headers],[2025]]=$B$43,IF(OR(SUMIF($E83:Refsz_Verbräuche[[#This Row],[2024]],"&gt;0")&gt;0,), AVERAGEIF($E83:Refsz_Verbräuche[[#This Row],[2024]],"&lt;&gt;"""), ""),IF($B$43=(Refsz_Verbräuche[[#Headers],[2025]]-1),Refsz_Verbräuche[[#This Row],[2024]],IF($B$43&lt;Refsz_Verbräuche[[#Headers],[2025]],Refsz_Verbräuche[[#This Row],[2024]],"")))</f>
        <v/>
      </c>
      <c r="P83" s="124" t="str">
        <f>IF(Refsz_Verbräuche[[#Headers],[2026]]=$B$43,IF(OR(SUMIF($E83:Refsz_Verbräuche[[#This Row],[2025]],"&gt;0")&gt;0,), AVERAGEIF($E83:Refsz_Verbräuche[[#This Row],[2025]],"&lt;&gt;"""), ""),IF($B$43=(Refsz_Verbräuche[[#Headers],[2026]]-1),Refsz_Verbräuche[[#This Row],[2025]],IF($B$43&lt;Refsz_Verbräuche[[#Headers],[2026]],Refsz_Verbräuche[[#This Row],[2025]],"")))</f>
        <v/>
      </c>
      <c r="Q83" s="124" t="str">
        <f>IF(Refsz_Verbräuche[[#Headers],[2027]]=$B$43,IF(OR(SUMIF($E83:Refsz_Verbräuche[[#This Row],[2026]],"&gt;0")&gt;0,), AVERAGEIF($E83:Refsz_Verbräuche[[#This Row],[2026]],"&lt;&gt;"""), ""),IF($B$43=(Refsz_Verbräuche[[#Headers],[2027]]-1),Refsz_Verbräuche[[#This Row],[2026]],IF($B$43&lt;Refsz_Verbräuche[[#Headers],[2027]],Refsz_Verbräuche[[#This Row],[2026]],"")))</f>
        <v/>
      </c>
      <c r="R83" s="124" t="str">
        <f>IF(Refsz_Verbräuche[[#Headers],[2028]]=$B$43,IF(OR(SUMIF($E83:Refsz_Verbräuche[[#This Row],[2027]],"&gt;0")&gt;0,), AVERAGEIF($E83:Refsz_Verbräuche[[#This Row],[2027]],"&lt;&gt;"""), ""),IF($B$43=(Refsz_Verbräuche[[#Headers],[2028]]-1),Refsz_Verbräuche[[#This Row],[2027]],IF($B$43&lt;Refsz_Verbräuche[[#Headers],[2028]],Refsz_Verbräuche[[#This Row],[2027]],"")))</f>
        <v/>
      </c>
      <c r="S83" s="124" t="str">
        <f>IF(Refsz_Verbräuche[[#Headers],[2029]]=$B$43,IF(OR(SUMIF($E83:Refsz_Verbräuche[[#This Row],[2028]],"&gt;0")&gt;0,), AVERAGEIF($E83:Refsz_Verbräuche[[#This Row],[2028]],"&lt;&gt;"""), ""),IF($B$43=(Refsz_Verbräuche[[#Headers],[2029]]-1),Refsz_Verbräuche[[#This Row],[2028]],IF($B$43&lt;Refsz_Verbräuche[[#Headers],[2029]],Refsz_Verbräuche[[#This Row],[2028]],"")))</f>
        <v/>
      </c>
      <c r="T83" s="124" t="str">
        <f>IF(Refsz_Verbräuche[[#Headers],[2030]]=$B$43,IF(OR(SUMIF($E83:Refsz_Verbräuche[[#This Row],[2029]],"&gt;0")&gt;0,), AVERAGEIF($E83:Refsz_Verbräuche[[#This Row],[2029]],"&lt;&gt;"""), ""),IF($B$43=(Refsz_Verbräuche[[#Headers],[2030]]-1),Refsz_Verbräuche[[#This Row],[2029]],IF($B$43&lt;Refsz_Verbräuche[[#Headers],[2030]],Refsz_Verbräuche[[#This Row],[2029]],"")))</f>
        <v/>
      </c>
      <c r="U83" s="124" t="str">
        <f>IF(Refsz_Verbräuche[[#Headers],[2035]]=$B$43,IF(OR(SUMIF($E83:Refsz_Verbräuche[[#This Row],[2030]],"&gt;0")&gt;0,), AVERAGEIF($E83:Refsz_Verbräuche[[#This Row],[2030]],"&lt;&gt;"""), ""),IF($B$43=(Refsz_Verbräuche[[#Headers],[2035]]-1),Refsz_Verbräuche[[#This Row],[2030]],IF($B$43&lt;Refsz_Verbräuche[[#Headers],[2035]],Refsz_Verbräuche[[#This Row],[2030]],"")))</f>
        <v/>
      </c>
      <c r="V83" s="124" t="str">
        <f>IF(Refsz_Verbräuche[[#Headers],[2040]]=$B$43,IF(OR(SUMIF($E83:Refsz_Verbräuche[[#This Row],[2035]],"&gt;0")&gt;0,), AVERAGEIF($E83:Refsz_Verbräuche[[#This Row],[2035]],"&lt;&gt;"""), ""),IF($B$43=(Refsz_Verbräuche[[#Headers],[2040]]-1),Refsz_Verbräuche[[#This Row],[2035]],IF($B$43&lt;Refsz_Verbräuche[[#Headers],[2040]],Refsz_Verbräuche[[#This Row],[2035]],"")))</f>
        <v/>
      </c>
      <c r="W83" s="124" t="str">
        <f>IF(Refsz_Verbräuche[[#Headers],[2045]]=$B$43,IF(OR(SUMIF($E83:Refsz_Verbräuche[[#This Row],[2040]],"&gt;0")&gt;0,), AVERAGEIF($E83:Refsz_Verbräuche[[#This Row],[2040]],"&lt;&gt;"""), ""),IF($B$43=(Refsz_Verbräuche[[#Headers],[2045]]-1),Refsz_Verbräuche[[#This Row],[2040]],IF($B$43&lt;Refsz_Verbräuche[[#Headers],[2045]],Refsz_Verbräuche[[#This Row],[2040]],"")))</f>
        <v/>
      </c>
      <c r="X83" s="124" t="str">
        <f>IF(Refsz_Verbräuche[[#Headers],[2050]]=$B$43,IF(OR(SUMIF($E83:Refsz_Verbräuche[[#This Row],[2045]],"&gt;0")&gt;0,), AVERAGEIF($E83:Refsz_Verbräuche[[#This Row],[2045]],"&lt;&gt;"""), ""),IF($B$43=(Refsz_Verbräuche[[#Headers],[2050]]-1),Refsz_Verbräuche[[#This Row],[2045]],IF($B$43&lt;Refsz_Verbräuche[[#Headers],[2050]],Refsz_Verbräuche[[#This Row],[2045]],"")))</f>
        <v/>
      </c>
      <c r="Z83" s="15"/>
    </row>
    <row r="84" spans="2:26" x14ac:dyDescent="0.35">
      <c r="B84" s="15">
        <v>24</v>
      </c>
      <c r="C84" s="10" t="s">
        <v>426</v>
      </c>
      <c r="D84" t="s">
        <v>46</v>
      </c>
      <c r="E84" s="124"/>
      <c r="F84" s="124"/>
      <c r="G84" s="124"/>
      <c r="H84" s="124"/>
      <c r="I84" s="124"/>
      <c r="J84" s="124"/>
      <c r="K84" s="124"/>
      <c r="L84" s="124" t="str">
        <f>IF(Refsz_Verbräuche[[#Headers],[2022]]=$B$43,IF(OR(SUMIF($E84:Refsz_Verbräuche[[#This Row],[2021]],"&gt;0")&gt;0,), AVERAGEIF($E84:Refsz_Verbräuche[[#This Row],[2021]],"&lt;&gt;"""), ""),IF($B$43=(Refsz_Verbräuche[[#Headers],[2022]]-1),Refsz_Verbräuche[[#This Row],[2021]],IF($B$43&lt;Refsz_Verbräuche[[#Headers],[2022]],Refsz_Verbräuche[[#This Row],[2021]],"")))</f>
        <v/>
      </c>
      <c r="M84" s="124" t="str">
        <f>IF(Refsz_Verbräuche[[#Headers],[2023]]=$B$43,IF(OR(SUMIF($E84:Refsz_Verbräuche[[#This Row],[2022]],"&gt;0")&gt;0,), AVERAGEIF($E84:Refsz_Verbräuche[[#This Row],[2022]],"&lt;&gt;"""), ""),IF($B$43=(Refsz_Verbräuche[[#Headers],[2023]]-1),Refsz_Verbräuche[[#This Row],[2022]],IF($B$43&lt;Refsz_Verbräuche[[#Headers],[2023]],Refsz_Verbräuche[[#This Row],[2022]],"")))</f>
        <v/>
      </c>
      <c r="N84" s="124" t="str">
        <f>IF(Refsz_Verbräuche[[#Headers],[2024]]=$B$43,IF(OR(SUMIF($E84:Refsz_Verbräuche[[#This Row],[2023]],"&gt;0")&gt;0,), AVERAGEIF($E84:Refsz_Verbräuche[[#This Row],[2023]],"&lt;&gt;"""), ""),IF($B$43=(Refsz_Verbräuche[[#Headers],[2024]]-1),Refsz_Verbräuche[[#This Row],[2023]],IF($B$43&lt;Refsz_Verbräuche[[#Headers],[2024]],Refsz_Verbräuche[[#This Row],[2023]],"")))</f>
        <v/>
      </c>
      <c r="O84" s="124" t="str">
        <f>IF(Refsz_Verbräuche[[#Headers],[2025]]=$B$43,IF(OR(SUMIF($E84:Refsz_Verbräuche[[#This Row],[2024]],"&gt;0")&gt;0,), AVERAGEIF($E84:Refsz_Verbräuche[[#This Row],[2024]],"&lt;&gt;"""), ""),IF($B$43=(Refsz_Verbräuche[[#Headers],[2025]]-1),Refsz_Verbräuche[[#This Row],[2024]],IF($B$43&lt;Refsz_Verbräuche[[#Headers],[2025]],Refsz_Verbräuche[[#This Row],[2024]],"")))</f>
        <v/>
      </c>
      <c r="P84" s="124" t="str">
        <f>IF(Refsz_Verbräuche[[#Headers],[2026]]=$B$43,IF(OR(SUMIF($E84:Refsz_Verbräuche[[#This Row],[2025]],"&gt;0")&gt;0,), AVERAGEIF($E84:Refsz_Verbräuche[[#This Row],[2025]],"&lt;&gt;"""), ""),IF($B$43=(Refsz_Verbräuche[[#Headers],[2026]]-1),Refsz_Verbräuche[[#This Row],[2025]],IF($B$43&lt;Refsz_Verbräuche[[#Headers],[2026]],Refsz_Verbräuche[[#This Row],[2025]],"")))</f>
        <v/>
      </c>
      <c r="Q84" s="124" t="str">
        <f>IF(Refsz_Verbräuche[[#Headers],[2027]]=$B$43,IF(OR(SUMIF($E84:Refsz_Verbräuche[[#This Row],[2026]],"&gt;0")&gt;0,), AVERAGEIF($E84:Refsz_Verbräuche[[#This Row],[2026]],"&lt;&gt;"""), ""),IF($B$43=(Refsz_Verbräuche[[#Headers],[2027]]-1),Refsz_Verbräuche[[#This Row],[2026]],IF($B$43&lt;Refsz_Verbräuche[[#Headers],[2027]],Refsz_Verbräuche[[#This Row],[2026]],"")))</f>
        <v/>
      </c>
      <c r="R84" s="124" t="str">
        <f>IF(Refsz_Verbräuche[[#Headers],[2028]]=$B$43,IF(OR(SUMIF($E84:Refsz_Verbräuche[[#This Row],[2027]],"&gt;0")&gt;0,), AVERAGEIF($E84:Refsz_Verbräuche[[#This Row],[2027]],"&lt;&gt;"""), ""),IF($B$43=(Refsz_Verbräuche[[#Headers],[2028]]-1),Refsz_Verbräuche[[#This Row],[2027]],IF($B$43&lt;Refsz_Verbräuche[[#Headers],[2028]],Refsz_Verbräuche[[#This Row],[2027]],"")))</f>
        <v/>
      </c>
      <c r="S84" s="124" t="str">
        <f>IF(Refsz_Verbräuche[[#Headers],[2029]]=$B$43,IF(OR(SUMIF($E84:Refsz_Verbräuche[[#This Row],[2028]],"&gt;0")&gt;0,), AVERAGEIF($E84:Refsz_Verbräuche[[#This Row],[2028]],"&lt;&gt;"""), ""),IF($B$43=(Refsz_Verbräuche[[#Headers],[2029]]-1),Refsz_Verbräuche[[#This Row],[2028]],IF($B$43&lt;Refsz_Verbräuche[[#Headers],[2029]],Refsz_Verbräuche[[#This Row],[2028]],"")))</f>
        <v/>
      </c>
      <c r="T84" s="124" t="str">
        <f>IF(Refsz_Verbräuche[[#Headers],[2030]]=$B$43,IF(OR(SUMIF($E84:Refsz_Verbräuche[[#This Row],[2029]],"&gt;0")&gt;0,), AVERAGEIF($E84:Refsz_Verbräuche[[#This Row],[2029]],"&lt;&gt;"""), ""),IF($B$43=(Refsz_Verbräuche[[#Headers],[2030]]-1),Refsz_Verbräuche[[#This Row],[2029]],IF($B$43&lt;Refsz_Verbräuche[[#Headers],[2030]],Refsz_Verbräuche[[#This Row],[2029]],"")))</f>
        <v/>
      </c>
      <c r="U84" s="124" t="str">
        <f>IF(Refsz_Verbräuche[[#Headers],[2035]]=$B$43,IF(OR(SUMIF($E84:Refsz_Verbräuche[[#This Row],[2030]],"&gt;0")&gt;0,), AVERAGEIF($E84:Refsz_Verbräuche[[#This Row],[2030]],"&lt;&gt;"""), ""),IF($B$43=(Refsz_Verbräuche[[#Headers],[2035]]-1),Refsz_Verbräuche[[#This Row],[2030]],IF($B$43&lt;Refsz_Verbräuche[[#Headers],[2035]],Refsz_Verbräuche[[#This Row],[2030]],"")))</f>
        <v/>
      </c>
      <c r="V84" s="124" t="str">
        <f>IF(Refsz_Verbräuche[[#Headers],[2040]]=$B$43,IF(OR(SUMIF($E84:Refsz_Verbräuche[[#This Row],[2035]],"&gt;0")&gt;0,), AVERAGEIF($E84:Refsz_Verbräuche[[#This Row],[2035]],"&lt;&gt;"""), ""),IF($B$43=(Refsz_Verbräuche[[#Headers],[2040]]-1),Refsz_Verbräuche[[#This Row],[2035]],IF($B$43&lt;Refsz_Verbräuche[[#Headers],[2040]],Refsz_Verbräuche[[#This Row],[2035]],"")))</f>
        <v/>
      </c>
      <c r="W84" s="124" t="str">
        <f>IF(Refsz_Verbräuche[[#Headers],[2045]]=$B$43,IF(OR(SUMIF($E84:Refsz_Verbräuche[[#This Row],[2040]],"&gt;0")&gt;0,), AVERAGEIF($E84:Refsz_Verbräuche[[#This Row],[2040]],"&lt;&gt;"""), ""),IF($B$43=(Refsz_Verbräuche[[#Headers],[2045]]-1),Refsz_Verbräuche[[#This Row],[2040]],IF($B$43&lt;Refsz_Verbräuche[[#Headers],[2045]],Refsz_Verbräuche[[#This Row],[2040]],"")))</f>
        <v/>
      </c>
      <c r="X84" s="124" t="str">
        <f>IF(Refsz_Verbräuche[[#Headers],[2050]]=$B$43,IF(OR(SUMIF($E84:Refsz_Verbräuche[[#This Row],[2045]],"&gt;0")&gt;0,), AVERAGEIF($E84:Refsz_Verbräuche[[#This Row],[2045]],"&lt;&gt;"""), ""),IF($B$43=(Refsz_Verbräuche[[#Headers],[2050]]-1),Refsz_Verbräuche[[#This Row],[2045]],IF($B$43&lt;Refsz_Verbräuche[[#Headers],[2050]],Refsz_Verbräuche[[#This Row],[2045]],"")))</f>
        <v/>
      </c>
      <c r="Z84" s="15"/>
    </row>
    <row r="85" spans="2:26" x14ac:dyDescent="0.35">
      <c r="B85" s="15">
        <v>25</v>
      </c>
      <c r="C85" s="51" t="s">
        <v>238</v>
      </c>
      <c r="D85" t="s">
        <v>46</v>
      </c>
      <c r="E85" s="124"/>
      <c r="F85" s="124"/>
      <c r="G85" s="124"/>
      <c r="H85" s="124"/>
      <c r="I85" s="124"/>
      <c r="J85" s="124"/>
      <c r="K85" s="124"/>
      <c r="L85" s="124" t="str">
        <f>IF(Refsz_Verbräuche[[#Headers],[2022]]=$B$43,IF(OR(SUMIF($E85:Refsz_Verbräuche[[#This Row],[2021]],"&gt;0")&gt;0,), AVERAGEIF($E85:Refsz_Verbräuche[[#This Row],[2021]],"&lt;&gt;"""), ""),IF($B$43=(Refsz_Verbräuche[[#Headers],[2022]]-1),Refsz_Verbräuche[[#This Row],[2021]],IF($B$43&lt;Refsz_Verbräuche[[#Headers],[2022]],Refsz_Verbräuche[[#This Row],[2021]],"")))</f>
        <v/>
      </c>
      <c r="M85" s="124" t="str">
        <f>IF(Refsz_Verbräuche[[#Headers],[2023]]=$B$43,IF(OR(SUMIF($E85:Refsz_Verbräuche[[#This Row],[2022]],"&gt;0")&gt;0,), AVERAGEIF($E85:Refsz_Verbräuche[[#This Row],[2022]],"&lt;&gt;"""), ""),IF($B$43=(Refsz_Verbräuche[[#Headers],[2023]]-1),Refsz_Verbräuche[[#This Row],[2022]],IF($B$43&lt;Refsz_Verbräuche[[#Headers],[2023]],Refsz_Verbräuche[[#This Row],[2022]],"")))</f>
        <v/>
      </c>
      <c r="N85" s="124" t="str">
        <f>IF(Refsz_Verbräuche[[#Headers],[2024]]=$B$43,IF(OR(SUMIF($E85:Refsz_Verbräuche[[#This Row],[2023]],"&gt;0")&gt;0,), AVERAGEIF($E85:Refsz_Verbräuche[[#This Row],[2023]],"&lt;&gt;"""), ""),IF($B$43=(Refsz_Verbräuche[[#Headers],[2024]]-1),Refsz_Verbräuche[[#This Row],[2023]],IF($B$43&lt;Refsz_Verbräuche[[#Headers],[2024]],Refsz_Verbräuche[[#This Row],[2023]],"")))</f>
        <v/>
      </c>
      <c r="O85" s="124" t="str">
        <f>IF(Refsz_Verbräuche[[#Headers],[2025]]=$B$43,IF(OR(SUMIF($E85:Refsz_Verbräuche[[#This Row],[2024]],"&gt;0")&gt;0,), AVERAGEIF($E85:Refsz_Verbräuche[[#This Row],[2024]],"&lt;&gt;"""), ""),IF($B$43=(Refsz_Verbräuche[[#Headers],[2025]]-1),Refsz_Verbräuche[[#This Row],[2024]],IF($B$43&lt;Refsz_Verbräuche[[#Headers],[2025]],Refsz_Verbräuche[[#This Row],[2024]],"")))</f>
        <v/>
      </c>
      <c r="P85" s="124" t="str">
        <f>IF(Refsz_Verbräuche[[#Headers],[2026]]=$B$43,IF(OR(SUMIF($E85:Refsz_Verbräuche[[#This Row],[2025]],"&gt;0")&gt;0,), AVERAGEIF($E85:Refsz_Verbräuche[[#This Row],[2025]],"&lt;&gt;"""), ""),IF($B$43=(Refsz_Verbräuche[[#Headers],[2026]]-1),Refsz_Verbräuche[[#This Row],[2025]],IF($B$43&lt;Refsz_Verbräuche[[#Headers],[2026]],Refsz_Verbräuche[[#This Row],[2025]],"")))</f>
        <v/>
      </c>
      <c r="Q85" s="124" t="str">
        <f>IF(Refsz_Verbräuche[[#Headers],[2027]]=$B$43,IF(OR(SUMIF($E85:Refsz_Verbräuche[[#This Row],[2026]],"&gt;0")&gt;0,), AVERAGEIF($E85:Refsz_Verbräuche[[#This Row],[2026]],"&lt;&gt;"""), ""),IF($B$43=(Refsz_Verbräuche[[#Headers],[2027]]-1),Refsz_Verbräuche[[#This Row],[2026]],IF($B$43&lt;Refsz_Verbräuche[[#Headers],[2027]],Refsz_Verbräuche[[#This Row],[2026]],"")))</f>
        <v/>
      </c>
      <c r="R85" s="124" t="str">
        <f>IF(Refsz_Verbräuche[[#Headers],[2028]]=$B$43,IF(OR(SUMIF($E85:Refsz_Verbräuche[[#This Row],[2027]],"&gt;0")&gt;0,), AVERAGEIF($E85:Refsz_Verbräuche[[#This Row],[2027]],"&lt;&gt;"""), ""),IF($B$43=(Refsz_Verbräuche[[#Headers],[2028]]-1),Refsz_Verbräuche[[#This Row],[2027]],IF($B$43&lt;Refsz_Verbräuche[[#Headers],[2028]],Refsz_Verbräuche[[#This Row],[2027]],"")))</f>
        <v/>
      </c>
      <c r="S85" s="124" t="str">
        <f>IF(Refsz_Verbräuche[[#Headers],[2029]]=$B$43,IF(OR(SUMIF($E85:Refsz_Verbräuche[[#This Row],[2028]],"&gt;0")&gt;0,), AVERAGEIF($E85:Refsz_Verbräuche[[#This Row],[2028]],"&lt;&gt;"""), ""),IF($B$43=(Refsz_Verbräuche[[#Headers],[2029]]-1),Refsz_Verbräuche[[#This Row],[2028]],IF($B$43&lt;Refsz_Verbräuche[[#Headers],[2029]],Refsz_Verbräuche[[#This Row],[2028]],"")))</f>
        <v/>
      </c>
      <c r="T85" s="124" t="str">
        <f>IF(Refsz_Verbräuche[[#Headers],[2030]]=$B$43,IF(OR(SUMIF($E85:Refsz_Verbräuche[[#This Row],[2029]],"&gt;0")&gt;0,), AVERAGEIF($E85:Refsz_Verbräuche[[#This Row],[2029]],"&lt;&gt;"""), ""),IF($B$43=(Refsz_Verbräuche[[#Headers],[2030]]-1),Refsz_Verbräuche[[#This Row],[2029]],IF($B$43&lt;Refsz_Verbräuche[[#Headers],[2030]],Refsz_Verbräuche[[#This Row],[2029]],"")))</f>
        <v/>
      </c>
      <c r="U85" s="124" t="str">
        <f>IF(Refsz_Verbräuche[[#Headers],[2035]]=$B$43,IF(OR(SUMIF($E85:Refsz_Verbräuche[[#This Row],[2030]],"&gt;0")&gt;0,), AVERAGEIF($E85:Refsz_Verbräuche[[#This Row],[2030]],"&lt;&gt;"""), ""),IF($B$43=(Refsz_Verbräuche[[#Headers],[2035]]-1),Refsz_Verbräuche[[#This Row],[2030]],IF($B$43&lt;Refsz_Verbräuche[[#Headers],[2035]],Refsz_Verbräuche[[#This Row],[2030]],"")))</f>
        <v/>
      </c>
      <c r="V85" s="124" t="str">
        <f>IF(Refsz_Verbräuche[[#Headers],[2040]]=$B$43,IF(OR(SUMIF($E85:Refsz_Verbräuche[[#This Row],[2035]],"&gt;0")&gt;0,), AVERAGEIF($E85:Refsz_Verbräuche[[#This Row],[2035]],"&lt;&gt;"""), ""),IF($B$43=(Refsz_Verbräuche[[#Headers],[2040]]-1),Refsz_Verbräuche[[#This Row],[2035]],IF($B$43&lt;Refsz_Verbräuche[[#Headers],[2040]],Refsz_Verbräuche[[#This Row],[2035]],"")))</f>
        <v/>
      </c>
      <c r="W85" s="124" t="str">
        <f>IF(Refsz_Verbräuche[[#Headers],[2045]]=$B$43,IF(OR(SUMIF($E85:Refsz_Verbräuche[[#This Row],[2040]],"&gt;0")&gt;0,), AVERAGEIF($E85:Refsz_Verbräuche[[#This Row],[2040]],"&lt;&gt;"""), ""),IF($B$43=(Refsz_Verbräuche[[#Headers],[2045]]-1),Refsz_Verbräuche[[#This Row],[2040]],IF($B$43&lt;Refsz_Verbräuche[[#Headers],[2045]],Refsz_Verbräuche[[#This Row],[2040]],"")))</f>
        <v/>
      </c>
      <c r="X85" s="124" t="str">
        <f>IF(Refsz_Verbräuche[[#Headers],[2050]]=$B$43,IF(OR(SUMIF($E85:Refsz_Verbräuche[[#This Row],[2045]],"&gt;0")&gt;0,), AVERAGEIF($E85:Refsz_Verbräuche[[#This Row],[2045]],"&lt;&gt;"""), ""),IF($B$43=(Refsz_Verbräuche[[#Headers],[2050]]-1),Refsz_Verbräuche[[#This Row],[2045]],IF($B$43&lt;Refsz_Verbräuche[[#Headers],[2050]],Refsz_Verbräuche[[#This Row],[2045]],"")))</f>
        <v/>
      </c>
      <c r="Y85" t="s">
        <v>209</v>
      </c>
      <c r="Z85" s="15">
        <v>4</v>
      </c>
    </row>
    <row r="86" spans="2:26" x14ac:dyDescent="0.35">
      <c r="B86" s="15">
        <v>26</v>
      </c>
      <c r="C86" s="10" t="s">
        <v>52</v>
      </c>
      <c r="D86" t="s">
        <v>48</v>
      </c>
      <c r="E86" s="124"/>
      <c r="F86" s="124"/>
      <c r="G86" s="124"/>
      <c r="H86" s="124"/>
      <c r="I86" s="124"/>
      <c r="J86" s="124"/>
      <c r="K86" s="124"/>
      <c r="L86" s="124" t="str">
        <f>IF(Refsz_Verbräuche[[#Headers],[2022]]=$B$43,IF(OR(SUMIF($E86:Refsz_Verbräuche[[#This Row],[2021]],"&gt;0")&gt;0,), AVERAGEIF($E86:Refsz_Verbräuche[[#This Row],[2021]],"&lt;&gt;"""), ""),IF($B$43=(Refsz_Verbräuche[[#Headers],[2022]]-1),Refsz_Verbräuche[[#This Row],[2021]],IF($B$43&lt;Refsz_Verbräuche[[#Headers],[2022]],Refsz_Verbräuche[[#This Row],[2021]],"")))</f>
        <v/>
      </c>
      <c r="M86" s="124" t="str">
        <f>IF(Refsz_Verbräuche[[#Headers],[2023]]=$B$43,IF(OR(SUMIF($E86:Refsz_Verbräuche[[#This Row],[2022]],"&gt;0")&gt;0,), AVERAGEIF($E86:Refsz_Verbräuche[[#This Row],[2022]],"&lt;&gt;"""), ""),IF($B$43=(Refsz_Verbräuche[[#Headers],[2023]]-1),Refsz_Verbräuche[[#This Row],[2022]],IF($B$43&lt;Refsz_Verbräuche[[#Headers],[2023]],Refsz_Verbräuche[[#This Row],[2022]],"")))</f>
        <v/>
      </c>
      <c r="N86" s="124" t="str">
        <f>IF(Refsz_Verbräuche[[#Headers],[2024]]=$B$43,IF(OR(SUMIF($E86:Refsz_Verbräuche[[#This Row],[2023]],"&gt;0")&gt;0,), AVERAGEIF($E86:Refsz_Verbräuche[[#This Row],[2023]],"&lt;&gt;"""), ""),IF($B$43=(Refsz_Verbräuche[[#Headers],[2024]]-1),Refsz_Verbräuche[[#This Row],[2023]],IF($B$43&lt;Refsz_Verbräuche[[#Headers],[2024]],Refsz_Verbräuche[[#This Row],[2023]],"")))</f>
        <v/>
      </c>
      <c r="O86" s="124" t="str">
        <f>IF(Refsz_Verbräuche[[#Headers],[2025]]=$B$43,IF(OR(SUMIF($E86:Refsz_Verbräuche[[#This Row],[2024]],"&gt;0")&gt;0,), AVERAGEIF($E86:Refsz_Verbräuche[[#This Row],[2024]],"&lt;&gt;"""), ""),IF($B$43=(Refsz_Verbräuche[[#Headers],[2025]]-1),Refsz_Verbräuche[[#This Row],[2024]],IF($B$43&lt;Refsz_Verbräuche[[#Headers],[2025]],Refsz_Verbräuche[[#This Row],[2024]],"")))</f>
        <v/>
      </c>
      <c r="P86" s="124" t="str">
        <f>IF(Refsz_Verbräuche[[#Headers],[2026]]=$B$43,IF(OR(SUMIF($E86:Refsz_Verbräuche[[#This Row],[2025]],"&gt;0")&gt;0,), AVERAGEIF($E86:Refsz_Verbräuche[[#This Row],[2025]],"&lt;&gt;"""), ""),IF($B$43=(Refsz_Verbräuche[[#Headers],[2026]]-1),Refsz_Verbräuche[[#This Row],[2025]],IF($B$43&lt;Refsz_Verbräuche[[#Headers],[2026]],Refsz_Verbräuche[[#This Row],[2025]],"")))</f>
        <v/>
      </c>
      <c r="Q86" s="124" t="str">
        <f>IF(Refsz_Verbräuche[[#Headers],[2027]]=$B$43,IF(OR(SUMIF($E86:Refsz_Verbräuche[[#This Row],[2026]],"&gt;0")&gt;0,), AVERAGEIF($E86:Refsz_Verbräuche[[#This Row],[2026]],"&lt;&gt;"""), ""),IF($B$43=(Refsz_Verbräuche[[#Headers],[2027]]-1),Refsz_Verbräuche[[#This Row],[2026]],IF($B$43&lt;Refsz_Verbräuche[[#Headers],[2027]],Refsz_Verbräuche[[#This Row],[2026]],"")))</f>
        <v/>
      </c>
      <c r="R86" s="124" t="str">
        <f>IF(Refsz_Verbräuche[[#Headers],[2028]]=$B$43,IF(OR(SUMIF($E86:Refsz_Verbräuche[[#This Row],[2027]],"&gt;0")&gt;0,), AVERAGEIF($E86:Refsz_Verbräuche[[#This Row],[2027]],"&lt;&gt;"""), ""),IF($B$43=(Refsz_Verbräuche[[#Headers],[2028]]-1),Refsz_Verbräuche[[#This Row],[2027]],IF($B$43&lt;Refsz_Verbräuche[[#Headers],[2028]],Refsz_Verbräuche[[#This Row],[2027]],"")))</f>
        <v/>
      </c>
      <c r="S86" s="124" t="str">
        <f>IF(Refsz_Verbräuche[[#Headers],[2029]]=$B$43,IF(OR(SUMIF($E86:Refsz_Verbräuche[[#This Row],[2028]],"&gt;0")&gt;0,), AVERAGEIF($E86:Refsz_Verbräuche[[#This Row],[2028]],"&lt;&gt;"""), ""),IF($B$43=(Refsz_Verbräuche[[#Headers],[2029]]-1),Refsz_Verbräuche[[#This Row],[2028]],IF($B$43&lt;Refsz_Verbräuche[[#Headers],[2029]],Refsz_Verbräuche[[#This Row],[2028]],"")))</f>
        <v/>
      </c>
      <c r="T86" s="124" t="str">
        <f>IF(Refsz_Verbräuche[[#Headers],[2030]]=$B$43,IF(OR(SUMIF($E86:Refsz_Verbräuche[[#This Row],[2029]],"&gt;0")&gt;0,), AVERAGEIF($E86:Refsz_Verbräuche[[#This Row],[2029]],"&lt;&gt;"""), ""),IF($B$43=(Refsz_Verbräuche[[#Headers],[2030]]-1),Refsz_Verbräuche[[#This Row],[2029]],IF($B$43&lt;Refsz_Verbräuche[[#Headers],[2030]],Refsz_Verbräuche[[#This Row],[2029]],"")))</f>
        <v/>
      </c>
      <c r="U86" s="124" t="str">
        <f>IF(Refsz_Verbräuche[[#Headers],[2035]]=$B$43,IF(OR(SUMIF($E86:Refsz_Verbräuche[[#This Row],[2030]],"&gt;0")&gt;0,), AVERAGEIF($E86:Refsz_Verbräuche[[#This Row],[2030]],"&lt;&gt;"""), ""),IF($B$43=(Refsz_Verbräuche[[#Headers],[2035]]-1),Refsz_Verbräuche[[#This Row],[2030]],IF($B$43&lt;Refsz_Verbräuche[[#Headers],[2035]],Refsz_Verbräuche[[#This Row],[2030]],"")))</f>
        <v/>
      </c>
      <c r="V86" s="124" t="str">
        <f>IF(Refsz_Verbräuche[[#Headers],[2040]]=$B$43,IF(OR(SUMIF($E86:Refsz_Verbräuche[[#This Row],[2035]],"&gt;0")&gt;0,), AVERAGEIF($E86:Refsz_Verbräuche[[#This Row],[2035]],"&lt;&gt;"""), ""),IF($B$43=(Refsz_Verbräuche[[#Headers],[2040]]-1),Refsz_Verbräuche[[#This Row],[2035]],IF($B$43&lt;Refsz_Verbräuche[[#Headers],[2040]],Refsz_Verbräuche[[#This Row],[2035]],"")))</f>
        <v/>
      </c>
      <c r="W86" s="124" t="str">
        <f>IF(Refsz_Verbräuche[[#Headers],[2045]]=$B$43,IF(OR(SUMIF($E86:Refsz_Verbräuche[[#This Row],[2040]],"&gt;0")&gt;0,), AVERAGEIF($E86:Refsz_Verbräuche[[#This Row],[2040]],"&lt;&gt;"""), ""),IF($B$43=(Refsz_Verbräuche[[#Headers],[2045]]-1),Refsz_Verbräuche[[#This Row],[2040]],IF($B$43&lt;Refsz_Verbräuche[[#Headers],[2045]],Refsz_Verbräuche[[#This Row],[2040]],"")))</f>
        <v/>
      </c>
      <c r="X86" s="124" t="str">
        <f>IF(Refsz_Verbräuche[[#Headers],[2050]]=$B$43,IF(OR(SUMIF($E86:Refsz_Verbräuche[[#This Row],[2045]],"&gt;0")&gt;0,), AVERAGEIF($E86:Refsz_Verbräuche[[#This Row],[2045]],"&lt;&gt;"""), ""),IF($B$43=(Refsz_Verbräuche[[#Headers],[2050]]-1),Refsz_Verbräuche[[#This Row],[2045]],IF($B$43&lt;Refsz_Verbräuche[[#Headers],[2050]],Refsz_Verbräuche[[#This Row],[2045]],"")))</f>
        <v/>
      </c>
      <c r="Z86" s="15"/>
    </row>
    <row r="87" spans="2:26" x14ac:dyDescent="0.35">
      <c r="B87" s="15">
        <v>27</v>
      </c>
      <c r="C87" s="10" t="s">
        <v>53</v>
      </c>
      <c r="D87" t="s">
        <v>48</v>
      </c>
      <c r="E87" s="124"/>
      <c r="F87" s="124"/>
      <c r="G87" s="124"/>
      <c r="H87" s="124"/>
      <c r="I87" s="124"/>
      <c r="J87" s="124"/>
      <c r="K87" s="124"/>
      <c r="L87" s="124" t="str">
        <f>IF(Refsz_Verbräuche[[#Headers],[2022]]=$B$43,IF(OR(SUMIF($E87:Refsz_Verbräuche[[#This Row],[2021]],"&gt;0")&gt;0,), AVERAGEIF($E87:Refsz_Verbräuche[[#This Row],[2021]],"&lt;&gt;"""), ""),IF($B$43=(Refsz_Verbräuche[[#Headers],[2022]]-1),Refsz_Verbräuche[[#This Row],[2021]],IF($B$43&lt;Refsz_Verbräuche[[#Headers],[2022]],Refsz_Verbräuche[[#This Row],[2021]],"")))</f>
        <v/>
      </c>
      <c r="M87" s="124" t="str">
        <f>IF(Refsz_Verbräuche[[#Headers],[2023]]=$B$43,IF(OR(SUMIF($E87:Refsz_Verbräuche[[#This Row],[2022]],"&gt;0")&gt;0,), AVERAGEIF($E87:Refsz_Verbräuche[[#This Row],[2022]],"&lt;&gt;"""), ""),IF($B$43=(Refsz_Verbräuche[[#Headers],[2023]]-1),Refsz_Verbräuche[[#This Row],[2022]],IF($B$43&lt;Refsz_Verbräuche[[#Headers],[2023]],Refsz_Verbräuche[[#This Row],[2022]],"")))</f>
        <v/>
      </c>
      <c r="N87" s="124" t="str">
        <f>IF(Refsz_Verbräuche[[#Headers],[2024]]=$B$43,IF(OR(SUMIF($E87:Refsz_Verbräuche[[#This Row],[2023]],"&gt;0")&gt;0,), AVERAGEIF($E87:Refsz_Verbräuche[[#This Row],[2023]],"&lt;&gt;"""), ""),IF($B$43=(Refsz_Verbräuche[[#Headers],[2024]]-1),Refsz_Verbräuche[[#This Row],[2023]],IF($B$43&lt;Refsz_Verbräuche[[#Headers],[2024]],Refsz_Verbräuche[[#This Row],[2023]],"")))</f>
        <v/>
      </c>
      <c r="O87" s="124" t="str">
        <f>IF(Refsz_Verbräuche[[#Headers],[2025]]=$B$43,IF(OR(SUMIF($E87:Refsz_Verbräuche[[#This Row],[2024]],"&gt;0")&gt;0,), AVERAGEIF($E87:Refsz_Verbräuche[[#This Row],[2024]],"&lt;&gt;"""), ""),IF($B$43=(Refsz_Verbräuche[[#Headers],[2025]]-1),Refsz_Verbräuche[[#This Row],[2024]],IF($B$43&lt;Refsz_Verbräuche[[#Headers],[2025]],Refsz_Verbräuche[[#This Row],[2024]],"")))</f>
        <v/>
      </c>
      <c r="P87" s="124" t="str">
        <f>IF(Refsz_Verbräuche[[#Headers],[2026]]=$B$43,IF(OR(SUMIF($E87:Refsz_Verbräuche[[#This Row],[2025]],"&gt;0")&gt;0,), AVERAGEIF($E87:Refsz_Verbräuche[[#This Row],[2025]],"&lt;&gt;"""), ""),IF($B$43=(Refsz_Verbräuche[[#Headers],[2026]]-1),Refsz_Verbräuche[[#This Row],[2025]],IF($B$43&lt;Refsz_Verbräuche[[#Headers],[2026]],Refsz_Verbräuche[[#This Row],[2025]],"")))</f>
        <v/>
      </c>
      <c r="Q87" s="124" t="str">
        <f>IF(Refsz_Verbräuche[[#Headers],[2027]]=$B$43,IF(OR(SUMIF($E87:Refsz_Verbräuche[[#This Row],[2026]],"&gt;0")&gt;0,), AVERAGEIF($E87:Refsz_Verbräuche[[#This Row],[2026]],"&lt;&gt;"""), ""),IF($B$43=(Refsz_Verbräuche[[#Headers],[2027]]-1),Refsz_Verbräuche[[#This Row],[2026]],IF($B$43&lt;Refsz_Verbräuche[[#Headers],[2027]],Refsz_Verbräuche[[#This Row],[2026]],"")))</f>
        <v/>
      </c>
      <c r="R87" s="124" t="str">
        <f>IF(Refsz_Verbräuche[[#Headers],[2028]]=$B$43,IF(OR(SUMIF($E87:Refsz_Verbräuche[[#This Row],[2027]],"&gt;0")&gt;0,), AVERAGEIF($E87:Refsz_Verbräuche[[#This Row],[2027]],"&lt;&gt;"""), ""),IF($B$43=(Refsz_Verbräuche[[#Headers],[2028]]-1),Refsz_Verbräuche[[#This Row],[2027]],IF($B$43&lt;Refsz_Verbräuche[[#Headers],[2028]],Refsz_Verbräuche[[#This Row],[2027]],"")))</f>
        <v/>
      </c>
      <c r="S87" s="124" t="str">
        <f>IF(Refsz_Verbräuche[[#Headers],[2029]]=$B$43,IF(OR(SUMIF($E87:Refsz_Verbräuche[[#This Row],[2028]],"&gt;0")&gt;0,), AVERAGEIF($E87:Refsz_Verbräuche[[#This Row],[2028]],"&lt;&gt;"""), ""),IF($B$43=(Refsz_Verbräuche[[#Headers],[2029]]-1),Refsz_Verbräuche[[#This Row],[2028]],IF($B$43&lt;Refsz_Verbräuche[[#Headers],[2029]],Refsz_Verbräuche[[#This Row],[2028]],"")))</f>
        <v/>
      </c>
      <c r="T87" s="124" t="str">
        <f>IF(Refsz_Verbräuche[[#Headers],[2030]]=$B$43,IF(OR(SUMIF($E87:Refsz_Verbräuche[[#This Row],[2029]],"&gt;0")&gt;0,), AVERAGEIF($E87:Refsz_Verbräuche[[#This Row],[2029]],"&lt;&gt;"""), ""),IF($B$43=(Refsz_Verbräuche[[#Headers],[2030]]-1),Refsz_Verbräuche[[#This Row],[2029]],IF($B$43&lt;Refsz_Verbräuche[[#Headers],[2030]],Refsz_Verbräuche[[#This Row],[2029]],"")))</f>
        <v/>
      </c>
      <c r="U87" s="124" t="str">
        <f>IF(Refsz_Verbräuche[[#Headers],[2035]]=$B$43,IF(OR(SUMIF($E87:Refsz_Verbräuche[[#This Row],[2030]],"&gt;0")&gt;0,), AVERAGEIF($E87:Refsz_Verbräuche[[#This Row],[2030]],"&lt;&gt;"""), ""),IF($B$43=(Refsz_Verbräuche[[#Headers],[2035]]-1),Refsz_Verbräuche[[#This Row],[2030]],IF($B$43&lt;Refsz_Verbräuche[[#Headers],[2035]],Refsz_Verbräuche[[#This Row],[2030]],"")))</f>
        <v/>
      </c>
      <c r="V87" s="124" t="str">
        <f>IF(Refsz_Verbräuche[[#Headers],[2040]]=$B$43,IF(OR(SUMIF($E87:Refsz_Verbräuche[[#This Row],[2035]],"&gt;0")&gt;0,), AVERAGEIF($E87:Refsz_Verbräuche[[#This Row],[2035]],"&lt;&gt;"""), ""),IF($B$43=(Refsz_Verbräuche[[#Headers],[2040]]-1),Refsz_Verbräuche[[#This Row],[2035]],IF($B$43&lt;Refsz_Verbräuche[[#Headers],[2040]],Refsz_Verbräuche[[#This Row],[2035]],"")))</f>
        <v/>
      </c>
      <c r="W87" s="124" t="str">
        <f>IF(Refsz_Verbräuche[[#Headers],[2045]]=$B$43,IF(OR(SUMIF($E87:Refsz_Verbräuche[[#This Row],[2040]],"&gt;0")&gt;0,), AVERAGEIF($E87:Refsz_Verbräuche[[#This Row],[2040]],"&lt;&gt;"""), ""),IF($B$43=(Refsz_Verbräuche[[#Headers],[2045]]-1),Refsz_Verbräuche[[#This Row],[2040]],IF($B$43&lt;Refsz_Verbräuche[[#Headers],[2045]],Refsz_Verbräuche[[#This Row],[2040]],"")))</f>
        <v/>
      </c>
      <c r="X87" s="124" t="str">
        <f>IF(Refsz_Verbräuche[[#Headers],[2050]]=$B$43,IF(OR(SUMIF($E87:Refsz_Verbräuche[[#This Row],[2045]],"&gt;0")&gt;0,), AVERAGEIF($E87:Refsz_Verbräuche[[#This Row],[2045]],"&lt;&gt;"""), ""),IF($B$43=(Refsz_Verbräuche[[#Headers],[2050]]-1),Refsz_Verbräuche[[#This Row],[2045]],IF($B$43&lt;Refsz_Verbräuche[[#Headers],[2050]],Refsz_Verbräuche[[#This Row],[2045]],"")))</f>
        <v/>
      </c>
      <c r="Z87" s="15"/>
    </row>
    <row r="88" spans="2:26" x14ac:dyDescent="0.35">
      <c r="B88" s="15">
        <v>28</v>
      </c>
      <c r="C88" s="10" t="s">
        <v>54</v>
      </c>
      <c r="D88" t="s">
        <v>48</v>
      </c>
      <c r="E88" s="124"/>
      <c r="F88" s="124"/>
      <c r="G88" s="124"/>
      <c r="H88" s="124"/>
      <c r="I88" s="124"/>
      <c r="J88" s="124"/>
      <c r="K88" s="124"/>
      <c r="L88" s="124" t="str">
        <f>IF(Refsz_Verbräuche[[#Headers],[2022]]=$B$43,IF(OR(SUMIF($E88:Refsz_Verbräuche[[#This Row],[2021]],"&gt;0")&gt;0,), AVERAGEIF($E88:Refsz_Verbräuche[[#This Row],[2021]],"&lt;&gt;"""), ""),IF($B$43=(Refsz_Verbräuche[[#Headers],[2022]]-1),Refsz_Verbräuche[[#This Row],[2021]],IF($B$43&lt;Refsz_Verbräuche[[#Headers],[2022]],Refsz_Verbräuche[[#This Row],[2021]],"")))</f>
        <v/>
      </c>
      <c r="M88" s="124" t="str">
        <f>IF(Refsz_Verbräuche[[#Headers],[2023]]=$B$43,IF(OR(SUMIF($E88:Refsz_Verbräuche[[#This Row],[2022]],"&gt;0")&gt;0,), AVERAGEIF($E88:Refsz_Verbräuche[[#This Row],[2022]],"&lt;&gt;"""), ""),IF($B$43=(Refsz_Verbräuche[[#Headers],[2023]]-1),Refsz_Verbräuche[[#This Row],[2022]],IF($B$43&lt;Refsz_Verbräuche[[#Headers],[2023]],Refsz_Verbräuche[[#This Row],[2022]],"")))</f>
        <v/>
      </c>
      <c r="N88" s="124" t="str">
        <f>IF(Refsz_Verbräuche[[#Headers],[2024]]=$B$43,IF(OR(SUMIF($E88:Refsz_Verbräuche[[#This Row],[2023]],"&gt;0")&gt;0,), AVERAGEIF($E88:Refsz_Verbräuche[[#This Row],[2023]],"&lt;&gt;"""), ""),IF($B$43=(Refsz_Verbräuche[[#Headers],[2024]]-1),Refsz_Verbräuche[[#This Row],[2023]],IF($B$43&lt;Refsz_Verbräuche[[#Headers],[2024]],Refsz_Verbräuche[[#This Row],[2023]],"")))</f>
        <v/>
      </c>
      <c r="O88" s="124" t="str">
        <f>IF(Refsz_Verbräuche[[#Headers],[2025]]=$B$43,IF(OR(SUMIF($E88:Refsz_Verbräuche[[#This Row],[2024]],"&gt;0")&gt;0,), AVERAGEIF($E88:Refsz_Verbräuche[[#This Row],[2024]],"&lt;&gt;"""), ""),IF($B$43=(Refsz_Verbräuche[[#Headers],[2025]]-1),Refsz_Verbräuche[[#This Row],[2024]],IF($B$43&lt;Refsz_Verbräuche[[#Headers],[2025]],Refsz_Verbräuche[[#This Row],[2024]],"")))</f>
        <v/>
      </c>
      <c r="P88" s="124" t="str">
        <f>IF(Refsz_Verbräuche[[#Headers],[2026]]=$B$43,IF(OR(SUMIF($E88:Refsz_Verbräuche[[#This Row],[2025]],"&gt;0")&gt;0,), AVERAGEIF($E88:Refsz_Verbräuche[[#This Row],[2025]],"&lt;&gt;"""), ""),IF($B$43=(Refsz_Verbräuche[[#Headers],[2026]]-1),Refsz_Verbräuche[[#This Row],[2025]],IF($B$43&lt;Refsz_Verbräuche[[#Headers],[2026]],Refsz_Verbräuche[[#This Row],[2025]],"")))</f>
        <v/>
      </c>
      <c r="Q88" s="124" t="str">
        <f>IF(Refsz_Verbräuche[[#Headers],[2027]]=$B$43,IF(OR(SUMIF($E88:Refsz_Verbräuche[[#This Row],[2026]],"&gt;0")&gt;0,), AVERAGEIF($E88:Refsz_Verbräuche[[#This Row],[2026]],"&lt;&gt;"""), ""),IF($B$43=(Refsz_Verbräuche[[#Headers],[2027]]-1),Refsz_Verbräuche[[#This Row],[2026]],IF($B$43&lt;Refsz_Verbräuche[[#Headers],[2027]],Refsz_Verbräuche[[#This Row],[2026]],"")))</f>
        <v/>
      </c>
      <c r="R88" s="124" t="str">
        <f>IF(Refsz_Verbräuche[[#Headers],[2028]]=$B$43,IF(OR(SUMIF($E88:Refsz_Verbräuche[[#This Row],[2027]],"&gt;0")&gt;0,), AVERAGEIF($E88:Refsz_Verbräuche[[#This Row],[2027]],"&lt;&gt;"""), ""),IF($B$43=(Refsz_Verbräuche[[#Headers],[2028]]-1),Refsz_Verbräuche[[#This Row],[2027]],IF($B$43&lt;Refsz_Verbräuche[[#Headers],[2028]],Refsz_Verbräuche[[#This Row],[2027]],"")))</f>
        <v/>
      </c>
      <c r="S88" s="124" t="str">
        <f>IF(Refsz_Verbräuche[[#Headers],[2029]]=$B$43,IF(OR(SUMIF($E88:Refsz_Verbräuche[[#This Row],[2028]],"&gt;0")&gt;0,), AVERAGEIF($E88:Refsz_Verbräuche[[#This Row],[2028]],"&lt;&gt;"""), ""),IF($B$43=(Refsz_Verbräuche[[#Headers],[2029]]-1),Refsz_Verbräuche[[#This Row],[2028]],IF($B$43&lt;Refsz_Verbräuche[[#Headers],[2029]],Refsz_Verbräuche[[#This Row],[2028]],"")))</f>
        <v/>
      </c>
      <c r="T88" s="124" t="str">
        <f>IF(Refsz_Verbräuche[[#Headers],[2030]]=$B$43,IF(OR(SUMIF($E88:Refsz_Verbräuche[[#This Row],[2029]],"&gt;0")&gt;0,), AVERAGEIF($E88:Refsz_Verbräuche[[#This Row],[2029]],"&lt;&gt;"""), ""),IF($B$43=(Refsz_Verbräuche[[#Headers],[2030]]-1),Refsz_Verbräuche[[#This Row],[2029]],IF($B$43&lt;Refsz_Verbräuche[[#Headers],[2030]],Refsz_Verbräuche[[#This Row],[2029]],"")))</f>
        <v/>
      </c>
      <c r="U88" s="124" t="str">
        <f>IF(Refsz_Verbräuche[[#Headers],[2035]]=$B$43,IF(OR(SUMIF($E88:Refsz_Verbräuche[[#This Row],[2030]],"&gt;0")&gt;0,), AVERAGEIF($E88:Refsz_Verbräuche[[#This Row],[2030]],"&lt;&gt;"""), ""),IF($B$43=(Refsz_Verbräuche[[#Headers],[2035]]-1),Refsz_Verbräuche[[#This Row],[2030]],IF($B$43&lt;Refsz_Verbräuche[[#Headers],[2035]],Refsz_Verbräuche[[#This Row],[2030]],"")))</f>
        <v/>
      </c>
      <c r="V88" s="124" t="str">
        <f>IF(Refsz_Verbräuche[[#Headers],[2040]]=$B$43,IF(OR(SUMIF($E88:Refsz_Verbräuche[[#This Row],[2035]],"&gt;0")&gt;0,), AVERAGEIF($E88:Refsz_Verbräuche[[#This Row],[2035]],"&lt;&gt;"""), ""),IF($B$43=(Refsz_Verbräuche[[#Headers],[2040]]-1),Refsz_Verbräuche[[#This Row],[2035]],IF($B$43&lt;Refsz_Verbräuche[[#Headers],[2040]],Refsz_Verbräuche[[#This Row],[2035]],"")))</f>
        <v/>
      </c>
      <c r="W88" s="124" t="str">
        <f>IF(Refsz_Verbräuche[[#Headers],[2045]]=$B$43,IF(OR(SUMIF($E88:Refsz_Verbräuche[[#This Row],[2040]],"&gt;0")&gt;0,), AVERAGEIF($E88:Refsz_Verbräuche[[#This Row],[2040]],"&lt;&gt;"""), ""),IF($B$43=(Refsz_Verbräuche[[#Headers],[2045]]-1),Refsz_Verbräuche[[#This Row],[2040]],IF($B$43&lt;Refsz_Verbräuche[[#Headers],[2045]],Refsz_Verbräuche[[#This Row],[2040]],"")))</f>
        <v/>
      </c>
      <c r="X88" s="124" t="str">
        <f>IF(Refsz_Verbräuche[[#Headers],[2050]]=$B$43,IF(OR(SUMIF($E88:Refsz_Verbräuche[[#This Row],[2045]],"&gt;0")&gt;0,), AVERAGEIF($E88:Refsz_Verbräuche[[#This Row],[2045]],"&lt;&gt;"""), ""),IF($B$43=(Refsz_Verbräuche[[#Headers],[2050]]-1),Refsz_Verbräuche[[#This Row],[2045]],IF($B$43&lt;Refsz_Verbräuche[[#Headers],[2050]],Refsz_Verbräuche[[#This Row],[2045]],"")))</f>
        <v/>
      </c>
      <c r="Z88" s="15"/>
    </row>
    <row r="89" spans="2:26" x14ac:dyDescent="0.35">
      <c r="B89" s="15">
        <v>29</v>
      </c>
      <c r="C89" s="10" t="s">
        <v>55</v>
      </c>
      <c r="D89" t="s">
        <v>48</v>
      </c>
      <c r="E89" s="124"/>
      <c r="F89" s="124"/>
      <c r="G89" s="124"/>
      <c r="H89" s="124"/>
      <c r="I89" s="124"/>
      <c r="J89" s="124"/>
      <c r="K89" s="124"/>
      <c r="L89" s="124" t="str">
        <f>IF(Refsz_Verbräuche[[#Headers],[2022]]=$B$43,IF(OR(SUMIF($E89:Refsz_Verbräuche[[#This Row],[2021]],"&gt;0")&gt;0,), AVERAGEIF($E89:Refsz_Verbräuche[[#This Row],[2021]],"&lt;&gt;"""), ""),IF($B$43=(Refsz_Verbräuche[[#Headers],[2022]]-1),Refsz_Verbräuche[[#This Row],[2021]],IF($B$43&lt;Refsz_Verbräuche[[#Headers],[2022]],Refsz_Verbräuche[[#This Row],[2021]],"")))</f>
        <v/>
      </c>
      <c r="M89" s="124" t="str">
        <f>IF(Refsz_Verbräuche[[#Headers],[2023]]=$B$43,IF(OR(SUMIF($E89:Refsz_Verbräuche[[#This Row],[2022]],"&gt;0")&gt;0,), AVERAGEIF($E89:Refsz_Verbräuche[[#This Row],[2022]],"&lt;&gt;"""), ""),IF($B$43=(Refsz_Verbräuche[[#Headers],[2023]]-1),Refsz_Verbräuche[[#This Row],[2022]],IF($B$43&lt;Refsz_Verbräuche[[#Headers],[2023]],Refsz_Verbräuche[[#This Row],[2022]],"")))</f>
        <v/>
      </c>
      <c r="N89" s="124" t="str">
        <f>IF(Refsz_Verbräuche[[#Headers],[2024]]=$B$43,IF(OR(SUMIF($E89:Refsz_Verbräuche[[#This Row],[2023]],"&gt;0")&gt;0,), AVERAGEIF($E89:Refsz_Verbräuche[[#This Row],[2023]],"&lt;&gt;"""), ""),IF($B$43=(Refsz_Verbräuche[[#Headers],[2024]]-1),Refsz_Verbräuche[[#This Row],[2023]],IF($B$43&lt;Refsz_Verbräuche[[#Headers],[2024]],Refsz_Verbräuche[[#This Row],[2023]],"")))</f>
        <v/>
      </c>
      <c r="O89" s="124" t="str">
        <f>IF(Refsz_Verbräuche[[#Headers],[2025]]=$B$43,IF(OR(SUMIF($E89:Refsz_Verbräuche[[#This Row],[2024]],"&gt;0")&gt;0,), AVERAGEIF($E89:Refsz_Verbräuche[[#This Row],[2024]],"&lt;&gt;"""), ""),IF($B$43=(Refsz_Verbräuche[[#Headers],[2025]]-1),Refsz_Verbräuche[[#This Row],[2024]],IF($B$43&lt;Refsz_Verbräuche[[#Headers],[2025]],Refsz_Verbräuche[[#This Row],[2024]],"")))</f>
        <v/>
      </c>
      <c r="P89" s="124" t="str">
        <f>IF(Refsz_Verbräuche[[#Headers],[2026]]=$B$43,IF(OR(SUMIF($E89:Refsz_Verbräuche[[#This Row],[2025]],"&gt;0")&gt;0,), AVERAGEIF($E89:Refsz_Verbräuche[[#This Row],[2025]],"&lt;&gt;"""), ""),IF($B$43=(Refsz_Verbräuche[[#Headers],[2026]]-1),Refsz_Verbräuche[[#This Row],[2025]],IF($B$43&lt;Refsz_Verbräuche[[#Headers],[2026]],Refsz_Verbräuche[[#This Row],[2025]],"")))</f>
        <v/>
      </c>
      <c r="Q89" s="124" t="str">
        <f>IF(Refsz_Verbräuche[[#Headers],[2027]]=$B$43,IF(OR(SUMIF($E89:Refsz_Verbräuche[[#This Row],[2026]],"&gt;0")&gt;0,), AVERAGEIF($E89:Refsz_Verbräuche[[#This Row],[2026]],"&lt;&gt;"""), ""),IF($B$43=(Refsz_Verbräuche[[#Headers],[2027]]-1),Refsz_Verbräuche[[#This Row],[2026]],IF($B$43&lt;Refsz_Verbräuche[[#Headers],[2027]],Refsz_Verbräuche[[#This Row],[2026]],"")))</f>
        <v/>
      </c>
      <c r="R89" s="124" t="str">
        <f>IF(Refsz_Verbräuche[[#Headers],[2028]]=$B$43,IF(OR(SUMIF($E89:Refsz_Verbräuche[[#This Row],[2027]],"&gt;0")&gt;0,), AVERAGEIF($E89:Refsz_Verbräuche[[#This Row],[2027]],"&lt;&gt;"""), ""),IF($B$43=(Refsz_Verbräuche[[#Headers],[2028]]-1),Refsz_Verbräuche[[#This Row],[2027]],IF($B$43&lt;Refsz_Verbräuche[[#Headers],[2028]],Refsz_Verbräuche[[#This Row],[2027]],"")))</f>
        <v/>
      </c>
      <c r="S89" s="124" t="str">
        <f>IF(Refsz_Verbräuche[[#Headers],[2029]]=$B$43,IF(OR(SUMIF($E89:Refsz_Verbräuche[[#This Row],[2028]],"&gt;0")&gt;0,), AVERAGEIF($E89:Refsz_Verbräuche[[#This Row],[2028]],"&lt;&gt;"""), ""),IF($B$43=(Refsz_Verbräuche[[#Headers],[2029]]-1),Refsz_Verbräuche[[#This Row],[2028]],IF($B$43&lt;Refsz_Verbräuche[[#Headers],[2029]],Refsz_Verbräuche[[#This Row],[2028]],"")))</f>
        <v/>
      </c>
      <c r="T89" s="124" t="str">
        <f>IF(Refsz_Verbräuche[[#Headers],[2030]]=$B$43,IF(OR(SUMIF($E89:Refsz_Verbräuche[[#This Row],[2029]],"&gt;0")&gt;0,), AVERAGEIF($E89:Refsz_Verbräuche[[#This Row],[2029]],"&lt;&gt;"""), ""),IF($B$43=(Refsz_Verbräuche[[#Headers],[2030]]-1),Refsz_Verbräuche[[#This Row],[2029]],IF($B$43&lt;Refsz_Verbräuche[[#Headers],[2030]],Refsz_Verbräuche[[#This Row],[2029]],"")))</f>
        <v/>
      </c>
      <c r="U89" s="124" t="str">
        <f>IF(Refsz_Verbräuche[[#Headers],[2035]]=$B$43,IF(OR(SUMIF($E89:Refsz_Verbräuche[[#This Row],[2030]],"&gt;0")&gt;0,), AVERAGEIF($E89:Refsz_Verbräuche[[#This Row],[2030]],"&lt;&gt;"""), ""),IF($B$43=(Refsz_Verbräuche[[#Headers],[2035]]-1),Refsz_Verbräuche[[#This Row],[2030]],IF($B$43&lt;Refsz_Verbräuche[[#Headers],[2035]],Refsz_Verbräuche[[#This Row],[2030]],"")))</f>
        <v/>
      </c>
      <c r="V89" s="124" t="str">
        <f>IF(Refsz_Verbräuche[[#Headers],[2040]]=$B$43,IF(OR(SUMIF($E89:Refsz_Verbräuche[[#This Row],[2035]],"&gt;0")&gt;0,), AVERAGEIF($E89:Refsz_Verbräuche[[#This Row],[2035]],"&lt;&gt;"""), ""),IF($B$43=(Refsz_Verbräuche[[#Headers],[2040]]-1),Refsz_Verbräuche[[#This Row],[2035]],IF($B$43&lt;Refsz_Verbräuche[[#Headers],[2040]],Refsz_Verbräuche[[#This Row],[2035]],"")))</f>
        <v/>
      </c>
      <c r="W89" s="124" t="str">
        <f>IF(Refsz_Verbräuche[[#Headers],[2045]]=$B$43,IF(OR(SUMIF($E89:Refsz_Verbräuche[[#This Row],[2040]],"&gt;0")&gt;0,), AVERAGEIF($E89:Refsz_Verbräuche[[#This Row],[2040]],"&lt;&gt;"""), ""),IF($B$43=(Refsz_Verbräuche[[#Headers],[2045]]-1),Refsz_Verbräuche[[#This Row],[2040]],IF($B$43&lt;Refsz_Verbräuche[[#Headers],[2045]],Refsz_Verbräuche[[#This Row],[2040]],"")))</f>
        <v/>
      </c>
      <c r="X89" s="124" t="str">
        <f>IF(Refsz_Verbräuche[[#Headers],[2050]]=$B$43,IF(OR(SUMIF($E89:Refsz_Verbräuche[[#This Row],[2045]],"&gt;0")&gt;0,), AVERAGEIF($E89:Refsz_Verbräuche[[#This Row],[2045]],"&lt;&gt;"""), ""),IF($B$43=(Refsz_Verbräuche[[#Headers],[2050]]-1),Refsz_Verbräuche[[#This Row],[2045]],IF($B$43&lt;Refsz_Verbräuche[[#Headers],[2050]],Refsz_Verbräuche[[#This Row],[2045]],"")))</f>
        <v/>
      </c>
      <c r="Z89" s="15"/>
    </row>
    <row r="90" spans="2:26" x14ac:dyDescent="0.35">
      <c r="B90" s="15">
        <v>30</v>
      </c>
      <c r="C90" s="10"/>
      <c r="D90" s="9"/>
      <c r="E90" s="124"/>
      <c r="F90" s="124"/>
      <c r="G90" s="124"/>
      <c r="H90" s="124"/>
      <c r="I90" s="124"/>
      <c r="J90" s="124"/>
      <c r="K90" s="124"/>
      <c r="L90" s="124" t="str">
        <f>IF(Refsz_Verbräuche[[#Headers],[2022]]=$B$43,IF(OR(SUMIF($E90:Refsz_Verbräuche[[#This Row],[2021]],"&gt;0")&gt;0,), AVERAGEIF($E90:Refsz_Verbräuche[[#This Row],[2021]],"&lt;&gt;"""), ""),IF($B$43=(Refsz_Verbräuche[[#Headers],[2022]]-1),Refsz_Verbräuche[[#This Row],[2021]],IF($B$43&lt;Refsz_Verbräuche[[#Headers],[2022]],Refsz_Verbräuche[[#This Row],[2021]],"")))</f>
        <v/>
      </c>
      <c r="M90" s="124" t="str">
        <f>IF(Refsz_Verbräuche[[#Headers],[2023]]=$B$43,IF(OR(SUMIF($E90:Refsz_Verbräuche[[#This Row],[2022]],"&gt;0")&gt;0,), AVERAGEIF($E90:Refsz_Verbräuche[[#This Row],[2022]],"&lt;&gt;"""), ""),IF($B$43=(Refsz_Verbräuche[[#Headers],[2023]]-1),Refsz_Verbräuche[[#This Row],[2022]],IF($B$43&lt;Refsz_Verbräuche[[#Headers],[2023]],Refsz_Verbräuche[[#This Row],[2022]],"")))</f>
        <v/>
      </c>
      <c r="N90" s="124" t="str">
        <f>IF(Refsz_Verbräuche[[#Headers],[2024]]=$B$43,IF(OR(SUMIF($E90:Refsz_Verbräuche[[#This Row],[2023]],"&gt;0")&gt;0,), AVERAGEIF($E90:Refsz_Verbräuche[[#This Row],[2023]],"&lt;&gt;"""), ""),IF($B$43=(Refsz_Verbräuche[[#Headers],[2024]]-1),Refsz_Verbräuche[[#This Row],[2023]],IF($B$43&lt;Refsz_Verbräuche[[#Headers],[2024]],Refsz_Verbräuche[[#This Row],[2023]],"")))</f>
        <v/>
      </c>
      <c r="O90" s="124" t="str">
        <f>IF(Refsz_Verbräuche[[#Headers],[2025]]=$B$43,IF(OR(SUMIF($E90:Refsz_Verbräuche[[#This Row],[2024]],"&gt;0")&gt;0,), AVERAGEIF($E90:Refsz_Verbräuche[[#This Row],[2024]],"&lt;&gt;"""), ""),IF($B$43=(Refsz_Verbräuche[[#Headers],[2025]]-1),Refsz_Verbräuche[[#This Row],[2024]],IF($B$43&lt;Refsz_Verbräuche[[#Headers],[2025]],Refsz_Verbräuche[[#This Row],[2024]],"")))</f>
        <v/>
      </c>
      <c r="P90" s="124" t="str">
        <f>IF(Refsz_Verbräuche[[#Headers],[2026]]=$B$43,IF(OR(SUMIF($E90:Refsz_Verbräuche[[#This Row],[2025]],"&gt;0")&gt;0,), AVERAGEIF($E90:Refsz_Verbräuche[[#This Row],[2025]],"&lt;&gt;"""), ""),IF($B$43=(Refsz_Verbräuche[[#Headers],[2026]]-1),Refsz_Verbräuche[[#This Row],[2025]],IF($B$43&lt;Refsz_Verbräuche[[#Headers],[2026]],Refsz_Verbräuche[[#This Row],[2025]],"")))</f>
        <v/>
      </c>
      <c r="Q90" s="124" t="str">
        <f>IF(Refsz_Verbräuche[[#Headers],[2027]]=$B$43,IF(OR(SUMIF($E90:Refsz_Verbräuche[[#This Row],[2026]],"&gt;0")&gt;0,), AVERAGEIF($E90:Refsz_Verbräuche[[#This Row],[2026]],"&lt;&gt;"""), ""),IF($B$43=(Refsz_Verbräuche[[#Headers],[2027]]-1),Refsz_Verbräuche[[#This Row],[2026]],IF($B$43&lt;Refsz_Verbräuche[[#Headers],[2027]],Refsz_Verbräuche[[#This Row],[2026]],"")))</f>
        <v/>
      </c>
      <c r="R90" s="124" t="str">
        <f>IF(Refsz_Verbräuche[[#Headers],[2028]]=$B$43,IF(OR(SUMIF($E90:Refsz_Verbräuche[[#This Row],[2027]],"&gt;0")&gt;0,), AVERAGEIF($E90:Refsz_Verbräuche[[#This Row],[2027]],"&lt;&gt;"""), ""),IF($B$43=(Refsz_Verbräuche[[#Headers],[2028]]-1),Refsz_Verbräuche[[#This Row],[2027]],IF($B$43&lt;Refsz_Verbräuche[[#Headers],[2028]],Refsz_Verbräuche[[#This Row],[2027]],"")))</f>
        <v/>
      </c>
      <c r="S90" s="124" t="str">
        <f>IF(Refsz_Verbräuche[[#Headers],[2029]]=$B$43,IF(OR(SUMIF($E90:Refsz_Verbräuche[[#This Row],[2028]],"&gt;0")&gt;0,), AVERAGEIF($E90:Refsz_Verbräuche[[#This Row],[2028]],"&lt;&gt;"""), ""),IF($B$43=(Refsz_Verbräuche[[#Headers],[2029]]-1),Refsz_Verbräuche[[#This Row],[2028]],IF($B$43&lt;Refsz_Verbräuche[[#Headers],[2029]],Refsz_Verbräuche[[#This Row],[2028]],"")))</f>
        <v/>
      </c>
      <c r="T90" s="124" t="str">
        <f>IF(Refsz_Verbräuche[[#Headers],[2030]]=$B$43,IF(OR(SUMIF($E90:Refsz_Verbräuche[[#This Row],[2029]],"&gt;0")&gt;0,), AVERAGEIF($E90:Refsz_Verbräuche[[#This Row],[2029]],"&lt;&gt;"""), ""),IF($B$43=(Refsz_Verbräuche[[#Headers],[2030]]-1),Refsz_Verbräuche[[#This Row],[2029]],IF($B$43&lt;Refsz_Verbräuche[[#Headers],[2030]],Refsz_Verbräuche[[#This Row],[2029]],"")))</f>
        <v/>
      </c>
      <c r="U90" s="124" t="str">
        <f>IF(Refsz_Verbräuche[[#Headers],[2035]]=$B$43,IF(OR(SUMIF($E90:Refsz_Verbräuche[[#This Row],[2030]],"&gt;0")&gt;0,), AVERAGEIF($E90:Refsz_Verbräuche[[#This Row],[2030]],"&lt;&gt;"""), ""),IF($B$43=(Refsz_Verbräuche[[#Headers],[2035]]-1),Refsz_Verbräuche[[#This Row],[2030]],IF($B$43&lt;Refsz_Verbräuche[[#Headers],[2035]],Refsz_Verbräuche[[#This Row],[2030]],"")))</f>
        <v/>
      </c>
      <c r="V90" s="124" t="str">
        <f>IF(Refsz_Verbräuche[[#Headers],[2040]]=$B$43,IF(OR(SUMIF($E90:Refsz_Verbräuche[[#This Row],[2035]],"&gt;0")&gt;0,), AVERAGEIF($E90:Refsz_Verbräuche[[#This Row],[2035]],"&lt;&gt;"""), ""),IF($B$43=(Refsz_Verbräuche[[#Headers],[2040]]-1),Refsz_Verbräuche[[#This Row],[2035]],IF($B$43&lt;Refsz_Verbräuche[[#Headers],[2040]],Refsz_Verbräuche[[#This Row],[2035]],"")))</f>
        <v/>
      </c>
      <c r="W90" s="124" t="str">
        <f>IF(Refsz_Verbräuche[[#Headers],[2045]]=$B$43,IF(OR(SUMIF($E90:Refsz_Verbräuche[[#This Row],[2040]],"&gt;0")&gt;0,), AVERAGEIF($E90:Refsz_Verbräuche[[#This Row],[2040]],"&lt;&gt;"""), ""),IF($B$43=(Refsz_Verbräuche[[#Headers],[2045]]-1),Refsz_Verbräuche[[#This Row],[2040]],IF($B$43&lt;Refsz_Verbräuche[[#Headers],[2045]],Refsz_Verbräuche[[#This Row],[2040]],"")))</f>
        <v/>
      </c>
      <c r="X90" s="124" t="str">
        <f>IF(Refsz_Verbräuche[[#Headers],[2050]]=$B$43,IF(OR(SUMIF($E90:Refsz_Verbräuche[[#This Row],[2045]],"&gt;0")&gt;0,), AVERAGEIF($E90:Refsz_Verbräuche[[#This Row],[2045]],"&lt;&gt;"""), ""),IF($B$43=(Refsz_Verbräuche[[#Headers],[2050]]-1),Refsz_Verbräuche[[#This Row],[2045]],IF($B$43&lt;Refsz_Verbräuche[[#Headers],[2050]],Refsz_Verbräuche[[#This Row],[2045]],"")))</f>
        <v/>
      </c>
      <c r="Z90" s="15"/>
    </row>
    <row r="91" spans="2:26" x14ac:dyDescent="0.35">
      <c r="B91" s="15">
        <v>31</v>
      </c>
      <c r="C91" s="52" t="str">
        <f>_xlfn.CONCAT('Refsz-Verbräuche'!C46," (Diesel)")</f>
        <v>Fuhrpark (Diesel)</v>
      </c>
      <c r="D91" t="s">
        <v>417</v>
      </c>
      <c r="E91" s="124" t="str">
        <f>Umrechnen!D27</f>
        <v/>
      </c>
      <c r="F91" s="124" t="str">
        <f>Umrechnen!E27</f>
        <v/>
      </c>
      <c r="G91" s="124" t="str">
        <f>Umrechnen!F27</f>
        <v/>
      </c>
      <c r="H91" s="124" t="str">
        <f>Umrechnen!G27</f>
        <v/>
      </c>
      <c r="I91" s="124" t="str">
        <f>Umrechnen!H27</f>
        <v/>
      </c>
      <c r="J91" s="124" t="str">
        <f>Umrechnen!I27</f>
        <v/>
      </c>
      <c r="K91" s="124" t="str">
        <f>Umrechnen!J27</f>
        <v/>
      </c>
      <c r="L91" s="124" t="str">
        <f>IF(Refsz_Verbräuche[[#Headers],[2022]]=$B$43,IF(OR(SUMIF($E91:Refsz_Verbräuche[[#This Row],[2021]],"&gt;0")&gt;0,), AVERAGEIF($E91:Refsz_Verbräuche[[#This Row],[2021]],"&lt;&gt;"""), ""),IF($B$43=(Refsz_Verbräuche[[#Headers],[2022]]-1),Refsz_Verbräuche[[#This Row],[2021]],IF($B$43&lt;Refsz_Verbräuche[[#Headers],[2022]],Refsz_Verbräuche[[#This Row],[2021]],Umrechnen!K27)))</f>
        <v/>
      </c>
      <c r="M91" s="124" t="str">
        <f>IF(Refsz_Verbräuche[[#Headers],[2023]]=$B$43,IF(OR(SUMIF($E91:Refsz_Verbräuche[[#This Row],[2022]],"&gt;0")&gt;0,), AVERAGEIF($E91:Refsz_Verbräuche[[#This Row],[2022]],"&lt;&gt;"""), ""),IF($B$43=(Refsz_Verbräuche[[#Headers],[2023]]-1),Refsz_Verbräuche[[#This Row],[2022]],IF($B$43&lt;Refsz_Verbräuche[[#Headers],[2023]],Refsz_Verbräuche[[#This Row],[2022]],Umrechnen!L27)))</f>
        <v/>
      </c>
      <c r="N91" s="124" t="str">
        <f>IF(Refsz_Verbräuche[[#Headers],[2024]]=$B$43,IF(OR(SUMIF($E91:Refsz_Verbräuche[[#This Row],[2023]],"&gt;0")&gt;0,), AVERAGEIF($E91:Refsz_Verbräuche[[#This Row],[2023]],"&lt;&gt;"""), ""),IF($B$43=(Refsz_Verbräuche[[#Headers],[2024]]-1),Refsz_Verbräuche[[#This Row],[2023]],IF($B$43&lt;Refsz_Verbräuche[[#Headers],[2024]],Refsz_Verbräuche[[#This Row],[2023]],Umrechnen!M27)))</f>
        <v/>
      </c>
      <c r="O91" s="124" t="str">
        <f>IF(Refsz_Verbräuche[[#Headers],[2025]]=$B$43,IF(OR(SUMIF($E91:Refsz_Verbräuche[[#This Row],[2024]],"&gt;0")&gt;0,), AVERAGEIF($E91:Refsz_Verbräuche[[#This Row],[2024]],"&lt;&gt;"""), ""),IF($B$43=(Refsz_Verbräuche[[#Headers],[2025]]-1),Refsz_Verbräuche[[#This Row],[2024]],IF($B$43&lt;Refsz_Verbräuche[[#Headers],[2025]],Refsz_Verbräuche[[#This Row],[2024]],Umrechnen!N27)))</f>
        <v/>
      </c>
      <c r="P91" s="124" t="str">
        <f>IF(Refsz_Verbräuche[[#Headers],[2026]]=$B$43,IF(OR(SUMIF($E91:Refsz_Verbräuche[[#This Row],[2025]],"&gt;0")&gt;0,), AVERAGEIF($E91:Refsz_Verbräuche[[#This Row],[2025]],"&lt;&gt;"""), ""),IF($B$43=(Refsz_Verbräuche[[#Headers],[2026]]-1),Refsz_Verbräuche[[#This Row],[2025]],IF($B$43&lt;Refsz_Verbräuche[[#Headers],[2026]],Refsz_Verbräuche[[#This Row],[2025]],Umrechnen!O27)))</f>
        <v/>
      </c>
      <c r="Q91" s="124" t="str">
        <f>IF(Refsz_Verbräuche[[#Headers],[2027]]=$B$43,IF(OR(SUMIF($E91:Refsz_Verbräuche[[#This Row],[2026]],"&gt;0")&gt;0,), AVERAGEIF($E91:Refsz_Verbräuche[[#This Row],[2026]],"&lt;&gt;"""), ""),IF($B$43=(Refsz_Verbräuche[[#Headers],[2027]]-1),Refsz_Verbräuche[[#This Row],[2026]],IF($B$43&lt;Refsz_Verbräuche[[#Headers],[2027]],Refsz_Verbräuche[[#This Row],[2026]],Umrechnen!P27)))</f>
        <v/>
      </c>
      <c r="R91" s="124" t="str">
        <f>IF(Refsz_Verbräuche[[#Headers],[2028]]=$B$43,IF(OR(SUMIF($E91:Refsz_Verbräuche[[#This Row],[2027]],"&gt;0")&gt;0,), AVERAGEIF($E91:Refsz_Verbräuche[[#This Row],[2027]],"&lt;&gt;"""), ""),IF($B$43=(Refsz_Verbräuche[[#Headers],[2028]]-1),Refsz_Verbräuche[[#This Row],[2027]],IF($B$43&lt;Refsz_Verbräuche[[#Headers],[2028]],Refsz_Verbräuche[[#This Row],[2027]],Umrechnen!Q27)))</f>
        <v/>
      </c>
      <c r="S91" s="124" t="str">
        <f>IF(Refsz_Verbräuche[[#Headers],[2029]]=$B$43,IF(OR(SUMIF($E91:Refsz_Verbräuche[[#This Row],[2028]],"&gt;0")&gt;0,), AVERAGEIF($E91:Refsz_Verbräuche[[#This Row],[2028]],"&lt;&gt;"""), ""),IF($B$43=(Refsz_Verbräuche[[#Headers],[2029]]-1),Refsz_Verbräuche[[#This Row],[2028]],IF($B$43&lt;Refsz_Verbräuche[[#Headers],[2029]],Refsz_Verbräuche[[#This Row],[2028]],Umrechnen!R27)))</f>
        <v/>
      </c>
      <c r="T91" s="124" t="str">
        <f>IF(Refsz_Verbräuche[[#Headers],[2030]]=$B$43,IF(OR(SUMIF($E91:Refsz_Verbräuche[[#This Row],[2029]],"&gt;0")&gt;0,), AVERAGEIF($E91:Refsz_Verbräuche[[#This Row],[2029]],"&lt;&gt;"""), ""),IF($B$43=(Refsz_Verbräuche[[#Headers],[2030]]-1),Refsz_Verbräuche[[#This Row],[2029]],IF($B$43&lt;Refsz_Verbräuche[[#Headers],[2030]],Refsz_Verbräuche[[#This Row],[2029]],Umrechnen!S27)))</f>
        <v/>
      </c>
      <c r="U91" s="124" t="str">
        <f>IF(Refsz_Verbräuche[[#Headers],[2035]]=$B$43,IF(OR(SUMIF($E91:Refsz_Verbräuche[[#This Row],[2030]],"&gt;0")&gt;0,), AVERAGEIF($E91:Refsz_Verbräuche[[#This Row],[2030]],"&lt;&gt;"""), ""),IF($B$43=(Refsz_Verbräuche[[#Headers],[2035]]-1),Refsz_Verbräuche[[#This Row],[2030]],IF($B$43&lt;Refsz_Verbräuche[[#Headers],[2035]],Refsz_Verbräuche[[#This Row],[2030]],Umrechnen!T27)))</f>
        <v/>
      </c>
      <c r="V91" s="124" t="str">
        <f>IF(Refsz_Verbräuche[[#Headers],[2040]]=$B$43,IF(OR(SUMIF($E91:Refsz_Verbräuche[[#This Row],[2035]],"&gt;0")&gt;0,), AVERAGEIF($E91:Refsz_Verbräuche[[#This Row],[2035]],"&lt;&gt;"""), ""),IF($B$43=(Refsz_Verbräuche[[#Headers],[2040]]-1),Refsz_Verbräuche[[#This Row],[2035]],IF($B$43&lt;Refsz_Verbräuche[[#Headers],[2040]],Refsz_Verbräuche[[#This Row],[2035]],Umrechnen!U27)))</f>
        <v/>
      </c>
      <c r="W91" s="124" t="str">
        <f>IF(Refsz_Verbräuche[[#Headers],[2045]]=$B$43,IF(OR(SUMIF($E91:Refsz_Verbräuche[[#This Row],[2040]],"&gt;0")&gt;0,), AVERAGEIF($E91:Refsz_Verbräuche[[#This Row],[2040]],"&lt;&gt;"""), ""),IF($B$43=(Refsz_Verbräuche[[#Headers],[2045]]-1),Refsz_Verbräuche[[#This Row],[2040]],IF($B$43&lt;Refsz_Verbräuche[[#Headers],[2045]],Refsz_Verbräuche[[#This Row],[2040]],Umrechnen!V27)))</f>
        <v/>
      </c>
      <c r="X91" s="124" t="str">
        <f>IF(Refsz_Verbräuche[[#Headers],[2050]]=$B$43,IF(OR(SUMIF($E91:Refsz_Verbräuche[[#This Row],[2045]],"&gt;0")&gt;0,), AVERAGEIF($E91:Refsz_Verbräuche[[#This Row],[2045]],"&lt;&gt;"""), ""),IF($B$43=(Refsz_Verbräuche[[#Headers],[2050]]-1),Refsz_Verbräuche[[#This Row],[2045]],IF($B$43&lt;Refsz_Verbräuche[[#Headers],[2050]],Refsz_Verbräuche[[#This Row],[2045]],Umrechnen!W27)))</f>
        <v/>
      </c>
      <c r="Z91" s="15"/>
    </row>
    <row r="92" spans="2:26" x14ac:dyDescent="0.35">
      <c r="B92" s="15">
        <v>32</v>
      </c>
      <c r="C92" s="52" t="str">
        <f>_xlfn.CONCAT('Refsz-Verbräuche'!C46," (Benzin)")</f>
        <v>Fuhrpark (Benzin)</v>
      </c>
      <c r="D92" t="s">
        <v>417</v>
      </c>
      <c r="E92" s="124" t="str">
        <f>Umrechnen!D33</f>
        <v/>
      </c>
      <c r="F92" s="124" t="str">
        <f>Umrechnen!E33</f>
        <v/>
      </c>
      <c r="G92" s="124" t="str">
        <f>Umrechnen!F33</f>
        <v/>
      </c>
      <c r="H92" s="124" t="str">
        <f>Umrechnen!G33</f>
        <v/>
      </c>
      <c r="I92" s="124" t="str">
        <f>Umrechnen!H33</f>
        <v/>
      </c>
      <c r="J92" s="124" t="str">
        <f>Umrechnen!I33</f>
        <v/>
      </c>
      <c r="K92" s="124" t="str">
        <f>Umrechnen!J33</f>
        <v/>
      </c>
      <c r="L92" s="124" t="str">
        <f>IF(Refsz_Verbräuche[[#Headers],[2022]]=$B$43,IF(OR(SUMIF($E92:Refsz_Verbräuche[[#This Row],[2021]],"&gt;0")&gt;0,), AVERAGEIF($E92:Refsz_Verbräuche[[#This Row],[2021]],"&lt;&gt;"""), ""),IF($B$43=(Refsz_Verbräuche[[#Headers],[2022]]-1),Refsz_Verbräuche[[#This Row],[2021]],IF($B$43&lt;Refsz_Verbräuche[[#Headers],[2022]],Refsz_Verbräuche[[#This Row],[2021]],Umrechnen!K33)))</f>
        <v/>
      </c>
      <c r="M92" s="124" t="str">
        <f>IF(Refsz_Verbräuche[[#Headers],[2023]]=$B$43,IF(OR(SUMIF($E92:Refsz_Verbräuche[[#This Row],[2022]],"&gt;0")&gt;0,), AVERAGEIF($E92:Refsz_Verbräuche[[#This Row],[2022]],"&lt;&gt;"""), ""),IF($B$43=(Refsz_Verbräuche[[#Headers],[2023]]-1),Refsz_Verbräuche[[#This Row],[2022]],IF($B$43&lt;Refsz_Verbräuche[[#Headers],[2023]],Refsz_Verbräuche[[#This Row],[2022]],Umrechnen!L33)))</f>
        <v/>
      </c>
      <c r="N92" s="124" t="str">
        <f>IF(Refsz_Verbräuche[[#Headers],[2024]]=$B$43,IF(OR(SUMIF($E92:Refsz_Verbräuche[[#This Row],[2023]],"&gt;0")&gt;0,), AVERAGEIF($E92:Refsz_Verbräuche[[#This Row],[2023]],"&lt;&gt;"""), ""),IF($B$43=(Refsz_Verbräuche[[#Headers],[2024]]-1),Refsz_Verbräuche[[#This Row],[2023]],IF($B$43&lt;Refsz_Verbräuche[[#Headers],[2024]],Refsz_Verbräuche[[#This Row],[2023]],Umrechnen!M33)))</f>
        <v/>
      </c>
      <c r="O92" s="124" t="str">
        <f>IF(Refsz_Verbräuche[[#Headers],[2025]]=$B$43,IF(OR(SUMIF($E92:Refsz_Verbräuche[[#This Row],[2024]],"&gt;0")&gt;0,), AVERAGEIF($E92:Refsz_Verbräuche[[#This Row],[2024]],"&lt;&gt;"""), ""),IF($B$43=(Refsz_Verbräuche[[#Headers],[2025]]-1),Refsz_Verbräuche[[#This Row],[2024]],IF($B$43&lt;Refsz_Verbräuche[[#Headers],[2025]],Refsz_Verbräuche[[#This Row],[2024]],Umrechnen!N33)))</f>
        <v/>
      </c>
      <c r="P92" s="124" t="str">
        <f>IF(Refsz_Verbräuche[[#Headers],[2026]]=$B$43,IF(OR(SUMIF($E92:Refsz_Verbräuche[[#This Row],[2025]],"&gt;0")&gt;0,), AVERAGEIF($E92:Refsz_Verbräuche[[#This Row],[2025]],"&lt;&gt;"""), ""),IF($B$43=(Refsz_Verbräuche[[#Headers],[2026]]-1),Refsz_Verbräuche[[#This Row],[2025]],IF($B$43&lt;Refsz_Verbräuche[[#Headers],[2026]],Refsz_Verbräuche[[#This Row],[2025]],Umrechnen!O33)))</f>
        <v/>
      </c>
      <c r="Q92" s="124" t="str">
        <f>IF(Refsz_Verbräuche[[#Headers],[2027]]=$B$43,IF(OR(SUMIF($E92:Refsz_Verbräuche[[#This Row],[2026]],"&gt;0")&gt;0,), AVERAGEIF($E92:Refsz_Verbräuche[[#This Row],[2026]],"&lt;&gt;"""), ""),IF($B$43=(Refsz_Verbräuche[[#Headers],[2027]]-1),Refsz_Verbräuche[[#This Row],[2026]],IF($B$43&lt;Refsz_Verbräuche[[#Headers],[2027]],Refsz_Verbräuche[[#This Row],[2026]],Umrechnen!P33)))</f>
        <v/>
      </c>
      <c r="R92" s="124" t="str">
        <f>IF(Refsz_Verbräuche[[#Headers],[2028]]=$B$43,IF(OR(SUMIF($E92:Refsz_Verbräuche[[#This Row],[2027]],"&gt;0")&gt;0,), AVERAGEIF($E92:Refsz_Verbräuche[[#This Row],[2027]],"&lt;&gt;"""), ""),IF($B$43=(Refsz_Verbräuche[[#Headers],[2028]]-1),Refsz_Verbräuche[[#This Row],[2027]],IF($B$43&lt;Refsz_Verbräuche[[#Headers],[2028]],Refsz_Verbräuche[[#This Row],[2027]],Umrechnen!Q33)))</f>
        <v/>
      </c>
      <c r="S92" s="124" t="str">
        <f>IF(Refsz_Verbräuche[[#Headers],[2029]]=$B$43,IF(OR(SUMIF($E92:Refsz_Verbräuche[[#This Row],[2028]],"&gt;0")&gt;0,), AVERAGEIF($E92:Refsz_Verbräuche[[#This Row],[2028]],"&lt;&gt;"""), ""),IF($B$43=(Refsz_Verbräuche[[#Headers],[2029]]-1),Refsz_Verbräuche[[#This Row],[2028]],IF($B$43&lt;Refsz_Verbräuche[[#Headers],[2029]],Refsz_Verbräuche[[#This Row],[2028]],Umrechnen!R33)))</f>
        <v/>
      </c>
      <c r="T92" s="124" t="str">
        <f>IF(Refsz_Verbräuche[[#Headers],[2030]]=$B$43,IF(OR(SUMIF($E92:Refsz_Verbräuche[[#This Row],[2029]],"&gt;0")&gt;0,), AVERAGEIF($E92:Refsz_Verbräuche[[#This Row],[2029]],"&lt;&gt;"""), ""),IF($B$43=(Refsz_Verbräuche[[#Headers],[2030]]-1),Refsz_Verbräuche[[#This Row],[2029]],IF($B$43&lt;Refsz_Verbräuche[[#Headers],[2030]],Refsz_Verbräuche[[#This Row],[2029]],Umrechnen!S33)))</f>
        <v/>
      </c>
      <c r="U92" s="124" t="str">
        <f>IF(Refsz_Verbräuche[[#Headers],[2035]]=$B$43,IF(OR(SUMIF($E92:Refsz_Verbräuche[[#This Row],[2030]],"&gt;0")&gt;0,), AVERAGEIF($E92:Refsz_Verbräuche[[#This Row],[2030]],"&lt;&gt;"""), ""),IF($B$43=(Refsz_Verbräuche[[#Headers],[2035]]-1),Refsz_Verbräuche[[#This Row],[2030]],IF($B$43&lt;Refsz_Verbräuche[[#Headers],[2035]],Refsz_Verbräuche[[#This Row],[2030]],Umrechnen!T33)))</f>
        <v/>
      </c>
      <c r="V92" s="124" t="str">
        <f>IF(Refsz_Verbräuche[[#Headers],[2040]]=$B$43,IF(OR(SUMIF($E92:Refsz_Verbräuche[[#This Row],[2035]],"&gt;0")&gt;0,), AVERAGEIF($E92:Refsz_Verbräuche[[#This Row],[2035]],"&lt;&gt;"""), ""),IF($B$43=(Refsz_Verbräuche[[#Headers],[2040]]-1),Refsz_Verbräuche[[#This Row],[2035]],IF($B$43&lt;Refsz_Verbräuche[[#Headers],[2040]],Refsz_Verbräuche[[#This Row],[2035]],Umrechnen!U33)))</f>
        <v/>
      </c>
      <c r="W92" s="124" t="str">
        <f>IF(Refsz_Verbräuche[[#Headers],[2045]]=$B$43,IF(OR(SUMIF($E92:Refsz_Verbräuche[[#This Row],[2040]],"&gt;0")&gt;0,), AVERAGEIF($E92:Refsz_Verbräuche[[#This Row],[2040]],"&lt;&gt;"""), ""),IF($B$43=(Refsz_Verbräuche[[#Headers],[2045]]-1),Refsz_Verbräuche[[#This Row],[2040]],IF($B$43&lt;Refsz_Verbräuche[[#Headers],[2045]],Refsz_Verbräuche[[#This Row],[2040]],Umrechnen!V33)))</f>
        <v/>
      </c>
      <c r="X92" s="124" t="str">
        <f>IF(Refsz_Verbräuche[[#Headers],[2050]]=$B$43,IF(OR(SUMIF($E92:Refsz_Verbräuche[[#This Row],[2045]],"&gt;0")&gt;0,), AVERAGEIF($E92:Refsz_Verbräuche[[#This Row],[2045]],"&lt;&gt;"""), ""),IF($B$43=(Refsz_Verbräuche[[#Headers],[2050]]-1),Refsz_Verbräuche[[#This Row],[2045]],IF($B$43&lt;Refsz_Verbräuche[[#Headers],[2050]],Refsz_Verbräuche[[#This Row],[2045]],Umrechnen!W33)))</f>
        <v/>
      </c>
      <c r="Z92" s="15"/>
    </row>
    <row r="93" spans="2:26" x14ac:dyDescent="0.35">
      <c r="B93" s="15">
        <v>33</v>
      </c>
      <c r="C93" s="10" t="str">
        <f>_xlfn.CONCAT('Refsz-Verbräuche'!C46," (E-Auto/ BEV)")</f>
        <v>Fuhrpark (E-Auto/ BEV)</v>
      </c>
      <c r="D93" t="s">
        <v>417</v>
      </c>
      <c r="E93" s="124"/>
      <c r="F93" s="124"/>
      <c r="G93" s="124"/>
      <c r="H93" s="124"/>
      <c r="I93" s="124"/>
      <c r="J93" s="124"/>
      <c r="K93" s="124"/>
      <c r="L93" s="124" t="str">
        <f>IF(Refsz_Verbräuche[[#Headers],[2022]]=$B$43,IF(OR(SUMIF($E93:Refsz_Verbräuche[[#This Row],[2021]],"&gt;0")&gt;0,), AVERAGEIF($E93:Refsz_Verbräuche[[#This Row],[2021]],"&lt;&gt;"""), ""),IF($B$43=(Refsz_Verbräuche[[#Headers],[2022]]-1),Refsz_Verbräuche[[#This Row],[2021]],IF($B$43&lt;Refsz_Verbräuche[[#Headers],[2022]],Refsz_Verbräuche[[#This Row],[2021]],"")))</f>
        <v/>
      </c>
      <c r="M93" s="124" t="str">
        <f>IF(Refsz_Verbräuche[[#Headers],[2023]]=$B$43,IF(OR(SUMIF($E93:Refsz_Verbräuche[[#This Row],[2022]],"&gt;0")&gt;0,), AVERAGEIF($E93:Refsz_Verbräuche[[#This Row],[2022]],"&lt;&gt;"""), ""),IF($B$43=(Refsz_Verbräuche[[#Headers],[2023]]-1),Refsz_Verbräuche[[#This Row],[2022]],IF($B$43&lt;Refsz_Verbräuche[[#Headers],[2023]],Refsz_Verbräuche[[#This Row],[2022]],"")))</f>
        <v/>
      </c>
      <c r="N93" s="124" t="str">
        <f>IF(Refsz_Verbräuche[[#Headers],[2024]]=$B$43,IF(OR(SUMIF($E93:Refsz_Verbräuche[[#This Row],[2023]],"&gt;0")&gt;0,), AVERAGEIF($E93:Refsz_Verbräuche[[#This Row],[2023]],"&lt;&gt;"""), ""),IF($B$43=(Refsz_Verbräuche[[#Headers],[2024]]-1),Refsz_Verbräuche[[#This Row],[2023]],IF($B$43&lt;Refsz_Verbräuche[[#Headers],[2024]],Refsz_Verbräuche[[#This Row],[2023]],"")))</f>
        <v/>
      </c>
      <c r="O93" s="124" t="str">
        <f>IF(Refsz_Verbräuche[[#Headers],[2025]]=$B$43,IF(OR(SUMIF($E93:Refsz_Verbräuche[[#This Row],[2024]],"&gt;0")&gt;0,), AVERAGEIF($E93:Refsz_Verbräuche[[#This Row],[2024]],"&lt;&gt;"""), ""),IF($B$43=(Refsz_Verbräuche[[#Headers],[2025]]-1),Refsz_Verbräuche[[#This Row],[2024]],IF($B$43&lt;Refsz_Verbräuche[[#Headers],[2025]],Refsz_Verbräuche[[#This Row],[2024]],"")))</f>
        <v/>
      </c>
      <c r="P93" s="124" t="str">
        <f>IF(Refsz_Verbräuche[[#Headers],[2026]]=$B$43,IF(OR(SUMIF($E93:Refsz_Verbräuche[[#This Row],[2025]],"&gt;0")&gt;0,), AVERAGEIF($E93:Refsz_Verbräuche[[#This Row],[2025]],"&lt;&gt;"""), ""),IF($B$43=(Refsz_Verbräuche[[#Headers],[2026]]-1),Refsz_Verbräuche[[#This Row],[2025]],IF($B$43&lt;Refsz_Verbräuche[[#Headers],[2026]],Refsz_Verbräuche[[#This Row],[2025]],"")))</f>
        <v/>
      </c>
      <c r="Q93" s="124" t="str">
        <f>IF(Refsz_Verbräuche[[#Headers],[2027]]=$B$43,IF(OR(SUMIF($E93:Refsz_Verbräuche[[#This Row],[2026]],"&gt;0")&gt;0,), AVERAGEIF($E93:Refsz_Verbräuche[[#This Row],[2026]],"&lt;&gt;"""), ""),IF($B$43=(Refsz_Verbräuche[[#Headers],[2027]]-1),Refsz_Verbräuche[[#This Row],[2026]],IF($B$43&lt;Refsz_Verbräuche[[#Headers],[2027]],Refsz_Verbräuche[[#This Row],[2026]],"")))</f>
        <v/>
      </c>
      <c r="R93" s="124" t="str">
        <f>IF(Refsz_Verbräuche[[#Headers],[2028]]=$B$43,IF(OR(SUMIF($E93:Refsz_Verbräuche[[#This Row],[2027]],"&gt;0")&gt;0,), AVERAGEIF($E93:Refsz_Verbräuche[[#This Row],[2027]],"&lt;&gt;"""), ""),IF($B$43=(Refsz_Verbräuche[[#Headers],[2028]]-1),Refsz_Verbräuche[[#This Row],[2027]],IF($B$43&lt;Refsz_Verbräuche[[#Headers],[2028]],Refsz_Verbräuche[[#This Row],[2027]],"")))</f>
        <v/>
      </c>
      <c r="S93" s="124" t="str">
        <f>IF(Refsz_Verbräuche[[#Headers],[2029]]=$B$43,IF(OR(SUMIF($E93:Refsz_Verbräuche[[#This Row],[2028]],"&gt;0")&gt;0,), AVERAGEIF($E93:Refsz_Verbräuche[[#This Row],[2028]],"&lt;&gt;"""), ""),IF($B$43=(Refsz_Verbräuche[[#Headers],[2029]]-1),Refsz_Verbräuche[[#This Row],[2028]],IF($B$43&lt;Refsz_Verbräuche[[#Headers],[2029]],Refsz_Verbräuche[[#This Row],[2028]],"")))</f>
        <v/>
      </c>
      <c r="T93" s="124" t="str">
        <f>IF(Refsz_Verbräuche[[#Headers],[2030]]=$B$43,IF(OR(SUMIF($E93:Refsz_Verbräuche[[#This Row],[2029]],"&gt;0")&gt;0,), AVERAGEIF($E93:Refsz_Verbräuche[[#This Row],[2029]],"&lt;&gt;"""), ""),IF($B$43=(Refsz_Verbräuche[[#Headers],[2030]]-1),Refsz_Verbräuche[[#This Row],[2029]],IF($B$43&lt;Refsz_Verbräuche[[#Headers],[2030]],Refsz_Verbräuche[[#This Row],[2029]],"")))</f>
        <v/>
      </c>
      <c r="U93" s="124" t="str">
        <f>IF(Refsz_Verbräuche[[#Headers],[2035]]=$B$43,IF(OR(SUMIF($E93:Refsz_Verbräuche[[#This Row],[2030]],"&gt;0")&gt;0,), AVERAGEIF($E93:Refsz_Verbräuche[[#This Row],[2030]],"&lt;&gt;"""), ""),IF($B$43=(Refsz_Verbräuche[[#Headers],[2035]]-1),Refsz_Verbräuche[[#This Row],[2030]],IF($B$43&lt;Refsz_Verbräuche[[#Headers],[2035]],Refsz_Verbräuche[[#This Row],[2030]],"")))</f>
        <v/>
      </c>
      <c r="V93" s="124" t="str">
        <f>IF(Refsz_Verbräuche[[#Headers],[2040]]=$B$43,IF(OR(SUMIF($E93:Refsz_Verbräuche[[#This Row],[2035]],"&gt;0")&gt;0,), AVERAGEIF($E93:Refsz_Verbräuche[[#This Row],[2035]],"&lt;&gt;"""), ""),IF($B$43=(Refsz_Verbräuche[[#Headers],[2040]]-1),Refsz_Verbräuche[[#This Row],[2035]],IF($B$43&lt;Refsz_Verbräuche[[#Headers],[2040]],Refsz_Verbräuche[[#This Row],[2035]],"")))</f>
        <v/>
      </c>
      <c r="W93" s="124" t="str">
        <f>IF(Refsz_Verbräuche[[#Headers],[2045]]=$B$43,IF(OR(SUMIF($E93:Refsz_Verbräuche[[#This Row],[2040]],"&gt;0")&gt;0,), AVERAGEIF($E93:Refsz_Verbräuche[[#This Row],[2040]],"&lt;&gt;"""), ""),IF($B$43=(Refsz_Verbräuche[[#Headers],[2045]]-1),Refsz_Verbräuche[[#This Row],[2040]],IF($B$43&lt;Refsz_Verbräuche[[#Headers],[2045]],Refsz_Verbräuche[[#This Row],[2040]],"")))</f>
        <v/>
      </c>
      <c r="X93" s="124" t="str">
        <f>IF(Refsz_Verbräuche[[#Headers],[2050]]=$B$43,IF(OR(SUMIF($E93:Refsz_Verbräuche[[#This Row],[2045]],"&gt;0")&gt;0,), AVERAGEIF($E93:Refsz_Verbräuche[[#This Row],[2045]],"&lt;&gt;"""), ""),IF($B$43=(Refsz_Verbräuche[[#Headers],[2050]]-1),Refsz_Verbräuche[[#This Row],[2045]],IF($B$43&lt;Refsz_Verbräuche[[#Headers],[2050]],Refsz_Verbräuche[[#This Row],[2045]],"")))</f>
        <v/>
      </c>
      <c r="Z93" s="15"/>
    </row>
    <row r="94" spans="2:26" x14ac:dyDescent="0.35">
      <c r="B94" s="15">
        <v>34</v>
      </c>
      <c r="C94" s="10" t="str">
        <f>_xlfn.CONCAT('Refsz-Verbräuche'!C46," (Wasserstoff/ FCEV)")</f>
        <v>Fuhrpark (Wasserstoff/ FCEV)</v>
      </c>
      <c r="D94" t="s">
        <v>417</v>
      </c>
      <c r="E94" s="124"/>
      <c r="F94" s="124"/>
      <c r="G94" s="124"/>
      <c r="H94" s="124"/>
      <c r="I94" s="124"/>
      <c r="J94" s="124"/>
      <c r="K94" s="124"/>
      <c r="L94" s="124" t="str">
        <f>IF(Refsz_Verbräuche[[#Headers],[2022]]=$B$43,IF(OR(SUMIF($E94:Refsz_Verbräuche[[#This Row],[2021]],"&gt;0")&gt;0,), AVERAGEIF($E94:Refsz_Verbräuche[[#This Row],[2021]],"&lt;&gt;"""), ""),IF($B$43=(Refsz_Verbräuche[[#Headers],[2022]]-1),Refsz_Verbräuche[[#This Row],[2021]],IF($B$43&lt;Refsz_Verbräuche[[#Headers],[2022]],Refsz_Verbräuche[[#This Row],[2021]],"")))</f>
        <v/>
      </c>
      <c r="M94" s="124" t="str">
        <f>IF(Refsz_Verbräuche[[#Headers],[2023]]=$B$43,IF(OR(SUMIF($E94:Refsz_Verbräuche[[#This Row],[2022]],"&gt;0")&gt;0,), AVERAGEIF($E94:Refsz_Verbräuche[[#This Row],[2022]],"&lt;&gt;"""), ""),IF($B$43=(Refsz_Verbräuche[[#Headers],[2023]]-1),Refsz_Verbräuche[[#This Row],[2022]],IF($B$43&lt;Refsz_Verbräuche[[#Headers],[2023]],Refsz_Verbräuche[[#This Row],[2022]],"")))</f>
        <v/>
      </c>
      <c r="N94" s="124" t="str">
        <f>IF(Refsz_Verbräuche[[#Headers],[2024]]=$B$43,IF(OR(SUMIF($E94:Refsz_Verbräuche[[#This Row],[2023]],"&gt;0")&gt;0,), AVERAGEIF($E94:Refsz_Verbräuche[[#This Row],[2023]],"&lt;&gt;"""), ""),IF($B$43=(Refsz_Verbräuche[[#Headers],[2024]]-1),Refsz_Verbräuche[[#This Row],[2023]],IF($B$43&lt;Refsz_Verbräuche[[#Headers],[2024]],Refsz_Verbräuche[[#This Row],[2023]],"")))</f>
        <v/>
      </c>
      <c r="O94" s="124" t="str">
        <f>IF(Refsz_Verbräuche[[#Headers],[2025]]=$B$43,IF(OR(SUMIF($E94:Refsz_Verbräuche[[#This Row],[2024]],"&gt;0")&gt;0,), AVERAGEIF($E94:Refsz_Verbräuche[[#This Row],[2024]],"&lt;&gt;"""), ""),IF($B$43=(Refsz_Verbräuche[[#Headers],[2025]]-1),Refsz_Verbräuche[[#This Row],[2024]],IF($B$43&lt;Refsz_Verbräuche[[#Headers],[2025]],Refsz_Verbräuche[[#This Row],[2024]],"")))</f>
        <v/>
      </c>
      <c r="P94" s="124" t="str">
        <f>IF(Refsz_Verbräuche[[#Headers],[2026]]=$B$43,IF(OR(SUMIF($E94:Refsz_Verbräuche[[#This Row],[2025]],"&gt;0")&gt;0,), AVERAGEIF($E94:Refsz_Verbräuche[[#This Row],[2025]],"&lt;&gt;"""), ""),IF($B$43=(Refsz_Verbräuche[[#Headers],[2026]]-1),Refsz_Verbräuche[[#This Row],[2025]],IF($B$43&lt;Refsz_Verbräuche[[#Headers],[2026]],Refsz_Verbräuche[[#This Row],[2025]],"")))</f>
        <v/>
      </c>
      <c r="Q94" s="124" t="str">
        <f>IF(Refsz_Verbräuche[[#Headers],[2027]]=$B$43,IF(OR(SUMIF($E94:Refsz_Verbräuche[[#This Row],[2026]],"&gt;0")&gt;0,), AVERAGEIF($E94:Refsz_Verbräuche[[#This Row],[2026]],"&lt;&gt;"""), ""),IF($B$43=(Refsz_Verbräuche[[#Headers],[2027]]-1),Refsz_Verbräuche[[#This Row],[2026]],IF($B$43&lt;Refsz_Verbräuche[[#Headers],[2027]],Refsz_Verbräuche[[#This Row],[2026]],"")))</f>
        <v/>
      </c>
      <c r="R94" s="124" t="str">
        <f>IF(Refsz_Verbräuche[[#Headers],[2028]]=$B$43,IF(OR(SUMIF($E94:Refsz_Verbräuche[[#This Row],[2027]],"&gt;0")&gt;0,), AVERAGEIF($E94:Refsz_Verbräuche[[#This Row],[2027]],"&lt;&gt;"""), ""),IF($B$43=(Refsz_Verbräuche[[#Headers],[2028]]-1),Refsz_Verbräuche[[#This Row],[2027]],IF($B$43&lt;Refsz_Verbräuche[[#Headers],[2028]],Refsz_Verbräuche[[#This Row],[2027]],"")))</f>
        <v/>
      </c>
      <c r="S94" s="124" t="str">
        <f>IF(Refsz_Verbräuche[[#Headers],[2029]]=$B$43,IF(OR(SUMIF($E94:Refsz_Verbräuche[[#This Row],[2028]],"&gt;0")&gt;0,), AVERAGEIF($E94:Refsz_Verbräuche[[#This Row],[2028]],"&lt;&gt;"""), ""),IF($B$43=(Refsz_Verbräuche[[#Headers],[2029]]-1),Refsz_Verbräuche[[#This Row],[2028]],IF($B$43&lt;Refsz_Verbräuche[[#Headers],[2029]],Refsz_Verbräuche[[#This Row],[2028]],"")))</f>
        <v/>
      </c>
      <c r="T94" s="124" t="str">
        <f>IF(Refsz_Verbräuche[[#Headers],[2030]]=$B$43,IF(OR(SUMIF($E94:Refsz_Verbräuche[[#This Row],[2029]],"&gt;0")&gt;0,), AVERAGEIF($E94:Refsz_Verbräuche[[#This Row],[2029]],"&lt;&gt;"""), ""),IF($B$43=(Refsz_Verbräuche[[#Headers],[2030]]-1),Refsz_Verbräuche[[#This Row],[2029]],IF($B$43&lt;Refsz_Verbräuche[[#Headers],[2030]],Refsz_Verbräuche[[#This Row],[2029]],"")))</f>
        <v/>
      </c>
      <c r="U94" s="124" t="str">
        <f>IF(Refsz_Verbräuche[[#Headers],[2035]]=$B$43,IF(OR(SUMIF($E94:Refsz_Verbräuche[[#This Row],[2030]],"&gt;0")&gt;0,), AVERAGEIF($E94:Refsz_Verbräuche[[#This Row],[2030]],"&lt;&gt;"""), ""),IF($B$43=(Refsz_Verbräuche[[#Headers],[2035]]-1),Refsz_Verbräuche[[#This Row],[2030]],IF($B$43&lt;Refsz_Verbräuche[[#Headers],[2035]],Refsz_Verbräuche[[#This Row],[2030]],"")))</f>
        <v/>
      </c>
      <c r="V94" s="124" t="str">
        <f>IF(Refsz_Verbräuche[[#Headers],[2040]]=$B$43,IF(OR(SUMIF($E94:Refsz_Verbräuche[[#This Row],[2035]],"&gt;0")&gt;0,), AVERAGEIF($E94:Refsz_Verbräuche[[#This Row],[2035]],"&lt;&gt;"""), ""),IF($B$43=(Refsz_Verbräuche[[#Headers],[2040]]-1),Refsz_Verbräuche[[#This Row],[2035]],IF($B$43&lt;Refsz_Verbräuche[[#Headers],[2040]],Refsz_Verbräuche[[#This Row],[2035]],"")))</f>
        <v/>
      </c>
      <c r="W94" s="124" t="str">
        <f>IF(Refsz_Verbräuche[[#Headers],[2045]]=$B$43,IF(OR(SUMIF($E94:Refsz_Verbräuche[[#This Row],[2040]],"&gt;0")&gt;0,), AVERAGEIF($E94:Refsz_Verbräuche[[#This Row],[2040]],"&lt;&gt;"""), ""),IF($B$43=(Refsz_Verbräuche[[#Headers],[2045]]-1),Refsz_Verbräuche[[#This Row],[2040]],IF($B$43&lt;Refsz_Verbräuche[[#Headers],[2045]],Refsz_Verbräuche[[#This Row],[2040]],"")))</f>
        <v/>
      </c>
      <c r="X94" s="124" t="str">
        <f>IF(Refsz_Verbräuche[[#Headers],[2050]]=$B$43,IF(OR(SUMIF($E94:Refsz_Verbräuche[[#This Row],[2045]],"&gt;0")&gt;0,), AVERAGEIF($E94:Refsz_Verbräuche[[#This Row],[2045]],"&lt;&gt;"""), ""),IF($B$43=(Refsz_Verbräuche[[#Headers],[2050]]-1),Refsz_Verbräuche[[#This Row],[2045]],IF($B$43&lt;Refsz_Verbräuche[[#Headers],[2050]],Refsz_Verbräuche[[#This Row],[2045]],"")))</f>
        <v/>
      </c>
      <c r="Z94" s="15"/>
    </row>
    <row r="95" spans="2:26" x14ac:dyDescent="0.35">
      <c r="B95" s="15">
        <v>35</v>
      </c>
      <c r="C95" s="10" t="str">
        <f>_xlfn.CONCAT('Refsz-Verbräuche'!C46," (CNG)")</f>
        <v>Fuhrpark (CNG)</v>
      </c>
      <c r="D95" t="s">
        <v>417</v>
      </c>
      <c r="E95" s="124"/>
      <c r="F95" s="124"/>
      <c r="G95" s="124"/>
      <c r="H95" s="124"/>
      <c r="I95" s="124"/>
      <c r="J95" s="124"/>
      <c r="K95" s="124"/>
      <c r="L95" s="124" t="str">
        <f>IF(Refsz_Verbräuche[[#Headers],[2022]]=$B$43,IF(OR(SUMIF($E95:Refsz_Verbräuche[[#This Row],[2021]],"&gt;0")&gt;0,), AVERAGEIF($E95:Refsz_Verbräuche[[#This Row],[2021]],"&lt;&gt;"""), ""),IF($B$43=(Refsz_Verbräuche[[#Headers],[2022]]-1),Refsz_Verbräuche[[#This Row],[2021]],IF($B$43&lt;Refsz_Verbräuche[[#Headers],[2022]],Refsz_Verbräuche[[#This Row],[2021]],"")))</f>
        <v/>
      </c>
      <c r="M95" s="124" t="str">
        <f>IF(Refsz_Verbräuche[[#Headers],[2023]]=$B$43,IF(OR(SUMIF($E95:Refsz_Verbräuche[[#This Row],[2022]],"&gt;0")&gt;0,), AVERAGEIF($E95:Refsz_Verbräuche[[#This Row],[2022]],"&lt;&gt;"""), ""),IF($B$43=(Refsz_Verbräuche[[#Headers],[2023]]-1),Refsz_Verbräuche[[#This Row],[2022]],IF($B$43&lt;Refsz_Verbräuche[[#Headers],[2023]],Refsz_Verbräuche[[#This Row],[2022]],"")))</f>
        <v/>
      </c>
      <c r="N95" s="124" t="str">
        <f>IF(Refsz_Verbräuche[[#Headers],[2024]]=$B$43,IF(OR(SUMIF($E95:Refsz_Verbräuche[[#This Row],[2023]],"&gt;0")&gt;0,), AVERAGEIF($E95:Refsz_Verbräuche[[#This Row],[2023]],"&lt;&gt;"""), ""),IF($B$43=(Refsz_Verbräuche[[#Headers],[2024]]-1),Refsz_Verbräuche[[#This Row],[2023]],IF($B$43&lt;Refsz_Verbräuche[[#Headers],[2024]],Refsz_Verbräuche[[#This Row],[2023]],"")))</f>
        <v/>
      </c>
      <c r="O95" s="124" t="str">
        <f>IF(Refsz_Verbräuche[[#Headers],[2025]]=$B$43,IF(OR(SUMIF($E95:Refsz_Verbräuche[[#This Row],[2024]],"&gt;0")&gt;0,), AVERAGEIF($E95:Refsz_Verbräuche[[#This Row],[2024]],"&lt;&gt;"""), ""),IF($B$43=(Refsz_Verbräuche[[#Headers],[2025]]-1),Refsz_Verbräuche[[#This Row],[2024]],IF($B$43&lt;Refsz_Verbräuche[[#Headers],[2025]],Refsz_Verbräuche[[#This Row],[2024]],"")))</f>
        <v/>
      </c>
      <c r="P95" s="124" t="str">
        <f>IF(Refsz_Verbräuche[[#Headers],[2026]]=$B$43,IF(OR(SUMIF($E95:Refsz_Verbräuche[[#This Row],[2025]],"&gt;0")&gt;0,), AVERAGEIF($E95:Refsz_Verbräuche[[#This Row],[2025]],"&lt;&gt;"""), ""),IF($B$43=(Refsz_Verbräuche[[#Headers],[2026]]-1),Refsz_Verbräuche[[#This Row],[2025]],IF($B$43&lt;Refsz_Verbräuche[[#Headers],[2026]],Refsz_Verbräuche[[#This Row],[2025]],"")))</f>
        <v/>
      </c>
      <c r="Q95" s="124" t="str">
        <f>IF(Refsz_Verbräuche[[#Headers],[2027]]=$B$43,IF(OR(SUMIF($E95:Refsz_Verbräuche[[#This Row],[2026]],"&gt;0")&gt;0,), AVERAGEIF($E95:Refsz_Verbräuche[[#This Row],[2026]],"&lt;&gt;"""), ""),IF($B$43=(Refsz_Verbräuche[[#Headers],[2027]]-1),Refsz_Verbräuche[[#This Row],[2026]],IF($B$43&lt;Refsz_Verbräuche[[#Headers],[2027]],Refsz_Verbräuche[[#This Row],[2026]],"")))</f>
        <v/>
      </c>
      <c r="R95" s="124" t="str">
        <f>IF(Refsz_Verbräuche[[#Headers],[2028]]=$B$43,IF(OR(SUMIF($E95:Refsz_Verbräuche[[#This Row],[2027]],"&gt;0")&gt;0,), AVERAGEIF($E95:Refsz_Verbräuche[[#This Row],[2027]],"&lt;&gt;"""), ""),IF($B$43=(Refsz_Verbräuche[[#Headers],[2028]]-1),Refsz_Verbräuche[[#This Row],[2027]],IF($B$43&lt;Refsz_Verbräuche[[#Headers],[2028]],Refsz_Verbräuche[[#This Row],[2027]],"")))</f>
        <v/>
      </c>
      <c r="S95" s="124" t="str">
        <f>IF(Refsz_Verbräuche[[#Headers],[2029]]=$B$43,IF(OR(SUMIF($E95:Refsz_Verbräuche[[#This Row],[2028]],"&gt;0")&gt;0,), AVERAGEIF($E95:Refsz_Verbräuche[[#This Row],[2028]],"&lt;&gt;"""), ""),IF($B$43=(Refsz_Verbräuche[[#Headers],[2029]]-1),Refsz_Verbräuche[[#This Row],[2028]],IF($B$43&lt;Refsz_Verbräuche[[#Headers],[2029]],Refsz_Verbräuche[[#This Row],[2028]],"")))</f>
        <v/>
      </c>
      <c r="T95" s="124" t="str">
        <f>IF(Refsz_Verbräuche[[#Headers],[2030]]=$B$43,IF(OR(SUMIF($E95:Refsz_Verbräuche[[#This Row],[2029]],"&gt;0")&gt;0,), AVERAGEIF($E95:Refsz_Verbräuche[[#This Row],[2029]],"&lt;&gt;"""), ""),IF($B$43=(Refsz_Verbräuche[[#Headers],[2030]]-1),Refsz_Verbräuche[[#This Row],[2029]],IF($B$43&lt;Refsz_Verbräuche[[#Headers],[2030]],Refsz_Verbräuche[[#This Row],[2029]],"")))</f>
        <v/>
      </c>
      <c r="U95" s="124" t="str">
        <f>IF(Refsz_Verbräuche[[#Headers],[2035]]=$B$43,IF(OR(SUMIF($E95:Refsz_Verbräuche[[#This Row],[2030]],"&gt;0")&gt;0,), AVERAGEIF($E95:Refsz_Verbräuche[[#This Row],[2030]],"&lt;&gt;"""), ""),IF($B$43=(Refsz_Verbräuche[[#Headers],[2035]]-1),Refsz_Verbräuche[[#This Row],[2030]],IF($B$43&lt;Refsz_Verbräuche[[#Headers],[2035]],Refsz_Verbräuche[[#This Row],[2030]],"")))</f>
        <v/>
      </c>
      <c r="V95" s="124" t="str">
        <f>IF(Refsz_Verbräuche[[#Headers],[2040]]=$B$43,IF(OR(SUMIF($E95:Refsz_Verbräuche[[#This Row],[2035]],"&gt;0")&gt;0,), AVERAGEIF($E95:Refsz_Verbräuche[[#This Row],[2035]],"&lt;&gt;"""), ""),IF($B$43=(Refsz_Verbräuche[[#Headers],[2040]]-1),Refsz_Verbräuche[[#This Row],[2035]],IF($B$43&lt;Refsz_Verbräuche[[#Headers],[2040]],Refsz_Verbräuche[[#This Row],[2035]],"")))</f>
        <v/>
      </c>
      <c r="W95" s="124" t="str">
        <f>IF(Refsz_Verbräuche[[#Headers],[2045]]=$B$43,IF(OR(SUMIF($E95:Refsz_Verbräuche[[#This Row],[2040]],"&gt;0")&gt;0,), AVERAGEIF($E95:Refsz_Verbräuche[[#This Row],[2040]],"&lt;&gt;"""), ""),IF($B$43=(Refsz_Verbräuche[[#Headers],[2045]]-1),Refsz_Verbräuche[[#This Row],[2040]],IF($B$43&lt;Refsz_Verbräuche[[#Headers],[2045]],Refsz_Verbräuche[[#This Row],[2040]],"")))</f>
        <v/>
      </c>
      <c r="X95" s="124" t="str">
        <f>IF(Refsz_Verbräuche[[#Headers],[2050]]=$B$43,IF(OR(SUMIF($E95:Refsz_Verbräuche[[#This Row],[2045]],"&gt;0")&gt;0,), AVERAGEIF($E95:Refsz_Verbräuche[[#This Row],[2045]],"&lt;&gt;"""), ""),IF($B$43=(Refsz_Verbräuche[[#Headers],[2050]]-1),Refsz_Verbräuche[[#This Row],[2045]],IF($B$43&lt;Refsz_Verbräuche[[#Headers],[2050]],Refsz_Verbräuche[[#This Row],[2045]],"")))</f>
        <v/>
      </c>
      <c r="Z95" s="15"/>
    </row>
    <row r="96" spans="2:26" x14ac:dyDescent="0.35">
      <c r="B96" s="15">
        <v>36</v>
      </c>
      <c r="C96" s="10" t="str">
        <f>_xlfn.CONCAT('Refsz-Verbräuche'!C46," (Plug-In-Hybrid, PHEV)")</f>
        <v>Fuhrpark (Plug-In-Hybrid, PHEV)</v>
      </c>
      <c r="D96" t="s">
        <v>417</v>
      </c>
      <c r="E96" s="124"/>
      <c r="F96" s="124"/>
      <c r="G96" s="124"/>
      <c r="H96" s="124"/>
      <c r="I96" s="124"/>
      <c r="J96" s="124"/>
      <c r="K96" s="124"/>
      <c r="L96" s="124" t="str">
        <f>IF(Refsz_Verbräuche[[#Headers],[2022]]=$B$43,IF(OR(SUMIF($E96:Refsz_Verbräuche[[#This Row],[2021]],"&gt;0")&gt;0,), AVERAGEIF($E96:Refsz_Verbräuche[[#This Row],[2021]],"&lt;&gt;"""), ""),IF($B$43=(Refsz_Verbräuche[[#Headers],[2022]]-1),Refsz_Verbräuche[[#This Row],[2021]],IF($B$43&lt;Refsz_Verbräuche[[#Headers],[2022]],Refsz_Verbräuche[[#This Row],[2021]],"")))</f>
        <v/>
      </c>
      <c r="M96" s="124" t="str">
        <f>IF(Refsz_Verbräuche[[#Headers],[2023]]=$B$43,IF(OR(SUMIF($E96:Refsz_Verbräuche[[#This Row],[2022]],"&gt;0")&gt;0,), AVERAGEIF($E96:Refsz_Verbräuche[[#This Row],[2022]],"&lt;&gt;"""), ""),IF($B$43=(Refsz_Verbräuche[[#Headers],[2023]]-1),Refsz_Verbräuche[[#This Row],[2022]],IF($B$43&lt;Refsz_Verbräuche[[#Headers],[2023]],Refsz_Verbräuche[[#This Row],[2022]],"")))</f>
        <v/>
      </c>
      <c r="N96" s="124" t="str">
        <f>IF(Refsz_Verbräuche[[#Headers],[2024]]=$B$43,IF(OR(SUMIF($E96:Refsz_Verbräuche[[#This Row],[2023]],"&gt;0")&gt;0,), AVERAGEIF($E96:Refsz_Verbräuche[[#This Row],[2023]],"&lt;&gt;"""), ""),IF($B$43=(Refsz_Verbräuche[[#Headers],[2024]]-1),Refsz_Verbräuche[[#This Row],[2023]],IF($B$43&lt;Refsz_Verbräuche[[#Headers],[2024]],Refsz_Verbräuche[[#This Row],[2023]],"")))</f>
        <v/>
      </c>
      <c r="O96" s="124" t="str">
        <f>IF(Refsz_Verbräuche[[#Headers],[2025]]=$B$43,IF(OR(SUMIF($E96:Refsz_Verbräuche[[#This Row],[2024]],"&gt;0")&gt;0,), AVERAGEIF($E96:Refsz_Verbräuche[[#This Row],[2024]],"&lt;&gt;"""), ""),IF($B$43=(Refsz_Verbräuche[[#Headers],[2025]]-1),Refsz_Verbräuche[[#This Row],[2024]],IF($B$43&lt;Refsz_Verbräuche[[#Headers],[2025]],Refsz_Verbräuche[[#This Row],[2024]],"")))</f>
        <v/>
      </c>
      <c r="P96" s="124" t="str">
        <f>IF(Refsz_Verbräuche[[#Headers],[2026]]=$B$43,IF(OR(SUMIF($E96:Refsz_Verbräuche[[#This Row],[2025]],"&gt;0")&gt;0,), AVERAGEIF($E96:Refsz_Verbräuche[[#This Row],[2025]],"&lt;&gt;"""), ""),IF($B$43=(Refsz_Verbräuche[[#Headers],[2026]]-1),Refsz_Verbräuche[[#This Row],[2025]],IF($B$43&lt;Refsz_Verbräuche[[#Headers],[2026]],Refsz_Verbräuche[[#This Row],[2025]],"")))</f>
        <v/>
      </c>
      <c r="Q96" s="124" t="str">
        <f>IF(Refsz_Verbräuche[[#Headers],[2027]]=$B$43,IF(OR(SUMIF($E96:Refsz_Verbräuche[[#This Row],[2026]],"&gt;0")&gt;0,), AVERAGEIF($E96:Refsz_Verbräuche[[#This Row],[2026]],"&lt;&gt;"""), ""),IF($B$43=(Refsz_Verbräuche[[#Headers],[2027]]-1),Refsz_Verbräuche[[#This Row],[2026]],IF($B$43&lt;Refsz_Verbräuche[[#Headers],[2027]],Refsz_Verbräuche[[#This Row],[2026]],"")))</f>
        <v/>
      </c>
      <c r="R96" s="124" t="str">
        <f>IF(Refsz_Verbräuche[[#Headers],[2028]]=$B$43,IF(OR(SUMIF($E96:Refsz_Verbräuche[[#This Row],[2027]],"&gt;0")&gt;0,), AVERAGEIF($E96:Refsz_Verbräuche[[#This Row],[2027]],"&lt;&gt;"""), ""),IF($B$43=(Refsz_Verbräuche[[#Headers],[2028]]-1),Refsz_Verbräuche[[#This Row],[2027]],IF($B$43&lt;Refsz_Verbräuche[[#Headers],[2028]],Refsz_Verbräuche[[#This Row],[2027]],"")))</f>
        <v/>
      </c>
      <c r="S96" s="124" t="str">
        <f>IF(Refsz_Verbräuche[[#Headers],[2029]]=$B$43,IF(OR(SUMIF($E96:Refsz_Verbräuche[[#This Row],[2028]],"&gt;0")&gt;0,), AVERAGEIF($E96:Refsz_Verbräuche[[#This Row],[2028]],"&lt;&gt;"""), ""),IF($B$43=(Refsz_Verbräuche[[#Headers],[2029]]-1),Refsz_Verbräuche[[#This Row],[2028]],IF($B$43&lt;Refsz_Verbräuche[[#Headers],[2029]],Refsz_Verbräuche[[#This Row],[2028]],"")))</f>
        <v/>
      </c>
      <c r="T96" s="124" t="str">
        <f>IF(Refsz_Verbräuche[[#Headers],[2030]]=$B$43,IF(OR(SUMIF($E96:Refsz_Verbräuche[[#This Row],[2029]],"&gt;0")&gt;0,), AVERAGEIF($E96:Refsz_Verbräuche[[#This Row],[2029]],"&lt;&gt;"""), ""),IF($B$43=(Refsz_Verbräuche[[#Headers],[2030]]-1),Refsz_Verbräuche[[#This Row],[2029]],IF($B$43&lt;Refsz_Verbräuche[[#Headers],[2030]],Refsz_Verbräuche[[#This Row],[2029]],"")))</f>
        <v/>
      </c>
      <c r="U96" s="124" t="str">
        <f>IF(Refsz_Verbräuche[[#Headers],[2035]]=$B$43,IF(OR(SUMIF($E96:Refsz_Verbräuche[[#This Row],[2030]],"&gt;0")&gt;0,), AVERAGEIF($E96:Refsz_Verbräuche[[#This Row],[2030]],"&lt;&gt;"""), ""),IF($B$43=(Refsz_Verbräuche[[#Headers],[2035]]-1),Refsz_Verbräuche[[#This Row],[2030]],IF($B$43&lt;Refsz_Verbräuche[[#Headers],[2035]],Refsz_Verbräuche[[#This Row],[2030]],"")))</f>
        <v/>
      </c>
      <c r="V96" s="124" t="str">
        <f>IF(Refsz_Verbräuche[[#Headers],[2040]]=$B$43,IF(OR(SUMIF($E96:Refsz_Verbräuche[[#This Row],[2035]],"&gt;0")&gt;0,), AVERAGEIF($E96:Refsz_Verbräuche[[#This Row],[2035]],"&lt;&gt;"""), ""),IF($B$43=(Refsz_Verbräuche[[#Headers],[2040]]-1),Refsz_Verbräuche[[#This Row],[2035]],IF($B$43&lt;Refsz_Verbräuche[[#Headers],[2040]],Refsz_Verbräuche[[#This Row],[2035]],"")))</f>
        <v/>
      </c>
      <c r="W96" s="124" t="str">
        <f>IF(Refsz_Verbräuche[[#Headers],[2045]]=$B$43,IF(OR(SUMIF($E96:Refsz_Verbräuche[[#This Row],[2040]],"&gt;0")&gt;0,), AVERAGEIF($E96:Refsz_Verbräuche[[#This Row],[2040]],"&lt;&gt;"""), ""),IF($B$43=(Refsz_Verbräuche[[#Headers],[2045]]-1),Refsz_Verbräuche[[#This Row],[2040]],IF($B$43&lt;Refsz_Verbräuche[[#Headers],[2045]],Refsz_Verbräuche[[#This Row],[2040]],"")))</f>
        <v/>
      </c>
      <c r="X96" s="124" t="str">
        <f>IF(Refsz_Verbräuche[[#Headers],[2050]]=$B$43,IF(OR(SUMIF($E96:Refsz_Verbräuche[[#This Row],[2045]],"&gt;0")&gt;0,), AVERAGEIF($E96:Refsz_Verbräuche[[#This Row],[2045]],"&lt;&gt;"""), ""),IF($B$43=(Refsz_Verbräuche[[#Headers],[2050]]-1),Refsz_Verbräuche[[#This Row],[2045]],IF($B$43&lt;Refsz_Verbräuche[[#Headers],[2050]],Refsz_Verbräuche[[#This Row],[2045]],"")))</f>
        <v/>
      </c>
      <c r="Z96" s="15"/>
    </row>
    <row r="97" spans="2:26" x14ac:dyDescent="0.35">
      <c r="B97" s="15">
        <v>37</v>
      </c>
      <c r="C97" s="9"/>
      <c r="E97" s="124"/>
      <c r="F97" s="124"/>
      <c r="G97" s="124"/>
      <c r="H97" s="124"/>
      <c r="I97" s="124"/>
      <c r="J97" s="124"/>
      <c r="K97" s="124"/>
      <c r="L97" s="124" t="str">
        <f>IF(Refsz_Verbräuche[[#Headers],[2022]]=$B$43,IF(OR(SUMIF($E97:Refsz_Verbräuche[[#This Row],[2021]],"&gt;0")&gt;0,), AVERAGEIF($E97:Refsz_Verbräuche[[#This Row],[2021]],"&lt;&gt;"""), ""),IF($B$43=(Refsz_Verbräuche[[#Headers],[2022]]-1),Refsz_Verbräuche[[#This Row],[2021]],IF($B$43&lt;Refsz_Verbräuche[[#Headers],[2022]],Refsz_Verbräuche[[#This Row],[2021]],"")))</f>
        <v/>
      </c>
      <c r="M97" s="124" t="str">
        <f>IF(Refsz_Verbräuche[[#Headers],[2023]]=$B$43,IF(OR(SUMIF($E97:Refsz_Verbräuche[[#This Row],[2022]],"&gt;0")&gt;0,), AVERAGEIF($E97:Refsz_Verbräuche[[#This Row],[2022]],"&lt;&gt;"""), ""),IF($B$43=(Refsz_Verbräuche[[#Headers],[2023]]-1),Refsz_Verbräuche[[#This Row],[2022]],IF($B$43&lt;Refsz_Verbräuche[[#Headers],[2023]],Refsz_Verbräuche[[#This Row],[2022]],"")))</f>
        <v/>
      </c>
      <c r="N97" s="124" t="str">
        <f>IF(Refsz_Verbräuche[[#Headers],[2024]]=$B$43,IF(OR(SUMIF($E97:Refsz_Verbräuche[[#This Row],[2023]],"&gt;0")&gt;0,), AVERAGEIF($E97:Refsz_Verbräuche[[#This Row],[2023]],"&lt;&gt;"""), ""),IF($B$43=(Refsz_Verbräuche[[#Headers],[2024]]-1),Refsz_Verbräuche[[#This Row],[2023]],IF($B$43&lt;Refsz_Verbräuche[[#Headers],[2024]],Refsz_Verbräuche[[#This Row],[2023]],"")))</f>
        <v/>
      </c>
      <c r="O97" s="124" t="str">
        <f>IF(Refsz_Verbräuche[[#Headers],[2025]]=$B$43,IF(OR(SUMIF($E97:Refsz_Verbräuche[[#This Row],[2024]],"&gt;0")&gt;0,), AVERAGEIF($E97:Refsz_Verbräuche[[#This Row],[2024]],"&lt;&gt;"""), ""),IF($B$43=(Refsz_Verbräuche[[#Headers],[2025]]-1),Refsz_Verbräuche[[#This Row],[2024]],IF($B$43&lt;Refsz_Verbräuche[[#Headers],[2025]],Refsz_Verbräuche[[#This Row],[2024]],"")))</f>
        <v/>
      </c>
      <c r="P97" s="124" t="str">
        <f>IF(Refsz_Verbräuche[[#Headers],[2026]]=$B$43,IF(OR(SUMIF($E97:Refsz_Verbräuche[[#This Row],[2025]],"&gt;0")&gt;0,), AVERAGEIF($E97:Refsz_Verbräuche[[#This Row],[2025]],"&lt;&gt;"""), ""),IF($B$43=(Refsz_Verbräuche[[#Headers],[2026]]-1),Refsz_Verbräuche[[#This Row],[2025]],IF($B$43&lt;Refsz_Verbräuche[[#Headers],[2026]],Refsz_Verbräuche[[#This Row],[2025]],"")))</f>
        <v/>
      </c>
      <c r="Q97" s="124" t="str">
        <f>IF(Refsz_Verbräuche[[#Headers],[2027]]=$B$43,IF(OR(SUMIF($E97:Refsz_Verbräuche[[#This Row],[2026]],"&gt;0")&gt;0,), AVERAGEIF($E97:Refsz_Verbräuche[[#This Row],[2026]],"&lt;&gt;"""), ""),IF($B$43=(Refsz_Verbräuche[[#Headers],[2027]]-1),Refsz_Verbräuche[[#This Row],[2026]],IF($B$43&lt;Refsz_Verbräuche[[#Headers],[2027]],Refsz_Verbräuche[[#This Row],[2026]],"")))</f>
        <v/>
      </c>
      <c r="R97" s="124" t="str">
        <f>IF(Refsz_Verbräuche[[#Headers],[2028]]=$B$43,IF(OR(SUMIF($E97:Refsz_Verbräuche[[#This Row],[2027]],"&gt;0")&gt;0,), AVERAGEIF($E97:Refsz_Verbräuche[[#This Row],[2027]],"&lt;&gt;"""), ""),IF($B$43=(Refsz_Verbräuche[[#Headers],[2028]]-1),Refsz_Verbräuche[[#This Row],[2027]],IF($B$43&lt;Refsz_Verbräuche[[#Headers],[2028]],Refsz_Verbräuche[[#This Row],[2027]],"")))</f>
        <v/>
      </c>
      <c r="S97" s="124" t="str">
        <f>IF(Refsz_Verbräuche[[#Headers],[2029]]=$B$43,IF(OR(SUMIF($E97:Refsz_Verbräuche[[#This Row],[2028]],"&gt;0")&gt;0,), AVERAGEIF($E97:Refsz_Verbräuche[[#This Row],[2028]],"&lt;&gt;"""), ""),IF($B$43=(Refsz_Verbräuche[[#Headers],[2029]]-1),Refsz_Verbräuche[[#This Row],[2028]],IF($B$43&lt;Refsz_Verbräuche[[#Headers],[2029]],Refsz_Verbräuche[[#This Row],[2028]],"")))</f>
        <v/>
      </c>
      <c r="T97" s="124" t="str">
        <f>IF(Refsz_Verbräuche[[#Headers],[2030]]=$B$43,IF(OR(SUMIF($E97:Refsz_Verbräuche[[#This Row],[2029]],"&gt;0")&gt;0,), AVERAGEIF($E97:Refsz_Verbräuche[[#This Row],[2029]],"&lt;&gt;"""), ""),IF($B$43=(Refsz_Verbräuche[[#Headers],[2030]]-1),Refsz_Verbräuche[[#This Row],[2029]],IF($B$43&lt;Refsz_Verbräuche[[#Headers],[2030]],Refsz_Verbräuche[[#This Row],[2029]],"")))</f>
        <v/>
      </c>
      <c r="U97" s="124" t="str">
        <f>IF(Refsz_Verbräuche[[#Headers],[2035]]=$B$43,IF(OR(SUMIF($E97:Refsz_Verbräuche[[#This Row],[2030]],"&gt;0")&gt;0,), AVERAGEIF($E97:Refsz_Verbräuche[[#This Row],[2030]],"&lt;&gt;"""), ""),IF($B$43=(Refsz_Verbräuche[[#Headers],[2035]]-1),Refsz_Verbräuche[[#This Row],[2030]],IF($B$43&lt;Refsz_Verbräuche[[#Headers],[2035]],Refsz_Verbräuche[[#This Row],[2030]],"")))</f>
        <v/>
      </c>
      <c r="V97" s="124" t="str">
        <f>IF(Refsz_Verbräuche[[#Headers],[2040]]=$B$43,IF(OR(SUMIF($E97:Refsz_Verbräuche[[#This Row],[2035]],"&gt;0")&gt;0,), AVERAGEIF($E97:Refsz_Verbräuche[[#This Row],[2035]],"&lt;&gt;"""), ""),IF($B$43=(Refsz_Verbräuche[[#Headers],[2040]]-1),Refsz_Verbräuche[[#This Row],[2035]],IF($B$43&lt;Refsz_Verbräuche[[#Headers],[2040]],Refsz_Verbräuche[[#This Row],[2035]],"")))</f>
        <v/>
      </c>
      <c r="W97" s="124" t="str">
        <f>IF(Refsz_Verbräuche[[#Headers],[2045]]=$B$43,IF(OR(SUMIF($E97:Refsz_Verbräuche[[#This Row],[2040]],"&gt;0")&gt;0,), AVERAGEIF($E97:Refsz_Verbräuche[[#This Row],[2040]],"&lt;&gt;"""), ""),IF($B$43=(Refsz_Verbräuche[[#Headers],[2045]]-1),Refsz_Verbräuche[[#This Row],[2040]],IF($B$43&lt;Refsz_Verbräuche[[#Headers],[2045]],Refsz_Verbräuche[[#This Row],[2040]],"")))</f>
        <v/>
      </c>
      <c r="X97" s="124" t="str">
        <f>IF(Refsz_Verbräuche[[#Headers],[2050]]=$B$43,IF(OR(SUMIF($E97:Refsz_Verbräuche[[#This Row],[2045]],"&gt;0")&gt;0,), AVERAGEIF($E97:Refsz_Verbräuche[[#This Row],[2045]],"&lt;&gt;"""), ""),IF($B$43=(Refsz_Verbräuche[[#Headers],[2050]]-1),Refsz_Verbräuche[[#This Row],[2045]],IF($B$43&lt;Refsz_Verbräuche[[#Headers],[2050]],Refsz_Verbräuche[[#This Row],[2045]],"")))</f>
        <v/>
      </c>
      <c r="Z97" s="15"/>
    </row>
    <row r="98" spans="2:26" x14ac:dyDescent="0.35">
      <c r="B98" s="15">
        <v>38</v>
      </c>
      <c r="C98" s="9" t="str">
        <f>_xlfn.CONCAT('Refsz-Verbräuche'!C47," - Flugreisen")</f>
        <v>DR - Flugreisen</v>
      </c>
      <c r="D98" t="s">
        <v>47</v>
      </c>
      <c r="E98" s="124"/>
      <c r="F98" s="124"/>
      <c r="G98" s="124"/>
      <c r="H98" s="124"/>
      <c r="I98" s="124"/>
      <c r="J98" s="124"/>
      <c r="K98" s="124"/>
      <c r="L98" s="124" t="str">
        <f>IF(Refsz_Verbräuche[[#Headers],[2022]]=$B$43,IF(OR(SUMIF($E98:Refsz_Verbräuche[[#This Row],[2021]],"&gt;0")&gt;0,), AVERAGEIF($E98:Refsz_Verbräuche[[#This Row],[2021]],"&lt;&gt;"""), ""),IF($B$43=(Refsz_Verbräuche[[#Headers],[2022]]-1),Refsz_Verbräuche[[#This Row],[2021]],IF($B$43&lt;Refsz_Verbräuche[[#Headers],[2022]],Refsz_Verbräuche[[#This Row],[2021]],"")))</f>
        <v/>
      </c>
      <c r="M98" s="124" t="str">
        <f>IF(Refsz_Verbräuche[[#Headers],[2023]]=$B$43,IF(OR(SUMIF($E98:Refsz_Verbräuche[[#This Row],[2022]],"&gt;0")&gt;0,), AVERAGEIF($E98:Refsz_Verbräuche[[#This Row],[2022]],"&lt;&gt;"""), ""),IF($B$43=(Refsz_Verbräuche[[#Headers],[2023]]-1),Refsz_Verbräuche[[#This Row],[2022]],IF($B$43&lt;Refsz_Verbräuche[[#Headers],[2023]],Refsz_Verbräuche[[#This Row],[2022]],"")))</f>
        <v/>
      </c>
      <c r="N98" s="124" t="str">
        <f>IF(Refsz_Verbräuche[[#Headers],[2024]]=$B$43,IF(OR(SUMIF($E98:Refsz_Verbräuche[[#This Row],[2023]],"&gt;0")&gt;0,), AVERAGEIF($E98:Refsz_Verbräuche[[#This Row],[2023]],"&lt;&gt;"""), ""),IF($B$43=(Refsz_Verbräuche[[#Headers],[2024]]-1),Refsz_Verbräuche[[#This Row],[2023]],IF($B$43&lt;Refsz_Verbräuche[[#Headers],[2024]],Refsz_Verbräuche[[#This Row],[2023]],"")))</f>
        <v/>
      </c>
      <c r="O98" s="124" t="str">
        <f>IF(Refsz_Verbräuche[[#Headers],[2025]]=$B$43,IF(OR(SUMIF($E98:Refsz_Verbräuche[[#This Row],[2024]],"&gt;0")&gt;0,), AVERAGEIF($E98:Refsz_Verbräuche[[#This Row],[2024]],"&lt;&gt;"""), ""),IF($B$43=(Refsz_Verbräuche[[#Headers],[2025]]-1),Refsz_Verbräuche[[#This Row],[2024]],IF($B$43&lt;Refsz_Verbräuche[[#Headers],[2025]],Refsz_Verbräuche[[#This Row],[2024]],"")))</f>
        <v/>
      </c>
      <c r="P98" s="124" t="str">
        <f>IF(Refsz_Verbräuche[[#Headers],[2026]]=$B$43,IF(OR(SUMIF($E98:Refsz_Verbräuche[[#This Row],[2025]],"&gt;0")&gt;0,), AVERAGEIF($E98:Refsz_Verbräuche[[#This Row],[2025]],"&lt;&gt;"""), ""),IF($B$43=(Refsz_Verbräuche[[#Headers],[2026]]-1),Refsz_Verbräuche[[#This Row],[2025]],IF($B$43&lt;Refsz_Verbräuche[[#Headers],[2026]],Refsz_Verbräuche[[#This Row],[2025]],"")))</f>
        <v/>
      </c>
      <c r="Q98" s="124" t="str">
        <f>IF(Refsz_Verbräuche[[#Headers],[2027]]=$B$43,IF(OR(SUMIF($E98:Refsz_Verbräuche[[#This Row],[2026]],"&gt;0")&gt;0,), AVERAGEIF($E98:Refsz_Verbräuche[[#This Row],[2026]],"&lt;&gt;"""), ""),IF($B$43=(Refsz_Verbräuche[[#Headers],[2027]]-1),Refsz_Verbräuche[[#This Row],[2026]],IF($B$43&lt;Refsz_Verbräuche[[#Headers],[2027]],Refsz_Verbräuche[[#This Row],[2026]],"")))</f>
        <v/>
      </c>
      <c r="R98" s="124" t="str">
        <f>IF(Refsz_Verbräuche[[#Headers],[2028]]=$B$43,IF(OR(SUMIF($E98:Refsz_Verbräuche[[#This Row],[2027]],"&gt;0")&gt;0,), AVERAGEIF($E98:Refsz_Verbräuche[[#This Row],[2027]],"&lt;&gt;"""), ""),IF($B$43=(Refsz_Verbräuche[[#Headers],[2028]]-1),Refsz_Verbräuche[[#This Row],[2027]],IF($B$43&lt;Refsz_Verbräuche[[#Headers],[2028]],Refsz_Verbräuche[[#This Row],[2027]],"")))</f>
        <v/>
      </c>
      <c r="S98" s="124" t="str">
        <f>IF(Refsz_Verbräuche[[#Headers],[2029]]=$B$43,IF(OR(SUMIF($E98:Refsz_Verbräuche[[#This Row],[2028]],"&gt;0")&gt;0,), AVERAGEIF($E98:Refsz_Verbräuche[[#This Row],[2028]],"&lt;&gt;"""), ""),IF($B$43=(Refsz_Verbräuche[[#Headers],[2029]]-1),Refsz_Verbräuche[[#This Row],[2028]],IF($B$43&lt;Refsz_Verbräuche[[#Headers],[2029]],Refsz_Verbräuche[[#This Row],[2028]],"")))</f>
        <v/>
      </c>
      <c r="T98" s="124" t="str">
        <f>IF(Refsz_Verbräuche[[#Headers],[2030]]=$B$43,IF(OR(SUMIF($E98:Refsz_Verbräuche[[#This Row],[2029]],"&gt;0")&gt;0,), AVERAGEIF($E98:Refsz_Verbräuche[[#This Row],[2029]],"&lt;&gt;"""), ""),IF($B$43=(Refsz_Verbräuche[[#Headers],[2030]]-1),Refsz_Verbräuche[[#This Row],[2029]],IF($B$43&lt;Refsz_Verbräuche[[#Headers],[2030]],Refsz_Verbräuche[[#This Row],[2029]],"")))</f>
        <v/>
      </c>
      <c r="U98" s="124" t="str">
        <f>IF(Refsz_Verbräuche[[#Headers],[2035]]=$B$43,IF(OR(SUMIF($E98:Refsz_Verbräuche[[#This Row],[2030]],"&gt;0")&gt;0,), AVERAGEIF($E98:Refsz_Verbräuche[[#This Row],[2030]],"&lt;&gt;"""), ""),IF($B$43=(Refsz_Verbräuche[[#Headers],[2035]]-1),Refsz_Verbräuche[[#This Row],[2030]],IF($B$43&lt;Refsz_Verbräuche[[#Headers],[2035]],Refsz_Verbräuche[[#This Row],[2030]],"")))</f>
        <v/>
      </c>
      <c r="V98" s="124" t="str">
        <f>IF(Refsz_Verbräuche[[#Headers],[2040]]=$B$43,IF(OR(SUMIF($E98:Refsz_Verbräuche[[#This Row],[2035]],"&gt;0")&gt;0,), AVERAGEIF($E98:Refsz_Verbräuche[[#This Row],[2035]],"&lt;&gt;"""), ""),IF($B$43=(Refsz_Verbräuche[[#Headers],[2040]]-1),Refsz_Verbräuche[[#This Row],[2035]],IF($B$43&lt;Refsz_Verbräuche[[#Headers],[2040]],Refsz_Verbräuche[[#This Row],[2035]],"")))</f>
        <v/>
      </c>
      <c r="W98" s="124" t="str">
        <f>IF(Refsz_Verbräuche[[#Headers],[2045]]=$B$43,IF(OR(SUMIF($E98:Refsz_Verbräuche[[#This Row],[2040]],"&gt;0")&gt;0,), AVERAGEIF($E98:Refsz_Verbräuche[[#This Row],[2040]],"&lt;&gt;"""), ""),IF($B$43=(Refsz_Verbräuche[[#Headers],[2045]]-1),Refsz_Verbräuche[[#This Row],[2040]],IF($B$43&lt;Refsz_Verbräuche[[#Headers],[2045]],Refsz_Verbräuche[[#This Row],[2040]],"")))</f>
        <v/>
      </c>
      <c r="X98" s="124" t="str">
        <f>IF(Refsz_Verbräuche[[#Headers],[2050]]=$B$43,IF(OR(SUMIF($E98:Refsz_Verbräuche[[#This Row],[2045]],"&gt;0")&gt;0,), AVERAGEIF($E98:Refsz_Verbräuche[[#This Row],[2045]],"&lt;&gt;"""), ""),IF($B$43=(Refsz_Verbräuche[[#Headers],[2050]]-1),Refsz_Verbräuche[[#This Row],[2045]],IF($B$43&lt;Refsz_Verbräuche[[#Headers],[2050]],Refsz_Verbräuche[[#This Row],[2045]],"")))</f>
        <v/>
      </c>
      <c r="Z98" s="15"/>
    </row>
    <row r="99" spans="2:26" x14ac:dyDescent="0.35">
      <c r="B99" s="15">
        <v>39</v>
      </c>
      <c r="C99" t="str">
        <f>_xlfn.CONCAT('Refsz-Verbräuche'!C47," - Eisenbahn (Fernverkehr)")</f>
        <v>DR - Eisenbahn (Fernverkehr)</v>
      </c>
      <c r="D99" t="s">
        <v>47</v>
      </c>
      <c r="E99" s="124"/>
      <c r="F99" s="124"/>
      <c r="G99" s="124"/>
      <c r="H99" s="124"/>
      <c r="I99" s="124"/>
      <c r="J99" s="124"/>
      <c r="K99" s="124"/>
      <c r="L99" s="124" t="str">
        <f>IF(Refsz_Verbräuche[[#Headers],[2022]]=$B$43,IF(OR(SUMIF($E99:Refsz_Verbräuche[[#This Row],[2021]],"&gt;0")&gt;0,), AVERAGEIF($E99:Refsz_Verbräuche[[#This Row],[2021]],"&lt;&gt;"""), ""),IF($B$43=(Refsz_Verbräuche[[#Headers],[2022]]-1),Refsz_Verbräuche[[#This Row],[2021]],IF($B$43&lt;Refsz_Verbräuche[[#Headers],[2022]],Refsz_Verbräuche[[#This Row],[2021]],"")))</f>
        <v/>
      </c>
      <c r="M99" s="124" t="str">
        <f>IF(Refsz_Verbräuche[[#Headers],[2023]]=$B$43,IF(OR(SUMIF($E99:Refsz_Verbräuche[[#This Row],[2022]],"&gt;0")&gt;0,), AVERAGEIF($E99:Refsz_Verbräuche[[#This Row],[2022]],"&lt;&gt;"""), ""),IF($B$43=(Refsz_Verbräuche[[#Headers],[2023]]-1),Refsz_Verbräuche[[#This Row],[2022]],IF($B$43&lt;Refsz_Verbräuche[[#Headers],[2023]],Refsz_Verbräuche[[#This Row],[2022]],"")))</f>
        <v/>
      </c>
      <c r="N99" s="124" t="str">
        <f>IF(Refsz_Verbräuche[[#Headers],[2024]]=$B$43,IF(OR(SUMIF($E99:Refsz_Verbräuche[[#This Row],[2023]],"&gt;0")&gt;0,), AVERAGEIF($E99:Refsz_Verbräuche[[#This Row],[2023]],"&lt;&gt;"""), ""),IF($B$43=(Refsz_Verbräuche[[#Headers],[2024]]-1),Refsz_Verbräuche[[#This Row],[2023]],IF($B$43&lt;Refsz_Verbräuche[[#Headers],[2024]],Refsz_Verbräuche[[#This Row],[2023]],"")))</f>
        <v/>
      </c>
      <c r="O99" s="124" t="str">
        <f>IF(Refsz_Verbräuche[[#Headers],[2025]]=$B$43,IF(OR(SUMIF($E99:Refsz_Verbräuche[[#This Row],[2024]],"&gt;0")&gt;0,), AVERAGEIF($E99:Refsz_Verbräuche[[#This Row],[2024]],"&lt;&gt;"""), ""),IF($B$43=(Refsz_Verbräuche[[#Headers],[2025]]-1),Refsz_Verbräuche[[#This Row],[2024]],IF($B$43&lt;Refsz_Verbräuche[[#Headers],[2025]],Refsz_Verbräuche[[#This Row],[2024]],"")))</f>
        <v/>
      </c>
      <c r="P99" s="124" t="str">
        <f>IF(Refsz_Verbräuche[[#Headers],[2026]]=$B$43,IF(OR(SUMIF($E99:Refsz_Verbräuche[[#This Row],[2025]],"&gt;0")&gt;0,), AVERAGEIF($E99:Refsz_Verbräuche[[#This Row],[2025]],"&lt;&gt;"""), ""),IF($B$43=(Refsz_Verbräuche[[#Headers],[2026]]-1),Refsz_Verbräuche[[#This Row],[2025]],IF($B$43&lt;Refsz_Verbräuche[[#Headers],[2026]],Refsz_Verbräuche[[#This Row],[2025]],"")))</f>
        <v/>
      </c>
      <c r="Q99" s="124" t="str">
        <f>IF(Refsz_Verbräuche[[#Headers],[2027]]=$B$43,IF(OR(SUMIF($E99:Refsz_Verbräuche[[#This Row],[2026]],"&gt;0")&gt;0,), AVERAGEIF($E99:Refsz_Verbräuche[[#This Row],[2026]],"&lt;&gt;"""), ""),IF($B$43=(Refsz_Verbräuche[[#Headers],[2027]]-1),Refsz_Verbräuche[[#This Row],[2026]],IF($B$43&lt;Refsz_Verbräuche[[#Headers],[2027]],Refsz_Verbräuche[[#This Row],[2026]],"")))</f>
        <v/>
      </c>
      <c r="R99" s="124" t="str">
        <f>IF(Refsz_Verbräuche[[#Headers],[2028]]=$B$43,IF(OR(SUMIF($E99:Refsz_Verbräuche[[#This Row],[2027]],"&gt;0")&gt;0,), AVERAGEIF($E99:Refsz_Verbräuche[[#This Row],[2027]],"&lt;&gt;"""), ""),IF($B$43=(Refsz_Verbräuche[[#Headers],[2028]]-1),Refsz_Verbräuche[[#This Row],[2027]],IF($B$43&lt;Refsz_Verbräuche[[#Headers],[2028]],Refsz_Verbräuche[[#This Row],[2027]],"")))</f>
        <v/>
      </c>
      <c r="S99" s="124" t="str">
        <f>IF(Refsz_Verbräuche[[#Headers],[2029]]=$B$43,IF(OR(SUMIF($E99:Refsz_Verbräuche[[#This Row],[2028]],"&gt;0")&gt;0,), AVERAGEIF($E99:Refsz_Verbräuche[[#This Row],[2028]],"&lt;&gt;"""), ""),IF($B$43=(Refsz_Verbräuche[[#Headers],[2029]]-1),Refsz_Verbräuche[[#This Row],[2028]],IF($B$43&lt;Refsz_Verbräuche[[#Headers],[2029]],Refsz_Verbräuche[[#This Row],[2028]],"")))</f>
        <v/>
      </c>
      <c r="T99" s="124" t="str">
        <f>IF(Refsz_Verbräuche[[#Headers],[2030]]=$B$43,IF(OR(SUMIF($E99:Refsz_Verbräuche[[#This Row],[2029]],"&gt;0")&gt;0,), AVERAGEIF($E99:Refsz_Verbräuche[[#This Row],[2029]],"&lt;&gt;"""), ""),IF($B$43=(Refsz_Verbräuche[[#Headers],[2030]]-1),Refsz_Verbräuche[[#This Row],[2029]],IF($B$43&lt;Refsz_Verbräuche[[#Headers],[2030]],Refsz_Verbräuche[[#This Row],[2029]],"")))</f>
        <v/>
      </c>
      <c r="U99" s="124" t="str">
        <f>IF(Refsz_Verbräuche[[#Headers],[2035]]=$B$43,IF(OR(SUMIF($E99:Refsz_Verbräuche[[#This Row],[2030]],"&gt;0")&gt;0,), AVERAGEIF($E99:Refsz_Verbräuche[[#This Row],[2030]],"&lt;&gt;"""), ""),IF($B$43=(Refsz_Verbräuche[[#Headers],[2035]]-1),Refsz_Verbräuche[[#This Row],[2030]],IF($B$43&lt;Refsz_Verbräuche[[#Headers],[2035]],Refsz_Verbräuche[[#This Row],[2030]],"")))</f>
        <v/>
      </c>
      <c r="V99" s="124" t="str">
        <f>IF(Refsz_Verbräuche[[#Headers],[2040]]=$B$43,IF(OR(SUMIF($E99:Refsz_Verbräuche[[#This Row],[2035]],"&gt;0")&gt;0,), AVERAGEIF($E99:Refsz_Verbräuche[[#This Row],[2035]],"&lt;&gt;"""), ""),IF($B$43=(Refsz_Verbräuche[[#Headers],[2040]]-1),Refsz_Verbräuche[[#This Row],[2035]],IF($B$43&lt;Refsz_Verbräuche[[#Headers],[2040]],Refsz_Verbräuche[[#This Row],[2035]],"")))</f>
        <v/>
      </c>
      <c r="W99" s="124" t="str">
        <f>IF(Refsz_Verbräuche[[#Headers],[2045]]=$B$43,IF(OR(SUMIF($E99:Refsz_Verbräuche[[#This Row],[2040]],"&gt;0")&gt;0,), AVERAGEIF($E99:Refsz_Verbräuche[[#This Row],[2040]],"&lt;&gt;"""), ""),IF($B$43=(Refsz_Verbräuche[[#Headers],[2045]]-1),Refsz_Verbräuche[[#This Row],[2040]],IF($B$43&lt;Refsz_Verbräuche[[#Headers],[2045]],Refsz_Verbräuche[[#This Row],[2040]],"")))</f>
        <v/>
      </c>
      <c r="X99" s="124" t="str">
        <f>IF(Refsz_Verbräuche[[#Headers],[2050]]=$B$43,IF(OR(SUMIF($E99:Refsz_Verbräuche[[#This Row],[2045]],"&gt;0")&gt;0,), AVERAGEIF($E99:Refsz_Verbräuche[[#This Row],[2045]],"&lt;&gt;"""), ""),IF($B$43=(Refsz_Verbräuche[[#Headers],[2050]]-1),Refsz_Verbräuche[[#This Row],[2045]],IF($B$43&lt;Refsz_Verbräuche[[#Headers],[2050]],Refsz_Verbräuche[[#This Row],[2045]],"")))</f>
        <v/>
      </c>
      <c r="Z99" s="15"/>
    </row>
    <row r="100" spans="2:26" x14ac:dyDescent="0.35">
      <c r="B100" s="15">
        <v>40</v>
      </c>
      <c r="C100" t="str">
        <f>_xlfn.CONCAT('Refsz-Verbräuche'!C47," - Eisenbahn (Nahverkehr)")</f>
        <v>DR - Eisenbahn (Nahverkehr)</v>
      </c>
      <c r="D100" t="s">
        <v>47</v>
      </c>
      <c r="E100" s="124"/>
      <c r="F100" s="124"/>
      <c r="G100" s="124"/>
      <c r="H100" s="124"/>
      <c r="I100" s="124"/>
      <c r="J100" s="124"/>
      <c r="K100" s="124"/>
      <c r="L100" s="124" t="str">
        <f>IF(Refsz_Verbräuche[[#Headers],[2022]]=$B$43,IF(OR(SUMIF($E100:Refsz_Verbräuche[[#This Row],[2021]],"&gt;0")&gt;0,), AVERAGEIF($E100:Refsz_Verbräuche[[#This Row],[2021]],"&lt;&gt;"""), ""),IF($B$43=(Refsz_Verbräuche[[#Headers],[2022]]-1),Refsz_Verbräuche[[#This Row],[2021]],IF($B$43&lt;Refsz_Verbräuche[[#Headers],[2022]],Refsz_Verbräuche[[#This Row],[2021]],"")))</f>
        <v/>
      </c>
      <c r="M100" s="124" t="str">
        <f>IF(Refsz_Verbräuche[[#Headers],[2023]]=$B$43,IF(OR(SUMIF($E100:Refsz_Verbräuche[[#This Row],[2022]],"&gt;0")&gt;0,), AVERAGEIF($E100:Refsz_Verbräuche[[#This Row],[2022]],"&lt;&gt;"""), ""),IF($B$43=(Refsz_Verbräuche[[#Headers],[2023]]-1),Refsz_Verbräuche[[#This Row],[2022]],IF($B$43&lt;Refsz_Verbräuche[[#Headers],[2023]],Refsz_Verbräuche[[#This Row],[2022]],"")))</f>
        <v/>
      </c>
      <c r="N100" s="124" t="str">
        <f>IF(Refsz_Verbräuche[[#Headers],[2024]]=$B$43,IF(OR(SUMIF($E100:Refsz_Verbräuche[[#This Row],[2023]],"&gt;0")&gt;0,), AVERAGEIF($E100:Refsz_Verbräuche[[#This Row],[2023]],"&lt;&gt;"""), ""),IF($B$43=(Refsz_Verbräuche[[#Headers],[2024]]-1),Refsz_Verbräuche[[#This Row],[2023]],IF($B$43&lt;Refsz_Verbräuche[[#Headers],[2024]],Refsz_Verbräuche[[#This Row],[2023]],"")))</f>
        <v/>
      </c>
      <c r="O100" s="124" t="str">
        <f>IF(Refsz_Verbräuche[[#Headers],[2025]]=$B$43,IF(OR(SUMIF($E100:Refsz_Verbräuche[[#This Row],[2024]],"&gt;0")&gt;0,), AVERAGEIF($E100:Refsz_Verbräuche[[#This Row],[2024]],"&lt;&gt;"""), ""),IF($B$43=(Refsz_Verbräuche[[#Headers],[2025]]-1),Refsz_Verbräuche[[#This Row],[2024]],IF($B$43&lt;Refsz_Verbräuche[[#Headers],[2025]],Refsz_Verbräuche[[#This Row],[2024]],"")))</f>
        <v/>
      </c>
      <c r="P100" s="124" t="str">
        <f>IF(Refsz_Verbräuche[[#Headers],[2026]]=$B$43,IF(OR(SUMIF($E100:Refsz_Verbräuche[[#This Row],[2025]],"&gt;0")&gt;0,), AVERAGEIF($E100:Refsz_Verbräuche[[#This Row],[2025]],"&lt;&gt;"""), ""),IF($B$43=(Refsz_Verbräuche[[#Headers],[2026]]-1),Refsz_Verbräuche[[#This Row],[2025]],IF($B$43&lt;Refsz_Verbräuche[[#Headers],[2026]],Refsz_Verbräuche[[#This Row],[2025]],"")))</f>
        <v/>
      </c>
      <c r="Q100" s="124" t="str">
        <f>IF(Refsz_Verbräuche[[#Headers],[2027]]=$B$43,IF(OR(SUMIF($E100:Refsz_Verbräuche[[#This Row],[2026]],"&gt;0")&gt;0,), AVERAGEIF($E100:Refsz_Verbräuche[[#This Row],[2026]],"&lt;&gt;"""), ""),IF($B$43=(Refsz_Verbräuche[[#Headers],[2027]]-1),Refsz_Verbräuche[[#This Row],[2026]],IF($B$43&lt;Refsz_Verbräuche[[#Headers],[2027]],Refsz_Verbräuche[[#This Row],[2026]],"")))</f>
        <v/>
      </c>
      <c r="R100" s="124" t="str">
        <f>IF(Refsz_Verbräuche[[#Headers],[2028]]=$B$43,IF(OR(SUMIF($E100:Refsz_Verbräuche[[#This Row],[2027]],"&gt;0")&gt;0,), AVERAGEIF($E100:Refsz_Verbräuche[[#This Row],[2027]],"&lt;&gt;"""), ""),IF($B$43=(Refsz_Verbräuche[[#Headers],[2028]]-1),Refsz_Verbräuche[[#This Row],[2027]],IF($B$43&lt;Refsz_Verbräuche[[#Headers],[2028]],Refsz_Verbräuche[[#This Row],[2027]],"")))</f>
        <v/>
      </c>
      <c r="S100" s="124" t="str">
        <f>IF(Refsz_Verbräuche[[#Headers],[2029]]=$B$43,IF(OR(SUMIF($E100:Refsz_Verbräuche[[#This Row],[2028]],"&gt;0")&gt;0,), AVERAGEIF($E100:Refsz_Verbräuche[[#This Row],[2028]],"&lt;&gt;"""), ""),IF($B$43=(Refsz_Verbräuche[[#Headers],[2029]]-1),Refsz_Verbräuche[[#This Row],[2028]],IF($B$43&lt;Refsz_Verbräuche[[#Headers],[2029]],Refsz_Verbräuche[[#This Row],[2028]],"")))</f>
        <v/>
      </c>
      <c r="T100" s="124" t="str">
        <f>IF(Refsz_Verbräuche[[#Headers],[2030]]=$B$43,IF(OR(SUMIF($E100:Refsz_Verbräuche[[#This Row],[2029]],"&gt;0")&gt;0,), AVERAGEIF($E100:Refsz_Verbräuche[[#This Row],[2029]],"&lt;&gt;"""), ""),IF($B$43=(Refsz_Verbräuche[[#Headers],[2030]]-1),Refsz_Verbräuche[[#This Row],[2029]],IF($B$43&lt;Refsz_Verbräuche[[#Headers],[2030]],Refsz_Verbräuche[[#This Row],[2029]],"")))</f>
        <v/>
      </c>
      <c r="U100" s="124" t="str">
        <f>IF(Refsz_Verbräuche[[#Headers],[2035]]=$B$43,IF(OR(SUMIF($E100:Refsz_Verbräuche[[#This Row],[2030]],"&gt;0")&gt;0,), AVERAGEIF($E100:Refsz_Verbräuche[[#This Row],[2030]],"&lt;&gt;"""), ""),IF($B$43=(Refsz_Verbräuche[[#Headers],[2035]]-1),Refsz_Verbräuche[[#This Row],[2030]],IF($B$43&lt;Refsz_Verbräuche[[#Headers],[2035]],Refsz_Verbräuche[[#This Row],[2030]],"")))</f>
        <v/>
      </c>
      <c r="V100" s="124" t="str">
        <f>IF(Refsz_Verbräuche[[#Headers],[2040]]=$B$43,IF(OR(SUMIF($E100:Refsz_Verbräuche[[#This Row],[2035]],"&gt;0")&gt;0,), AVERAGEIF($E100:Refsz_Verbräuche[[#This Row],[2035]],"&lt;&gt;"""), ""),IF($B$43=(Refsz_Verbräuche[[#Headers],[2040]]-1),Refsz_Verbräuche[[#This Row],[2035]],IF($B$43&lt;Refsz_Verbräuche[[#Headers],[2040]],Refsz_Verbräuche[[#This Row],[2035]],"")))</f>
        <v/>
      </c>
      <c r="W100" s="124" t="str">
        <f>IF(Refsz_Verbräuche[[#Headers],[2045]]=$B$43,IF(OR(SUMIF($E100:Refsz_Verbräuche[[#This Row],[2040]],"&gt;0")&gt;0,), AVERAGEIF($E100:Refsz_Verbräuche[[#This Row],[2040]],"&lt;&gt;"""), ""),IF($B$43=(Refsz_Verbräuche[[#Headers],[2045]]-1),Refsz_Verbräuche[[#This Row],[2040]],IF($B$43&lt;Refsz_Verbräuche[[#Headers],[2045]],Refsz_Verbräuche[[#This Row],[2040]],"")))</f>
        <v/>
      </c>
      <c r="X100" s="124" t="str">
        <f>IF(Refsz_Verbräuche[[#Headers],[2050]]=$B$43,IF(OR(SUMIF($E100:Refsz_Verbräuche[[#This Row],[2045]],"&gt;0")&gt;0,), AVERAGEIF($E100:Refsz_Verbräuche[[#This Row],[2045]],"&lt;&gt;"""), ""),IF($B$43=(Refsz_Verbräuche[[#Headers],[2050]]-1),Refsz_Verbräuche[[#This Row],[2045]],IF($B$43&lt;Refsz_Verbräuche[[#Headers],[2050]],Refsz_Verbräuche[[#This Row],[2045]],"")))</f>
        <v/>
      </c>
      <c r="Z100" s="15"/>
    </row>
    <row r="101" spans="2:26" x14ac:dyDescent="0.35">
      <c r="B101" s="15">
        <v>41</v>
      </c>
      <c r="C101" t="str">
        <f>_xlfn.CONCAT('Refsz-Verbräuche'!C47," - Reisebus, Linienbus (Fernverkehr)")</f>
        <v>DR - Reisebus, Linienbus (Fernverkehr)</v>
      </c>
      <c r="D101" t="s">
        <v>47</v>
      </c>
      <c r="E101" s="124"/>
      <c r="F101" s="124"/>
      <c r="G101" s="124"/>
      <c r="H101" s="124"/>
      <c r="I101" s="124"/>
      <c r="J101" s="124"/>
      <c r="K101" s="124"/>
      <c r="L101" s="124" t="str">
        <f>IF(Refsz_Verbräuche[[#Headers],[2022]]=$B$43,IF(OR(SUMIF($E101:Refsz_Verbräuche[[#This Row],[2021]],"&gt;0")&gt;0,), AVERAGEIF($E101:Refsz_Verbräuche[[#This Row],[2021]],"&lt;&gt;"""), ""),IF($B$43=(Refsz_Verbräuche[[#Headers],[2022]]-1),Refsz_Verbräuche[[#This Row],[2021]],IF($B$43&lt;Refsz_Verbräuche[[#Headers],[2022]],Refsz_Verbräuche[[#This Row],[2021]],"")))</f>
        <v/>
      </c>
      <c r="M101" s="124" t="str">
        <f>IF(Refsz_Verbräuche[[#Headers],[2023]]=$B$43,IF(OR(SUMIF($E101:Refsz_Verbräuche[[#This Row],[2022]],"&gt;0")&gt;0,), AVERAGEIF($E101:Refsz_Verbräuche[[#This Row],[2022]],"&lt;&gt;"""), ""),IF($B$43=(Refsz_Verbräuche[[#Headers],[2023]]-1),Refsz_Verbräuche[[#This Row],[2022]],IF($B$43&lt;Refsz_Verbräuche[[#Headers],[2023]],Refsz_Verbräuche[[#This Row],[2022]],"")))</f>
        <v/>
      </c>
      <c r="N101" s="124" t="str">
        <f>IF(Refsz_Verbräuche[[#Headers],[2024]]=$B$43,IF(OR(SUMIF($E101:Refsz_Verbräuche[[#This Row],[2023]],"&gt;0")&gt;0,), AVERAGEIF($E101:Refsz_Verbräuche[[#This Row],[2023]],"&lt;&gt;"""), ""),IF($B$43=(Refsz_Verbräuche[[#Headers],[2024]]-1),Refsz_Verbräuche[[#This Row],[2023]],IF($B$43&lt;Refsz_Verbräuche[[#Headers],[2024]],Refsz_Verbräuche[[#This Row],[2023]],"")))</f>
        <v/>
      </c>
      <c r="O101" s="124" t="str">
        <f>IF(Refsz_Verbräuche[[#Headers],[2025]]=$B$43,IF(OR(SUMIF($E101:Refsz_Verbräuche[[#This Row],[2024]],"&gt;0")&gt;0,), AVERAGEIF($E101:Refsz_Verbräuche[[#This Row],[2024]],"&lt;&gt;"""), ""),IF($B$43=(Refsz_Verbräuche[[#Headers],[2025]]-1),Refsz_Verbräuche[[#This Row],[2024]],IF($B$43&lt;Refsz_Verbräuche[[#Headers],[2025]],Refsz_Verbräuche[[#This Row],[2024]],"")))</f>
        <v/>
      </c>
      <c r="P101" s="124" t="str">
        <f>IF(Refsz_Verbräuche[[#Headers],[2026]]=$B$43,IF(OR(SUMIF($E101:Refsz_Verbräuche[[#This Row],[2025]],"&gt;0")&gt;0,), AVERAGEIF($E101:Refsz_Verbräuche[[#This Row],[2025]],"&lt;&gt;"""), ""),IF($B$43=(Refsz_Verbräuche[[#Headers],[2026]]-1),Refsz_Verbräuche[[#This Row],[2025]],IF($B$43&lt;Refsz_Verbräuche[[#Headers],[2026]],Refsz_Verbräuche[[#This Row],[2025]],"")))</f>
        <v/>
      </c>
      <c r="Q101" s="124" t="str">
        <f>IF(Refsz_Verbräuche[[#Headers],[2027]]=$B$43,IF(OR(SUMIF($E101:Refsz_Verbräuche[[#This Row],[2026]],"&gt;0")&gt;0,), AVERAGEIF($E101:Refsz_Verbräuche[[#This Row],[2026]],"&lt;&gt;"""), ""),IF($B$43=(Refsz_Verbräuche[[#Headers],[2027]]-1),Refsz_Verbräuche[[#This Row],[2026]],IF($B$43&lt;Refsz_Verbräuche[[#Headers],[2027]],Refsz_Verbräuche[[#This Row],[2026]],"")))</f>
        <v/>
      </c>
      <c r="R101" s="124" t="str">
        <f>IF(Refsz_Verbräuche[[#Headers],[2028]]=$B$43,IF(OR(SUMIF($E101:Refsz_Verbräuche[[#This Row],[2027]],"&gt;0")&gt;0,), AVERAGEIF($E101:Refsz_Verbräuche[[#This Row],[2027]],"&lt;&gt;"""), ""),IF($B$43=(Refsz_Verbräuche[[#Headers],[2028]]-1),Refsz_Verbräuche[[#This Row],[2027]],IF($B$43&lt;Refsz_Verbräuche[[#Headers],[2028]],Refsz_Verbräuche[[#This Row],[2027]],"")))</f>
        <v/>
      </c>
      <c r="S101" s="124" t="str">
        <f>IF(Refsz_Verbräuche[[#Headers],[2029]]=$B$43,IF(OR(SUMIF($E101:Refsz_Verbräuche[[#This Row],[2028]],"&gt;0")&gt;0,), AVERAGEIF($E101:Refsz_Verbräuche[[#This Row],[2028]],"&lt;&gt;"""), ""),IF($B$43=(Refsz_Verbräuche[[#Headers],[2029]]-1),Refsz_Verbräuche[[#This Row],[2028]],IF($B$43&lt;Refsz_Verbräuche[[#Headers],[2029]],Refsz_Verbräuche[[#This Row],[2028]],"")))</f>
        <v/>
      </c>
      <c r="T101" s="124" t="str">
        <f>IF(Refsz_Verbräuche[[#Headers],[2030]]=$B$43,IF(OR(SUMIF($E101:Refsz_Verbräuche[[#This Row],[2029]],"&gt;0")&gt;0,), AVERAGEIF($E101:Refsz_Verbräuche[[#This Row],[2029]],"&lt;&gt;"""), ""),IF($B$43=(Refsz_Verbräuche[[#Headers],[2030]]-1),Refsz_Verbräuche[[#This Row],[2029]],IF($B$43&lt;Refsz_Verbräuche[[#Headers],[2030]],Refsz_Verbräuche[[#This Row],[2029]],"")))</f>
        <v/>
      </c>
      <c r="U101" s="124" t="str">
        <f>IF(Refsz_Verbräuche[[#Headers],[2035]]=$B$43,IF(OR(SUMIF($E101:Refsz_Verbräuche[[#This Row],[2030]],"&gt;0")&gt;0,), AVERAGEIF($E101:Refsz_Verbräuche[[#This Row],[2030]],"&lt;&gt;"""), ""),IF($B$43=(Refsz_Verbräuche[[#Headers],[2035]]-1),Refsz_Verbräuche[[#This Row],[2030]],IF($B$43&lt;Refsz_Verbräuche[[#Headers],[2035]],Refsz_Verbräuche[[#This Row],[2030]],"")))</f>
        <v/>
      </c>
      <c r="V101" s="124" t="str">
        <f>IF(Refsz_Verbräuche[[#Headers],[2040]]=$B$43,IF(OR(SUMIF($E101:Refsz_Verbräuche[[#This Row],[2035]],"&gt;0")&gt;0,), AVERAGEIF($E101:Refsz_Verbräuche[[#This Row],[2035]],"&lt;&gt;"""), ""),IF($B$43=(Refsz_Verbräuche[[#Headers],[2040]]-1),Refsz_Verbräuche[[#This Row],[2035]],IF($B$43&lt;Refsz_Verbräuche[[#Headers],[2040]],Refsz_Verbräuche[[#This Row],[2035]],"")))</f>
        <v/>
      </c>
      <c r="W101" s="124" t="str">
        <f>IF(Refsz_Verbräuche[[#Headers],[2045]]=$B$43,IF(OR(SUMIF($E101:Refsz_Verbräuche[[#This Row],[2040]],"&gt;0")&gt;0,), AVERAGEIF($E101:Refsz_Verbräuche[[#This Row],[2040]],"&lt;&gt;"""), ""),IF($B$43=(Refsz_Verbräuche[[#Headers],[2045]]-1),Refsz_Verbräuche[[#This Row],[2040]],IF($B$43&lt;Refsz_Verbräuche[[#Headers],[2045]],Refsz_Verbräuche[[#This Row],[2040]],"")))</f>
        <v/>
      </c>
      <c r="X101" s="124" t="str">
        <f>IF(Refsz_Verbräuche[[#Headers],[2050]]=$B$43,IF(OR(SUMIF($E101:Refsz_Verbräuche[[#This Row],[2045]],"&gt;0")&gt;0,), AVERAGEIF($E101:Refsz_Verbräuche[[#This Row],[2045]],"&lt;&gt;"""), ""),IF($B$43=(Refsz_Verbräuche[[#Headers],[2050]]-1),Refsz_Verbräuche[[#This Row],[2045]],IF($B$43&lt;Refsz_Verbräuche[[#Headers],[2050]],Refsz_Verbräuche[[#This Row],[2045]],"")))</f>
        <v/>
      </c>
      <c r="Z101" s="15"/>
    </row>
    <row r="102" spans="2:26" x14ac:dyDescent="0.35">
      <c r="B102" s="15">
        <v>42</v>
      </c>
      <c r="C102" t="str">
        <f>_xlfn.CONCAT('Refsz-Verbräuche'!C47," - Linienbus (Nahverkehr)")</f>
        <v>DR - Linienbus (Nahverkehr)</v>
      </c>
      <c r="D102" t="s">
        <v>47</v>
      </c>
      <c r="E102" s="124"/>
      <c r="F102" s="124"/>
      <c r="G102" s="124"/>
      <c r="H102" s="124"/>
      <c r="I102" s="124"/>
      <c r="J102" s="124"/>
      <c r="K102" s="124"/>
      <c r="L102" s="124" t="str">
        <f>IF(Refsz_Verbräuche[[#Headers],[2022]]=$B$43,IF(OR(SUMIF($E102:Refsz_Verbräuche[[#This Row],[2021]],"&gt;0")&gt;0,), AVERAGEIF($E102:Refsz_Verbräuche[[#This Row],[2021]],"&lt;&gt;"""), ""),IF($B$43=(Refsz_Verbräuche[[#Headers],[2022]]-1),Refsz_Verbräuche[[#This Row],[2021]],IF($B$43&lt;Refsz_Verbräuche[[#Headers],[2022]],Refsz_Verbräuche[[#This Row],[2021]],"")))</f>
        <v/>
      </c>
      <c r="M102" s="124" t="str">
        <f>IF(Refsz_Verbräuche[[#Headers],[2023]]=$B$43,IF(OR(SUMIF($E102:Refsz_Verbräuche[[#This Row],[2022]],"&gt;0")&gt;0,), AVERAGEIF($E102:Refsz_Verbräuche[[#This Row],[2022]],"&lt;&gt;"""), ""),IF($B$43=(Refsz_Verbräuche[[#Headers],[2023]]-1),Refsz_Verbräuche[[#This Row],[2022]],IF($B$43&lt;Refsz_Verbräuche[[#Headers],[2023]],Refsz_Verbräuche[[#This Row],[2022]],"")))</f>
        <v/>
      </c>
      <c r="N102" s="124" t="str">
        <f>IF(Refsz_Verbräuche[[#Headers],[2024]]=$B$43,IF(OR(SUMIF($E102:Refsz_Verbräuche[[#This Row],[2023]],"&gt;0")&gt;0,), AVERAGEIF($E102:Refsz_Verbräuche[[#This Row],[2023]],"&lt;&gt;"""), ""),IF($B$43=(Refsz_Verbräuche[[#Headers],[2024]]-1),Refsz_Verbräuche[[#This Row],[2023]],IF($B$43&lt;Refsz_Verbräuche[[#Headers],[2024]],Refsz_Verbräuche[[#This Row],[2023]],"")))</f>
        <v/>
      </c>
      <c r="O102" s="124" t="str">
        <f>IF(Refsz_Verbräuche[[#Headers],[2025]]=$B$43,IF(OR(SUMIF($E102:Refsz_Verbräuche[[#This Row],[2024]],"&gt;0")&gt;0,), AVERAGEIF($E102:Refsz_Verbräuche[[#This Row],[2024]],"&lt;&gt;"""), ""),IF($B$43=(Refsz_Verbräuche[[#Headers],[2025]]-1),Refsz_Verbräuche[[#This Row],[2024]],IF($B$43&lt;Refsz_Verbräuche[[#Headers],[2025]],Refsz_Verbräuche[[#This Row],[2024]],"")))</f>
        <v/>
      </c>
      <c r="P102" s="124" t="str">
        <f>IF(Refsz_Verbräuche[[#Headers],[2026]]=$B$43,IF(OR(SUMIF($E102:Refsz_Verbräuche[[#This Row],[2025]],"&gt;0")&gt;0,), AVERAGEIF($E102:Refsz_Verbräuche[[#This Row],[2025]],"&lt;&gt;"""), ""),IF($B$43=(Refsz_Verbräuche[[#Headers],[2026]]-1),Refsz_Verbräuche[[#This Row],[2025]],IF($B$43&lt;Refsz_Verbräuche[[#Headers],[2026]],Refsz_Verbräuche[[#This Row],[2025]],"")))</f>
        <v/>
      </c>
      <c r="Q102" s="124" t="str">
        <f>IF(Refsz_Verbräuche[[#Headers],[2027]]=$B$43,IF(OR(SUMIF($E102:Refsz_Verbräuche[[#This Row],[2026]],"&gt;0")&gt;0,), AVERAGEIF($E102:Refsz_Verbräuche[[#This Row],[2026]],"&lt;&gt;"""), ""),IF($B$43=(Refsz_Verbräuche[[#Headers],[2027]]-1),Refsz_Verbräuche[[#This Row],[2026]],IF($B$43&lt;Refsz_Verbräuche[[#Headers],[2027]],Refsz_Verbräuche[[#This Row],[2026]],"")))</f>
        <v/>
      </c>
      <c r="R102" s="124" t="str">
        <f>IF(Refsz_Verbräuche[[#Headers],[2028]]=$B$43,IF(OR(SUMIF($E102:Refsz_Verbräuche[[#This Row],[2027]],"&gt;0")&gt;0,), AVERAGEIF($E102:Refsz_Verbräuche[[#This Row],[2027]],"&lt;&gt;"""), ""),IF($B$43=(Refsz_Verbräuche[[#Headers],[2028]]-1),Refsz_Verbräuche[[#This Row],[2027]],IF($B$43&lt;Refsz_Verbräuche[[#Headers],[2028]],Refsz_Verbräuche[[#This Row],[2027]],"")))</f>
        <v/>
      </c>
      <c r="S102" s="124" t="str">
        <f>IF(Refsz_Verbräuche[[#Headers],[2029]]=$B$43,IF(OR(SUMIF($E102:Refsz_Verbräuche[[#This Row],[2028]],"&gt;0")&gt;0,), AVERAGEIF($E102:Refsz_Verbräuche[[#This Row],[2028]],"&lt;&gt;"""), ""),IF($B$43=(Refsz_Verbräuche[[#Headers],[2029]]-1),Refsz_Verbräuche[[#This Row],[2028]],IF($B$43&lt;Refsz_Verbräuche[[#Headers],[2029]],Refsz_Verbräuche[[#This Row],[2028]],"")))</f>
        <v/>
      </c>
      <c r="T102" s="124" t="str">
        <f>IF(Refsz_Verbräuche[[#Headers],[2030]]=$B$43,IF(OR(SUMIF($E102:Refsz_Verbräuche[[#This Row],[2029]],"&gt;0")&gt;0,), AVERAGEIF($E102:Refsz_Verbräuche[[#This Row],[2029]],"&lt;&gt;"""), ""),IF($B$43=(Refsz_Verbräuche[[#Headers],[2030]]-1),Refsz_Verbräuche[[#This Row],[2029]],IF($B$43&lt;Refsz_Verbräuche[[#Headers],[2030]],Refsz_Verbräuche[[#This Row],[2029]],"")))</f>
        <v/>
      </c>
      <c r="U102" s="124" t="str">
        <f>IF(Refsz_Verbräuche[[#Headers],[2035]]=$B$43,IF(OR(SUMIF($E102:Refsz_Verbräuche[[#This Row],[2030]],"&gt;0")&gt;0,), AVERAGEIF($E102:Refsz_Verbräuche[[#This Row],[2030]],"&lt;&gt;"""), ""),IF($B$43=(Refsz_Verbräuche[[#Headers],[2035]]-1),Refsz_Verbräuche[[#This Row],[2030]],IF($B$43&lt;Refsz_Verbräuche[[#Headers],[2035]],Refsz_Verbräuche[[#This Row],[2030]],"")))</f>
        <v/>
      </c>
      <c r="V102" s="124" t="str">
        <f>IF(Refsz_Verbräuche[[#Headers],[2040]]=$B$43,IF(OR(SUMIF($E102:Refsz_Verbräuche[[#This Row],[2035]],"&gt;0")&gt;0,), AVERAGEIF($E102:Refsz_Verbräuche[[#This Row],[2035]],"&lt;&gt;"""), ""),IF($B$43=(Refsz_Verbräuche[[#Headers],[2040]]-1),Refsz_Verbräuche[[#This Row],[2035]],IF($B$43&lt;Refsz_Verbräuche[[#Headers],[2040]],Refsz_Verbräuche[[#This Row],[2035]],"")))</f>
        <v/>
      </c>
      <c r="W102" s="124" t="str">
        <f>IF(Refsz_Verbräuche[[#Headers],[2045]]=$B$43,IF(OR(SUMIF($E102:Refsz_Verbräuche[[#This Row],[2040]],"&gt;0")&gt;0,), AVERAGEIF($E102:Refsz_Verbräuche[[#This Row],[2040]],"&lt;&gt;"""), ""),IF($B$43=(Refsz_Verbräuche[[#Headers],[2045]]-1),Refsz_Verbräuche[[#This Row],[2040]],IF($B$43&lt;Refsz_Verbräuche[[#Headers],[2045]],Refsz_Verbräuche[[#This Row],[2040]],"")))</f>
        <v/>
      </c>
      <c r="X102" s="124" t="str">
        <f>IF(Refsz_Verbräuche[[#Headers],[2050]]=$B$43,IF(OR(SUMIF($E102:Refsz_Verbräuche[[#This Row],[2045]],"&gt;0")&gt;0,), AVERAGEIF($E102:Refsz_Verbräuche[[#This Row],[2045]],"&lt;&gt;"""), ""),IF($B$43=(Refsz_Verbräuche[[#Headers],[2050]]-1),Refsz_Verbräuche[[#This Row],[2045]],IF($B$43&lt;Refsz_Verbräuche[[#Headers],[2050]],Refsz_Verbräuche[[#This Row],[2045]],"")))</f>
        <v/>
      </c>
      <c r="Z102" s="15"/>
    </row>
    <row r="103" spans="2:26" x14ac:dyDescent="0.35">
      <c r="B103" s="15">
        <v>43</v>
      </c>
      <c r="C103" t="str">
        <f>_xlfn.CONCAT('Refsz-Verbräuche'!C47," - Privater PKW (alle Antriebsarten)")</f>
        <v>DR - Privater PKW (alle Antriebsarten)</v>
      </c>
      <c r="D103" t="s">
        <v>417</v>
      </c>
      <c r="E103" s="124"/>
      <c r="F103" s="124"/>
      <c r="G103" s="124"/>
      <c r="H103" s="124"/>
      <c r="I103" s="124"/>
      <c r="J103" s="124"/>
      <c r="K103" s="124"/>
      <c r="L103" s="124" t="str">
        <f>IF(Refsz_Verbräuche[[#Headers],[2022]]=$B$43,IF(OR(SUMIF($E103:Refsz_Verbräuche[[#This Row],[2021]],"&gt;0")&gt;0,), AVERAGEIF($E103:Refsz_Verbräuche[[#This Row],[2021]],"&lt;&gt;"""), ""),IF($B$43=(Refsz_Verbräuche[[#Headers],[2022]]-1),Refsz_Verbräuche[[#This Row],[2021]],IF($B$43&lt;Refsz_Verbräuche[[#Headers],[2022]],Refsz_Verbräuche[[#This Row],[2021]],"")))</f>
        <v/>
      </c>
      <c r="M103" s="124" t="str">
        <f>IF(Refsz_Verbräuche[[#Headers],[2023]]=$B$43,IF(OR(SUMIF($E103:Refsz_Verbräuche[[#This Row],[2022]],"&gt;0")&gt;0,), AVERAGEIF($E103:Refsz_Verbräuche[[#This Row],[2022]],"&lt;&gt;"""), ""),IF($B$43=(Refsz_Verbräuche[[#Headers],[2023]]-1),Refsz_Verbräuche[[#This Row],[2022]],IF($B$43&lt;Refsz_Verbräuche[[#Headers],[2023]],Refsz_Verbräuche[[#This Row],[2022]],"")))</f>
        <v/>
      </c>
      <c r="N103" s="124" t="str">
        <f>IF(Refsz_Verbräuche[[#Headers],[2024]]=$B$43,IF(OR(SUMIF($E103:Refsz_Verbräuche[[#This Row],[2023]],"&gt;0")&gt;0,), AVERAGEIF($E103:Refsz_Verbräuche[[#This Row],[2023]],"&lt;&gt;"""), ""),IF($B$43=(Refsz_Verbräuche[[#Headers],[2024]]-1),Refsz_Verbräuche[[#This Row],[2023]],IF($B$43&lt;Refsz_Verbräuche[[#Headers],[2024]],Refsz_Verbräuche[[#This Row],[2023]],"")))</f>
        <v/>
      </c>
      <c r="O103" s="124" t="str">
        <f>IF(Refsz_Verbräuche[[#Headers],[2025]]=$B$43,IF(OR(SUMIF($E103:Refsz_Verbräuche[[#This Row],[2024]],"&gt;0")&gt;0,), AVERAGEIF($E103:Refsz_Verbräuche[[#This Row],[2024]],"&lt;&gt;"""), ""),IF($B$43=(Refsz_Verbräuche[[#Headers],[2025]]-1),Refsz_Verbräuche[[#This Row],[2024]],IF($B$43&lt;Refsz_Verbräuche[[#Headers],[2025]],Refsz_Verbräuche[[#This Row],[2024]],"")))</f>
        <v/>
      </c>
      <c r="P103" s="124" t="str">
        <f>IF(Refsz_Verbräuche[[#Headers],[2026]]=$B$43,IF(OR(SUMIF($E103:Refsz_Verbräuche[[#This Row],[2025]],"&gt;0")&gt;0,), AVERAGEIF($E103:Refsz_Verbräuche[[#This Row],[2025]],"&lt;&gt;"""), ""),IF($B$43=(Refsz_Verbräuche[[#Headers],[2026]]-1),Refsz_Verbräuche[[#This Row],[2025]],IF($B$43&lt;Refsz_Verbräuche[[#Headers],[2026]],Refsz_Verbräuche[[#This Row],[2025]],"")))</f>
        <v/>
      </c>
      <c r="Q103" s="124" t="str">
        <f>IF(Refsz_Verbräuche[[#Headers],[2027]]=$B$43,IF(OR(SUMIF($E103:Refsz_Verbräuche[[#This Row],[2026]],"&gt;0")&gt;0,), AVERAGEIF($E103:Refsz_Verbräuche[[#This Row],[2026]],"&lt;&gt;"""), ""),IF($B$43=(Refsz_Verbräuche[[#Headers],[2027]]-1),Refsz_Verbräuche[[#This Row],[2026]],IF($B$43&lt;Refsz_Verbräuche[[#Headers],[2027]],Refsz_Verbräuche[[#This Row],[2026]],"")))</f>
        <v/>
      </c>
      <c r="R103" s="124" t="str">
        <f>IF(Refsz_Verbräuche[[#Headers],[2028]]=$B$43,IF(OR(SUMIF($E103:Refsz_Verbräuche[[#This Row],[2027]],"&gt;0")&gt;0,), AVERAGEIF($E103:Refsz_Verbräuche[[#This Row],[2027]],"&lt;&gt;"""), ""),IF($B$43=(Refsz_Verbräuche[[#Headers],[2028]]-1),Refsz_Verbräuche[[#This Row],[2027]],IF($B$43&lt;Refsz_Verbräuche[[#Headers],[2028]],Refsz_Verbräuche[[#This Row],[2027]],"")))</f>
        <v/>
      </c>
      <c r="S103" s="124" t="str">
        <f>IF(Refsz_Verbräuche[[#Headers],[2029]]=$B$43,IF(OR(SUMIF($E103:Refsz_Verbräuche[[#This Row],[2028]],"&gt;0")&gt;0,), AVERAGEIF($E103:Refsz_Verbräuche[[#This Row],[2028]],"&lt;&gt;"""), ""),IF($B$43=(Refsz_Verbräuche[[#Headers],[2029]]-1),Refsz_Verbräuche[[#This Row],[2028]],IF($B$43&lt;Refsz_Verbräuche[[#Headers],[2029]],Refsz_Verbräuche[[#This Row],[2028]],"")))</f>
        <v/>
      </c>
      <c r="T103" s="124" t="str">
        <f>IF(Refsz_Verbräuche[[#Headers],[2030]]=$B$43,IF(OR(SUMIF($E103:Refsz_Verbräuche[[#This Row],[2029]],"&gt;0")&gt;0,), AVERAGEIF($E103:Refsz_Verbräuche[[#This Row],[2029]],"&lt;&gt;"""), ""),IF($B$43=(Refsz_Verbräuche[[#Headers],[2030]]-1),Refsz_Verbräuche[[#This Row],[2029]],IF($B$43&lt;Refsz_Verbräuche[[#Headers],[2030]],Refsz_Verbräuche[[#This Row],[2029]],"")))</f>
        <v/>
      </c>
      <c r="U103" s="124" t="str">
        <f>IF(Refsz_Verbräuche[[#Headers],[2035]]=$B$43,IF(OR(SUMIF($E103:Refsz_Verbräuche[[#This Row],[2030]],"&gt;0")&gt;0,), AVERAGEIF($E103:Refsz_Verbräuche[[#This Row],[2030]],"&lt;&gt;"""), ""),IF($B$43=(Refsz_Verbräuche[[#Headers],[2035]]-1),Refsz_Verbräuche[[#This Row],[2030]],IF($B$43&lt;Refsz_Verbräuche[[#Headers],[2035]],Refsz_Verbräuche[[#This Row],[2030]],"")))</f>
        <v/>
      </c>
      <c r="V103" s="124" t="str">
        <f>IF(Refsz_Verbräuche[[#Headers],[2040]]=$B$43,IF(OR(SUMIF($E103:Refsz_Verbräuche[[#This Row],[2035]],"&gt;0")&gt;0,), AVERAGEIF($E103:Refsz_Verbräuche[[#This Row],[2035]],"&lt;&gt;"""), ""),IF($B$43=(Refsz_Verbräuche[[#Headers],[2040]]-1),Refsz_Verbräuche[[#This Row],[2035]],IF($B$43&lt;Refsz_Verbräuche[[#Headers],[2040]],Refsz_Verbräuche[[#This Row],[2035]],"")))</f>
        <v/>
      </c>
      <c r="W103" s="124" t="str">
        <f>IF(Refsz_Verbräuche[[#Headers],[2045]]=$B$43,IF(OR(SUMIF($E103:Refsz_Verbräuche[[#This Row],[2040]],"&gt;0")&gt;0,), AVERAGEIF($E103:Refsz_Verbräuche[[#This Row],[2040]],"&lt;&gt;"""), ""),IF($B$43=(Refsz_Verbräuche[[#Headers],[2045]]-1),Refsz_Verbräuche[[#This Row],[2040]],IF($B$43&lt;Refsz_Verbräuche[[#Headers],[2045]],Refsz_Verbräuche[[#This Row],[2040]],"")))</f>
        <v/>
      </c>
      <c r="X103" s="124" t="str">
        <f>IF(Refsz_Verbräuche[[#Headers],[2050]]=$B$43,IF(OR(SUMIF($E103:Refsz_Verbräuche[[#This Row],[2045]],"&gt;0")&gt;0,), AVERAGEIF($E103:Refsz_Verbräuche[[#This Row],[2045]],"&lt;&gt;"""), ""),IF($B$43=(Refsz_Verbräuche[[#Headers],[2050]]-1),Refsz_Verbräuche[[#This Row],[2045]],IF($B$43&lt;Refsz_Verbräuche[[#Headers],[2050]],Refsz_Verbräuche[[#This Row],[2045]],"")))</f>
        <v/>
      </c>
      <c r="Z103" s="15"/>
    </row>
    <row r="104" spans="2:26" x14ac:dyDescent="0.35">
      <c r="B104" s="15">
        <v>44</v>
      </c>
      <c r="C104" s="44" t="str">
        <f>_xlfn.CONCAT('Refsz-Verbräuche'!C47," - Privater PKW (Diesel)")</f>
        <v>DR - Privater PKW (Diesel)</v>
      </c>
      <c r="D104" t="s">
        <v>417</v>
      </c>
      <c r="E104" s="124" t="str">
        <f>Umrechnen!D28</f>
        <v/>
      </c>
      <c r="F104" s="124" t="str">
        <f>Umrechnen!E28</f>
        <v/>
      </c>
      <c r="G104" s="124" t="str">
        <f>Umrechnen!F28</f>
        <v/>
      </c>
      <c r="H104" s="124" t="str">
        <f>Umrechnen!G28</f>
        <v/>
      </c>
      <c r="I104" s="124" t="str">
        <f>Umrechnen!H28</f>
        <v/>
      </c>
      <c r="J104" s="124" t="str">
        <f>Umrechnen!I28</f>
        <v/>
      </c>
      <c r="K104" s="124" t="str">
        <f>Umrechnen!J28</f>
        <v/>
      </c>
      <c r="L104" s="124" t="str">
        <f>IF(Refsz_Verbräuche[[#Headers],[2022]]=$B$43,IF(OR(SUMIF($E104:Refsz_Verbräuche[[#This Row],[2021]],"&gt;0")&gt;0,), AVERAGEIF($E104:Refsz_Verbräuche[[#This Row],[2021]],"&lt;&gt;"""), ""),IF($B$43=(Refsz_Verbräuche[[#Headers],[2022]]-1),Refsz_Verbräuche[[#This Row],[2021]],IF($B$43&lt;Refsz_Verbräuche[[#Headers],[2022]],Refsz_Verbräuche[[#This Row],[2021]],Umrechnen!K28)))</f>
        <v/>
      </c>
      <c r="M104" s="124" t="str">
        <f>IF(Refsz_Verbräuche[[#Headers],[2023]]=$B$43,IF(OR(SUMIF($E104:Refsz_Verbräuche[[#This Row],[2022]],"&gt;0")&gt;0,), AVERAGEIF($E104:Refsz_Verbräuche[[#This Row],[2022]],"&lt;&gt;"""), ""),IF($B$43=(Refsz_Verbräuche[[#Headers],[2023]]-1),Refsz_Verbräuche[[#This Row],[2022]],IF($B$43&lt;Refsz_Verbräuche[[#Headers],[2023]],Refsz_Verbräuche[[#This Row],[2022]],Umrechnen!L28)))</f>
        <v/>
      </c>
      <c r="N104" s="124" t="str">
        <f>IF(Refsz_Verbräuche[[#Headers],[2024]]=$B$43,IF(OR(SUMIF($E104:Refsz_Verbräuche[[#This Row],[2023]],"&gt;0")&gt;0,), AVERAGEIF($E104:Refsz_Verbräuche[[#This Row],[2023]],"&lt;&gt;"""), ""),IF($B$43=(Refsz_Verbräuche[[#Headers],[2024]]-1),Refsz_Verbräuche[[#This Row],[2023]],IF($B$43&lt;Refsz_Verbräuche[[#Headers],[2024]],Refsz_Verbräuche[[#This Row],[2023]],Umrechnen!M28)))</f>
        <v/>
      </c>
      <c r="O104" s="124" t="str">
        <f>IF(Refsz_Verbräuche[[#Headers],[2025]]=$B$43,IF(OR(SUMIF($E104:Refsz_Verbräuche[[#This Row],[2024]],"&gt;0")&gt;0,), AVERAGEIF($E104:Refsz_Verbräuche[[#This Row],[2024]],"&lt;&gt;"""), ""),IF($B$43=(Refsz_Verbräuche[[#Headers],[2025]]-1),Refsz_Verbräuche[[#This Row],[2024]],IF($B$43&lt;Refsz_Verbräuche[[#Headers],[2025]],Refsz_Verbräuche[[#This Row],[2024]],Umrechnen!N28)))</f>
        <v/>
      </c>
      <c r="P104" s="124" t="str">
        <f>IF(Refsz_Verbräuche[[#Headers],[2026]]=$B$43,IF(OR(SUMIF($E104:Refsz_Verbräuche[[#This Row],[2025]],"&gt;0")&gt;0,), AVERAGEIF($E104:Refsz_Verbräuche[[#This Row],[2025]],"&lt;&gt;"""), ""),IF($B$43=(Refsz_Verbräuche[[#Headers],[2026]]-1),Refsz_Verbräuche[[#This Row],[2025]],IF($B$43&lt;Refsz_Verbräuche[[#Headers],[2026]],Refsz_Verbräuche[[#This Row],[2025]],Umrechnen!O28)))</f>
        <v/>
      </c>
      <c r="Q104" s="124" t="str">
        <f>IF(Refsz_Verbräuche[[#Headers],[2027]]=$B$43,IF(OR(SUMIF($E104:Refsz_Verbräuche[[#This Row],[2026]],"&gt;0")&gt;0,), AVERAGEIF($E104:Refsz_Verbräuche[[#This Row],[2026]],"&lt;&gt;"""), ""),IF($B$43=(Refsz_Verbräuche[[#Headers],[2027]]-1),Refsz_Verbräuche[[#This Row],[2026]],IF($B$43&lt;Refsz_Verbräuche[[#Headers],[2027]],Refsz_Verbräuche[[#This Row],[2026]],Umrechnen!P28)))</f>
        <v/>
      </c>
      <c r="R104" s="124" t="str">
        <f>IF(Refsz_Verbräuche[[#Headers],[2028]]=$B$43,IF(OR(SUMIF($E104:Refsz_Verbräuche[[#This Row],[2027]],"&gt;0")&gt;0,), AVERAGEIF($E104:Refsz_Verbräuche[[#This Row],[2027]],"&lt;&gt;"""), ""),IF($B$43=(Refsz_Verbräuche[[#Headers],[2028]]-1),Refsz_Verbräuche[[#This Row],[2027]],IF($B$43&lt;Refsz_Verbräuche[[#Headers],[2028]],Refsz_Verbräuche[[#This Row],[2027]],Umrechnen!Q28)))</f>
        <v/>
      </c>
      <c r="S104" s="124" t="str">
        <f>IF(Refsz_Verbräuche[[#Headers],[2029]]=$B$43,IF(OR(SUMIF($E104:Refsz_Verbräuche[[#This Row],[2028]],"&gt;0")&gt;0,), AVERAGEIF($E104:Refsz_Verbräuche[[#This Row],[2028]],"&lt;&gt;"""), ""),IF($B$43=(Refsz_Verbräuche[[#Headers],[2029]]-1),Refsz_Verbräuche[[#This Row],[2028]],IF($B$43&lt;Refsz_Verbräuche[[#Headers],[2029]],Refsz_Verbräuche[[#This Row],[2028]],Umrechnen!R28)))</f>
        <v/>
      </c>
      <c r="T104" s="124" t="str">
        <f>IF(Refsz_Verbräuche[[#Headers],[2030]]=$B$43,IF(OR(SUMIF($E104:Refsz_Verbräuche[[#This Row],[2029]],"&gt;0")&gt;0,), AVERAGEIF($E104:Refsz_Verbräuche[[#This Row],[2029]],"&lt;&gt;"""), ""),IF($B$43=(Refsz_Verbräuche[[#Headers],[2030]]-1),Refsz_Verbräuche[[#This Row],[2029]],IF($B$43&lt;Refsz_Verbräuche[[#Headers],[2030]],Refsz_Verbräuche[[#This Row],[2029]],Umrechnen!S28)))</f>
        <v/>
      </c>
      <c r="U104" s="124" t="str">
        <f>IF(Refsz_Verbräuche[[#Headers],[2035]]=$B$43,IF(OR(SUMIF($E104:Refsz_Verbräuche[[#This Row],[2030]],"&gt;0")&gt;0,), AVERAGEIF($E104:Refsz_Verbräuche[[#This Row],[2030]],"&lt;&gt;"""), ""),IF($B$43=(Refsz_Verbräuche[[#Headers],[2035]]-1),Refsz_Verbräuche[[#This Row],[2030]],IF($B$43&lt;Refsz_Verbräuche[[#Headers],[2035]],Refsz_Verbräuche[[#This Row],[2030]],Umrechnen!T28)))</f>
        <v/>
      </c>
      <c r="V104" s="124" t="str">
        <f>IF(Refsz_Verbräuche[[#Headers],[2040]]=$B$43,IF(OR(SUMIF($E104:Refsz_Verbräuche[[#This Row],[2035]],"&gt;0")&gt;0,), AVERAGEIF($E104:Refsz_Verbräuche[[#This Row],[2035]],"&lt;&gt;"""), ""),IF($B$43=(Refsz_Verbräuche[[#Headers],[2040]]-1),Refsz_Verbräuche[[#This Row],[2035]],IF($B$43&lt;Refsz_Verbräuche[[#Headers],[2040]],Refsz_Verbräuche[[#This Row],[2035]],Umrechnen!U28)))</f>
        <v/>
      </c>
      <c r="W104" s="124" t="str">
        <f>IF(Refsz_Verbräuche[[#Headers],[2045]]=$B$43,IF(OR(SUMIF($E104:Refsz_Verbräuche[[#This Row],[2040]],"&gt;0")&gt;0,), AVERAGEIF($E104:Refsz_Verbräuche[[#This Row],[2040]],"&lt;&gt;"""), ""),IF($B$43=(Refsz_Verbräuche[[#Headers],[2045]]-1),Refsz_Verbräuche[[#This Row],[2040]],IF($B$43&lt;Refsz_Verbräuche[[#Headers],[2045]],Refsz_Verbräuche[[#This Row],[2040]],Umrechnen!V28)))</f>
        <v/>
      </c>
      <c r="X104" s="124" t="str">
        <f>IF(Refsz_Verbräuche[[#Headers],[2050]]=$B$43,IF(OR(SUMIF($E104:Refsz_Verbräuche[[#This Row],[2045]],"&gt;0")&gt;0,), AVERAGEIF($E104:Refsz_Verbräuche[[#This Row],[2045]],"&lt;&gt;"""), ""),IF($B$43=(Refsz_Verbräuche[[#Headers],[2050]]-1),Refsz_Verbräuche[[#This Row],[2045]],IF($B$43&lt;Refsz_Verbräuche[[#Headers],[2050]],Refsz_Verbräuche[[#This Row],[2045]],Umrechnen!W28)))</f>
        <v/>
      </c>
      <c r="Z104" s="15"/>
    </row>
    <row r="105" spans="2:26" x14ac:dyDescent="0.35">
      <c r="B105" s="15">
        <v>45</v>
      </c>
      <c r="C105" s="43" t="str">
        <f>_xlfn.CONCAT('Refsz-Verbräuche'!C47," - Privater PKW (Benzin)")</f>
        <v>DR - Privater PKW (Benzin)</v>
      </c>
      <c r="D105" t="s">
        <v>417</v>
      </c>
      <c r="E105" s="124" t="str">
        <f>Umrechnen!D34</f>
        <v/>
      </c>
      <c r="F105" s="124" t="str">
        <f>Umrechnen!E34</f>
        <v/>
      </c>
      <c r="G105" s="124" t="str">
        <f>Umrechnen!F34</f>
        <v/>
      </c>
      <c r="H105" s="124" t="str">
        <f>Umrechnen!G34</f>
        <v/>
      </c>
      <c r="I105" s="124" t="str">
        <f>Umrechnen!H34</f>
        <v/>
      </c>
      <c r="J105" s="124" t="str">
        <f>Umrechnen!I34</f>
        <v/>
      </c>
      <c r="K105" s="124" t="str">
        <f>Umrechnen!J34</f>
        <v/>
      </c>
      <c r="L105" s="124" t="str">
        <f>IF(Refsz_Verbräuche[[#Headers],[2022]]=$B$43,IF(OR(SUMIF($E105:Refsz_Verbräuche[[#This Row],[2021]],"&gt;0")&gt;0,), AVERAGEIF($E105:Refsz_Verbräuche[[#This Row],[2021]],"&lt;&gt;"""), ""),IF($B$43=(Refsz_Verbräuche[[#Headers],[2022]]-1),Refsz_Verbräuche[[#This Row],[2021]],IF($B$43&lt;Refsz_Verbräuche[[#Headers],[2022]],Refsz_Verbräuche[[#This Row],[2021]],Umrechnen!K34)))</f>
        <v/>
      </c>
      <c r="M105" s="124" t="str">
        <f>IF(Refsz_Verbräuche[[#Headers],[2023]]=$B$43,IF(OR(SUMIF($E105:Refsz_Verbräuche[[#This Row],[2022]],"&gt;0")&gt;0,), AVERAGEIF($E105:Refsz_Verbräuche[[#This Row],[2022]],"&lt;&gt;"""), ""),IF($B$43=(Refsz_Verbräuche[[#Headers],[2023]]-1),Refsz_Verbräuche[[#This Row],[2022]],IF($B$43&lt;Refsz_Verbräuche[[#Headers],[2023]],Refsz_Verbräuche[[#This Row],[2022]],Umrechnen!L34)))</f>
        <v/>
      </c>
      <c r="N105" s="124" t="str">
        <f>IF(Refsz_Verbräuche[[#Headers],[2024]]=$B$43,IF(OR(SUMIF($E105:Refsz_Verbräuche[[#This Row],[2023]],"&gt;0")&gt;0,), AVERAGEIF($E105:Refsz_Verbräuche[[#This Row],[2023]],"&lt;&gt;"""), ""),IF($B$43=(Refsz_Verbräuche[[#Headers],[2024]]-1),Refsz_Verbräuche[[#This Row],[2023]],IF($B$43&lt;Refsz_Verbräuche[[#Headers],[2024]],Refsz_Verbräuche[[#This Row],[2023]],Umrechnen!M34)))</f>
        <v/>
      </c>
      <c r="O105" s="124" t="str">
        <f>IF(Refsz_Verbräuche[[#Headers],[2025]]=$B$43,IF(OR(SUMIF($E105:Refsz_Verbräuche[[#This Row],[2024]],"&gt;0")&gt;0,), AVERAGEIF($E105:Refsz_Verbräuche[[#This Row],[2024]],"&lt;&gt;"""), ""),IF($B$43=(Refsz_Verbräuche[[#Headers],[2025]]-1),Refsz_Verbräuche[[#This Row],[2024]],IF($B$43&lt;Refsz_Verbräuche[[#Headers],[2025]],Refsz_Verbräuche[[#This Row],[2024]],Umrechnen!N34)))</f>
        <v/>
      </c>
      <c r="P105" s="124" t="str">
        <f>IF(Refsz_Verbräuche[[#Headers],[2026]]=$B$43,IF(OR(SUMIF($E105:Refsz_Verbräuche[[#This Row],[2025]],"&gt;0")&gt;0,), AVERAGEIF($E105:Refsz_Verbräuche[[#This Row],[2025]],"&lt;&gt;"""), ""),IF($B$43=(Refsz_Verbräuche[[#Headers],[2026]]-1),Refsz_Verbräuche[[#This Row],[2025]],IF($B$43&lt;Refsz_Verbräuche[[#Headers],[2026]],Refsz_Verbräuche[[#This Row],[2025]],Umrechnen!O34)))</f>
        <v/>
      </c>
      <c r="Q105" s="124" t="str">
        <f>IF(Refsz_Verbräuche[[#Headers],[2027]]=$B$43,IF(OR(SUMIF($E105:Refsz_Verbräuche[[#This Row],[2026]],"&gt;0")&gt;0,), AVERAGEIF($E105:Refsz_Verbräuche[[#This Row],[2026]],"&lt;&gt;"""), ""),IF($B$43=(Refsz_Verbräuche[[#Headers],[2027]]-1),Refsz_Verbräuche[[#This Row],[2026]],IF($B$43&lt;Refsz_Verbräuche[[#Headers],[2027]],Refsz_Verbräuche[[#This Row],[2026]],Umrechnen!P34)))</f>
        <v/>
      </c>
      <c r="R105" s="124" t="str">
        <f>IF(Refsz_Verbräuche[[#Headers],[2028]]=$B$43,IF(OR(SUMIF($E105:Refsz_Verbräuche[[#This Row],[2027]],"&gt;0")&gt;0,), AVERAGEIF($E105:Refsz_Verbräuche[[#This Row],[2027]],"&lt;&gt;"""), ""),IF($B$43=(Refsz_Verbräuche[[#Headers],[2028]]-1),Refsz_Verbräuche[[#This Row],[2027]],IF($B$43&lt;Refsz_Verbräuche[[#Headers],[2028]],Refsz_Verbräuche[[#This Row],[2027]],Umrechnen!Q34)))</f>
        <v/>
      </c>
      <c r="S105" s="124" t="str">
        <f>IF(Refsz_Verbräuche[[#Headers],[2029]]=$B$43,IF(OR(SUMIF($E105:Refsz_Verbräuche[[#This Row],[2028]],"&gt;0")&gt;0,), AVERAGEIF($E105:Refsz_Verbräuche[[#This Row],[2028]],"&lt;&gt;"""), ""),IF($B$43=(Refsz_Verbräuche[[#Headers],[2029]]-1),Refsz_Verbräuche[[#This Row],[2028]],IF($B$43&lt;Refsz_Verbräuche[[#Headers],[2029]],Refsz_Verbräuche[[#This Row],[2028]],Umrechnen!R34)))</f>
        <v/>
      </c>
      <c r="T105" s="124" t="str">
        <f>IF(Refsz_Verbräuche[[#Headers],[2030]]=$B$43,IF(OR(SUMIF($E105:Refsz_Verbräuche[[#This Row],[2029]],"&gt;0")&gt;0,), AVERAGEIF($E105:Refsz_Verbräuche[[#This Row],[2029]],"&lt;&gt;"""), ""),IF($B$43=(Refsz_Verbräuche[[#Headers],[2030]]-1),Refsz_Verbräuche[[#This Row],[2029]],IF($B$43&lt;Refsz_Verbräuche[[#Headers],[2030]],Refsz_Verbräuche[[#This Row],[2029]],Umrechnen!S34)))</f>
        <v/>
      </c>
      <c r="U105" s="124" t="str">
        <f>IF(Refsz_Verbräuche[[#Headers],[2035]]=$B$43,IF(OR(SUMIF($E105:Refsz_Verbräuche[[#This Row],[2030]],"&gt;0")&gt;0,), AVERAGEIF($E105:Refsz_Verbräuche[[#This Row],[2030]],"&lt;&gt;"""), ""),IF($B$43=(Refsz_Verbräuche[[#Headers],[2035]]-1),Refsz_Verbräuche[[#This Row],[2030]],IF($B$43&lt;Refsz_Verbräuche[[#Headers],[2035]],Refsz_Verbräuche[[#This Row],[2030]],Umrechnen!T34)))</f>
        <v/>
      </c>
      <c r="V105" s="124" t="str">
        <f>IF(Refsz_Verbräuche[[#Headers],[2040]]=$B$43,IF(OR(SUMIF($E105:Refsz_Verbräuche[[#This Row],[2035]],"&gt;0")&gt;0,), AVERAGEIF($E105:Refsz_Verbräuche[[#This Row],[2035]],"&lt;&gt;"""), ""),IF($B$43=(Refsz_Verbräuche[[#Headers],[2040]]-1),Refsz_Verbräuche[[#This Row],[2035]],IF($B$43&lt;Refsz_Verbräuche[[#Headers],[2040]],Refsz_Verbräuche[[#This Row],[2035]],Umrechnen!U34)))</f>
        <v/>
      </c>
      <c r="W105" s="124" t="str">
        <f>IF(Refsz_Verbräuche[[#Headers],[2045]]=$B$43,IF(OR(SUMIF($E105:Refsz_Verbräuche[[#This Row],[2040]],"&gt;0")&gt;0,), AVERAGEIF($E105:Refsz_Verbräuche[[#This Row],[2040]],"&lt;&gt;"""), ""),IF($B$43=(Refsz_Verbräuche[[#Headers],[2045]]-1),Refsz_Verbräuche[[#This Row],[2040]],IF($B$43&lt;Refsz_Verbräuche[[#Headers],[2045]],Refsz_Verbräuche[[#This Row],[2040]],Umrechnen!V34)))</f>
        <v/>
      </c>
      <c r="X105" s="124" t="str">
        <f>IF(Refsz_Verbräuche[[#Headers],[2050]]=$B$43,IF(OR(SUMIF($E105:Refsz_Verbräuche[[#This Row],[2045]],"&gt;0")&gt;0,), AVERAGEIF($E105:Refsz_Verbräuche[[#This Row],[2045]],"&lt;&gt;"""), ""),IF($B$43=(Refsz_Verbräuche[[#Headers],[2050]]-1),Refsz_Verbräuche[[#This Row],[2045]],IF($B$43&lt;Refsz_Verbräuche[[#Headers],[2050]],Refsz_Verbräuche[[#This Row],[2045]],Umrechnen!W34)))</f>
        <v/>
      </c>
      <c r="Z105" s="15"/>
    </row>
    <row r="106" spans="2:26" x14ac:dyDescent="0.35">
      <c r="B106" s="15">
        <v>46</v>
      </c>
      <c r="C106" s="44" t="str">
        <f>_xlfn.CONCAT('Refsz-Verbräuche'!C47," - Mietwägen (Diesel)")</f>
        <v>DR - Mietwägen (Diesel)</v>
      </c>
      <c r="D106" t="s">
        <v>417</v>
      </c>
      <c r="E106" s="124" t="str">
        <f>Umrechnen!D35</f>
        <v/>
      </c>
      <c r="F106" s="124" t="str">
        <f>Umrechnen!E35</f>
        <v/>
      </c>
      <c r="G106" s="124" t="str">
        <f>Umrechnen!F35</f>
        <v/>
      </c>
      <c r="H106" s="124" t="str">
        <f>Umrechnen!G35</f>
        <v/>
      </c>
      <c r="I106" s="124" t="str">
        <f>Umrechnen!H35</f>
        <v/>
      </c>
      <c r="J106" s="124" t="str">
        <f>Umrechnen!I35</f>
        <v/>
      </c>
      <c r="K106" s="124" t="str">
        <f>Umrechnen!J35</f>
        <v/>
      </c>
      <c r="L106" s="124" t="str">
        <f>IF(Refsz_Verbräuche[[#Headers],[2022]]=$B$43,IF(OR(SUMIF($E106:Refsz_Verbräuche[[#This Row],[2021]],"&gt;0")&gt;0,), AVERAGEIF($E106:Refsz_Verbräuche[[#This Row],[2021]],"&lt;&gt;"""), ""),IF($B$43=(Refsz_Verbräuche[[#Headers],[2022]]-1),Refsz_Verbräuche[[#This Row],[2021]],IF($B$43&lt;Refsz_Verbräuche[[#Headers],[2022]],Refsz_Verbräuche[[#This Row],[2021]],Umrechnen!K29)))</f>
        <v/>
      </c>
      <c r="M106" s="124" t="str">
        <f>IF(Refsz_Verbräuche[[#Headers],[2023]]=$B$43,IF(OR(SUMIF($E106:Refsz_Verbräuche[[#This Row],[2022]],"&gt;0")&gt;0,), AVERAGEIF($E106:Refsz_Verbräuche[[#This Row],[2022]],"&lt;&gt;"""), ""),IF($B$43=(Refsz_Verbräuche[[#Headers],[2023]]-1),Refsz_Verbräuche[[#This Row],[2022]],IF($B$43&lt;Refsz_Verbräuche[[#Headers],[2023]],Refsz_Verbräuche[[#This Row],[2022]],Umrechnen!L29)))</f>
        <v/>
      </c>
      <c r="N106" s="124" t="str">
        <f>IF(Refsz_Verbräuche[[#Headers],[2024]]=$B$43,IF(OR(SUMIF($E106:Refsz_Verbräuche[[#This Row],[2023]],"&gt;0")&gt;0,), AVERAGEIF($E106:Refsz_Verbräuche[[#This Row],[2023]],"&lt;&gt;"""), ""),IF($B$43=(Refsz_Verbräuche[[#Headers],[2024]]-1),Refsz_Verbräuche[[#This Row],[2023]],IF($B$43&lt;Refsz_Verbräuche[[#Headers],[2024]],Refsz_Verbräuche[[#This Row],[2023]],Umrechnen!M29)))</f>
        <v/>
      </c>
      <c r="O106" s="124" t="str">
        <f>IF(Refsz_Verbräuche[[#Headers],[2025]]=$B$43,IF(OR(SUMIF($E106:Refsz_Verbräuche[[#This Row],[2024]],"&gt;0")&gt;0,), AVERAGEIF($E106:Refsz_Verbräuche[[#This Row],[2024]],"&lt;&gt;"""), ""),IF($B$43=(Refsz_Verbräuche[[#Headers],[2025]]-1),Refsz_Verbräuche[[#This Row],[2024]],IF($B$43&lt;Refsz_Verbräuche[[#Headers],[2025]],Refsz_Verbräuche[[#This Row],[2024]],Umrechnen!N29)))</f>
        <v/>
      </c>
      <c r="P106" s="124" t="str">
        <f>IF(Refsz_Verbräuche[[#Headers],[2026]]=$B$43,IF(OR(SUMIF($E106:Refsz_Verbräuche[[#This Row],[2025]],"&gt;0")&gt;0,), AVERAGEIF($E106:Refsz_Verbräuche[[#This Row],[2025]],"&lt;&gt;"""), ""),IF($B$43=(Refsz_Verbräuche[[#Headers],[2026]]-1),Refsz_Verbräuche[[#This Row],[2025]],IF($B$43&lt;Refsz_Verbräuche[[#Headers],[2026]],Refsz_Verbräuche[[#This Row],[2025]],Umrechnen!O29)))</f>
        <v/>
      </c>
      <c r="Q106" s="124" t="str">
        <f>IF(Refsz_Verbräuche[[#Headers],[2027]]=$B$43,IF(OR(SUMIF($E106:Refsz_Verbräuche[[#This Row],[2026]],"&gt;0")&gt;0,), AVERAGEIF($E106:Refsz_Verbräuche[[#This Row],[2026]],"&lt;&gt;"""), ""),IF($B$43=(Refsz_Verbräuche[[#Headers],[2027]]-1),Refsz_Verbräuche[[#This Row],[2026]],IF($B$43&lt;Refsz_Verbräuche[[#Headers],[2027]],Refsz_Verbräuche[[#This Row],[2026]],Umrechnen!P29)))</f>
        <v/>
      </c>
      <c r="R106" s="124" t="str">
        <f>IF(Refsz_Verbräuche[[#Headers],[2028]]=$B$43,IF(OR(SUMIF($E106:Refsz_Verbräuche[[#This Row],[2027]],"&gt;0")&gt;0,), AVERAGEIF($E106:Refsz_Verbräuche[[#This Row],[2027]],"&lt;&gt;"""), ""),IF($B$43=(Refsz_Verbräuche[[#Headers],[2028]]-1),Refsz_Verbräuche[[#This Row],[2027]],IF($B$43&lt;Refsz_Verbräuche[[#Headers],[2028]],Refsz_Verbräuche[[#This Row],[2027]],Umrechnen!Q29)))</f>
        <v/>
      </c>
      <c r="S106" s="124" t="str">
        <f>IF(Refsz_Verbräuche[[#Headers],[2029]]=$B$43,IF(OR(SUMIF($E106:Refsz_Verbräuche[[#This Row],[2028]],"&gt;0")&gt;0,), AVERAGEIF($E106:Refsz_Verbräuche[[#This Row],[2028]],"&lt;&gt;"""), ""),IF($B$43=(Refsz_Verbräuche[[#Headers],[2029]]-1),Refsz_Verbräuche[[#This Row],[2028]],IF($B$43&lt;Refsz_Verbräuche[[#Headers],[2029]],Refsz_Verbräuche[[#This Row],[2028]],Umrechnen!R29)))</f>
        <v/>
      </c>
      <c r="T106" s="124" t="str">
        <f>IF(Refsz_Verbräuche[[#Headers],[2030]]=$B$43,IF(OR(SUMIF($E106:Refsz_Verbräuche[[#This Row],[2029]],"&gt;0")&gt;0,), AVERAGEIF($E106:Refsz_Verbräuche[[#This Row],[2029]],"&lt;&gt;"""), ""),IF($B$43=(Refsz_Verbräuche[[#Headers],[2030]]-1),Refsz_Verbräuche[[#This Row],[2029]],IF($B$43&lt;Refsz_Verbräuche[[#Headers],[2030]],Refsz_Verbräuche[[#This Row],[2029]],Umrechnen!S29)))</f>
        <v/>
      </c>
      <c r="U106" s="124" t="str">
        <f>IF(Refsz_Verbräuche[[#Headers],[2035]]=$B$43,IF(OR(SUMIF($E106:Refsz_Verbräuche[[#This Row],[2030]],"&gt;0")&gt;0,), AVERAGEIF($E106:Refsz_Verbräuche[[#This Row],[2030]],"&lt;&gt;"""), ""),IF($B$43=(Refsz_Verbräuche[[#Headers],[2035]]-1),Refsz_Verbräuche[[#This Row],[2030]],IF($B$43&lt;Refsz_Verbräuche[[#Headers],[2035]],Refsz_Verbräuche[[#This Row],[2030]],Umrechnen!T29)))</f>
        <v/>
      </c>
      <c r="V106" s="124" t="str">
        <f>IF(Refsz_Verbräuche[[#Headers],[2040]]=$B$43,IF(OR(SUMIF($E106:Refsz_Verbräuche[[#This Row],[2035]],"&gt;0")&gt;0,), AVERAGEIF($E106:Refsz_Verbräuche[[#This Row],[2035]],"&lt;&gt;"""), ""),IF($B$43=(Refsz_Verbräuche[[#Headers],[2040]]-1),Refsz_Verbräuche[[#This Row],[2035]],IF($B$43&lt;Refsz_Verbräuche[[#Headers],[2040]],Refsz_Verbräuche[[#This Row],[2035]],Umrechnen!U29)))</f>
        <v/>
      </c>
      <c r="W106" s="124" t="str">
        <f>IF(Refsz_Verbräuche[[#Headers],[2045]]=$B$43,IF(OR(SUMIF($E106:Refsz_Verbräuche[[#This Row],[2040]],"&gt;0")&gt;0,), AVERAGEIF($E106:Refsz_Verbräuche[[#This Row],[2040]],"&lt;&gt;"""), ""),IF($B$43=(Refsz_Verbräuche[[#Headers],[2045]]-1),Refsz_Verbräuche[[#This Row],[2040]],IF($B$43&lt;Refsz_Verbräuche[[#Headers],[2045]],Refsz_Verbräuche[[#This Row],[2040]],Umrechnen!V29)))</f>
        <v/>
      </c>
      <c r="X106" s="124" t="str">
        <f>IF(Refsz_Verbräuche[[#Headers],[2050]]=$B$43,IF(OR(SUMIF($E106:Refsz_Verbräuche[[#This Row],[2045]],"&gt;0")&gt;0,), AVERAGEIF($E106:Refsz_Verbräuche[[#This Row],[2045]],"&lt;&gt;"""), ""),IF($B$43=(Refsz_Verbräuche[[#Headers],[2050]]-1),Refsz_Verbräuche[[#This Row],[2045]],IF($B$43&lt;Refsz_Verbräuche[[#Headers],[2050]],Refsz_Verbräuche[[#This Row],[2045]],Umrechnen!W29)))</f>
        <v/>
      </c>
      <c r="Z106" s="15"/>
    </row>
    <row r="107" spans="2:26" x14ac:dyDescent="0.35">
      <c r="B107" s="15">
        <v>47</v>
      </c>
      <c r="C107" s="44" t="str">
        <f>_xlfn.CONCAT('Refsz-Verbräuche'!C47," - Mietwägen (Benzin)")</f>
        <v>DR - Mietwägen (Benzin)</v>
      </c>
      <c r="D107" t="s">
        <v>417</v>
      </c>
      <c r="E107" s="124" t="str">
        <f>Umrechnen!D36</f>
        <v/>
      </c>
      <c r="F107" s="124" t="str">
        <f>Umrechnen!E36</f>
        <v/>
      </c>
      <c r="G107" s="124" t="str">
        <f>Umrechnen!F36</f>
        <v/>
      </c>
      <c r="H107" s="124" t="str">
        <f>Umrechnen!G36</f>
        <v/>
      </c>
      <c r="I107" s="124" t="str">
        <f>Umrechnen!H36</f>
        <v/>
      </c>
      <c r="J107" s="124" t="str">
        <f>Umrechnen!I36</f>
        <v/>
      </c>
      <c r="K107" s="124" t="str">
        <f>Umrechnen!J36</f>
        <v/>
      </c>
      <c r="L107" s="124" t="str">
        <f>IF(Refsz_Verbräuche[[#Headers],[2022]]=$B$43,IF(OR(SUMIF($E107:Refsz_Verbräuche[[#This Row],[2021]],"&gt;0")&gt;0,), AVERAGEIF($E107:Refsz_Verbräuche[[#This Row],[2021]],"&lt;&gt;"""), ""),IF($B$43=(Refsz_Verbräuche[[#Headers],[2022]]-1),Refsz_Verbräuche[[#This Row],[2021]],IF($B$43&lt;Refsz_Verbräuche[[#Headers],[2022]],Refsz_Verbräuche[[#This Row],[2021]],Umrechnen!K35)))</f>
        <v/>
      </c>
      <c r="M107" s="124" t="str">
        <f>IF(Refsz_Verbräuche[[#Headers],[2023]]=$B$43,IF(OR(SUMIF($E107:Refsz_Verbräuche[[#This Row],[2022]],"&gt;0")&gt;0,), AVERAGEIF($E107:Refsz_Verbräuche[[#This Row],[2022]],"&lt;&gt;"""), ""),IF($B$43=(Refsz_Verbräuche[[#Headers],[2023]]-1),Refsz_Verbräuche[[#This Row],[2022]],IF($B$43&lt;Refsz_Verbräuche[[#Headers],[2023]],Refsz_Verbräuche[[#This Row],[2022]],Umrechnen!L35)))</f>
        <v/>
      </c>
      <c r="N107" s="124" t="str">
        <f>IF(Refsz_Verbräuche[[#Headers],[2024]]=$B$43,IF(OR(SUMIF($E107:Refsz_Verbräuche[[#This Row],[2023]],"&gt;0")&gt;0,), AVERAGEIF($E107:Refsz_Verbräuche[[#This Row],[2023]],"&lt;&gt;"""), ""),IF($B$43=(Refsz_Verbräuche[[#Headers],[2024]]-1),Refsz_Verbräuche[[#This Row],[2023]],IF($B$43&lt;Refsz_Verbräuche[[#Headers],[2024]],Refsz_Verbräuche[[#This Row],[2023]],Umrechnen!M35)))</f>
        <v/>
      </c>
      <c r="O107" s="124" t="str">
        <f>IF(Refsz_Verbräuche[[#Headers],[2025]]=$B$43,IF(OR(SUMIF($E107:Refsz_Verbräuche[[#This Row],[2024]],"&gt;0")&gt;0,), AVERAGEIF($E107:Refsz_Verbräuche[[#This Row],[2024]],"&lt;&gt;"""), ""),IF($B$43=(Refsz_Verbräuche[[#Headers],[2025]]-1),Refsz_Verbräuche[[#This Row],[2024]],IF($B$43&lt;Refsz_Verbräuche[[#Headers],[2025]],Refsz_Verbräuche[[#This Row],[2024]],Umrechnen!N35)))</f>
        <v/>
      </c>
      <c r="P107" s="124" t="str">
        <f>IF(Refsz_Verbräuche[[#Headers],[2026]]=$B$43,IF(OR(SUMIF($E107:Refsz_Verbräuche[[#This Row],[2025]],"&gt;0")&gt;0,), AVERAGEIF($E107:Refsz_Verbräuche[[#This Row],[2025]],"&lt;&gt;"""), ""),IF($B$43=(Refsz_Verbräuche[[#Headers],[2026]]-1),Refsz_Verbräuche[[#This Row],[2025]],IF($B$43&lt;Refsz_Verbräuche[[#Headers],[2026]],Refsz_Verbräuche[[#This Row],[2025]],Umrechnen!O35)))</f>
        <v/>
      </c>
      <c r="Q107" s="124" t="str">
        <f>IF(Refsz_Verbräuche[[#Headers],[2027]]=$B$43,IF(OR(SUMIF($E107:Refsz_Verbräuche[[#This Row],[2026]],"&gt;0")&gt;0,), AVERAGEIF($E107:Refsz_Verbräuche[[#This Row],[2026]],"&lt;&gt;"""), ""),IF($B$43=(Refsz_Verbräuche[[#Headers],[2027]]-1),Refsz_Verbräuche[[#This Row],[2026]],IF($B$43&lt;Refsz_Verbräuche[[#Headers],[2027]],Refsz_Verbräuche[[#This Row],[2026]],Umrechnen!P35)))</f>
        <v/>
      </c>
      <c r="R107" s="124" t="str">
        <f>IF(Refsz_Verbräuche[[#Headers],[2028]]=$B$43,IF(OR(SUMIF($E107:Refsz_Verbräuche[[#This Row],[2027]],"&gt;0")&gt;0,), AVERAGEIF($E107:Refsz_Verbräuche[[#This Row],[2027]],"&lt;&gt;"""), ""),IF($B$43=(Refsz_Verbräuche[[#Headers],[2028]]-1),Refsz_Verbräuche[[#This Row],[2027]],IF($B$43&lt;Refsz_Verbräuche[[#Headers],[2028]],Refsz_Verbräuche[[#This Row],[2027]],Umrechnen!Q35)))</f>
        <v/>
      </c>
      <c r="S107" s="124" t="str">
        <f>IF(Refsz_Verbräuche[[#Headers],[2029]]=$B$43,IF(OR(SUMIF($E107:Refsz_Verbräuche[[#This Row],[2028]],"&gt;0")&gt;0,), AVERAGEIF($E107:Refsz_Verbräuche[[#This Row],[2028]],"&lt;&gt;"""), ""),IF($B$43=(Refsz_Verbräuche[[#Headers],[2029]]-1),Refsz_Verbräuche[[#This Row],[2028]],IF($B$43&lt;Refsz_Verbräuche[[#Headers],[2029]],Refsz_Verbräuche[[#This Row],[2028]],Umrechnen!R35)))</f>
        <v/>
      </c>
      <c r="T107" s="124" t="str">
        <f>IF(Refsz_Verbräuche[[#Headers],[2030]]=$B$43,IF(OR(SUMIF($E107:Refsz_Verbräuche[[#This Row],[2029]],"&gt;0")&gt;0,), AVERAGEIF($E107:Refsz_Verbräuche[[#This Row],[2029]],"&lt;&gt;"""), ""),IF($B$43=(Refsz_Verbräuche[[#Headers],[2030]]-1),Refsz_Verbräuche[[#This Row],[2029]],IF($B$43&lt;Refsz_Verbräuche[[#Headers],[2030]],Refsz_Verbräuche[[#This Row],[2029]],Umrechnen!S35)))</f>
        <v/>
      </c>
      <c r="U107" s="124" t="str">
        <f>IF(Refsz_Verbräuche[[#Headers],[2035]]=$B$43,IF(OR(SUMIF($E107:Refsz_Verbräuche[[#This Row],[2030]],"&gt;0")&gt;0,), AVERAGEIF($E107:Refsz_Verbräuche[[#This Row],[2030]],"&lt;&gt;"""), ""),IF($B$43=(Refsz_Verbräuche[[#Headers],[2035]]-1),Refsz_Verbräuche[[#This Row],[2030]],IF($B$43&lt;Refsz_Verbräuche[[#Headers],[2035]],Refsz_Verbräuche[[#This Row],[2030]],Umrechnen!T35)))</f>
        <v/>
      </c>
      <c r="V107" s="124" t="str">
        <f>IF(Refsz_Verbräuche[[#Headers],[2040]]=$B$43,IF(OR(SUMIF($E107:Refsz_Verbräuche[[#This Row],[2035]],"&gt;0")&gt;0,), AVERAGEIF($E107:Refsz_Verbräuche[[#This Row],[2035]],"&lt;&gt;"""), ""),IF($B$43=(Refsz_Verbräuche[[#Headers],[2040]]-1),Refsz_Verbräuche[[#This Row],[2035]],IF($B$43&lt;Refsz_Verbräuche[[#Headers],[2040]],Refsz_Verbräuche[[#This Row],[2035]],Umrechnen!U35)))</f>
        <v/>
      </c>
      <c r="W107" s="124" t="str">
        <f>IF(Refsz_Verbräuche[[#Headers],[2045]]=$B$43,IF(OR(SUMIF($E107:Refsz_Verbräuche[[#This Row],[2040]],"&gt;0")&gt;0,), AVERAGEIF($E107:Refsz_Verbräuche[[#This Row],[2040]],"&lt;&gt;"""), ""),IF($B$43=(Refsz_Verbräuche[[#Headers],[2045]]-1),Refsz_Verbräuche[[#This Row],[2040]],IF($B$43&lt;Refsz_Verbräuche[[#Headers],[2045]],Refsz_Verbräuche[[#This Row],[2040]],Umrechnen!V35)))</f>
        <v/>
      </c>
      <c r="X107" s="124" t="str">
        <f>IF(Refsz_Verbräuche[[#Headers],[2050]]=$B$43,IF(OR(SUMIF($E107:Refsz_Verbräuche[[#This Row],[2045]],"&gt;0")&gt;0,), AVERAGEIF($E107:Refsz_Verbräuche[[#This Row],[2045]],"&lt;&gt;"""), ""),IF($B$43=(Refsz_Verbräuche[[#Headers],[2050]]-1),Refsz_Verbräuche[[#This Row],[2045]],IF($B$43&lt;Refsz_Verbräuche[[#Headers],[2050]],Refsz_Verbräuche[[#This Row],[2045]],Umrechnen!W35)))</f>
        <v/>
      </c>
      <c r="Z107" s="15"/>
    </row>
    <row r="108" spans="2:26" x14ac:dyDescent="0.35">
      <c r="B108" s="15">
        <v>48</v>
      </c>
      <c r="C108" t="str">
        <f>_xlfn.CONCAT('Refsz-Verbräuche'!C47," - Mietwägen (E-Auto/ BEV)")</f>
        <v>DR - Mietwägen (E-Auto/ BEV)</v>
      </c>
      <c r="D108" t="s">
        <v>417</v>
      </c>
      <c r="E108" s="124"/>
      <c r="F108" s="124"/>
      <c r="G108" s="124"/>
      <c r="H108" s="124"/>
      <c r="I108" s="124"/>
      <c r="J108" s="124"/>
      <c r="K108" s="124"/>
      <c r="L108" s="124" t="str">
        <f>IF(Refsz_Verbräuche[[#Headers],[2022]]=$B$43,IF(OR(SUMIF($E108:Refsz_Verbräuche[[#This Row],[2021]],"&gt;0")&gt;0,), AVERAGEIF($E108:Refsz_Verbräuche[[#This Row],[2021]],"&lt;&gt;"""), ""),IF($B$43=(Refsz_Verbräuche[[#Headers],[2022]]-1),Refsz_Verbräuche[[#This Row],[2021]],IF($B$43&lt;Refsz_Verbräuche[[#Headers],[2022]],Refsz_Verbräuche[[#This Row],[2021]],"")))</f>
        <v/>
      </c>
      <c r="M108" s="124" t="str">
        <f>IF(Refsz_Verbräuche[[#Headers],[2023]]=$B$43,IF(OR(SUMIF($E108:Refsz_Verbräuche[[#This Row],[2022]],"&gt;0")&gt;0,), AVERAGEIF($E108:Refsz_Verbräuche[[#This Row],[2022]],"&lt;&gt;"""), ""),IF($B$43=(Refsz_Verbräuche[[#Headers],[2023]]-1),Refsz_Verbräuche[[#This Row],[2022]],IF($B$43&lt;Refsz_Verbräuche[[#Headers],[2023]],Refsz_Verbräuche[[#This Row],[2022]],"")))</f>
        <v/>
      </c>
      <c r="N108" s="124" t="str">
        <f>IF(Refsz_Verbräuche[[#Headers],[2024]]=$B$43,IF(OR(SUMIF($E108:Refsz_Verbräuche[[#This Row],[2023]],"&gt;0")&gt;0,), AVERAGEIF($E108:Refsz_Verbräuche[[#This Row],[2023]],"&lt;&gt;"""), ""),IF($B$43=(Refsz_Verbräuche[[#Headers],[2024]]-1),Refsz_Verbräuche[[#This Row],[2023]],IF($B$43&lt;Refsz_Verbräuche[[#Headers],[2024]],Refsz_Verbräuche[[#This Row],[2023]],"")))</f>
        <v/>
      </c>
      <c r="O108" s="124" t="str">
        <f>IF(Refsz_Verbräuche[[#Headers],[2025]]=$B$43,IF(OR(SUMIF($E108:Refsz_Verbräuche[[#This Row],[2024]],"&gt;0")&gt;0,), AVERAGEIF($E108:Refsz_Verbräuche[[#This Row],[2024]],"&lt;&gt;"""), ""),IF($B$43=(Refsz_Verbräuche[[#Headers],[2025]]-1),Refsz_Verbräuche[[#This Row],[2024]],IF($B$43&lt;Refsz_Verbräuche[[#Headers],[2025]],Refsz_Verbräuche[[#This Row],[2024]],"")))</f>
        <v/>
      </c>
      <c r="P108" s="124" t="str">
        <f>IF(Refsz_Verbräuche[[#Headers],[2026]]=$B$43,IF(OR(SUMIF($E108:Refsz_Verbräuche[[#This Row],[2025]],"&gt;0")&gt;0,), AVERAGEIF($E108:Refsz_Verbräuche[[#This Row],[2025]],"&lt;&gt;"""), ""),IF($B$43=(Refsz_Verbräuche[[#Headers],[2026]]-1),Refsz_Verbräuche[[#This Row],[2025]],IF($B$43&lt;Refsz_Verbräuche[[#Headers],[2026]],Refsz_Verbräuche[[#This Row],[2025]],"")))</f>
        <v/>
      </c>
      <c r="Q108" s="124" t="str">
        <f>IF(Refsz_Verbräuche[[#Headers],[2027]]=$B$43,IF(OR(SUMIF($E108:Refsz_Verbräuche[[#This Row],[2026]],"&gt;0")&gt;0,), AVERAGEIF($E108:Refsz_Verbräuche[[#This Row],[2026]],"&lt;&gt;"""), ""),IF($B$43=(Refsz_Verbräuche[[#Headers],[2027]]-1),Refsz_Verbräuche[[#This Row],[2026]],IF($B$43&lt;Refsz_Verbräuche[[#Headers],[2027]],Refsz_Verbräuche[[#This Row],[2026]],"")))</f>
        <v/>
      </c>
      <c r="R108" s="124" t="str">
        <f>IF(Refsz_Verbräuche[[#Headers],[2028]]=$B$43,IF(OR(SUMIF($E108:Refsz_Verbräuche[[#This Row],[2027]],"&gt;0")&gt;0,), AVERAGEIF($E108:Refsz_Verbräuche[[#This Row],[2027]],"&lt;&gt;"""), ""),IF($B$43=(Refsz_Verbräuche[[#Headers],[2028]]-1),Refsz_Verbräuche[[#This Row],[2027]],IF($B$43&lt;Refsz_Verbräuche[[#Headers],[2028]],Refsz_Verbräuche[[#This Row],[2027]],"")))</f>
        <v/>
      </c>
      <c r="S108" s="124" t="str">
        <f>IF(Refsz_Verbräuche[[#Headers],[2029]]=$B$43,IF(OR(SUMIF($E108:Refsz_Verbräuche[[#This Row],[2028]],"&gt;0")&gt;0,), AVERAGEIF($E108:Refsz_Verbräuche[[#This Row],[2028]],"&lt;&gt;"""), ""),IF($B$43=(Refsz_Verbräuche[[#Headers],[2029]]-1),Refsz_Verbräuche[[#This Row],[2028]],IF($B$43&lt;Refsz_Verbräuche[[#Headers],[2029]],Refsz_Verbräuche[[#This Row],[2028]],"")))</f>
        <v/>
      </c>
      <c r="T108" s="124" t="str">
        <f>IF(Refsz_Verbräuche[[#Headers],[2030]]=$B$43,IF(OR(SUMIF($E108:Refsz_Verbräuche[[#This Row],[2029]],"&gt;0")&gt;0,), AVERAGEIF($E108:Refsz_Verbräuche[[#This Row],[2029]],"&lt;&gt;"""), ""),IF($B$43=(Refsz_Verbräuche[[#Headers],[2030]]-1),Refsz_Verbräuche[[#This Row],[2029]],IF($B$43&lt;Refsz_Verbräuche[[#Headers],[2030]],Refsz_Verbräuche[[#This Row],[2029]],"")))</f>
        <v/>
      </c>
      <c r="U108" s="124" t="str">
        <f>IF(Refsz_Verbräuche[[#Headers],[2035]]=$B$43,IF(OR(SUMIF($E108:Refsz_Verbräuche[[#This Row],[2030]],"&gt;0")&gt;0,), AVERAGEIF($E108:Refsz_Verbräuche[[#This Row],[2030]],"&lt;&gt;"""), ""),IF($B$43=(Refsz_Verbräuche[[#Headers],[2035]]-1),Refsz_Verbräuche[[#This Row],[2030]],IF($B$43&lt;Refsz_Verbräuche[[#Headers],[2035]],Refsz_Verbräuche[[#This Row],[2030]],"")))</f>
        <v/>
      </c>
      <c r="V108" s="124" t="str">
        <f>IF(Refsz_Verbräuche[[#Headers],[2040]]=$B$43,IF(OR(SUMIF($E108:Refsz_Verbräuche[[#This Row],[2035]],"&gt;0")&gt;0,), AVERAGEIF($E108:Refsz_Verbräuche[[#This Row],[2035]],"&lt;&gt;"""), ""),IF($B$43=(Refsz_Verbräuche[[#Headers],[2040]]-1),Refsz_Verbräuche[[#This Row],[2035]],IF($B$43&lt;Refsz_Verbräuche[[#Headers],[2040]],Refsz_Verbräuche[[#This Row],[2035]],"")))</f>
        <v/>
      </c>
      <c r="W108" s="124" t="str">
        <f>IF(Refsz_Verbräuche[[#Headers],[2045]]=$B$43,IF(OR(SUMIF($E108:Refsz_Verbräuche[[#This Row],[2040]],"&gt;0")&gt;0,), AVERAGEIF($E108:Refsz_Verbräuche[[#This Row],[2040]],"&lt;&gt;"""), ""),IF($B$43=(Refsz_Verbräuche[[#Headers],[2045]]-1),Refsz_Verbräuche[[#This Row],[2040]],IF($B$43&lt;Refsz_Verbräuche[[#Headers],[2045]],Refsz_Verbräuche[[#This Row],[2040]],"")))</f>
        <v/>
      </c>
      <c r="X108" s="124" t="str">
        <f>IF(Refsz_Verbräuche[[#Headers],[2050]]=$B$43,IF(OR(SUMIF($E108:Refsz_Verbräuche[[#This Row],[2045]],"&gt;0")&gt;0,), AVERAGEIF($E108:Refsz_Verbräuche[[#This Row],[2045]],"&lt;&gt;"""), ""),IF($B$43=(Refsz_Verbräuche[[#Headers],[2050]]-1),Refsz_Verbräuche[[#This Row],[2045]],IF($B$43&lt;Refsz_Verbräuche[[#Headers],[2050]],Refsz_Verbräuche[[#This Row],[2045]],"")))</f>
        <v/>
      </c>
      <c r="Z108" s="15"/>
    </row>
    <row r="109" spans="2:26" x14ac:dyDescent="0.35">
      <c r="B109" s="15">
        <v>49</v>
      </c>
      <c r="C109" s="9" t="str">
        <f>_xlfn.CONCAT('Refsz-Verbräuche'!C47," - Mietwägen (Wasserstoff/ FCEV)")</f>
        <v>DR - Mietwägen (Wasserstoff/ FCEV)</v>
      </c>
      <c r="D109" t="s">
        <v>417</v>
      </c>
      <c r="E109" s="124"/>
      <c r="F109" s="124"/>
      <c r="G109" s="124"/>
      <c r="H109" s="124"/>
      <c r="I109" s="124"/>
      <c r="J109" s="124"/>
      <c r="K109" s="124"/>
      <c r="L109" s="124" t="str">
        <f>IF(Refsz_Verbräuche[[#Headers],[2022]]=$B$43,IF(OR(SUMIF($E109:Refsz_Verbräuche[[#This Row],[2021]],"&gt;0")&gt;0,), AVERAGEIF($E109:Refsz_Verbräuche[[#This Row],[2021]],"&lt;&gt;"""), ""),IF($B$43=(Refsz_Verbräuche[[#Headers],[2022]]-1),Refsz_Verbräuche[[#This Row],[2021]],IF($B$43&lt;Refsz_Verbräuche[[#Headers],[2022]],Refsz_Verbräuche[[#This Row],[2021]],"")))</f>
        <v/>
      </c>
      <c r="M109" s="124" t="str">
        <f>IF(Refsz_Verbräuche[[#Headers],[2023]]=$B$43,IF(OR(SUMIF($E109:Refsz_Verbräuche[[#This Row],[2022]],"&gt;0")&gt;0,), AVERAGEIF($E109:Refsz_Verbräuche[[#This Row],[2022]],"&lt;&gt;"""), ""),IF($B$43=(Refsz_Verbräuche[[#Headers],[2023]]-1),Refsz_Verbräuche[[#This Row],[2022]],IF($B$43&lt;Refsz_Verbräuche[[#Headers],[2023]],Refsz_Verbräuche[[#This Row],[2022]],"")))</f>
        <v/>
      </c>
      <c r="N109" s="124" t="str">
        <f>IF(Refsz_Verbräuche[[#Headers],[2024]]=$B$43,IF(OR(SUMIF($E109:Refsz_Verbräuche[[#This Row],[2023]],"&gt;0")&gt;0,), AVERAGEIF($E109:Refsz_Verbräuche[[#This Row],[2023]],"&lt;&gt;"""), ""),IF($B$43=(Refsz_Verbräuche[[#Headers],[2024]]-1),Refsz_Verbräuche[[#This Row],[2023]],IF($B$43&lt;Refsz_Verbräuche[[#Headers],[2024]],Refsz_Verbräuche[[#This Row],[2023]],"")))</f>
        <v/>
      </c>
      <c r="O109" s="124" t="str">
        <f>IF(Refsz_Verbräuche[[#Headers],[2025]]=$B$43,IF(OR(SUMIF($E109:Refsz_Verbräuche[[#This Row],[2024]],"&gt;0")&gt;0,), AVERAGEIF($E109:Refsz_Verbräuche[[#This Row],[2024]],"&lt;&gt;"""), ""),IF($B$43=(Refsz_Verbräuche[[#Headers],[2025]]-1),Refsz_Verbräuche[[#This Row],[2024]],IF($B$43&lt;Refsz_Verbräuche[[#Headers],[2025]],Refsz_Verbräuche[[#This Row],[2024]],"")))</f>
        <v/>
      </c>
      <c r="P109" s="124" t="str">
        <f>IF(Refsz_Verbräuche[[#Headers],[2026]]=$B$43,IF(OR(SUMIF($E109:Refsz_Verbräuche[[#This Row],[2025]],"&gt;0")&gt;0,), AVERAGEIF($E109:Refsz_Verbräuche[[#This Row],[2025]],"&lt;&gt;"""), ""),IF($B$43=(Refsz_Verbräuche[[#Headers],[2026]]-1),Refsz_Verbräuche[[#This Row],[2025]],IF($B$43&lt;Refsz_Verbräuche[[#Headers],[2026]],Refsz_Verbräuche[[#This Row],[2025]],"")))</f>
        <v/>
      </c>
      <c r="Q109" s="124" t="str">
        <f>IF(Refsz_Verbräuche[[#Headers],[2027]]=$B$43,IF(OR(SUMIF($E109:Refsz_Verbräuche[[#This Row],[2026]],"&gt;0")&gt;0,), AVERAGEIF($E109:Refsz_Verbräuche[[#This Row],[2026]],"&lt;&gt;"""), ""),IF($B$43=(Refsz_Verbräuche[[#Headers],[2027]]-1),Refsz_Verbräuche[[#This Row],[2026]],IF($B$43&lt;Refsz_Verbräuche[[#Headers],[2027]],Refsz_Verbräuche[[#This Row],[2026]],"")))</f>
        <v/>
      </c>
      <c r="R109" s="124" t="str">
        <f>IF(Refsz_Verbräuche[[#Headers],[2028]]=$B$43,IF(OR(SUMIF($E109:Refsz_Verbräuche[[#This Row],[2027]],"&gt;0")&gt;0,), AVERAGEIF($E109:Refsz_Verbräuche[[#This Row],[2027]],"&lt;&gt;"""), ""),IF($B$43=(Refsz_Verbräuche[[#Headers],[2028]]-1),Refsz_Verbräuche[[#This Row],[2027]],IF($B$43&lt;Refsz_Verbräuche[[#Headers],[2028]],Refsz_Verbräuche[[#This Row],[2027]],"")))</f>
        <v/>
      </c>
      <c r="S109" s="124" t="str">
        <f>IF(Refsz_Verbräuche[[#Headers],[2029]]=$B$43,IF(OR(SUMIF($E109:Refsz_Verbräuche[[#This Row],[2028]],"&gt;0")&gt;0,), AVERAGEIF($E109:Refsz_Verbräuche[[#This Row],[2028]],"&lt;&gt;"""), ""),IF($B$43=(Refsz_Verbräuche[[#Headers],[2029]]-1),Refsz_Verbräuche[[#This Row],[2028]],IF($B$43&lt;Refsz_Verbräuche[[#Headers],[2029]],Refsz_Verbräuche[[#This Row],[2028]],"")))</f>
        <v/>
      </c>
      <c r="T109" s="124" t="str">
        <f>IF(Refsz_Verbräuche[[#Headers],[2030]]=$B$43,IF(OR(SUMIF($E109:Refsz_Verbräuche[[#This Row],[2029]],"&gt;0")&gt;0,), AVERAGEIF($E109:Refsz_Verbräuche[[#This Row],[2029]],"&lt;&gt;"""), ""),IF($B$43=(Refsz_Verbräuche[[#Headers],[2030]]-1),Refsz_Verbräuche[[#This Row],[2029]],IF($B$43&lt;Refsz_Verbräuche[[#Headers],[2030]],Refsz_Verbräuche[[#This Row],[2029]],"")))</f>
        <v/>
      </c>
      <c r="U109" s="124" t="str">
        <f>IF(Refsz_Verbräuche[[#Headers],[2035]]=$B$43,IF(OR(SUMIF($E109:Refsz_Verbräuche[[#This Row],[2030]],"&gt;0")&gt;0,), AVERAGEIF($E109:Refsz_Verbräuche[[#This Row],[2030]],"&lt;&gt;"""), ""),IF($B$43=(Refsz_Verbräuche[[#Headers],[2035]]-1),Refsz_Verbräuche[[#This Row],[2030]],IF($B$43&lt;Refsz_Verbräuche[[#Headers],[2035]],Refsz_Verbräuche[[#This Row],[2030]],"")))</f>
        <v/>
      </c>
      <c r="V109" s="124" t="str">
        <f>IF(Refsz_Verbräuche[[#Headers],[2040]]=$B$43,IF(OR(SUMIF($E109:Refsz_Verbräuche[[#This Row],[2035]],"&gt;0")&gt;0,), AVERAGEIF($E109:Refsz_Verbräuche[[#This Row],[2035]],"&lt;&gt;"""), ""),IF($B$43=(Refsz_Verbräuche[[#Headers],[2040]]-1),Refsz_Verbräuche[[#This Row],[2035]],IF($B$43&lt;Refsz_Verbräuche[[#Headers],[2040]],Refsz_Verbräuche[[#This Row],[2035]],"")))</f>
        <v/>
      </c>
      <c r="W109" s="124" t="str">
        <f>IF(Refsz_Verbräuche[[#Headers],[2045]]=$B$43,IF(OR(SUMIF($E109:Refsz_Verbräuche[[#This Row],[2040]],"&gt;0")&gt;0,), AVERAGEIF($E109:Refsz_Verbräuche[[#This Row],[2040]],"&lt;&gt;"""), ""),IF($B$43=(Refsz_Verbräuche[[#Headers],[2045]]-1),Refsz_Verbräuche[[#This Row],[2040]],IF($B$43&lt;Refsz_Verbräuche[[#Headers],[2045]],Refsz_Verbräuche[[#This Row],[2040]],"")))</f>
        <v/>
      </c>
      <c r="X109" s="124" t="str">
        <f>IF(Refsz_Verbräuche[[#Headers],[2050]]=$B$43,IF(OR(SUMIF($E109:Refsz_Verbräuche[[#This Row],[2045]],"&gt;0")&gt;0,), AVERAGEIF($E109:Refsz_Verbräuche[[#This Row],[2045]],"&lt;&gt;"""), ""),IF($B$43=(Refsz_Verbräuche[[#Headers],[2050]]-1),Refsz_Verbräuche[[#This Row],[2045]],IF($B$43&lt;Refsz_Verbräuche[[#Headers],[2050]],Refsz_Verbräuche[[#This Row],[2045]],"")))</f>
        <v/>
      </c>
      <c r="Z109" s="15"/>
    </row>
    <row r="110" spans="2:26" x14ac:dyDescent="0.35">
      <c r="B110" s="15">
        <v>50</v>
      </c>
      <c r="C110" s="9" t="str">
        <f>_xlfn.CONCAT('Refsz-Verbräuche'!C47," - Mietwägen (CNG)")</f>
        <v>DR - Mietwägen (CNG)</v>
      </c>
      <c r="D110" t="s">
        <v>417</v>
      </c>
      <c r="E110" s="124"/>
      <c r="F110" s="124"/>
      <c r="G110" s="124"/>
      <c r="H110" s="124"/>
      <c r="I110" s="124"/>
      <c r="J110" s="124"/>
      <c r="K110" s="124"/>
      <c r="L110" s="124" t="str">
        <f>IF(Refsz_Verbräuche[[#Headers],[2022]]=$B$43,IF(OR(SUMIF($E110:Refsz_Verbräuche[[#This Row],[2021]],"&gt;0")&gt;0,), AVERAGEIF($E110:Refsz_Verbräuche[[#This Row],[2021]],"&lt;&gt;"""), ""),IF($B$43=(Refsz_Verbräuche[[#Headers],[2022]]-1),Refsz_Verbräuche[[#This Row],[2021]],IF($B$43&lt;Refsz_Verbräuche[[#Headers],[2022]],Refsz_Verbräuche[[#This Row],[2021]],"")))</f>
        <v/>
      </c>
      <c r="M110" s="124" t="str">
        <f>IF(Refsz_Verbräuche[[#Headers],[2023]]=$B$43,IF(OR(SUMIF($E110:Refsz_Verbräuche[[#This Row],[2022]],"&gt;0")&gt;0,), AVERAGEIF($E110:Refsz_Verbräuche[[#This Row],[2022]],"&lt;&gt;"""), ""),IF($B$43=(Refsz_Verbräuche[[#Headers],[2023]]-1),Refsz_Verbräuche[[#This Row],[2022]],IF($B$43&lt;Refsz_Verbräuche[[#Headers],[2023]],Refsz_Verbräuche[[#This Row],[2022]],"")))</f>
        <v/>
      </c>
      <c r="N110" s="124" t="str">
        <f>IF(Refsz_Verbräuche[[#Headers],[2024]]=$B$43,IF(OR(SUMIF($E110:Refsz_Verbräuche[[#This Row],[2023]],"&gt;0")&gt;0,), AVERAGEIF($E110:Refsz_Verbräuche[[#This Row],[2023]],"&lt;&gt;"""), ""),IF($B$43=(Refsz_Verbräuche[[#Headers],[2024]]-1),Refsz_Verbräuche[[#This Row],[2023]],IF($B$43&lt;Refsz_Verbräuche[[#Headers],[2024]],Refsz_Verbräuche[[#This Row],[2023]],"")))</f>
        <v/>
      </c>
      <c r="O110" s="124" t="str">
        <f>IF(Refsz_Verbräuche[[#Headers],[2025]]=$B$43,IF(OR(SUMIF($E110:Refsz_Verbräuche[[#This Row],[2024]],"&gt;0")&gt;0,), AVERAGEIF($E110:Refsz_Verbräuche[[#This Row],[2024]],"&lt;&gt;"""), ""),IF($B$43=(Refsz_Verbräuche[[#Headers],[2025]]-1),Refsz_Verbräuche[[#This Row],[2024]],IF($B$43&lt;Refsz_Verbräuche[[#Headers],[2025]],Refsz_Verbräuche[[#This Row],[2024]],"")))</f>
        <v/>
      </c>
      <c r="P110" s="124" t="str">
        <f>IF(Refsz_Verbräuche[[#Headers],[2026]]=$B$43,IF(OR(SUMIF($E110:Refsz_Verbräuche[[#This Row],[2025]],"&gt;0")&gt;0,), AVERAGEIF($E110:Refsz_Verbräuche[[#This Row],[2025]],"&lt;&gt;"""), ""),IF($B$43=(Refsz_Verbräuche[[#Headers],[2026]]-1),Refsz_Verbräuche[[#This Row],[2025]],IF($B$43&lt;Refsz_Verbräuche[[#Headers],[2026]],Refsz_Verbräuche[[#This Row],[2025]],"")))</f>
        <v/>
      </c>
      <c r="Q110" s="124" t="str">
        <f>IF(Refsz_Verbräuche[[#Headers],[2027]]=$B$43,IF(OR(SUMIF($E110:Refsz_Verbräuche[[#This Row],[2026]],"&gt;0")&gt;0,), AVERAGEIF($E110:Refsz_Verbräuche[[#This Row],[2026]],"&lt;&gt;"""), ""),IF($B$43=(Refsz_Verbräuche[[#Headers],[2027]]-1),Refsz_Verbräuche[[#This Row],[2026]],IF($B$43&lt;Refsz_Verbräuche[[#Headers],[2027]],Refsz_Verbräuche[[#This Row],[2026]],"")))</f>
        <v/>
      </c>
      <c r="R110" s="124" t="str">
        <f>IF(Refsz_Verbräuche[[#Headers],[2028]]=$B$43,IF(OR(SUMIF($E110:Refsz_Verbräuche[[#This Row],[2027]],"&gt;0")&gt;0,), AVERAGEIF($E110:Refsz_Verbräuche[[#This Row],[2027]],"&lt;&gt;"""), ""),IF($B$43=(Refsz_Verbräuche[[#Headers],[2028]]-1),Refsz_Verbräuche[[#This Row],[2027]],IF($B$43&lt;Refsz_Verbräuche[[#Headers],[2028]],Refsz_Verbräuche[[#This Row],[2027]],"")))</f>
        <v/>
      </c>
      <c r="S110" s="124" t="str">
        <f>IF(Refsz_Verbräuche[[#Headers],[2029]]=$B$43,IF(OR(SUMIF($E110:Refsz_Verbräuche[[#This Row],[2028]],"&gt;0")&gt;0,), AVERAGEIF($E110:Refsz_Verbräuche[[#This Row],[2028]],"&lt;&gt;"""), ""),IF($B$43=(Refsz_Verbräuche[[#Headers],[2029]]-1),Refsz_Verbräuche[[#This Row],[2028]],IF($B$43&lt;Refsz_Verbräuche[[#Headers],[2029]],Refsz_Verbräuche[[#This Row],[2028]],"")))</f>
        <v/>
      </c>
      <c r="T110" s="124" t="str">
        <f>IF(Refsz_Verbräuche[[#Headers],[2030]]=$B$43,IF(OR(SUMIF($E110:Refsz_Verbräuche[[#This Row],[2029]],"&gt;0")&gt;0,), AVERAGEIF($E110:Refsz_Verbräuche[[#This Row],[2029]],"&lt;&gt;"""), ""),IF($B$43=(Refsz_Verbräuche[[#Headers],[2030]]-1),Refsz_Verbräuche[[#This Row],[2029]],IF($B$43&lt;Refsz_Verbräuche[[#Headers],[2030]],Refsz_Verbräuche[[#This Row],[2029]],"")))</f>
        <v/>
      </c>
      <c r="U110" s="124" t="str">
        <f>IF(Refsz_Verbräuche[[#Headers],[2035]]=$B$43,IF(OR(SUMIF($E110:Refsz_Verbräuche[[#This Row],[2030]],"&gt;0")&gt;0,), AVERAGEIF($E110:Refsz_Verbräuche[[#This Row],[2030]],"&lt;&gt;"""), ""),IF($B$43=(Refsz_Verbräuche[[#Headers],[2035]]-1),Refsz_Verbräuche[[#This Row],[2030]],IF($B$43&lt;Refsz_Verbräuche[[#Headers],[2035]],Refsz_Verbräuche[[#This Row],[2030]],"")))</f>
        <v/>
      </c>
      <c r="V110" s="124" t="str">
        <f>IF(Refsz_Verbräuche[[#Headers],[2040]]=$B$43,IF(OR(SUMIF($E110:Refsz_Verbräuche[[#This Row],[2035]],"&gt;0")&gt;0,), AVERAGEIF($E110:Refsz_Verbräuche[[#This Row],[2035]],"&lt;&gt;"""), ""),IF($B$43=(Refsz_Verbräuche[[#Headers],[2040]]-1),Refsz_Verbräuche[[#This Row],[2035]],IF($B$43&lt;Refsz_Verbräuche[[#Headers],[2040]],Refsz_Verbräuche[[#This Row],[2035]],"")))</f>
        <v/>
      </c>
      <c r="W110" s="124" t="str">
        <f>IF(Refsz_Verbräuche[[#Headers],[2045]]=$B$43,IF(OR(SUMIF($E110:Refsz_Verbräuche[[#This Row],[2040]],"&gt;0")&gt;0,), AVERAGEIF($E110:Refsz_Verbräuche[[#This Row],[2040]],"&lt;&gt;"""), ""),IF($B$43=(Refsz_Verbräuche[[#Headers],[2045]]-1),Refsz_Verbräuche[[#This Row],[2040]],IF($B$43&lt;Refsz_Verbräuche[[#Headers],[2045]],Refsz_Verbräuche[[#This Row],[2040]],"")))</f>
        <v/>
      </c>
      <c r="X110" s="124" t="str">
        <f>IF(Refsz_Verbräuche[[#Headers],[2050]]=$B$43,IF(OR(SUMIF($E110:Refsz_Verbräuche[[#This Row],[2045]],"&gt;0")&gt;0,), AVERAGEIF($E110:Refsz_Verbräuche[[#This Row],[2045]],"&lt;&gt;"""), ""),IF($B$43=(Refsz_Verbräuche[[#Headers],[2050]]-1),Refsz_Verbräuche[[#This Row],[2045]],IF($B$43&lt;Refsz_Verbräuche[[#Headers],[2050]],Refsz_Verbräuche[[#This Row],[2045]],"")))</f>
        <v/>
      </c>
      <c r="Z110" s="15"/>
    </row>
    <row r="111" spans="2:26" x14ac:dyDescent="0.35">
      <c r="B111" s="15">
        <v>51</v>
      </c>
      <c r="C111" s="9" t="str">
        <f>_xlfn.CONCAT('Refsz-Verbräuche'!C47," - Mietwägen (Plug-In-Hybrid/ PHEV)")</f>
        <v>DR - Mietwägen (Plug-In-Hybrid/ PHEV)</v>
      </c>
      <c r="D111" t="s">
        <v>417</v>
      </c>
      <c r="E111" s="124"/>
      <c r="F111" s="124"/>
      <c r="G111" s="124"/>
      <c r="H111" s="124"/>
      <c r="I111" s="124"/>
      <c r="J111" s="124"/>
      <c r="K111" s="124"/>
      <c r="L111" s="124" t="str">
        <f>IF(Refsz_Verbräuche[[#Headers],[2022]]=$B$43,IF(OR(SUMIF($E111:Refsz_Verbräuche[[#This Row],[2021]],"&gt;0")&gt;0,), AVERAGEIF($E111:Refsz_Verbräuche[[#This Row],[2021]],"&lt;&gt;"""), ""),IF($B$43=(Refsz_Verbräuche[[#Headers],[2022]]-1),Refsz_Verbräuche[[#This Row],[2021]],IF($B$43&lt;Refsz_Verbräuche[[#Headers],[2022]],Refsz_Verbräuche[[#This Row],[2021]],"")))</f>
        <v/>
      </c>
      <c r="M111" s="124" t="str">
        <f>IF(Refsz_Verbräuche[[#Headers],[2023]]=$B$43,IF(OR(SUMIF($E111:Refsz_Verbräuche[[#This Row],[2022]],"&gt;0")&gt;0,), AVERAGEIF($E111:Refsz_Verbräuche[[#This Row],[2022]],"&lt;&gt;"""), ""),IF($B$43=(Refsz_Verbräuche[[#Headers],[2023]]-1),Refsz_Verbräuche[[#This Row],[2022]],IF($B$43&lt;Refsz_Verbräuche[[#Headers],[2023]],Refsz_Verbräuche[[#This Row],[2022]],"")))</f>
        <v/>
      </c>
      <c r="N111" s="124" t="str">
        <f>IF(Refsz_Verbräuche[[#Headers],[2024]]=$B$43,IF(OR(SUMIF($E111:Refsz_Verbräuche[[#This Row],[2023]],"&gt;0")&gt;0,), AVERAGEIF($E111:Refsz_Verbräuche[[#This Row],[2023]],"&lt;&gt;"""), ""),IF($B$43=(Refsz_Verbräuche[[#Headers],[2024]]-1),Refsz_Verbräuche[[#This Row],[2023]],IF($B$43&lt;Refsz_Verbräuche[[#Headers],[2024]],Refsz_Verbräuche[[#This Row],[2023]],"")))</f>
        <v/>
      </c>
      <c r="O111" s="124" t="str">
        <f>IF(Refsz_Verbräuche[[#Headers],[2025]]=$B$43,IF(OR(SUMIF($E111:Refsz_Verbräuche[[#This Row],[2024]],"&gt;0")&gt;0,), AVERAGEIF($E111:Refsz_Verbräuche[[#This Row],[2024]],"&lt;&gt;"""), ""),IF($B$43=(Refsz_Verbräuche[[#Headers],[2025]]-1),Refsz_Verbräuche[[#This Row],[2024]],IF($B$43&lt;Refsz_Verbräuche[[#Headers],[2025]],Refsz_Verbräuche[[#This Row],[2024]],"")))</f>
        <v/>
      </c>
      <c r="P111" s="124" t="str">
        <f>IF(Refsz_Verbräuche[[#Headers],[2026]]=$B$43,IF(OR(SUMIF($E111:Refsz_Verbräuche[[#This Row],[2025]],"&gt;0")&gt;0,), AVERAGEIF($E111:Refsz_Verbräuche[[#This Row],[2025]],"&lt;&gt;"""), ""),IF($B$43=(Refsz_Verbräuche[[#Headers],[2026]]-1),Refsz_Verbräuche[[#This Row],[2025]],IF($B$43&lt;Refsz_Verbräuche[[#Headers],[2026]],Refsz_Verbräuche[[#This Row],[2025]],"")))</f>
        <v/>
      </c>
      <c r="Q111" s="124" t="str">
        <f>IF(Refsz_Verbräuche[[#Headers],[2027]]=$B$43,IF(OR(SUMIF($E111:Refsz_Verbräuche[[#This Row],[2026]],"&gt;0")&gt;0,), AVERAGEIF($E111:Refsz_Verbräuche[[#This Row],[2026]],"&lt;&gt;"""), ""),IF($B$43=(Refsz_Verbräuche[[#Headers],[2027]]-1),Refsz_Verbräuche[[#This Row],[2026]],IF($B$43&lt;Refsz_Verbräuche[[#Headers],[2027]],Refsz_Verbräuche[[#This Row],[2026]],"")))</f>
        <v/>
      </c>
      <c r="R111" s="124" t="str">
        <f>IF(Refsz_Verbräuche[[#Headers],[2028]]=$B$43,IF(OR(SUMIF($E111:Refsz_Verbräuche[[#This Row],[2027]],"&gt;0")&gt;0,), AVERAGEIF($E111:Refsz_Verbräuche[[#This Row],[2027]],"&lt;&gt;"""), ""),IF($B$43=(Refsz_Verbräuche[[#Headers],[2028]]-1),Refsz_Verbräuche[[#This Row],[2027]],IF($B$43&lt;Refsz_Verbräuche[[#Headers],[2028]],Refsz_Verbräuche[[#This Row],[2027]],"")))</f>
        <v/>
      </c>
      <c r="S111" s="124" t="str">
        <f>IF(Refsz_Verbräuche[[#Headers],[2029]]=$B$43,IF(OR(SUMIF($E111:Refsz_Verbräuche[[#This Row],[2028]],"&gt;0")&gt;0,), AVERAGEIF($E111:Refsz_Verbräuche[[#This Row],[2028]],"&lt;&gt;"""), ""),IF($B$43=(Refsz_Verbräuche[[#Headers],[2029]]-1),Refsz_Verbräuche[[#This Row],[2028]],IF($B$43&lt;Refsz_Verbräuche[[#Headers],[2029]],Refsz_Verbräuche[[#This Row],[2028]],"")))</f>
        <v/>
      </c>
      <c r="T111" s="124" t="str">
        <f>IF(Refsz_Verbräuche[[#Headers],[2030]]=$B$43,IF(OR(SUMIF($E111:Refsz_Verbräuche[[#This Row],[2029]],"&gt;0")&gt;0,), AVERAGEIF($E111:Refsz_Verbräuche[[#This Row],[2029]],"&lt;&gt;"""), ""),IF($B$43=(Refsz_Verbräuche[[#Headers],[2030]]-1),Refsz_Verbräuche[[#This Row],[2029]],IF($B$43&lt;Refsz_Verbräuche[[#Headers],[2030]],Refsz_Verbräuche[[#This Row],[2029]],"")))</f>
        <v/>
      </c>
      <c r="U111" s="124" t="str">
        <f>IF(Refsz_Verbräuche[[#Headers],[2035]]=$B$43,IF(OR(SUMIF($E111:Refsz_Verbräuche[[#This Row],[2030]],"&gt;0")&gt;0,), AVERAGEIF($E111:Refsz_Verbräuche[[#This Row],[2030]],"&lt;&gt;"""), ""),IF($B$43=(Refsz_Verbräuche[[#Headers],[2035]]-1),Refsz_Verbräuche[[#This Row],[2030]],IF($B$43&lt;Refsz_Verbräuche[[#Headers],[2035]],Refsz_Verbräuche[[#This Row],[2030]],"")))</f>
        <v/>
      </c>
      <c r="V111" s="124" t="str">
        <f>IF(Refsz_Verbräuche[[#Headers],[2040]]=$B$43,IF(OR(SUMIF($E111:Refsz_Verbräuche[[#This Row],[2035]],"&gt;0")&gt;0,), AVERAGEIF($E111:Refsz_Verbräuche[[#This Row],[2035]],"&lt;&gt;"""), ""),IF($B$43=(Refsz_Verbräuche[[#Headers],[2040]]-1),Refsz_Verbräuche[[#This Row],[2035]],IF($B$43&lt;Refsz_Verbräuche[[#Headers],[2040]],Refsz_Verbräuche[[#This Row],[2035]],"")))</f>
        <v/>
      </c>
      <c r="W111" s="124" t="str">
        <f>IF(Refsz_Verbräuche[[#Headers],[2045]]=$B$43,IF(OR(SUMIF($E111:Refsz_Verbräuche[[#This Row],[2040]],"&gt;0")&gt;0,), AVERAGEIF($E111:Refsz_Verbräuche[[#This Row],[2040]],"&lt;&gt;"""), ""),IF($B$43=(Refsz_Verbräuche[[#Headers],[2045]]-1),Refsz_Verbräuche[[#This Row],[2040]],IF($B$43&lt;Refsz_Verbräuche[[#Headers],[2045]],Refsz_Verbräuche[[#This Row],[2040]],"")))</f>
        <v/>
      </c>
      <c r="X111" s="124" t="str">
        <f>IF(Refsz_Verbräuche[[#Headers],[2050]]=$B$43,IF(OR(SUMIF($E111:Refsz_Verbräuche[[#This Row],[2045]],"&gt;0")&gt;0,), AVERAGEIF($E111:Refsz_Verbräuche[[#This Row],[2045]],"&lt;&gt;"""), ""),IF($B$43=(Refsz_Verbräuche[[#Headers],[2050]]-1),Refsz_Verbräuche[[#This Row],[2045]],IF($B$43&lt;Refsz_Verbräuche[[#Headers],[2050]],Refsz_Verbräuche[[#This Row],[2045]],"")))</f>
        <v/>
      </c>
      <c r="Z111" s="15"/>
    </row>
    <row r="112" spans="2:26" x14ac:dyDescent="0.35">
      <c r="B112" s="15">
        <v>52</v>
      </c>
      <c r="C112" s="9" t="str">
        <f>_xlfn.CONCAT(C47," - E-Bike")</f>
        <v>DR - E-Bike</v>
      </c>
      <c r="D112" t="s">
        <v>417</v>
      </c>
      <c r="E112" s="124"/>
      <c r="F112" s="124"/>
      <c r="G112" s="124"/>
      <c r="H112" s="124"/>
      <c r="I112" s="124"/>
      <c r="J112" s="124"/>
      <c r="K112" s="124"/>
      <c r="L112" s="124" t="str">
        <f>IF(Refsz_Verbräuche[[#Headers],[2022]]=$B$43,IF(OR(SUMIF($E112:Refsz_Verbräuche[[#This Row],[2021]],"&gt;0")&gt;0,), AVERAGEIF($E112:Refsz_Verbräuche[[#This Row],[2021]],"&lt;&gt;"""), ""),IF($B$43=(Refsz_Verbräuche[[#Headers],[2022]]-1),Refsz_Verbräuche[[#This Row],[2021]],IF($B$43&lt;Refsz_Verbräuche[[#Headers],[2022]],Refsz_Verbräuche[[#This Row],[2021]],"")))</f>
        <v/>
      </c>
      <c r="M112" s="124" t="str">
        <f>IF(Refsz_Verbräuche[[#Headers],[2023]]=$B$43,IF(OR(SUMIF($E112:Refsz_Verbräuche[[#This Row],[2022]],"&gt;0")&gt;0,), AVERAGEIF($E112:Refsz_Verbräuche[[#This Row],[2022]],"&lt;&gt;"""), ""),IF($B$43=(Refsz_Verbräuche[[#Headers],[2023]]-1),Refsz_Verbräuche[[#This Row],[2022]],IF($B$43&lt;Refsz_Verbräuche[[#Headers],[2023]],Refsz_Verbräuche[[#This Row],[2022]],"")))</f>
        <v/>
      </c>
      <c r="N112" s="124" t="str">
        <f>IF(Refsz_Verbräuche[[#Headers],[2024]]=$B$43,IF(OR(SUMIF($E112:Refsz_Verbräuche[[#This Row],[2023]],"&gt;0")&gt;0,), AVERAGEIF($E112:Refsz_Verbräuche[[#This Row],[2023]],"&lt;&gt;"""), ""),IF($B$43=(Refsz_Verbräuche[[#Headers],[2024]]-1),Refsz_Verbräuche[[#This Row],[2023]],IF($B$43&lt;Refsz_Verbräuche[[#Headers],[2024]],Refsz_Verbräuche[[#This Row],[2023]],"")))</f>
        <v/>
      </c>
      <c r="O112" s="124" t="str">
        <f>IF(Refsz_Verbräuche[[#Headers],[2025]]=$B$43,IF(OR(SUMIF($E112:Refsz_Verbräuche[[#This Row],[2024]],"&gt;0")&gt;0,), AVERAGEIF($E112:Refsz_Verbräuche[[#This Row],[2024]],"&lt;&gt;"""), ""),IF($B$43=(Refsz_Verbräuche[[#Headers],[2025]]-1),Refsz_Verbräuche[[#This Row],[2024]],IF($B$43&lt;Refsz_Verbräuche[[#Headers],[2025]],Refsz_Verbräuche[[#This Row],[2024]],"")))</f>
        <v/>
      </c>
      <c r="P112" s="124" t="str">
        <f>IF(Refsz_Verbräuche[[#Headers],[2026]]=$B$43,IF(OR(SUMIF($E112:Refsz_Verbräuche[[#This Row],[2025]],"&gt;0")&gt;0,), AVERAGEIF($E112:Refsz_Verbräuche[[#This Row],[2025]],"&lt;&gt;"""), ""),IF($B$43=(Refsz_Verbräuche[[#Headers],[2026]]-1),Refsz_Verbräuche[[#This Row],[2025]],IF($B$43&lt;Refsz_Verbräuche[[#Headers],[2026]],Refsz_Verbräuche[[#This Row],[2025]],"")))</f>
        <v/>
      </c>
      <c r="Q112" s="124" t="str">
        <f>IF(Refsz_Verbräuche[[#Headers],[2027]]=$B$43,IF(OR(SUMIF($E112:Refsz_Verbräuche[[#This Row],[2026]],"&gt;0")&gt;0,), AVERAGEIF($E112:Refsz_Verbräuche[[#This Row],[2026]],"&lt;&gt;"""), ""),IF($B$43=(Refsz_Verbräuche[[#Headers],[2027]]-1),Refsz_Verbräuche[[#This Row],[2026]],IF($B$43&lt;Refsz_Verbräuche[[#Headers],[2027]],Refsz_Verbräuche[[#This Row],[2026]],"")))</f>
        <v/>
      </c>
      <c r="R112" s="124" t="str">
        <f>IF(Refsz_Verbräuche[[#Headers],[2028]]=$B$43,IF(OR(SUMIF($E112:Refsz_Verbräuche[[#This Row],[2027]],"&gt;0")&gt;0,), AVERAGEIF($E112:Refsz_Verbräuche[[#This Row],[2027]],"&lt;&gt;"""), ""),IF($B$43=(Refsz_Verbräuche[[#Headers],[2028]]-1),Refsz_Verbräuche[[#This Row],[2027]],IF($B$43&lt;Refsz_Verbräuche[[#Headers],[2028]],Refsz_Verbräuche[[#This Row],[2027]],"")))</f>
        <v/>
      </c>
      <c r="S112" s="124" t="str">
        <f>IF(Refsz_Verbräuche[[#Headers],[2029]]=$B$43,IF(OR(SUMIF($E112:Refsz_Verbräuche[[#This Row],[2028]],"&gt;0")&gt;0,), AVERAGEIF($E112:Refsz_Verbräuche[[#This Row],[2028]],"&lt;&gt;"""), ""),IF($B$43=(Refsz_Verbräuche[[#Headers],[2029]]-1),Refsz_Verbräuche[[#This Row],[2028]],IF($B$43&lt;Refsz_Verbräuche[[#Headers],[2029]],Refsz_Verbräuche[[#This Row],[2028]],"")))</f>
        <v/>
      </c>
      <c r="T112" s="124" t="str">
        <f>IF(Refsz_Verbräuche[[#Headers],[2030]]=$B$43,IF(OR(SUMIF($E112:Refsz_Verbräuche[[#This Row],[2029]],"&gt;0")&gt;0,), AVERAGEIF($E112:Refsz_Verbräuche[[#This Row],[2029]],"&lt;&gt;"""), ""),IF($B$43=(Refsz_Verbräuche[[#Headers],[2030]]-1),Refsz_Verbräuche[[#This Row],[2029]],IF($B$43&lt;Refsz_Verbräuche[[#Headers],[2030]],Refsz_Verbräuche[[#This Row],[2029]],"")))</f>
        <v/>
      </c>
      <c r="U112" s="124" t="str">
        <f>IF(Refsz_Verbräuche[[#Headers],[2035]]=$B$43,IF(OR(SUMIF($E112:Refsz_Verbräuche[[#This Row],[2030]],"&gt;0")&gt;0,), AVERAGEIF($E112:Refsz_Verbräuche[[#This Row],[2030]],"&lt;&gt;"""), ""),IF($B$43=(Refsz_Verbräuche[[#Headers],[2035]]-1),Refsz_Verbräuche[[#This Row],[2030]],IF($B$43&lt;Refsz_Verbräuche[[#Headers],[2035]],Refsz_Verbräuche[[#This Row],[2030]],"")))</f>
        <v/>
      </c>
      <c r="V112" s="124" t="str">
        <f>IF(Refsz_Verbräuche[[#Headers],[2040]]=$B$43,IF(OR(SUMIF($E112:Refsz_Verbräuche[[#This Row],[2035]],"&gt;0")&gt;0,), AVERAGEIF($E112:Refsz_Verbräuche[[#This Row],[2035]],"&lt;&gt;"""), ""),IF($B$43=(Refsz_Verbräuche[[#Headers],[2040]]-1),Refsz_Verbräuche[[#This Row],[2035]],IF($B$43&lt;Refsz_Verbräuche[[#Headers],[2040]],Refsz_Verbräuche[[#This Row],[2035]],"")))</f>
        <v/>
      </c>
      <c r="W112" s="124" t="str">
        <f>IF(Refsz_Verbräuche[[#Headers],[2045]]=$B$43,IF(OR(SUMIF($E112:Refsz_Verbräuche[[#This Row],[2040]],"&gt;0")&gt;0,), AVERAGEIF($E112:Refsz_Verbräuche[[#This Row],[2040]],"&lt;&gt;"""), ""),IF($B$43=(Refsz_Verbräuche[[#Headers],[2045]]-1),Refsz_Verbräuche[[#This Row],[2040]],IF($B$43&lt;Refsz_Verbräuche[[#Headers],[2045]],Refsz_Verbräuche[[#This Row],[2040]],"")))</f>
        <v/>
      </c>
      <c r="X112" s="124" t="str">
        <f>IF(Refsz_Verbräuche[[#Headers],[2050]]=$B$43,IF(OR(SUMIF($E112:Refsz_Verbräuche[[#This Row],[2045]],"&gt;0")&gt;0,), AVERAGEIF($E112:Refsz_Verbräuche[[#This Row],[2045]],"&lt;&gt;"""), ""),IF($B$43=(Refsz_Verbräuche[[#Headers],[2050]]-1),Refsz_Verbräuche[[#This Row],[2045]],IF($B$43&lt;Refsz_Verbräuche[[#Headers],[2050]],Refsz_Verbräuche[[#This Row],[2045]],"")))</f>
        <v/>
      </c>
      <c r="Z112" s="15"/>
    </row>
    <row r="113" spans="2:26" x14ac:dyDescent="0.35">
      <c r="B113" s="15">
        <v>53</v>
      </c>
      <c r="C113" s="9" t="str">
        <f>_xlfn.CONCAT('Refsz-Verbräuche'!C47," - Fahrrad")</f>
        <v>DR - Fahrrad</v>
      </c>
      <c r="D113" t="s">
        <v>417</v>
      </c>
      <c r="E113" s="124"/>
      <c r="F113" s="124"/>
      <c r="G113" s="124"/>
      <c r="H113" s="124"/>
      <c r="I113" s="124"/>
      <c r="J113" s="124"/>
      <c r="K113" s="124"/>
      <c r="L113" s="124" t="str">
        <f>IF(Refsz_Verbräuche[[#Headers],[2022]]=$B$43,IF(OR(SUMIF($E113:Refsz_Verbräuche[[#This Row],[2021]],"&gt;0")&gt;0,), AVERAGEIF($E113:Refsz_Verbräuche[[#This Row],[2021]],"&lt;&gt;"""), ""),IF($B$43=(Refsz_Verbräuche[[#Headers],[2022]]-1),Refsz_Verbräuche[[#This Row],[2021]],IF($B$43&lt;Refsz_Verbräuche[[#Headers],[2022]],Refsz_Verbräuche[[#This Row],[2021]],"")))</f>
        <v/>
      </c>
      <c r="M113" s="124" t="str">
        <f>IF(Refsz_Verbräuche[[#Headers],[2023]]=$B$43,IF(OR(SUMIF($E113:Refsz_Verbräuche[[#This Row],[2022]],"&gt;0")&gt;0,), AVERAGEIF($E113:Refsz_Verbräuche[[#This Row],[2022]],"&lt;&gt;"""), ""),IF($B$43=(Refsz_Verbräuche[[#Headers],[2023]]-1),Refsz_Verbräuche[[#This Row],[2022]],IF($B$43&lt;Refsz_Verbräuche[[#Headers],[2023]],Refsz_Verbräuche[[#This Row],[2022]],"")))</f>
        <v/>
      </c>
      <c r="N113" s="124" t="str">
        <f>IF(Refsz_Verbräuche[[#Headers],[2024]]=$B$43,IF(OR(SUMIF($E113:Refsz_Verbräuche[[#This Row],[2023]],"&gt;0")&gt;0,), AVERAGEIF($E113:Refsz_Verbräuche[[#This Row],[2023]],"&lt;&gt;"""), ""),IF($B$43=(Refsz_Verbräuche[[#Headers],[2024]]-1),Refsz_Verbräuche[[#This Row],[2023]],IF($B$43&lt;Refsz_Verbräuche[[#Headers],[2024]],Refsz_Verbräuche[[#This Row],[2023]],"")))</f>
        <v/>
      </c>
      <c r="O113" s="124" t="str">
        <f>IF(Refsz_Verbräuche[[#Headers],[2025]]=$B$43,IF(OR(SUMIF($E113:Refsz_Verbräuche[[#This Row],[2024]],"&gt;0")&gt;0,), AVERAGEIF($E113:Refsz_Verbräuche[[#This Row],[2024]],"&lt;&gt;"""), ""),IF($B$43=(Refsz_Verbräuche[[#Headers],[2025]]-1),Refsz_Verbräuche[[#This Row],[2024]],IF($B$43&lt;Refsz_Verbräuche[[#Headers],[2025]],Refsz_Verbräuche[[#This Row],[2024]],"")))</f>
        <v/>
      </c>
      <c r="P113" s="124" t="str">
        <f>IF(Refsz_Verbräuche[[#Headers],[2026]]=$B$43,IF(OR(SUMIF($E113:Refsz_Verbräuche[[#This Row],[2025]],"&gt;0")&gt;0,), AVERAGEIF($E113:Refsz_Verbräuche[[#This Row],[2025]],"&lt;&gt;"""), ""),IF($B$43=(Refsz_Verbräuche[[#Headers],[2026]]-1),Refsz_Verbräuche[[#This Row],[2025]],IF($B$43&lt;Refsz_Verbräuche[[#Headers],[2026]],Refsz_Verbräuche[[#This Row],[2025]],"")))</f>
        <v/>
      </c>
      <c r="Q113" s="124" t="str">
        <f>IF(Refsz_Verbräuche[[#Headers],[2027]]=$B$43,IF(OR(SUMIF($E113:Refsz_Verbräuche[[#This Row],[2026]],"&gt;0")&gt;0,), AVERAGEIF($E113:Refsz_Verbräuche[[#This Row],[2026]],"&lt;&gt;"""), ""),IF($B$43=(Refsz_Verbräuche[[#Headers],[2027]]-1),Refsz_Verbräuche[[#This Row],[2026]],IF($B$43&lt;Refsz_Verbräuche[[#Headers],[2027]],Refsz_Verbräuche[[#This Row],[2026]],"")))</f>
        <v/>
      </c>
      <c r="R113" s="124" t="str">
        <f>IF(Refsz_Verbräuche[[#Headers],[2028]]=$B$43,IF(OR(SUMIF($E113:Refsz_Verbräuche[[#This Row],[2027]],"&gt;0")&gt;0,), AVERAGEIF($E113:Refsz_Verbräuche[[#This Row],[2027]],"&lt;&gt;"""), ""),IF($B$43=(Refsz_Verbräuche[[#Headers],[2028]]-1),Refsz_Verbräuche[[#This Row],[2027]],IF($B$43&lt;Refsz_Verbräuche[[#Headers],[2028]],Refsz_Verbräuche[[#This Row],[2027]],"")))</f>
        <v/>
      </c>
      <c r="S113" s="124" t="str">
        <f>IF(Refsz_Verbräuche[[#Headers],[2029]]=$B$43,IF(OR(SUMIF($E113:Refsz_Verbräuche[[#This Row],[2028]],"&gt;0")&gt;0,), AVERAGEIF($E113:Refsz_Verbräuche[[#This Row],[2028]],"&lt;&gt;"""), ""),IF($B$43=(Refsz_Verbräuche[[#Headers],[2029]]-1),Refsz_Verbräuche[[#This Row],[2028]],IF($B$43&lt;Refsz_Verbräuche[[#Headers],[2029]],Refsz_Verbräuche[[#This Row],[2028]],"")))</f>
        <v/>
      </c>
      <c r="T113" s="124" t="str">
        <f>IF(Refsz_Verbräuche[[#Headers],[2030]]=$B$43,IF(OR(SUMIF($E113:Refsz_Verbräuche[[#This Row],[2029]],"&gt;0")&gt;0,), AVERAGEIF($E113:Refsz_Verbräuche[[#This Row],[2029]],"&lt;&gt;"""), ""),IF($B$43=(Refsz_Verbräuche[[#Headers],[2030]]-1),Refsz_Verbräuche[[#This Row],[2029]],IF($B$43&lt;Refsz_Verbräuche[[#Headers],[2030]],Refsz_Verbräuche[[#This Row],[2029]],"")))</f>
        <v/>
      </c>
      <c r="U113" s="124" t="str">
        <f>IF(Refsz_Verbräuche[[#Headers],[2035]]=$B$43,IF(OR(SUMIF($E113:Refsz_Verbräuche[[#This Row],[2030]],"&gt;0")&gt;0,), AVERAGEIF($E113:Refsz_Verbräuche[[#This Row],[2030]],"&lt;&gt;"""), ""),IF($B$43=(Refsz_Verbräuche[[#Headers],[2035]]-1),Refsz_Verbräuche[[#This Row],[2030]],IF($B$43&lt;Refsz_Verbräuche[[#Headers],[2035]],Refsz_Verbräuche[[#This Row],[2030]],"")))</f>
        <v/>
      </c>
      <c r="V113" s="124" t="str">
        <f>IF(Refsz_Verbräuche[[#Headers],[2040]]=$B$43,IF(OR(SUMIF($E113:Refsz_Verbräuche[[#This Row],[2035]],"&gt;0")&gt;0,), AVERAGEIF($E113:Refsz_Verbräuche[[#This Row],[2035]],"&lt;&gt;"""), ""),IF($B$43=(Refsz_Verbräuche[[#Headers],[2040]]-1),Refsz_Verbräuche[[#This Row],[2035]],IF($B$43&lt;Refsz_Verbräuche[[#Headers],[2040]],Refsz_Verbräuche[[#This Row],[2035]],"")))</f>
        <v/>
      </c>
      <c r="W113" s="124" t="str">
        <f>IF(Refsz_Verbräuche[[#Headers],[2045]]=$B$43,IF(OR(SUMIF($E113:Refsz_Verbräuche[[#This Row],[2040]],"&gt;0")&gt;0,), AVERAGEIF($E113:Refsz_Verbräuche[[#This Row],[2040]],"&lt;&gt;"""), ""),IF($B$43=(Refsz_Verbräuche[[#Headers],[2045]]-1),Refsz_Verbräuche[[#This Row],[2040]],IF($B$43&lt;Refsz_Verbräuche[[#Headers],[2045]],Refsz_Verbräuche[[#This Row],[2040]],"")))</f>
        <v/>
      </c>
      <c r="X113" s="124" t="str">
        <f>IF(Refsz_Verbräuche[[#Headers],[2050]]=$B$43,IF(OR(SUMIF($E113:Refsz_Verbräuche[[#This Row],[2045]],"&gt;0")&gt;0,), AVERAGEIF($E113:Refsz_Verbräuche[[#This Row],[2045]],"&lt;&gt;"""), ""),IF($B$43=(Refsz_Verbräuche[[#Headers],[2050]]-1),Refsz_Verbräuche[[#This Row],[2045]],IF($B$43&lt;Refsz_Verbräuche[[#Headers],[2050]],Refsz_Verbräuche[[#This Row],[2045]],"")))</f>
        <v/>
      </c>
      <c r="Z113" s="15"/>
    </row>
    <row r="114" spans="2:26" x14ac:dyDescent="0.35">
      <c r="B114" s="15">
        <v>54</v>
      </c>
      <c r="C114" s="9"/>
      <c r="E114" s="124"/>
      <c r="F114" s="124"/>
      <c r="G114" s="124"/>
      <c r="H114" s="124"/>
      <c r="I114" s="124"/>
      <c r="J114" s="124"/>
      <c r="K114" s="124"/>
      <c r="L114" s="124" t="str">
        <f>IF(Refsz_Verbräuche[[#Headers],[2022]]=$B$43,IF(OR(SUMIF($E114:Refsz_Verbräuche[[#This Row],[2021]],"&gt;0")&gt;0,), AVERAGEIF($E114:Refsz_Verbräuche[[#This Row],[2021]],"&lt;&gt;"""), ""),IF($B$43=(Refsz_Verbräuche[[#Headers],[2022]]-1),Refsz_Verbräuche[[#This Row],[2021]],IF($B$43&lt;Refsz_Verbräuche[[#Headers],[2022]],Refsz_Verbräuche[[#This Row],[2021]],"")))</f>
        <v/>
      </c>
      <c r="M114" s="124" t="str">
        <f>IF(Refsz_Verbräuche[[#Headers],[2023]]=$B$43,IF(OR(SUMIF($E114:Refsz_Verbräuche[[#This Row],[2022]],"&gt;0")&gt;0,), AVERAGEIF($E114:Refsz_Verbräuche[[#This Row],[2022]],"&lt;&gt;"""), ""),IF($B$43=(Refsz_Verbräuche[[#Headers],[2023]]-1),Refsz_Verbräuche[[#This Row],[2022]],IF($B$43&lt;Refsz_Verbräuche[[#Headers],[2023]],Refsz_Verbräuche[[#This Row],[2022]],"")))</f>
        <v/>
      </c>
      <c r="N114" s="124" t="str">
        <f>IF(Refsz_Verbräuche[[#Headers],[2024]]=$B$43,IF(OR(SUMIF($E114:Refsz_Verbräuche[[#This Row],[2023]],"&gt;0")&gt;0,), AVERAGEIF($E114:Refsz_Verbräuche[[#This Row],[2023]],"&lt;&gt;"""), ""),IF($B$43=(Refsz_Verbräuche[[#Headers],[2024]]-1),Refsz_Verbräuche[[#This Row],[2023]],IF($B$43&lt;Refsz_Verbräuche[[#Headers],[2024]],Refsz_Verbräuche[[#This Row],[2023]],"")))</f>
        <v/>
      </c>
      <c r="O114" s="124" t="str">
        <f>IF(Refsz_Verbräuche[[#Headers],[2025]]=$B$43,IF(OR(SUMIF($E114:Refsz_Verbräuche[[#This Row],[2024]],"&gt;0")&gt;0,), AVERAGEIF($E114:Refsz_Verbräuche[[#This Row],[2024]],"&lt;&gt;"""), ""),IF($B$43=(Refsz_Verbräuche[[#Headers],[2025]]-1),Refsz_Verbräuche[[#This Row],[2024]],IF($B$43&lt;Refsz_Verbräuche[[#Headers],[2025]],Refsz_Verbräuche[[#This Row],[2024]],"")))</f>
        <v/>
      </c>
      <c r="P114" s="124" t="str">
        <f>IF(Refsz_Verbräuche[[#Headers],[2026]]=$B$43,IF(OR(SUMIF($E114:Refsz_Verbräuche[[#This Row],[2025]],"&gt;0")&gt;0,), AVERAGEIF($E114:Refsz_Verbräuche[[#This Row],[2025]],"&lt;&gt;"""), ""),IF($B$43=(Refsz_Verbräuche[[#Headers],[2026]]-1),Refsz_Verbräuche[[#This Row],[2025]],IF($B$43&lt;Refsz_Verbräuche[[#Headers],[2026]],Refsz_Verbräuche[[#This Row],[2025]],"")))</f>
        <v/>
      </c>
      <c r="Q114" s="124" t="str">
        <f>IF(Refsz_Verbräuche[[#Headers],[2027]]=$B$43,IF(OR(SUMIF($E114:Refsz_Verbräuche[[#This Row],[2026]],"&gt;0")&gt;0,), AVERAGEIF($E114:Refsz_Verbräuche[[#This Row],[2026]],"&lt;&gt;"""), ""),IF($B$43=(Refsz_Verbräuche[[#Headers],[2027]]-1),Refsz_Verbräuche[[#This Row],[2026]],IF($B$43&lt;Refsz_Verbräuche[[#Headers],[2027]],Refsz_Verbräuche[[#This Row],[2026]],"")))</f>
        <v/>
      </c>
      <c r="R114" s="124" t="str">
        <f>IF(Refsz_Verbräuche[[#Headers],[2028]]=$B$43,IF(OR(SUMIF($E114:Refsz_Verbräuche[[#This Row],[2027]],"&gt;0")&gt;0,), AVERAGEIF($E114:Refsz_Verbräuche[[#This Row],[2027]],"&lt;&gt;"""), ""),IF($B$43=(Refsz_Verbräuche[[#Headers],[2028]]-1),Refsz_Verbräuche[[#This Row],[2027]],IF($B$43&lt;Refsz_Verbräuche[[#Headers],[2028]],Refsz_Verbräuche[[#This Row],[2027]],"")))</f>
        <v/>
      </c>
      <c r="S114" s="124" t="str">
        <f>IF(Refsz_Verbräuche[[#Headers],[2029]]=$B$43,IF(OR(SUMIF($E114:Refsz_Verbräuche[[#This Row],[2028]],"&gt;0")&gt;0,), AVERAGEIF($E114:Refsz_Verbräuche[[#This Row],[2028]],"&lt;&gt;"""), ""),IF($B$43=(Refsz_Verbräuche[[#Headers],[2029]]-1),Refsz_Verbräuche[[#This Row],[2028]],IF($B$43&lt;Refsz_Verbräuche[[#Headers],[2029]],Refsz_Verbräuche[[#This Row],[2028]],"")))</f>
        <v/>
      </c>
      <c r="T114" s="124" t="str">
        <f>IF(Refsz_Verbräuche[[#Headers],[2030]]=$B$43,IF(OR(SUMIF($E114:Refsz_Verbräuche[[#This Row],[2029]],"&gt;0")&gt;0,), AVERAGEIF($E114:Refsz_Verbräuche[[#This Row],[2029]],"&lt;&gt;"""), ""),IF($B$43=(Refsz_Verbräuche[[#Headers],[2030]]-1),Refsz_Verbräuche[[#This Row],[2029]],IF($B$43&lt;Refsz_Verbräuche[[#Headers],[2030]],Refsz_Verbräuche[[#This Row],[2029]],"")))</f>
        <v/>
      </c>
      <c r="U114" s="124" t="str">
        <f>IF(Refsz_Verbräuche[[#Headers],[2035]]=$B$43,IF(OR(SUMIF($E114:Refsz_Verbräuche[[#This Row],[2030]],"&gt;0")&gt;0,), AVERAGEIF($E114:Refsz_Verbräuche[[#This Row],[2030]],"&lt;&gt;"""), ""),IF($B$43=(Refsz_Verbräuche[[#Headers],[2035]]-1),Refsz_Verbräuche[[#This Row],[2030]],IF($B$43&lt;Refsz_Verbräuche[[#Headers],[2035]],Refsz_Verbräuche[[#This Row],[2030]],"")))</f>
        <v/>
      </c>
      <c r="V114" s="124" t="str">
        <f>IF(Refsz_Verbräuche[[#Headers],[2040]]=$B$43,IF(OR(SUMIF($E114:Refsz_Verbräuche[[#This Row],[2035]],"&gt;0")&gt;0,), AVERAGEIF($E114:Refsz_Verbräuche[[#This Row],[2035]],"&lt;&gt;"""), ""),IF($B$43=(Refsz_Verbräuche[[#Headers],[2040]]-1),Refsz_Verbräuche[[#This Row],[2035]],IF($B$43&lt;Refsz_Verbräuche[[#Headers],[2040]],Refsz_Verbräuche[[#This Row],[2035]],"")))</f>
        <v/>
      </c>
      <c r="W114" s="124" t="str">
        <f>IF(Refsz_Verbräuche[[#Headers],[2045]]=$B$43,IF(OR(SUMIF($E114:Refsz_Verbräuche[[#This Row],[2040]],"&gt;0")&gt;0,), AVERAGEIF($E114:Refsz_Verbräuche[[#This Row],[2040]],"&lt;&gt;"""), ""),IF($B$43=(Refsz_Verbräuche[[#Headers],[2045]]-1),Refsz_Verbräuche[[#This Row],[2040]],IF($B$43&lt;Refsz_Verbräuche[[#Headers],[2045]],Refsz_Verbräuche[[#This Row],[2040]],"")))</f>
        <v/>
      </c>
      <c r="X114" s="124" t="str">
        <f>IF(Refsz_Verbräuche[[#Headers],[2050]]=$B$43,IF(OR(SUMIF($E114:Refsz_Verbräuche[[#This Row],[2045]],"&gt;0")&gt;0,), AVERAGEIF($E114:Refsz_Verbräuche[[#This Row],[2045]],"&lt;&gt;"""), ""),IF($B$43=(Refsz_Verbräuche[[#Headers],[2050]]-1),Refsz_Verbräuche[[#This Row],[2045]],IF($B$43&lt;Refsz_Verbräuche[[#Headers],[2050]],Refsz_Verbräuche[[#This Row],[2045]],"")))</f>
        <v/>
      </c>
      <c r="Z114" s="15"/>
    </row>
    <row r="115" spans="2:26" x14ac:dyDescent="0.35">
      <c r="B115" s="15">
        <v>55</v>
      </c>
      <c r="C115" s="9" t="str">
        <f>_xlfn.CONCAT('Refsz-Verbräuche'!C48, " - Flugreisen")</f>
        <v>Studierendenreisen (Outgoing) - Flugreisen</v>
      </c>
      <c r="D115" t="s">
        <v>47</v>
      </c>
      <c r="E115" s="124"/>
      <c r="F115" s="124"/>
      <c r="G115" s="124"/>
      <c r="H115" s="124"/>
      <c r="I115" s="124"/>
      <c r="J115" s="124"/>
      <c r="K115" s="124"/>
      <c r="L115" s="124" t="str">
        <f>IF(Refsz_Verbräuche[[#Headers],[2022]]=$B$43,IF(OR(SUMIF($E115:Refsz_Verbräuche[[#This Row],[2021]],"&gt;0")&gt;0,), AVERAGEIF($E115:Refsz_Verbräuche[[#This Row],[2021]],"&lt;&gt;"""), ""),IF($B$43=(Refsz_Verbräuche[[#Headers],[2022]]-1),Refsz_Verbräuche[[#This Row],[2021]],IF($B$43&lt;Refsz_Verbräuche[[#Headers],[2022]],Refsz_Verbräuche[[#This Row],[2021]],"")))</f>
        <v/>
      </c>
      <c r="M115" s="124" t="str">
        <f>IF(Refsz_Verbräuche[[#Headers],[2023]]=$B$43,IF(OR(SUMIF($E115:Refsz_Verbräuche[[#This Row],[2022]],"&gt;0")&gt;0,), AVERAGEIF($E115:Refsz_Verbräuche[[#This Row],[2022]],"&lt;&gt;"""), ""),IF($B$43=(Refsz_Verbräuche[[#Headers],[2023]]-1),Refsz_Verbräuche[[#This Row],[2022]],IF($B$43&lt;Refsz_Verbräuche[[#Headers],[2023]],Refsz_Verbräuche[[#This Row],[2022]],"")))</f>
        <v/>
      </c>
      <c r="N115" s="124" t="str">
        <f>IF(Refsz_Verbräuche[[#Headers],[2024]]=$B$43,IF(OR(SUMIF($E115:Refsz_Verbräuche[[#This Row],[2023]],"&gt;0")&gt;0,), AVERAGEIF($E115:Refsz_Verbräuche[[#This Row],[2023]],"&lt;&gt;"""), ""),IF($B$43=(Refsz_Verbräuche[[#Headers],[2024]]-1),Refsz_Verbräuche[[#This Row],[2023]],IF($B$43&lt;Refsz_Verbräuche[[#Headers],[2024]],Refsz_Verbräuche[[#This Row],[2023]],"")))</f>
        <v/>
      </c>
      <c r="O115" s="124" t="str">
        <f>IF(Refsz_Verbräuche[[#Headers],[2025]]=$B$43,IF(OR(SUMIF($E115:Refsz_Verbräuche[[#This Row],[2024]],"&gt;0")&gt;0,), AVERAGEIF($E115:Refsz_Verbräuche[[#This Row],[2024]],"&lt;&gt;"""), ""),IF($B$43=(Refsz_Verbräuche[[#Headers],[2025]]-1),Refsz_Verbräuche[[#This Row],[2024]],IF($B$43&lt;Refsz_Verbräuche[[#Headers],[2025]],Refsz_Verbräuche[[#This Row],[2024]],"")))</f>
        <v/>
      </c>
      <c r="P115" s="124" t="str">
        <f>IF(Refsz_Verbräuche[[#Headers],[2026]]=$B$43,IF(OR(SUMIF($E115:Refsz_Verbräuche[[#This Row],[2025]],"&gt;0")&gt;0,), AVERAGEIF($E115:Refsz_Verbräuche[[#This Row],[2025]],"&lt;&gt;"""), ""),IF($B$43=(Refsz_Verbräuche[[#Headers],[2026]]-1),Refsz_Verbräuche[[#This Row],[2025]],IF($B$43&lt;Refsz_Verbräuche[[#Headers],[2026]],Refsz_Verbräuche[[#This Row],[2025]],"")))</f>
        <v/>
      </c>
      <c r="Q115" s="124" t="str">
        <f>IF(Refsz_Verbräuche[[#Headers],[2027]]=$B$43,IF(OR(SUMIF($E115:Refsz_Verbräuche[[#This Row],[2026]],"&gt;0")&gt;0,), AVERAGEIF($E115:Refsz_Verbräuche[[#This Row],[2026]],"&lt;&gt;"""), ""),IF($B$43=(Refsz_Verbräuche[[#Headers],[2027]]-1),Refsz_Verbräuche[[#This Row],[2026]],IF($B$43&lt;Refsz_Verbräuche[[#Headers],[2027]],Refsz_Verbräuche[[#This Row],[2026]],"")))</f>
        <v/>
      </c>
      <c r="R115" s="124" t="str">
        <f>IF(Refsz_Verbräuche[[#Headers],[2028]]=$B$43,IF(OR(SUMIF($E115:Refsz_Verbräuche[[#This Row],[2027]],"&gt;0")&gt;0,), AVERAGEIF($E115:Refsz_Verbräuche[[#This Row],[2027]],"&lt;&gt;"""), ""),IF($B$43=(Refsz_Verbräuche[[#Headers],[2028]]-1),Refsz_Verbräuche[[#This Row],[2027]],IF($B$43&lt;Refsz_Verbräuche[[#Headers],[2028]],Refsz_Verbräuche[[#This Row],[2027]],"")))</f>
        <v/>
      </c>
      <c r="S115" s="124" t="str">
        <f>IF(Refsz_Verbräuche[[#Headers],[2029]]=$B$43,IF(OR(SUMIF($E115:Refsz_Verbräuche[[#This Row],[2028]],"&gt;0")&gt;0,), AVERAGEIF($E115:Refsz_Verbräuche[[#This Row],[2028]],"&lt;&gt;"""), ""),IF($B$43=(Refsz_Verbräuche[[#Headers],[2029]]-1),Refsz_Verbräuche[[#This Row],[2028]],IF($B$43&lt;Refsz_Verbräuche[[#Headers],[2029]],Refsz_Verbräuche[[#This Row],[2028]],"")))</f>
        <v/>
      </c>
      <c r="T115" s="124" t="str">
        <f>IF(Refsz_Verbräuche[[#Headers],[2030]]=$B$43,IF(OR(SUMIF($E115:Refsz_Verbräuche[[#This Row],[2029]],"&gt;0")&gt;0,), AVERAGEIF($E115:Refsz_Verbräuche[[#This Row],[2029]],"&lt;&gt;"""), ""),IF($B$43=(Refsz_Verbräuche[[#Headers],[2030]]-1),Refsz_Verbräuche[[#This Row],[2029]],IF($B$43&lt;Refsz_Verbräuche[[#Headers],[2030]],Refsz_Verbräuche[[#This Row],[2029]],"")))</f>
        <v/>
      </c>
      <c r="U115" s="124" t="str">
        <f>IF(Refsz_Verbräuche[[#Headers],[2035]]=$B$43,IF(OR(SUMIF($E115:Refsz_Verbräuche[[#This Row],[2030]],"&gt;0")&gt;0,), AVERAGEIF($E115:Refsz_Verbräuche[[#This Row],[2030]],"&lt;&gt;"""), ""),IF($B$43=(Refsz_Verbräuche[[#Headers],[2035]]-1),Refsz_Verbräuche[[#This Row],[2030]],IF($B$43&lt;Refsz_Verbräuche[[#Headers],[2035]],Refsz_Verbräuche[[#This Row],[2030]],"")))</f>
        <v/>
      </c>
      <c r="V115" s="124" t="str">
        <f>IF(Refsz_Verbräuche[[#Headers],[2040]]=$B$43,IF(OR(SUMIF($E115:Refsz_Verbräuche[[#This Row],[2035]],"&gt;0")&gt;0,), AVERAGEIF($E115:Refsz_Verbräuche[[#This Row],[2035]],"&lt;&gt;"""), ""),IF($B$43=(Refsz_Verbräuche[[#Headers],[2040]]-1),Refsz_Verbräuche[[#This Row],[2035]],IF($B$43&lt;Refsz_Verbräuche[[#Headers],[2040]],Refsz_Verbräuche[[#This Row],[2035]],"")))</f>
        <v/>
      </c>
      <c r="W115" s="124" t="str">
        <f>IF(Refsz_Verbräuche[[#Headers],[2045]]=$B$43,IF(OR(SUMIF($E115:Refsz_Verbräuche[[#This Row],[2040]],"&gt;0")&gt;0,), AVERAGEIF($E115:Refsz_Verbräuche[[#This Row],[2040]],"&lt;&gt;"""), ""),IF($B$43=(Refsz_Verbräuche[[#Headers],[2045]]-1),Refsz_Verbräuche[[#This Row],[2040]],IF($B$43&lt;Refsz_Verbräuche[[#Headers],[2045]],Refsz_Verbräuche[[#This Row],[2040]],"")))</f>
        <v/>
      </c>
      <c r="X115" s="124" t="str">
        <f>IF(Refsz_Verbräuche[[#Headers],[2050]]=$B$43,IF(OR(SUMIF($E115:Refsz_Verbräuche[[#This Row],[2045]],"&gt;0")&gt;0,), AVERAGEIF($E115:Refsz_Verbräuche[[#This Row],[2045]],"&lt;&gt;"""), ""),IF($B$43=(Refsz_Verbräuche[[#Headers],[2050]]-1),Refsz_Verbräuche[[#This Row],[2045]],IF($B$43&lt;Refsz_Verbräuche[[#Headers],[2050]],Refsz_Verbräuche[[#This Row],[2045]],"")))</f>
        <v/>
      </c>
      <c r="Z115" s="15"/>
    </row>
    <row r="116" spans="2:26" x14ac:dyDescent="0.35">
      <c r="B116" s="15">
        <v>56</v>
      </c>
      <c r="C116" s="9" t="str">
        <f>_xlfn.CONCAT('Refsz-Verbräuche'!C48," - Eisenbahn (Nahverkehr)")</f>
        <v>Studierendenreisen (Outgoing) - Eisenbahn (Nahverkehr)</v>
      </c>
      <c r="D116" t="s">
        <v>47</v>
      </c>
      <c r="E116" s="124"/>
      <c r="F116" s="124"/>
      <c r="G116" s="124"/>
      <c r="H116" s="124"/>
      <c r="I116" s="124"/>
      <c r="J116" s="124"/>
      <c r="K116" s="124"/>
      <c r="L116" s="124" t="str">
        <f>IF(Refsz_Verbräuche[[#Headers],[2022]]=$B$43,IF(OR(SUMIF($E116:Refsz_Verbräuche[[#This Row],[2021]],"&gt;0")&gt;0,), AVERAGEIF($E116:Refsz_Verbräuche[[#This Row],[2021]],"&lt;&gt;"""), ""),IF($B$43=(Refsz_Verbräuche[[#Headers],[2022]]-1),Refsz_Verbräuche[[#This Row],[2021]],IF($B$43&lt;Refsz_Verbräuche[[#Headers],[2022]],Refsz_Verbräuche[[#This Row],[2021]],"")))</f>
        <v/>
      </c>
      <c r="M116" s="124" t="str">
        <f>IF(Refsz_Verbräuche[[#Headers],[2023]]=$B$43,IF(OR(SUMIF($E116:Refsz_Verbräuche[[#This Row],[2022]],"&gt;0")&gt;0,), AVERAGEIF($E116:Refsz_Verbräuche[[#This Row],[2022]],"&lt;&gt;"""), ""),IF($B$43=(Refsz_Verbräuche[[#Headers],[2023]]-1),Refsz_Verbräuche[[#This Row],[2022]],IF($B$43&lt;Refsz_Verbräuche[[#Headers],[2023]],Refsz_Verbräuche[[#This Row],[2022]],"")))</f>
        <v/>
      </c>
      <c r="N116" s="124" t="str">
        <f>IF(Refsz_Verbräuche[[#Headers],[2024]]=$B$43,IF(OR(SUMIF($E116:Refsz_Verbräuche[[#This Row],[2023]],"&gt;0")&gt;0,), AVERAGEIF($E116:Refsz_Verbräuche[[#This Row],[2023]],"&lt;&gt;"""), ""),IF($B$43=(Refsz_Verbräuche[[#Headers],[2024]]-1),Refsz_Verbräuche[[#This Row],[2023]],IF($B$43&lt;Refsz_Verbräuche[[#Headers],[2024]],Refsz_Verbräuche[[#This Row],[2023]],"")))</f>
        <v/>
      </c>
      <c r="O116" s="124" t="str">
        <f>IF(Refsz_Verbräuche[[#Headers],[2025]]=$B$43,IF(OR(SUMIF($E116:Refsz_Verbräuche[[#This Row],[2024]],"&gt;0")&gt;0,), AVERAGEIF($E116:Refsz_Verbräuche[[#This Row],[2024]],"&lt;&gt;"""), ""),IF($B$43=(Refsz_Verbräuche[[#Headers],[2025]]-1),Refsz_Verbräuche[[#This Row],[2024]],IF($B$43&lt;Refsz_Verbräuche[[#Headers],[2025]],Refsz_Verbräuche[[#This Row],[2024]],"")))</f>
        <v/>
      </c>
      <c r="P116" s="124" t="str">
        <f>IF(Refsz_Verbräuche[[#Headers],[2026]]=$B$43,IF(OR(SUMIF($E116:Refsz_Verbräuche[[#This Row],[2025]],"&gt;0")&gt;0,), AVERAGEIF($E116:Refsz_Verbräuche[[#This Row],[2025]],"&lt;&gt;"""), ""),IF($B$43=(Refsz_Verbräuche[[#Headers],[2026]]-1),Refsz_Verbräuche[[#This Row],[2025]],IF($B$43&lt;Refsz_Verbräuche[[#Headers],[2026]],Refsz_Verbräuche[[#This Row],[2025]],"")))</f>
        <v/>
      </c>
      <c r="Q116" s="124" t="str">
        <f>IF(Refsz_Verbräuche[[#Headers],[2027]]=$B$43,IF(OR(SUMIF($E116:Refsz_Verbräuche[[#This Row],[2026]],"&gt;0")&gt;0,), AVERAGEIF($E116:Refsz_Verbräuche[[#This Row],[2026]],"&lt;&gt;"""), ""),IF($B$43=(Refsz_Verbräuche[[#Headers],[2027]]-1),Refsz_Verbräuche[[#This Row],[2026]],IF($B$43&lt;Refsz_Verbräuche[[#Headers],[2027]],Refsz_Verbräuche[[#This Row],[2026]],"")))</f>
        <v/>
      </c>
      <c r="R116" s="124" t="str">
        <f>IF(Refsz_Verbräuche[[#Headers],[2028]]=$B$43,IF(OR(SUMIF($E116:Refsz_Verbräuche[[#This Row],[2027]],"&gt;0")&gt;0,), AVERAGEIF($E116:Refsz_Verbräuche[[#This Row],[2027]],"&lt;&gt;"""), ""),IF($B$43=(Refsz_Verbräuche[[#Headers],[2028]]-1),Refsz_Verbräuche[[#This Row],[2027]],IF($B$43&lt;Refsz_Verbräuche[[#Headers],[2028]],Refsz_Verbräuche[[#This Row],[2027]],"")))</f>
        <v/>
      </c>
      <c r="S116" s="124" t="str">
        <f>IF(Refsz_Verbräuche[[#Headers],[2029]]=$B$43,IF(OR(SUMIF($E116:Refsz_Verbräuche[[#This Row],[2028]],"&gt;0")&gt;0,), AVERAGEIF($E116:Refsz_Verbräuche[[#This Row],[2028]],"&lt;&gt;"""), ""),IF($B$43=(Refsz_Verbräuche[[#Headers],[2029]]-1),Refsz_Verbräuche[[#This Row],[2028]],IF($B$43&lt;Refsz_Verbräuche[[#Headers],[2029]],Refsz_Verbräuche[[#This Row],[2028]],"")))</f>
        <v/>
      </c>
      <c r="T116" s="124" t="str">
        <f>IF(Refsz_Verbräuche[[#Headers],[2030]]=$B$43,IF(OR(SUMIF($E116:Refsz_Verbräuche[[#This Row],[2029]],"&gt;0")&gt;0,), AVERAGEIF($E116:Refsz_Verbräuche[[#This Row],[2029]],"&lt;&gt;"""), ""),IF($B$43=(Refsz_Verbräuche[[#Headers],[2030]]-1),Refsz_Verbräuche[[#This Row],[2029]],IF($B$43&lt;Refsz_Verbräuche[[#Headers],[2030]],Refsz_Verbräuche[[#This Row],[2029]],"")))</f>
        <v/>
      </c>
      <c r="U116" s="124" t="str">
        <f>IF(Refsz_Verbräuche[[#Headers],[2035]]=$B$43,IF(OR(SUMIF($E116:Refsz_Verbräuche[[#This Row],[2030]],"&gt;0")&gt;0,), AVERAGEIF($E116:Refsz_Verbräuche[[#This Row],[2030]],"&lt;&gt;"""), ""),IF($B$43=(Refsz_Verbräuche[[#Headers],[2035]]-1),Refsz_Verbräuche[[#This Row],[2030]],IF($B$43&lt;Refsz_Verbräuche[[#Headers],[2035]],Refsz_Verbräuche[[#This Row],[2030]],"")))</f>
        <v/>
      </c>
      <c r="V116" s="124" t="str">
        <f>IF(Refsz_Verbräuche[[#Headers],[2040]]=$B$43,IF(OR(SUMIF($E116:Refsz_Verbräuche[[#This Row],[2035]],"&gt;0")&gt;0,), AVERAGEIF($E116:Refsz_Verbräuche[[#This Row],[2035]],"&lt;&gt;"""), ""),IF($B$43=(Refsz_Verbräuche[[#Headers],[2040]]-1),Refsz_Verbräuche[[#This Row],[2035]],IF($B$43&lt;Refsz_Verbräuche[[#Headers],[2040]],Refsz_Verbräuche[[#This Row],[2035]],"")))</f>
        <v/>
      </c>
      <c r="W116" s="124" t="str">
        <f>IF(Refsz_Verbräuche[[#Headers],[2045]]=$B$43,IF(OR(SUMIF($E116:Refsz_Verbräuche[[#This Row],[2040]],"&gt;0")&gt;0,), AVERAGEIF($E116:Refsz_Verbräuche[[#This Row],[2040]],"&lt;&gt;"""), ""),IF($B$43=(Refsz_Verbräuche[[#Headers],[2045]]-1),Refsz_Verbräuche[[#This Row],[2040]],IF($B$43&lt;Refsz_Verbräuche[[#Headers],[2045]],Refsz_Verbräuche[[#This Row],[2040]],"")))</f>
        <v/>
      </c>
      <c r="X116" s="124" t="str">
        <f>IF(Refsz_Verbräuche[[#Headers],[2050]]=$B$43,IF(OR(SUMIF($E116:Refsz_Verbräuche[[#This Row],[2045]],"&gt;0")&gt;0,), AVERAGEIF($E116:Refsz_Verbräuche[[#This Row],[2045]],"&lt;&gt;"""), ""),IF($B$43=(Refsz_Verbräuche[[#Headers],[2050]]-1),Refsz_Verbräuche[[#This Row],[2045]],IF($B$43&lt;Refsz_Verbräuche[[#Headers],[2050]],Refsz_Verbräuche[[#This Row],[2045]],"")))</f>
        <v/>
      </c>
      <c r="Z116" s="15"/>
    </row>
    <row r="117" spans="2:26" x14ac:dyDescent="0.35">
      <c r="B117" s="15">
        <v>57</v>
      </c>
      <c r="C117" s="9" t="str">
        <f>_xlfn.CONCAT('Refsz-Verbräuche'!C48," - Privater PKW (alle Antriebsarten)")</f>
        <v>Studierendenreisen (Outgoing) - Privater PKW (alle Antriebsarten)</v>
      </c>
      <c r="D117" t="s">
        <v>417</v>
      </c>
      <c r="E117" s="124"/>
      <c r="F117" s="124"/>
      <c r="G117" s="124"/>
      <c r="H117" s="124"/>
      <c r="I117" s="124"/>
      <c r="J117" s="124"/>
      <c r="K117" s="124"/>
      <c r="L117" s="124" t="str">
        <f>IF(Refsz_Verbräuche[[#Headers],[2022]]=$B$43,IF(OR(SUMIF($E117:Refsz_Verbräuche[[#This Row],[2021]],"&gt;0")&gt;0,), AVERAGEIF($E117:Refsz_Verbräuche[[#This Row],[2021]],"&lt;&gt;"""), ""),IF($B$43=(Refsz_Verbräuche[[#Headers],[2022]]-1),Refsz_Verbräuche[[#This Row],[2021]],IF($B$43&lt;Refsz_Verbräuche[[#Headers],[2022]],Refsz_Verbräuche[[#This Row],[2021]],"")))</f>
        <v/>
      </c>
      <c r="M117" s="124" t="str">
        <f>IF(Refsz_Verbräuche[[#Headers],[2023]]=$B$43,IF(OR(SUMIF($E117:Refsz_Verbräuche[[#This Row],[2022]],"&gt;0")&gt;0,), AVERAGEIF($E117:Refsz_Verbräuche[[#This Row],[2022]],"&lt;&gt;"""), ""),IF($B$43=(Refsz_Verbräuche[[#Headers],[2023]]-1),Refsz_Verbräuche[[#This Row],[2022]],IF($B$43&lt;Refsz_Verbräuche[[#Headers],[2023]],Refsz_Verbräuche[[#This Row],[2022]],"")))</f>
        <v/>
      </c>
      <c r="N117" s="124" t="str">
        <f>IF(Refsz_Verbräuche[[#Headers],[2024]]=$B$43,IF(OR(SUMIF($E117:Refsz_Verbräuche[[#This Row],[2023]],"&gt;0")&gt;0,), AVERAGEIF($E117:Refsz_Verbräuche[[#This Row],[2023]],"&lt;&gt;"""), ""),IF($B$43=(Refsz_Verbräuche[[#Headers],[2024]]-1),Refsz_Verbräuche[[#This Row],[2023]],IF($B$43&lt;Refsz_Verbräuche[[#Headers],[2024]],Refsz_Verbräuche[[#This Row],[2023]],"")))</f>
        <v/>
      </c>
      <c r="O117" s="124" t="str">
        <f>IF(Refsz_Verbräuche[[#Headers],[2025]]=$B$43,IF(OR(SUMIF($E117:Refsz_Verbräuche[[#This Row],[2024]],"&gt;0")&gt;0,), AVERAGEIF($E117:Refsz_Verbräuche[[#This Row],[2024]],"&lt;&gt;"""), ""),IF($B$43=(Refsz_Verbräuche[[#Headers],[2025]]-1),Refsz_Verbräuche[[#This Row],[2024]],IF($B$43&lt;Refsz_Verbräuche[[#Headers],[2025]],Refsz_Verbräuche[[#This Row],[2024]],"")))</f>
        <v/>
      </c>
      <c r="P117" s="124" t="str">
        <f>IF(Refsz_Verbräuche[[#Headers],[2026]]=$B$43,IF(OR(SUMIF($E117:Refsz_Verbräuche[[#This Row],[2025]],"&gt;0")&gt;0,), AVERAGEIF($E117:Refsz_Verbräuche[[#This Row],[2025]],"&lt;&gt;"""), ""),IF($B$43=(Refsz_Verbräuche[[#Headers],[2026]]-1),Refsz_Verbräuche[[#This Row],[2025]],IF($B$43&lt;Refsz_Verbräuche[[#Headers],[2026]],Refsz_Verbräuche[[#This Row],[2025]],"")))</f>
        <v/>
      </c>
      <c r="Q117" s="124" t="str">
        <f>IF(Refsz_Verbräuche[[#Headers],[2027]]=$B$43,IF(OR(SUMIF($E117:Refsz_Verbräuche[[#This Row],[2026]],"&gt;0")&gt;0,), AVERAGEIF($E117:Refsz_Verbräuche[[#This Row],[2026]],"&lt;&gt;"""), ""),IF($B$43=(Refsz_Verbräuche[[#Headers],[2027]]-1),Refsz_Verbräuche[[#This Row],[2026]],IF($B$43&lt;Refsz_Verbräuche[[#Headers],[2027]],Refsz_Verbräuche[[#This Row],[2026]],"")))</f>
        <v/>
      </c>
      <c r="R117" s="124" t="str">
        <f>IF(Refsz_Verbräuche[[#Headers],[2028]]=$B$43,IF(OR(SUMIF($E117:Refsz_Verbräuche[[#This Row],[2027]],"&gt;0")&gt;0,), AVERAGEIF($E117:Refsz_Verbräuche[[#This Row],[2027]],"&lt;&gt;"""), ""),IF($B$43=(Refsz_Verbräuche[[#Headers],[2028]]-1),Refsz_Verbräuche[[#This Row],[2027]],IF($B$43&lt;Refsz_Verbräuche[[#Headers],[2028]],Refsz_Verbräuche[[#This Row],[2027]],"")))</f>
        <v/>
      </c>
      <c r="S117" s="124" t="str">
        <f>IF(Refsz_Verbräuche[[#Headers],[2029]]=$B$43,IF(OR(SUMIF($E117:Refsz_Verbräuche[[#This Row],[2028]],"&gt;0")&gt;0,), AVERAGEIF($E117:Refsz_Verbräuche[[#This Row],[2028]],"&lt;&gt;"""), ""),IF($B$43=(Refsz_Verbräuche[[#Headers],[2029]]-1),Refsz_Verbräuche[[#This Row],[2028]],IF($B$43&lt;Refsz_Verbräuche[[#Headers],[2029]],Refsz_Verbräuche[[#This Row],[2028]],"")))</f>
        <v/>
      </c>
      <c r="T117" s="124" t="str">
        <f>IF(Refsz_Verbräuche[[#Headers],[2030]]=$B$43,IF(OR(SUMIF($E117:Refsz_Verbräuche[[#This Row],[2029]],"&gt;0")&gt;0,), AVERAGEIF($E117:Refsz_Verbräuche[[#This Row],[2029]],"&lt;&gt;"""), ""),IF($B$43=(Refsz_Verbräuche[[#Headers],[2030]]-1),Refsz_Verbräuche[[#This Row],[2029]],IF($B$43&lt;Refsz_Verbräuche[[#Headers],[2030]],Refsz_Verbräuche[[#This Row],[2029]],"")))</f>
        <v/>
      </c>
      <c r="U117" s="124" t="str">
        <f>IF(Refsz_Verbräuche[[#Headers],[2035]]=$B$43,IF(OR(SUMIF($E117:Refsz_Verbräuche[[#This Row],[2030]],"&gt;0")&gt;0,), AVERAGEIF($E117:Refsz_Verbräuche[[#This Row],[2030]],"&lt;&gt;"""), ""),IF($B$43=(Refsz_Verbräuche[[#Headers],[2035]]-1),Refsz_Verbräuche[[#This Row],[2030]],IF($B$43&lt;Refsz_Verbräuche[[#Headers],[2035]],Refsz_Verbräuche[[#This Row],[2030]],"")))</f>
        <v/>
      </c>
      <c r="V117" s="124" t="str">
        <f>IF(Refsz_Verbräuche[[#Headers],[2040]]=$B$43,IF(OR(SUMIF($E117:Refsz_Verbräuche[[#This Row],[2035]],"&gt;0")&gt;0,), AVERAGEIF($E117:Refsz_Verbräuche[[#This Row],[2035]],"&lt;&gt;"""), ""),IF($B$43=(Refsz_Verbräuche[[#Headers],[2040]]-1),Refsz_Verbräuche[[#This Row],[2035]],IF($B$43&lt;Refsz_Verbräuche[[#Headers],[2040]],Refsz_Verbräuche[[#This Row],[2035]],"")))</f>
        <v/>
      </c>
      <c r="W117" s="124" t="str">
        <f>IF(Refsz_Verbräuche[[#Headers],[2045]]=$B$43,IF(OR(SUMIF($E117:Refsz_Verbräuche[[#This Row],[2040]],"&gt;0")&gt;0,), AVERAGEIF($E117:Refsz_Verbräuche[[#This Row],[2040]],"&lt;&gt;"""), ""),IF($B$43=(Refsz_Verbräuche[[#Headers],[2045]]-1),Refsz_Verbräuche[[#This Row],[2040]],IF($B$43&lt;Refsz_Verbräuche[[#Headers],[2045]],Refsz_Verbräuche[[#This Row],[2040]],"")))</f>
        <v/>
      </c>
      <c r="X117" s="124" t="str">
        <f>IF(Refsz_Verbräuche[[#Headers],[2050]]=$B$43,IF(OR(SUMIF($E117:Refsz_Verbräuche[[#This Row],[2045]],"&gt;0")&gt;0,), AVERAGEIF($E117:Refsz_Verbräuche[[#This Row],[2045]],"&lt;&gt;"""), ""),IF($B$43=(Refsz_Verbräuche[[#Headers],[2050]]-1),Refsz_Verbräuche[[#This Row],[2045]],IF($B$43&lt;Refsz_Verbräuche[[#Headers],[2050]],Refsz_Verbräuche[[#This Row],[2045]],"")))</f>
        <v/>
      </c>
      <c r="Z117" s="15"/>
    </row>
    <row r="118" spans="2:26" x14ac:dyDescent="0.35">
      <c r="B118" s="15">
        <v>58</v>
      </c>
      <c r="C118" s="9"/>
      <c r="E118" s="124"/>
      <c r="F118" s="124"/>
      <c r="G118" s="124"/>
      <c r="H118" s="124"/>
      <c r="I118" s="124"/>
      <c r="J118" s="124"/>
      <c r="K118" s="124"/>
      <c r="L118" s="124" t="str">
        <f>IF(Refsz_Verbräuche[[#Headers],[2022]]=$B$43,IF(OR(SUMIF($E118:Refsz_Verbräuche[[#This Row],[2021]],"&gt;0")&gt;0,), AVERAGEIF($E118:Refsz_Verbräuche[[#This Row],[2021]],"&lt;&gt;"""), ""),IF($B$43=(Refsz_Verbräuche[[#Headers],[2022]]-1),Refsz_Verbräuche[[#This Row],[2021]],IF($B$43&lt;Refsz_Verbräuche[[#Headers],[2022]],Refsz_Verbräuche[[#This Row],[2021]],"")))</f>
        <v/>
      </c>
      <c r="M118" s="124" t="str">
        <f>IF(Refsz_Verbräuche[[#Headers],[2023]]=$B$43,IF(OR(SUMIF($E118:Refsz_Verbräuche[[#This Row],[2022]],"&gt;0")&gt;0,), AVERAGEIF($E118:Refsz_Verbräuche[[#This Row],[2022]],"&lt;&gt;"""), ""),IF($B$43=(Refsz_Verbräuche[[#Headers],[2023]]-1),Refsz_Verbräuche[[#This Row],[2022]],IF($B$43&lt;Refsz_Verbräuche[[#Headers],[2023]],Refsz_Verbräuche[[#This Row],[2022]],"")))</f>
        <v/>
      </c>
      <c r="N118" s="124" t="str">
        <f>IF(Refsz_Verbräuche[[#Headers],[2024]]=$B$43,IF(OR(SUMIF($E118:Refsz_Verbräuche[[#This Row],[2023]],"&gt;0")&gt;0,), AVERAGEIF($E118:Refsz_Verbräuche[[#This Row],[2023]],"&lt;&gt;"""), ""),IF($B$43=(Refsz_Verbräuche[[#Headers],[2024]]-1),Refsz_Verbräuche[[#This Row],[2023]],IF($B$43&lt;Refsz_Verbräuche[[#Headers],[2024]],Refsz_Verbräuche[[#This Row],[2023]],"")))</f>
        <v/>
      </c>
      <c r="O118" s="124" t="str">
        <f>IF(Refsz_Verbräuche[[#Headers],[2025]]=$B$43,IF(OR(SUMIF($E118:Refsz_Verbräuche[[#This Row],[2024]],"&gt;0")&gt;0,), AVERAGEIF($E118:Refsz_Verbräuche[[#This Row],[2024]],"&lt;&gt;"""), ""),IF($B$43=(Refsz_Verbräuche[[#Headers],[2025]]-1),Refsz_Verbräuche[[#This Row],[2024]],IF($B$43&lt;Refsz_Verbräuche[[#Headers],[2025]],Refsz_Verbräuche[[#This Row],[2024]],"")))</f>
        <v/>
      </c>
      <c r="P118" s="124" t="str">
        <f>IF(Refsz_Verbräuche[[#Headers],[2026]]=$B$43,IF(OR(SUMIF($E118:Refsz_Verbräuche[[#This Row],[2025]],"&gt;0")&gt;0,), AVERAGEIF($E118:Refsz_Verbräuche[[#This Row],[2025]],"&lt;&gt;"""), ""),IF($B$43=(Refsz_Verbräuche[[#Headers],[2026]]-1),Refsz_Verbräuche[[#This Row],[2025]],IF($B$43&lt;Refsz_Verbräuche[[#Headers],[2026]],Refsz_Verbräuche[[#This Row],[2025]],"")))</f>
        <v/>
      </c>
      <c r="Q118" s="124" t="str">
        <f>IF(Refsz_Verbräuche[[#Headers],[2027]]=$B$43,IF(OR(SUMIF($E118:Refsz_Verbräuche[[#This Row],[2026]],"&gt;0")&gt;0,), AVERAGEIF($E118:Refsz_Verbräuche[[#This Row],[2026]],"&lt;&gt;"""), ""),IF($B$43=(Refsz_Verbräuche[[#Headers],[2027]]-1),Refsz_Verbräuche[[#This Row],[2026]],IF($B$43&lt;Refsz_Verbräuche[[#Headers],[2027]],Refsz_Verbräuche[[#This Row],[2026]],"")))</f>
        <v/>
      </c>
      <c r="R118" s="124" t="str">
        <f>IF(Refsz_Verbräuche[[#Headers],[2028]]=$B$43,IF(OR(SUMIF($E118:Refsz_Verbräuche[[#This Row],[2027]],"&gt;0")&gt;0,), AVERAGEIF($E118:Refsz_Verbräuche[[#This Row],[2027]],"&lt;&gt;"""), ""),IF($B$43=(Refsz_Verbräuche[[#Headers],[2028]]-1),Refsz_Verbräuche[[#This Row],[2027]],IF($B$43&lt;Refsz_Verbräuche[[#Headers],[2028]],Refsz_Verbräuche[[#This Row],[2027]],"")))</f>
        <v/>
      </c>
      <c r="S118" s="124" t="str">
        <f>IF(Refsz_Verbräuche[[#Headers],[2029]]=$B$43,IF(OR(SUMIF($E118:Refsz_Verbräuche[[#This Row],[2028]],"&gt;0")&gt;0,), AVERAGEIF($E118:Refsz_Verbräuche[[#This Row],[2028]],"&lt;&gt;"""), ""),IF($B$43=(Refsz_Verbräuche[[#Headers],[2029]]-1),Refsz_Verbräuche[[#This Row],[2028]],IF($B$43&lt;Refsz_Verbräuche[[#Headers],[2029]],Refsz_Verbräuche[[#This Row],[2028]],"")))</f>
        <v/>
      </c>
      <c r="T118" s="124" t="str">
        <f>IF(Refsz_Verbräuche[[#Headers],[2030]]=$B$43,IF(OR(SUMIF($E118:Refsz_Verbräuche[[#This Row],[2029]],"&gt;0")&gt;0,), AVERAGEIF($E118:Refsz_Verbräuche[[#This Row],[2029]],"&lt;&gt;"""), ""),IF($B$43=(Refsz_Verbräuche[[#Headers],[2030]]-1),Refsz_Verbräuche[[#This Row],[2029]],IF($B$43&lt;Refsz_Verbräuche[[#Headers],[2030]],Refsz_Verbräuche[[#This Row],[2029]],"")))</f>
        <v/>
      </c>
      <c r="U118" s="124" t="str">
        <f>IF(Refsz_Verbräuche[[#Headers],[2035]]=$B$43,IF(OR(SUMIF($E118:Refsz_Verbräuche[[#This Row],[2030]],"&gt;0")&gt;0,), AVERAGEIF($E118:Refsz_Verbräuche[[#This Row],[2030]],"&lt;&gt;"""), ""),IF($B$43=(Refsz_Verbräuche[[#Headers],[2035]]-1),Refsz_Verbräuche[[#This Row],[2030]],IF($B$43&lt;Refsz_Verbräuche[[#Headers],[2035]],Refsz_Verbräuche[[#This Row],[2030]],"")))</f>
        <v/>
      </c>
      <c r="V118" s="124" t="str">
        <f>IF(Refsz_Verbräuche[[#Headers],[2040]]=$B$43,IF(OR(SUMIF($E118:Refsz_Verbräuche[[#This Row],[2035]],"&gt;0")&gt;0,), AVERAGEIF($E118:Refsz_Verbräuche[[#This Row],[2035]],"&lt;&gt;"""), ""),IF($B$43=(Refsz_Verbräuche[[#Headers],[2040]]-1),Refsz_Verbräuche[[#This Row],[2035]],IF($B$43&lt;Refsz_Verbräuche[[#Headers],[2040]],Refsz_Verbräuche[[#This Row],[2035]],"")))</f>
        <v/>
      </c>
      <c r="W118" s="124" t="str">
        <f>IF(Refsz_Verbräuche[[#Headers],[2045]]=$B$43,IF(OR(SUMIF($E118:Refsz_Verbräuche[[#This Row],[2040]],"&gt;0")&gt;0,), AVERAGEIF($E118:Refsz_Verbräuche[[#This Row],[2040]],"&lt;&gt;"""), ""),IF($B$43=(Refsz_Verbräuche[[#Headers],[2045]]-1),Refsz_Verbräuche[[#This Row],[2040]],IF($B$43&lt;Refsz_Verbräuche[[#Headers],[2045]],Refsz_Verbräuche[[#This Row],[2040]],"")))</f>
        <v/>
      </c>
      <c r="X118" s="124" t="str">
        <f>IF(Refsz_Verbräuche[[#Headers],[2050]]=$B$43,IF(OR(SUMIF($E118:Refsz_Verbräuche[[#This Row],[2045]],"&gt;0")&gt;0,), AVERAGEIF($E118:Refsz_Verbräuche[[#This Row],[2045]],"&lt;&gt;"""), ""),IF($B$43=(Refsz_Verbräuche[[#Headers],[2050]]-1),Refsz_Verbräuche[[#This Row],[2045]],IF($B$43&lt;Refsz_Verbräuche[[#Headers],[2050]],Refsz_Verbräuche[[#This Row],[2045]],"")))</f>
        <v/>
      </c>
      <c r="Z118" s="15"/>
    </row>
    <row r="119" spans="2:26" x14ac:dyDescent="0.35">
      <c r="B119" s="15">
        <v>59</v>
      </c>
      <c r="C119" s="9" t="str">
        <f>_xlfn.CONCAT('Refsz-Verbräuche'!C49," - Flugreisen")</f>
        <v>Exkursionen - Flugreisen</v>
      </c>
      <c r="D119" t="s">
        <v>47</v>
      </c>
      <c r="E119" s="124"/>
      <c r="F119" s="124"/>
      <c r="G119" s="124"/>
      <c r="H119" s="124"/>
      <c r="I119" s="124"/>
      <c r="J119" s="124"/>
      <c r="K119" s="124"/>
      <c r="L119" s="124" t="str">
        <f>IF(Refsz_Verbräuche[[#Headers],[2022]]=$B$43,IF(OR(SUMIF($E119:Refsz_Verbräuche[[#This Row],[2021]],"&gt;0")&gt;0,), AVERAGEIF($E119:Refsz_Verbräuche[[#This Row],[2021]],"&lt;&gt;"""), ""),IF($B$43=(Refsz_Verbräuche[[#Headers],[2022]]-1),Refsz_Verbräuche[[#This Row],[2021]],IF($B$43&lt;Refsz_Verbräuche[[#Headers],[2022]],Refsz_Verbräuche[[#This Row],[2021]],"")))</f>
        <v/>
      </c>
      <c r="M119" s="124" t="str">
        <f>IF(Refsz_Verbräuche[[#Headers],[2023]]=$B$43,IF(OR(SUMIF($E119:Refsz_Verbräuche[[#This Row],[2022]],"&gt;0")&gt;0,), AVERAGEIF($E119:Refsz_Verbräuche[[#This Row],[2022]],"&lt;&gt;"""), ""),IF($B$43=(Refsz_Verbräuche[[#Headers],[2023]]-1),Refsz_Verbräuche[[#This Row],[2022]],IF($B$43&lt;Refsz_Verbräuche[[#Headers],[2023]],Refsz_Verbräuche[[#This Row],[2022]],"")))</f>
        <v/>
      </c>
      <c r="N119" s="124" t="str">
        <f>IF(Refsz_Verbräuche[[#Headers],[2024]]=$B$43,IF(OR(SUMIF($E119:Refsz_Verbräuche[[#This Row],[2023]],"&gt;0")&gt;0,), AVERAGEIF($E119:Refsz_Verbräuche[[#This Row],[2023]],"&lt;&gt;"""), ""),IF($B$43=(Refsz_Verbräuche[[#Headers],[2024]]-1),Refsz_Verbräuche[[#This Row],[2023]],IF($B$43&lt;Refsz_Verbräuche[[#Headers],[2024]],Refsz_Verbräuche[[#This Row],[2023]],"")))</f>
        <v/>
      </c>
      <c r="O119" s="124" t="str">
        <f>IF(Refsz_Verbräuche[[#Headers],[2025]]=$B$43,IF(OR(SUMIF($E119:Refsz_Verbräuche[[#This Row],[2024]],"&gt;0")&gt;0,), AVERAGEIF($E119:Refsz_Verbräuche[[#This Row],[2024]],"&lt;&gt;"""), ""),IF($B$43=(Refsz_Verbräuche[[#Headers],[2025]]-1),Refsz_Verbräuche[[#This Row],[2024]],IF($B$43&lt;Refsz_Verbräuche[[#Headers],[2025]],Refsz_Verbräuche[[#This Row],[2024]],"")))</f>
        <v/>
      </c>
      <c r="P119" s="124" t="str">
        <f>IF(Refsz_Verbräuche[[#Headers],[2026]]=$B$43,IF(OR(SUMIF($E119:Refsz_Verbräuche[[#This Row],[2025]],"&gt;0")&gt;0,), AVERAGEIF($E119:Refsz_Verbräuche[[#This Row],[2025]],"&lt;&gt;"""), ""),IF($B$43=(Refsz_Verbräuche[[#Headers],[2026]]-1),Refsz_Verbräuche[[#This Row],[2025]],IF($B$43&lt;Refsz_Verbräuche[[#Headers],[2026]],Refsz_Verbräuche[[#This Row],[2025]],"")))</f>
        <v/>
      </c>
      <c r="Q119" s="124" t="str">
        <f>IF(Refsz_Verbräuche[[#Headers],[2027]]=$B$43,IF(OR(SUMIF($E119:Refsz_Verbräuche[[#This Row],[2026]],"&gt;0")&gt;0,), AVERAGEIF($E119:Refsz_Verbräuche[[#This Row],[2026]],"&lt;&gt;"""), ""),IF($B$43=(Refsz_Verbräuche[[#Headers],[2027]]-1),Refsz_Verbräuche[[#This Row],[2026]],IF($B$43&lt;Refsz_Verbräuche[[#Headers],[2027]],Refsz_Verbräuche[[#This Row],[2026]],"")))</f>
        <v/>
      </c>
      <c r="R119" s="124" t="str">
        <f>IF(Refsz_Verbräuche[[#Headers],[2028]]=$B$43,IF(OR(SUMIF($E119:Refsz_Verbräuche[[#This Row],[2027]],"&gt;0")&gt;0,), AVERAGEIF($E119:Refsz_Verbräuche[[#This Row],[2027]],"&lt;&gt;"""), ""),IF($B$43=(Refsz_Verbräuche[[#Headers],[2028]]-1),Refsz_Verbräuche[[#This Row],[2027]],IF($B$43&lt;Refsz_Verbräuche[[#Headers],[2028]],Refsz_Verbräuche[[#This Row],[2027]],"")))</f>
        <v/>
      </c>
      <c r="S119" s="124" t="str">
        <f>IF(Refsz_Verbräuche[[#Headers],[2029]]=$B$43,IF(OR(SUMIF($E119:Refsz_Verbräuche[[#This Row],[2028]],"&gt;0")&gt;0,), AVERAGEIF($E119:Refsz_Verbräuche[[#This Row],[2028]],"&lt;&gt;"""), ""),IF($B$43=(Refsz_Verbräuche[[#Headers],[2029]]-1),Refsz_Verbräuche[[#This Row],[2028]],IF($B$43&lt;Refsz_Verbräuche[[#Headers],[2029]],Refsz_Verbräuche[[#This Row],[2028]],"")))</f>
        <v/>
      </c>
      <c r="T119" s="124" t="str">
        <f>IF(Refsz_Verbräuche[[#Headers],[2030]]=$B$43,IF(OR(SUMIF($E119:Refsz_Verbräuche[[#This Row],[2029]],"&gt;0")&gt;0,), AVERAGEIF($E119:Refsz_Verbräuche[[#This Row],[2029]],"&lt;&gt;"""), ""),IF($B$43=(Refsz_Verbräuche[[#Headers],[2030]]-1),Refsz_Verbräuche[[#This Row],[2029]],IF($B$43&lt;Refsz_Verbräuche[[#Headers],[2030]],Refsz_Verbräuche[[#This Row],[2029]],"")))</f>
        <v/>
      </c>
      <c r="U119" s="124" t="str">
        <f>IF(Refsz_Verbräuche[[#Headers],[2035]]=$B$43,IF(OR(SUMIF($E119:Refsz_Verbräuche[[#This Row],[2030]],"&gt;0")&gt;0,), AVERAGEIF($E119:Refsz_Verbräuche[[#This Row],[2030]],"&lt;&gt;"""), ""),IF($B$43=(Refsz_Verbräuche[[#Headers],[2035]]-1),Refsz_Verbräuche[[#This Row],[2030]],IF($B$43&lt;Refsz_Verbräuche[[#Headers],[2035]],Refsz_Verbräuche[[#This Row],[2030]],"")))</f>
        <v/>
      </c>
      <c r="V119" s="124" t="str">
        <f>IF(Refsz_Verbräuche[[#Headers],[2040]]=$B$43,IF(OR(SUMIF($E119:Refsz_Verbräuche[[#This Row],[2035]],"&gt;0")&gt;0,), AVERAGEIF($E119:Refsz_Verbräuche[[#This Row],[2035]],"&lt;&gt;"""), ""),IF($B$43=(Refsz_Verbräuche[[#Headers],[2040]]-1),Refsz_Verbräuche[[#This Row],[2035]],IF($B$43&lt;Refsz_Verbräuche[[#Headers],[2040]],Refsz_Verbräuche[[#This Row],[2035]],"")))</f>
        <v/>
      </c>
      <c r="W119" s="124" t="str">
        <f>IF(Refsz_Verbräuche[[#Headers],[2045]]=$B$43,IF(OR(SUMIF($E119:Refsz_Verbräuche[[#This Row],[2040]],"&gt;0")&gt;0,), AVERAGEIF($E119:Refsz_Verbräuche[[#This Row],[2040]],"&lt;&gt;"""), ""),IF($B$43=(Refsz_Verbräuche[[#Headers],[2045]]-1),Refsz_Verbräuche[[#This Row],[2040]],IF($B$43&lt;Refsz_Verbräuche[[#Headers],[2045]],Refsz_Verbräuche[[#This Row],[2040]],"")))</f>
        <v/>
      </c>
      <c r="X119" s="124" t="str">
        <f>IF(Refsz_Verbräuche[[#Headers],[2050]]=$B$43,IF(OR(SUMIF($E119:Refsz_Verbräuche[[#This Row],[2045]],"&gt;0")&gt;0,), AVERAGEIF($E119:Refsz_Verbräuche[[#This Row],[2045]],"&lt;&gt;"""), ""),IF($B$43=(Refsz_Verbräuche[[#Headers],[2050]]-1),Refsz_Verbräuche[[#This Row],[2045]],IF($B$43&lt;Refsz_Verbräuche[[#Headers],[2050]],Refsz_Verbräuche[[#This Row],[2045]],"")))</f>
        <v/>
      </c>
      <c r="Z119" s="15"/>
    </row>
    <row r="120" spans="2:26" x14ac:dyDescent="0.35">
      <c r="B120" s="15">
        <v>60</v>
      </c>
      <c r="C120" s="9" t="str">
        <f>_xlfn.CONCAT('Refsz-Verbräuche'!C49," - Eisenbahn (Nahverkehr)")</f>
        <v>Exkursionen - Eisenbahn (Nahverkehr)</v>
      </c>
      <c r="D120" t="s">
        <v>47</v>
      </c>
      <c r="E120" s="124"/>
      <c r="F120" s="124"/>
      <c r="G120" s="124"/>
      <c r="H120" s="124"/>
      <c r="I120" s="124"/>
      <c r="J120" s="124"/>
      <c r="K120" s="124"/>
      <c r="L120" s="124" t="str">
        <f>IF(Refsz_Verbräuche[[#Headers],[2022]]=$B$43,IF(OR(SUMIF($E120:Refsz_Verbräuche[[#This Row],[2021]],"&gt;0")&gt;0,), AVERAGEIF($E120:Refsz_Verbräuche[[#This Row],[2021]],"&lt;&gt;"""), ""),IF($B$43=(Refsz_Verbräuche[[#Headers],[2022]]-1),Refsz_Verbräuche[[#This Row],[2021]],IF($B$43&lt;Refsz_Verbräuche[[#Headers],[2022]],Refsz_Verbräuche[[#This Row],[2021]],"")))</f>
        <v/>
      </c>
      <c r="M120" s="124" t="str">
        <f>IF(Refsz_Verbräuche[[#Headers],[2023]]=$B$43,IF(OR(SUMIF($E120:Refsz_Verbräuche[[#This Row],[2022]],"&gt;0")&gt;0,), AVERAGEIF($E120:Refsz_Verbräuche[[#This Row],[2022]],"&lt;&gt;"""), ""),IF($B$43=(Refsz_Verbräuche[[#Headers],[2023]]-1),Refsz_Verbräuche[[#This Row],[2022]],IF($B$43&lt;Refsz_Verbräuche[[#Headers],[2023]],Refsz_Verbräuche[[#This Row],[2022]],"")))</f>
        <v/>
      </c>
      <c r="N120" s="124" t="str">
        <f>IF(Refsz_Verbräuche[[#Headers],[2024]]=$B$43,IF(OR(SUMIF($E120:Refsz_Verbräuche[[#This Row],[2023]],"&gt;0")&gt;0,), AVERAGEIF($E120:Refsz_Verbräuche[[#This Row],[2023]],"&lt;&gt;"""), ""),IF($B$43=(Refsz_Verbräuche[[#Headers],[2024]]-1),Refsz_Verbräuche[[#This Row],[2023]],IF($B$43&lt;Refsz_Verbräuche[[#Headers],[2024]],Refsz_Verbräuche[[#This Row],[2023]],"")))</f>
        <v/>
      </c>
      <c r="O120" s="124" t="str">
        <f>IF(Refsz_Verbräuche[[#Headers],[2025]]=$B$43,IF(OR(SUMIF($E120:Refsz_Verbräuche[[#This Row],[2024]],"&gt;0")&gt;0,), AVERAGEIF($E120:Refsz_Verbräuche[[#This Row],[2024]],"&lt;&gt;"""), ""),IF($B$43=(Refsz_Verbräuche[[#Headers],[2025]]-1),Refsz_Verbräuche[[#This Row],[2024]],IF($B$43&lt;Refsz_Verbräuche[[#Headers],[2025]],Refsz_Verbräuche[[#This Row],[2024]],"")))</f>
        <v/>
      </c>
      <c r="P120" s="124" t="str">
        <f>IF(Refsz_Verbräuche[[#Headers],[2026]]=$B$43,IF(OR(SUMIF($E120:Refsz_Verbräuche[[#This Row],[2025]],"&gt;0")&gt;0,), AVERAGEIF($E120:Refsz_Verbräuche[[#This Row],[2025]],"&lt;&gt;"""), ""),IF($B$43=(Refsz_Verbräuche[[#Headers],[2026]]-1),Refsz_Verbräuche[[#This Row],[2025]],IF($B$43&lt;Refsz_Verbräuche[[#Headers],[2026]],Refsz_Verbräuche[[#This Row],[2025]],"")))</f>
        <v/>
      </c>
      <c r="Q120" s="124" t="str">
        <f>IF(Refsz_Verbräuche[[#Headers],[2027]]=$B$43,IF(OR(SUMIF($E120:Refsz_Verbräuche[[#This Row],[2026]],"&gt;0")&gt;0,), AVERAGEIF($E120:Refsz_Verbräuche[[#This Row],[2026]],"&lt;&gt;"""), ""),IF($B$43=(Refsz_Verbräuche[[#Headers],[2027]]-1),Refsz_Verbräuche[[#This Row],[2026]],IF($B$43&lt;Refsz_Verbräuche[[#Headers],[2027]],Refsz_Verbräuche[[#This Row],[2026]],"")))</f>
        <v/>
      </c>
      <c r="R120" s="124" t="str">
        <f>IF(Refsz_Verbräuche[[#Headers],[2028]]=$B$43,IF(OR(SUMIF($E120:Refsz_Verbräuche[[#This Row],[2027]],"&gt;0")&gt;0,), AVERAGEIF($E120:Refsz_Verbräuche[[#This Row],[2027]],"&lt;&gt;"""), ""),IF($B$43=(Refsz_Verbräuche[[#Headers],[2028]]-1),Refsz_Verbräuche[[#This Row],[2027]],IF($B$43&lt;Refsz_Verbräuche[[#Headers],[2028]],Refsz_Verbräuche[[#This Row],[2027]],"")))</f>
        <v/>
      </c>
      <c r="S120" s="124" t="str">
        <f>IF(Refsz_Verbräuche[[#Headers],[2029]]=$B$43,IF(OR(SUMIF($E120:Refsz_Verbräuche[[#This Row],[2028]],"&gt;0")&gt;0,), AVERAGEIF($E120:Refsz_Verbräuche[[#This Row],[2028]],"&lt;&gt;"""), ""),IF($B$43=(Refsz_Verbräuche[[#Headers],[2029]]-1),Refsz_Verbräuche[[#This Row],[2028]],IF($B$43&lt;Refsz_Verbräuche[[#Headers],[2029]],Refsz_Verbräuche[[#This Row],[2028]],"")))</f>
        <v/>
      </c>
      <c r="T120" s="124" t="str">
        <f>IF(Refsz_Verbräuche[[#Headers],[2030]]=$B$43,IF(OR(SUMIF($E120:Refsz_Verbräuche[[#This Row],[2029]],"&gt;0")&gt;0,), AVERAGEIF($E120:Refsz_Verbräuche[[#This Row],[2029]],"&lt;&gt;"""), ""),IF($B$43=(Refsz_Verbräuche[[#Headers],[2030]]-1),Refsz_Verbräuche[[#This Row],[2029]],IF($B$43&lt;Refsz_Verbräuche[[#Headers],[2030]],Refsz_Verbräuche[[#This Row],[2029]],"")))</f>
        <v/>
      </c>
      <c r="U120" s="124" t="str">
        <f>IF(Refsz_Verbräuche[[#Headers],[2035]]=$B$43,IF(OR(SUMIF($E120:Refsz_Verbräuche[[#This Row],[2030]],"&gt;0")&gt;0,), AVERAGEIF($E120:Refsz_Verbräuche[[#This Row],[2030]],"&lt;&gt;"""), ""),IF($B$43=(Refsz_Verbräuche[[#Headers],[2035]]-1),Refsz_Verbräuche[[#This Row],[2030]],IF($B$43&lt;Refsz_Verbräuche[[#Headers],[2035]],Refsz_Verbräuche[[#This Row],[2030]],"")))</f>
        <v/>
      </c>
      <c r="V120" s="124" t="str">
        <f>IF(Refsz_Verbräuche[[#Headers],[2040]]=$B$43,IF(OR(SUMIF($E120:Refsz_Verbräuche[[#This Row],[2035]],"&gt;0")&gt;0,), AVERAGEIF($E120:Refsz_Verbräuche[[#This Row],[2035]],"&lt;&gt;"""), ""),IF($B$43=(Refsz_Verbräuche[[#Headers],[2040]]-1),Refsz_Verbräuche[[#This Row],[2035]],IF($B$43&lt;Refsz_Verbräuche[[#Headers],[2040]],Refsz_Verbräuche[[#This Row],[2035]],"")))</f>
        <v/>
      </c>
      <c r="W120" s="124" t="str">
        <f>IF(Refsz_Verbräuche[[#Headers],[2045]]=$B$43,IF(OR(SUMIF($E120:Refsz_Verbräuche[[#This Row],[2040]],"&gt;0")&gt;0,), AVERAGEIF($E120:Refsz_Verbräuche[[#This Row],[2040]],"&lt;&gt;"""), ""),IF($B$43=(Refsz_Verbräuche[[#Headers],[2045]]-1),Refsz_Verbräuche[[#This Row],[2040]],IF($B$43&lt;Refsz_Verbräuche[[#Headers],[2045]],Refsz_Verbräuche[[#This Row],[2040]],"")))</f>
        <v/>
      </c>
      <c r="X120" s="124" t="str">
        <f>IF(Refsz_Verbräuche[[#Headers],[2050]]=$B$43,IF(OR(SUMIF($E120:Refsz_Verbräuche[[#This Row],[2045]],"&gt;0")&gt;0,), AVERAGEIF($E120:Refsz_Verbräuche[[#This Row],[2045]],"&lt;&gt;"""), ""),IF($B$43=(Refsz_Verbräuche[[#Headers],[2050]]-1),Refsz_Verbräuche[[#This Row],[2045]],IF($B$43&lt;Refsz_Verbräuche[[#Headers],[2050]],Refsz_Verbräuche[[#This Row],[2045]],"")))</f>
        <v/>
      </c>
      <c r="Z120" s="15"/>
    </row>
    <row r="121" spans="2:26" x14ac:dyDescent="0.35">
      <c r="B121" s="15">
        <v>61</v>
      </c>
      <c r="C121" s="9" t="str">
        <f>_xlfn.CONCAT('Refsz-Verbräuche'!C49," - Privater PKW (alle Antriebsarten)")</f>
        <v>Exkursionen - Privater PKW (alle Antriebsarten)</v>
      </c>
      <c r="D121" t="s">
        <v>417</v>
      </c>
      <c r="E121" s="124"/>
      <c r="F121" s="124"/>
      <c r="G121" s="124"/>
      <c r="H121" s="124"/>
      <c r="I121" s="124"/>
      <c r="J121" s="124"/>
      <c r="K121" s="124"/>
      <c r="L121" s="124" t="str">
        <f>IF(Refsz_Verbräuche[[#Headers],[2022]]=$B$43,IF(OR(SUMIF($E121:Refsz_Verbräuche[[#This Row],[2021]],"&gt;0")&gt;0,), AVERAGEIF($E121:Refsz_Verbräuche[[#This Row],[2021]],"&lt;&gt;"""), ""),IF($B$43=(Refsz_Verbräuche[[#Headers],[2022]]-1),Refsz_Verbräuche[[#This Row],[2021]],IF($B$43&lt;Refsz_Verbräuche[[#Headers],[2022]],Refsz_Verbräuche[[#This Row],[2021]],"")))</f>
        <v/>
      </c>
      <c r="M121" s="124" t="str">
        <f>IF(Refsz_Verbräuche[[#Headers],[2023]]=$B$43,IF(OR(SUMIF($E121:Refsz_Verbräuche[[#This Row],[2022]],"&gt;0")&gt;0,), AVERAGEIF($E121:Refsz_Verbräuche[[#This Row],[2022]],"&lt;&gt;"""), ""),IF($B$43=(Refsz_Verbräuche[[#Headers],[2023]]-1),Refsz_Verbräuche[[#This Row],[2022]],IF($B$43&lt;Refsz_Verbräuche[[#Headers],[2023]],Refsz_Verbräuche[[#This Row],[2022]],"")))</f>
        <v/>
      </c>
      <c r="N121" s="124" t="str">
        <f>IF(Refsz_Verbräuche[[#Headers],[2024]]=$B$43,IF(OR(SUMIF($E121:Refsz_Verbräuche[[#This Row],[2023]],"&gt;0")&gt;0,), AVERAGEIF($E121:Refsz_Verbräuche[[#This Row],[2023]],"&lt;&gt;"""), ""),IF($B$43=(Refsz_Verbräuche[[#Headers],[2024]]-1),Refsz_Verbräuche[[#This Row],[2023]],IF($B$43&lt;Refsz_Verbräuche[[#Headers],[2024]],Refsz_Verbräuche[[#This Row],[2023]],"")))</f>
        <v/>
      </c>
      <c r="O121" s="124" t="str">
        <f>IF(Refsz_Verbräuche[[#Headers],[2025]]=$B$43,IF(OR(SUMIF($E121:Refsz_Verbräuche[[#This Row],[2024]],"&gt;0")&gt;0,), AVERAGEIF($E121:Refsz_Verbräuche[[#This Row],[2024]],"&lt;&gt;"""), ""),IF($B$43=(Refsz_Verbräuche[[#Headers],[2025]]-1),Refsz_Verbräuche[[#This Row],[2024]],IF($B$43&lt;Refsz_Verbräuche[[#Headers],[2025]],Refsz_Verbräuche[[#This Row],[2024]],"")))</f>
        <v/>
      </c>
      <c r="P121" s="124" t="str">
        <f>IF(Refsz_Verbräuche[[#Headers],[2026]]=$B$43,IF(OR(SUMIF($E121:Refsz_Verbräuche[[#This Row],[2025]],"&gt;0")&gt;0,), AVERAGEIF($E121:Refsz_Verbräuche[[#This Row],[2025]],"&lt;&gt;"""), ""),IF($B$43=(Refsz_Verbräuche[[#Headers],[2026]]-1),Refsz_Verbräuche[[#This Row],[2025]],IF($B$43&lt;Refsz_Verbräuche[[#Headers],[2026]],Refsz_Verbräuche[[#This Row],[2025]],"")))</f>
        <v/>
      </c>
      <c r="Q121" s="124" t="str">
        <f>IF(Refsz_Verbräuche[[#Headers],[2027]]=$B$43,IF(OR(SUMIF($E121:Refsz_Verbräuche[[#This Row],[2026]],"&gt;0")&gt;0,), AVERAGEIF($E121:Refsz_Verbräuche[[#This Row],[2026]],"&lt;&gt;"""), ""),IF($B$43=(Refsz_Verbräuche[[#Headers],[2027]]-1),Refsz_Verbräuche[[#This Row],[2026]],IF($B$43&lt;Refsz_Verbräuche[[#Headers],[2027]],Refsz_Verbräuche[[#This Row],[2026]],"")))</f>
        <v/>
      </c>
      <c r="R121" s="124" t="str">
        <f>IF(Refsz_Verbräuche[[#Headers],[2028]]=$B$43,IF(OR(SUMIF($E121:Refsz_Verbräuche[[#This Row],[2027]],"&gt;0")&gt;0,), AVERAGEIF($E121:Refsz_Verbräuche[[#This Row],[2027]],"&lt;&gt;"""), ""),IF($B$43=(Refsz_Verbräuche[[#Headers],[2028]]-1),Refsz_Verbräuche[[#This Row],[2027]],IF($B$43&lt;Refsz_Verbräuche[[#Headers],[2028]],Refsz_Verbräuche[[#This Row],[2027]],"")))</f>
        <v/>
      </c>
      <c r="S121" s="124" t="str">
        <f>IF(Refsz_Verbräuche[[#Headers],[2029]]=$B$43,IF(OR(SUMIF($E121:Refsz_Verbräuche[[#This Row],[2028]],"&gt;0")&gt;0,), AVERAGEIF($E121:Refsz_Verbräuche[[#This Row],[2028]],"&lt;&gt;"""), ""),IF($B$43=(Refsz_Verbräuche[[#Headers],[2029]]-1),Refsz_Verbräuche[[#This Row],[2028]],IF($B$43&lt;Refsz_Verbräuche[[#Headers],[2029]],Refsz_Verbräuche[[#This Row],[2028]],"")))</f>
        <v/>
      </c>
      <c r="T121" s="124" t="str">
        <f>IF(Refsz_Verbräuche[[#Headers],[2030]]=$B$43,IF(OR(SUMIF($E121:Refsz_Verbräuche[[#This Row],[2029]],"&gt;0")&gt;0,), AVERAGEIF($E121:Refsz_Verbräuche[[#This Row],[2029]],"&lt;&gt;"""), ""),IF($B$43=(Refsz_Verbräuche[[#Headers],[2030]]-1),Refsz_Verbräuche[[#This Row],[2029]],IF($B$43&lt;Refsz_Verbräuche[[#Headers],[2030]],Refsz_Verbräuche[[#This Row],[2029]],"")))</f>
        <v/>
      </c>
      <c r="U121" s="124" t="str">
        <f>IF(Refsz_Verbräuche[[#Headers],[2035]]=$B$43,IF(OR(SUMIF($E121:Refsz_Verbräuche[[#This Row],[2030]],"&gt;0")&gt;0,), AVERAGEIF($E121:Refsz_Verbräuche[[#This Row],[2030]],"&lt;&gt;"""), ""),IF($B$43=(Refsz_Verbräuche[[#Headers],[2035]]-1),Refsz_Verbräuche[[#This Row],[2030]],IF($B$43&lt;Refsz_Verbräuche[[#Headers],[2035]],Refsz_Verbräuche[[#This Row],[2030]],"")))</f>
        <v/>
      </c>
      <c r="V121" s="124" t="str">
        <f>IF(Refsz_Verbräuche[[#Headers],[2040]]=$B$43,IF(OR(SUMIF($E121:Refsz_Verbräuche[[#This Row],[2035]],"&gt;0")&gt;0,), AVERAGEIF($E121:Refsz_Verbräuche[[#This Row],[2035]],"&lt;&gt;"""), ""),IF($B$43=(Refsz_Verbräuche[[#Headers],[2040]]-1),Refsz_Verbräuche[[#This Row],[2035]],IF($B$43&lt;Refsz_Verbräuche[[#Headers],[2040]],Refsz_Verbräuche[[#This Row],[2035]],"")))</f>
        <v/>
      </c>
      <c r="W121" s="124" t="str">
        <f>IF(Refsz_Verbräuche[[#Headers],[2045]]=$B$43,IF(OR(SUMIF($E121:Refsz_Verbräuche[[#This Row],[2040]],"&gt;0")&gt;0,), AVERAGEIF($E121:Refsz_Verbräuche[[#This Row],[2040]],"&lt;&gt;"""), ""),IF($B$43=(Refsz_Verbräuche[[#Headers],[2045]]-1),Refsz_Verbräuche[[#This Row],[2040]],IF($B$43&lt;Refsz_Verbräuche[[#Headers],[2045]],Refsz_Verbräuche[[#This Row],[2040]],"")))</f>
        <v/>
      </c>
      <c r="X121" s="124" t="str">
        <f>IF(Refsz_Verbräuche[[#Headers],[2050]]=$B$43,IF(OR(SUMIF($E121:Refsz_Verbräuche[[#This Row],[2045]],"&gt;0")&gt;0,), AVERAGEIF($E121:Refsz_Verbräuche[[#This Row],[2045]],"&lt;&gt;"""), ""),IF($B$43=(Refsz_Verbräuche[[#Headers],[2050]]-1),Refsz_Verbräuche[[#This Row],[2045]],IF($B$43&lt;Refsz_Verbräuche[[#Headers],[2050]],Refsz_Verbräuche[[#This Row],[2045]],"")))</f>
        <v/>
      </c>
      <c r="Z121" s="15"/>
    </row>
    <row r="122" spans="2:26" x14ac:dyDescent="0.35">
      <c r="B122" s="15">
        <v>62</v>
      </c>
      <c r="C122" s="9"/>
      <c r="E122" s="124"/>
      <c r="F122" s="124"/>
      <c r="G122" s="124"/>
      <c r="H122" s="124"/>
      <c r="I122" s="124"/>
      <c r="J122" s="124"/>
      <c r="K122" s="124"/>
      <c r="L122" s="124" t="str">
        <f>IF(Refsz_Verbräuche[[#Headers],[2022]]=$B$43,IF(OR(SUMIF($E122:Refsz_Verbräuche[[#This Row],[2021]],"&gt;0")&gt;0,), AVERAGEIF($E122:Refsz_Verbräuche[[#This Row],[2021]],"&lt;&gt;"""), ""),IF($B$43=(Refsz_Verbräuche[[#Headers],[2022]]-1),Refsz_Verbräuche[[#This Row],[2021]],IF($B$43&lt;Refsz_Verbräuche[[#Headers],[2022]],Refsz_Verbräuche[[#This Row],[2021]],"")))</f>
        <v/>
      </c>
      <c r="M122" s="124" t="str">
        <f>IF(Refsz_Verbräuche[[#Headers],[2023]]=$B$43,IF(OR(SUMIF($E122:Refsz_Verbräuche[[#This Row],[2022]],"&gt;0")&gt;0,), AVERAGEIF($E122:Refsz_Verbräuche[[#This Row],[2022]],"&lt;&gt;"""), ""),IF($B$43=(Refsz_Verbräuche[[#Headers],[2023]]-1),Refsz_Verbräuche[[#This Row],[2022]],IF($B$43&lt;Refsz_Verbräuche[[#Headers],[2023]],Refsz_Verbräuche[[#This Row],[2022]],"")))</f>
        <v/>
      </c>
      <c r="N122" s="124" t="str">
        <f>IF(Refsz_Verbräuche[[#Headers],[2024]]=$B$43,IF(OR(SUMIF($E122:Refsz_Verbräuche[[#This Row],[2023]],"&gt;0")&gt;0,), AVERAGEIF($E122:Refsz_Verbräuche[[#This Row],[2023]],"&lt;&gt;"""), ""),IF($B$43=(Refsz_Verbräuche[[#Headers],[2024]]-1),Refsz_Verbräuche[[#This Row],[2023]],IF($B$43&lt;Refsz_Verbräuche[[#Headers],[2024]],Refsz_Verbräuche[[#This Row],[2023]],"")))</f>
        <v/>
      </c>
      <c r="O122" s="124" t="str">
        <f>IF(Refsz_Verbräuche[[#Headers],[2025]]=$B$43,IF(OR(SUMIF($E122:Refsz_Verbräuche[[#This Row],[2024]],"&gt;0")&gt;0,), AVERAGEIF($E122:Refsz_Verbräuche[[#This Row],[2024]],"&lt;&gt;"""), ""),IF($B$43=(Refsz_Verbräuche[[#Headers],[2025]]-1),Refsz_Verbräuche[[#This Row],[2024]],IF($B$43&lt;Refsz_Verbräuche[[#Headers],[2025]],Refsz_Verbräuche[[#This Row],[2024]],"")))</f>
        <v/>
      </c>
      <c r="P122" s="124" t="str">
        <f>IF(Refsz_Verbräuche[[#Headers],[2026]]=$B$43,IF(OR(SUMIF($E122:Refsz_Verbräuche[[#This Row],[2025]],"&gt;0")&gt;0,), AVERAGEIF($E122:Refsz_Verbräuche[[#This Row],[2025]],"&lt;&gt;"""), ""),IF($B$43=(Refsz_Verbräuche[[#Headers],[2026]]-1),Refsz_Verbräuche[[#This Row],[2025]],IF($B$43&lt;Refsz_Verbräuche[[#Headers],[2026]],Refsz_Verbräuche[[#This Row],[2025]],"")))</f>
        <v/>
      </c>
      <c r="Q122" s="124" t="str">
        <f>IF(Refsz_Verbräuche[[#Headers],[2027]]=$B$43,IF(OR(SUMIF($E122:Refsz_Verbräuche[[#This Row],[2026]],"&gt;0")&gt;0,), AVERAGEIF($E122:Refsz_Verbräuche[[#This Row],[2026]],"&lt;&gt;"""), ""),IF($B$43=(Refsz_Verbräuche[[#Headers],[2027]]-1),Refsz_Verbräuche[[#This Row],[2026]],IF($B$43&lt;Refsz_Verbräuche[[#Headers],[2027]],Refsz_Verbräuche[[#This Row],[2026]],"")))</f>
        <v/>
      </c>
      <c r="R122" s="124" t="str">
        <f>IF(Refsz_Verbräuche[[#Headers],[2028]]=$B$43,IF(OR(SUMIF($E122:Refsz_Verbräuche[[#This Row],[2027]],"&gt;0")&gt;0,), AVERAGEIF($E122:Refsz_Verbräuche[[#This Row],[2027]],"&lt;&gt;"""), ""),IF($B$43=(Refsz_Verbräuche[[#Headers],[2028]]-1),Refsz_Verbräuche[[#This Row],[2027]],IF($B$43&lt;Refsz_Verbräuche[[#Headers],[2028]],Refsz_Verbräuche[[#This Row],[2027]],"")))</f>
        <v/>
      </c>
      <c r="S122" s="124" t="str">
        <f>IF(Refsz_Verbräuche[[#Headers],[2029]]=$B$43,IF(OR(SUMIF($E122:Refsz_Verbräuche[[#This Row],[2028]],"&gt;0")&gt;0,), AVERAGEIF($E122:Refsz_Verbräuche[[#This Row],[2028]],"&lt;&gt;"""), ""),IF($B$43=(Refsz_Verbräuche[[#Headers],[2029]]-1),Refsz_Verbräuche[[#This Row],[2028]],IF($B$43&lt;Refsz_Verbräuche[[#Headers],[2029]],Refsz_Verbräuche[[#This Row],[2028]],"")))</f>
        <v/>
      </c>
      <c r="T122" s="124" t="str">
        <f>IF(Refsz_Verbräuche[[#Headers],[2030]]=$B$43,IF(OR(SUMIF($E122:Refsz_Verbräuche[[#This Row],[2029]],"&gt;0")&gt;0,), AVERAGEIF($E122:Refsz_Verbräuche[[#This Row],[2029]],"&lt;&gt;"""), ""),IF($B$43=(Refsz_Verbräuche[[#Headers],[2030]]-1),Refsz_Verbräuche[[#This Row],[2029]],IF($B$43&lt;Refsz_Verbräuche[[#Headers],[2030]],Refsz_Verbräuche[[#This Row],[2029]],"")))</f>
        <v/>
      </c>
      <c r="U122" s="124" t="str">
        <f>IF(Refsz_Verbräuche[[#Headers],[2035]]=$B$43,IF(OR(SUMIF($E122:Refsz_Verbräuche[[#This Row],[2030]],"&gt;0")&gt;0,), AVERAGEIF($E122:Refsz_Verbräuche[[#This Row],[2030]],"&lt;&gt;"""), ""),IF($B$43=(Refsz_Verbräuche[[#Headers],[2035]]-1),Refsz_Verbräuche[[#This Row],[2030]],IF($B$43&lt;Refsz_Verbräuche[[#Headers],[2035]],Refsz_Verbräuche[[#This Row],[2030]],"")))</f>
        <v/>
      </c>
      <c r="V122" s="124" t="str">
        <f>IF(Refsz_Verbräuche[[#Headers],[2040]]=$B$43,IF(OR(SUMIF($E122:Refsz_Verbräuche[[#This Row],[2035]],"&gt;0")&gt;0,), AVERAGEIF($E122:Refsz_Verbräuche[[#This Row],[2035]],"&lt;&gt;"""), ""),IF($B$43=(Refsz_Verbräuche[[#Headers],[2040]]-1),Refsz_Verbräuche[[#This Row],[2035]],IF($B$43&lt;Refsz_Verbräuche[[#Headers],[2040]],Refsz_Verbräuche[[#This Row],[2035]],"")))</f>
        <v/>
      </c>
      <c r="W122" s="124" t="str">
        <f>IF(Refsz_Verbräuche[[#Headers],[2045]]=$B$43,IF(OR(SUMIF($E122:Refsz_Verbräuche[[#This Row],[2040]],"&gt;0")&gt;0,), AVERAGEIF($E122:Refsz_Verbräuche[[#This Row],[2040]],"&lt;&gt;"""), ""),IF($B$43=(Refsz_Verbräuche[[#Headers],[2045]]-1),Refsz_Verbräuche[[#This Row],[2040]],IF($B$43&lt;Refsz_Verbräuche[[#Headers],[2045]],Refsz_Verbräuche[[#This Row],[2040]],"")))</f>
        <v/>
      </c>
      <c r="X122" s="124" t="str">
        <f>IF(Refsz_Verbräuche[[#Headers],[2050]]=$B$43,IF(OR(SUMIF($E122:Refsz_Verbräuche[[#This Row],[2045]],"&gt;0")&gt;0,), AVERAGEIF($E122:Refsz_Verbräuche[[#This Row],[2045]],"&lt;&gt;"""), ""),IF($B$43=(Refsz_Verbräuche[[#Headers],[2050]]-1),Refsz_Verbräuche[[#This Row],[2045]],IF($B$43&lt;Refsz_Verbräuche[[#Headers],[2050]],Refsz_Verbräuche[[#This Row],[2045]],"")))</f>
        <v/>
      </c>
      <c r="Z122" s="15"/>
    </row>
    <row r="123" spans="2:26" x14ac:dyDescent="0.35">
      <c r="B123" s="15">
        <v>63</v>
      </c>
      <c r="C123" t="str">
        <f>_xlfn.CONCAT('Refsz-Verbräuche'!C50," - Eisenbahn (Fernverkehr)")</f>
        <v>Pendeln - Eisenbahn (Fernverkehr)</v>
      </c>
      <c r="D123" t="s">
        <v>47</v>
      </c>
      <c r="E123" s="124"/>
      <c r="F123" s="124"/>
      <c r="G123" s="124"/>
      <c r="H123" s="124"/>
      <c r="I123" s="124"/>
      <c r="J123" s="124"/>
      <c r="K123" s="124"/>
      <c r="L123" s="124" t="str">
        <f>IF(Refsz_Verbräuche[[#Headers],[2022]]=$B$43,IF(OR(SUMIF($E123:Refsz_Verbräuche[[#This Row],[2021]],"&gt;0")&gt;0,), AVERAGEIF($E123:Refsz_Verbräuche[[#This Row],[2021]],"&lt;&gt;"""), ""),IF($B$43=(Refsz_Verbräuche[[#Headers],[2022]]-1),Refsz_Verbräuche[[#This Row],[2021]],IF($B$43&lt;Refsz_Verbräuche[[#Headers],[2022]],Refsz_Verbräuche[[#This Row],[2021]],"")))</f>
        <v/>
      </c>
      <c r="M123" s="124" t="str">
        <f>IF(Refsz_Verbräuche[[#Headers],[2023]]=$B$43,IF(OR(SUMIF($E123:Refsz_Verbräuche[[#This Row],[2022]],"&gt;0")&gt;0,), AVERAGEIF($E123:Refsz_Verbräuche[[#This Row],[2022]],"&lt;&gt;"""), ""),IF($B$43=(Refsz_Verbräuche[[#Headers],[2023]]-1),Refsz_Verbräuche[[#This Row],[2022]],IF($B$43&lt;Refsz_Verbräuche[[#Headers],[2023]],Refsz_Verbräuche[[#This Row],[2022]],"")))</f>
        <v/>
      </c>
      <c r="N123" s="124" t="str">
        <f>IF(Refsz_Verbräuche[[#Headers],[2024]]=$B$43,IF(OR(SUMIF($E123:Refsz_Verbräuche[[#This Row],[2023]],"&gt;0")&gt;0,), AVERAGEIF($E123:Refsz_Verbräuche[[#This Row],[2023]],"&lt;&gt;"""), ""),IF($B$43=(Refsz_Verbräuche[[#Headers],[2024]]-1),Refsz_Verbräuche[[#This Row],[2023]],IF($B$43&lt;Refsz_Verbräuche[[#Headers],[2024]],Refsz_Verbräuche[[#This Row],[2023]],"")))</f>
        <v/>
      </c>
      <c r="O123" s="124" t="str">
        <f>IF(Refsz_Verbräuche[[#Headers],[2025]]=$B$43,IF(OR(SUMIF($E123:Refsz_Verbräuche[[#This Row],[2024]],"&gt;0")&gt;0,), AVERAGEIF($E123:Refsz_Verbräuche[[#This Row],[2024]],"&lt;&gt;"""), ""),IF($B$43=(Refsz_Verbräuche[[#Headers],[2025]]-1),Refsz_Verbräuche[[#This Row],[2024]],IF($B$43&lt;Refsz_Verbräuche[[#Headers],[2025]],Refsz_Verbräuche[[#This Row],[2024]],"")))</f>
        <v/>
      </c>
      <c r="P123" s="124" t="str">
        <f>IF(Refsz_Verbräuche[[#Headers],[2026]]=$B$43,IF(OR(SUMIF($E123:Refsz_Verbräuche[[#This Row],[2025]],"&gt;0")&gt;0,), AVERAGEIF($E123:Refsz_Verbräuche[[#This Row],[2025]],"&lt;&gt;"""), ""),IF($B$43=(Refsz_Verbräuche[[#Headers],[2026]]-1),Refsz_Verbräuche[[#This Row],[2025]],IF($B$43&lt;Refsz_Verbräuche[[#Headers],[2026]],Refsz_Verbräuche[[#This Row],[2025]],"")))</f>
        <v/>
      </c>
      <c r="Q123" s="124" t="str">
        <f>IF(Refsz_Verbräuche[[#Headers],[2027]]=$B$43,IF(OR(SUMIF($E123:Refsz_Verbräuche[[#This Row],[2026]],"&gt;0")&gt;0,), AVERAGEIF($E123:Refsz_Verbräuche[[#This Row],[2026]],"&lt;&gt;"""), ""),IF($B$43=(Refsz_Verbräuche[[#Headers],[2027]]-1),Refsz_Verbräuche[[#This Row],[2026]],IF($B$43&lt;Refsz_Verbräuche[[#Headers],[2027]],Refsz_Verbräuche[[#This Row],[2026]],"")))</f>
        <v/>
      </c>
      <c r="R123" s="124" t="str">
        <f>IF(Refsz_Verbräuche[[#Headers],[2028]]=$B$43,IF(OR(SUMIF($E123:Refsz_Verbräuche[[#This Row],[2027]],"&gt;0")&gt;0,), AVERAGEIF($E123:Refsz_Verbräuche[[#This Row],[2027]],"&lt;&gt;"""), ""),IF($B$43=(Refsz_Verbräuche[[#Headers],[2028]]-1),Refsz_Verbräuche[[#This Row],[2027]],IF($B$43&lt;Refsz_Verbräuche[[#Headers],[2028]],Refsz_Verbräuche[[#This Row],[2027]],"")))</f>
        <v/>
      </c>
      <c r="S123" s="124" t="str">
        <f>IF(Refsz_Verbräuche[[#Headers],[2029]]=$B$43,IF(OR(SUMIF($E123:Refsz_Verbräuche[[#This Row],[2028]],"&gt;0")&gt;0,), AVERAGEIF($E123:Refsz_Verbräuche[[#This Row],[2028]],"&lt;&gt;"""), ""),IF($B$43=(Refsz_Verbräuche[[#Headers],[2029]]-1),Refsz_Verbräuche[[#This Row],[2028]],IF($B$43&lt;Refsz_Verbräuche[[#Headers],[2029]],Refsz_Verbräuche[[#This Row],[2028]],"")))</f>
        <v/>
      </c>
      <c r="T123" s="124" t="str">
        <f>IF(Refsz_Verbräuche[[#Headers],[2030]]=$B$43,IF(OR(SUMIF($E123:Refsz_Verbräuche[[#This Row],[2029]],"&gt;0")&gt;0,), AVERAGEIF($E123:Refsz_Verbräuche[[#This Row],[2029]],"&lt;&gt;"""), ""),IF($B$43=(Refsz_Verbräuche[[#Headers],[2030]]-1),Refsz_Verbräuche[[#This Row],[2029]],IF($B$43&lt;Refsz_Verbräuche[[#Headers],[2030]],Refsz_Verbräuche[[#This Row],[2029]],"")))</f>
        <v/>
      </c>
      <c r="U123" s="124" t="str">
        <f>IF(Refsz_Verbräuche[[#Headers],[2035]]=$B$43,IF(OR(SUMIF($E123:Refsz_Verbräuche[[#This Row],[2030]],"&gt;0")&gt;0,), AVERAGEIF($E123:Refsz_Verbräuche[[#This Row],[2030]],"&lt;&gt;"""), ""),IF($B$43=(Refsz_Verbräuche[[#Headers],[2035]]-1),Refsz_Verbräuche[[#This Row],[2030]],IF($B$43&lt;Refsz_Verbräuche[[#Headers],[2035]],Refsz_Verbräuche[[#This Row],[2030]],"")))</f>
        <v/>
      </c>
      <c r="V123" s="124" t="str">
        <f>IF(Refsz_Verbräuche[[#Headers],[2040]]=$B$43,IF(OR(SUMIF($E123:Refsz_Verbräuche[[#This Row],[2035]],"&gt;0")&gt;0,), AVERAGEIF($E123:Refsz_Verbräuche[[#This Row],[2035]],"&lt;&gt;"""), ""),IF($B$43=(Refsz_Verbräuche[[#Headers],[2040]]-1),Refsz_Verbräuche[[#This Row],[2035]],IF($B$43&lt;Refsz_Verbräuche[[#Headers],[2040]],Refsz_Verbräuche[[#This Row],[2035]],"")))</f>
        <v/>
      </c>
      <c r="W123" s="124" t="str">
        <f>IF(Refsz_Verbräuche[[#Headers],[2045]]=$B$43,IF(OR(SUMIF($E123:Refsz_Verbräuche[[#This Row],[2040]],"&gt;0")&gt;0,), AVERAGEIF($E123:Refsz_Verbräuche[[#This Row],[2040]],"&lt;&gt;"""), ""),IF($B$43=(Refsz_Verbräuche[[#Headers],[2045]]-1),Refsz_Verbräuche[[#This Row],[2040]],IF($B$43&lt;Refsz_Verbräuche[[#Headers],[2045]],Refsz_Verbräuche[[#This Row],[2040]],"")))</f>
        <v/>
      </c>
      <c r="X123" s="124" t="str">
        <f>IF(Refsz_Verbräuche[[#Headers],[2050]]=$B$43,IF(OR(SUMIF($E123:Refsz_Verbräuche[[#This Row],[2045]],"&gt;0")&gt;0,), AVERAGEIF($E123:Refsz_Verbräuche[[#This Row],[2045]],"&lt;&gt;"""), ""),IF($B$43=(Refsz_Verbräuche[[#Headers],[2050]]-1),Refsz_Verbräuche[[#This Row],[2045]],IF($B$43&lt;Refsz_Verbräuche[[#Headers],[2050]],Refsz_Verbräuche[[#This Row],[2045]],"")))</f>
        <v/>
      </c>
      <c r="Z123" s="15"/>
    </row>
    <row r="124" spans="2:26" x14ac:dyDescent="0.35">
      <c r="B124" s="15">
        <v>64</v>
      </c>
      <c r="C124" t="str">
        <f>_xlfn.CONCAT('Refsz-Verbräuche'!C50," - Eisenbahn (Nahverkehr)")</f>
        <v>Pendeln - Eisenbahn (Nahverkehr)</v>
      </c>
      <c r="D124" t="s">
        <v>47</v>
      </c>
      <c r="E124" s="124"/>
      <c r="F124" s="124"/>
      <c r="G124" s="124"/>
      <c r="H124" s="124"/>
      <c r="I124" s="124"/>
      <c r="J124" s="124"/>
      <c r="K124" s="124"/>
      <c r="L124" s="124" t="str">
        <f>IF(Refsz_Verbräuche[[#Headers],[2022]]=$B$43,IF(OR(SUMIF($E124:Refsz_Verbräuche[[#This Row],[2021]],"&gt;0")&gt;0,), AVERAGEIF($E124:Refsz_Verbräuche[[#This Row],[2021]],"&lt;&gt;"""), ""),IF($B$43=(Refsz_Verbräuche[[#Headers],[2022]]-1),Refsz_Verbräuche[[#This Row],[2021]],IF($B$43&lt;Refsz_Verbräuche[[#Headers],[2022]],Refsz_Verbräuche[[#This Row],[2021]],"")))</f>
        <v/>
      </c>
      <c r="M124" s="124" t="str">
        <f>IF(Refsz_Verbräuche[[#Headers],[2023]]=$B$43,IF(OR(SUMIF($E124:Refsz_Verbräuche[[#This Row],[2022]],"&gt;0")&gt;0,), AVERAGEIF($E124:Refsz_Verbräuche[[#This Row],[2022]],"&lt;&gt;"""), ""),IF($B$43=(Refsz_Verbräuche[[#Headers],[2023]]-1),Refsz_Verbräuche[[#This Row],[2022]],IF($B$43&lt;Refsz_Verbräuche[[#Headers],[2023]],Refsz_Verbräuche[[#This Row],[2022]],"")))</f>
        <v/>
      </c>
      <c r="N124" s="124" t="str">
        <f>IF(Refsz_Verbräuche[[#Headers],[2024]]=$B$43,IF(OR(SUMIF($E124:Refsz_Verbräuche[[#This Row],[2023]],"&gt;0")&gt;0,), AVERAGEIF($E124:Refsz_Verbräuche[[#This Row],[2023]],"&lt;&gt;"""), ""),IF($B$43=(Refsz_Verbräuche[[#Headers],[2024]]-1),Refsz_Verbräuche[[#This Row],[2023]],IF($B$43&lt;Refsz_Verbräuche[[#Headers],[2024]],Refsz_Verbräuche[[#This Row],[2023]],"")))</f>
        <v/>
      </c>
      <c r="O124" s="124" t="str">
        <f>IF(Refsz_Verbräuche[[#Headers],[2025]]=$B$43,IF(OR(SUMIF($E124:Refsz_Verbräuche[[#This Row],[2024]],"&gt;0")&gt;0,), AVERAGEIF($E124:Refsz_Verbräuche[[#This Row],[2024]],"&lt;&gt;"""), ""),IF($B$43=(Refsz_Verbräuche[[#Headers],[2025]]-1),Refsz_Verbräuche[[#This Row],[2024]],IF($B$43&lt;Refsz_Verbräuche[[#Headers],[2025]],Refsz_Verbräuche[[#This Row],[2024]],"")))</f>
        <v/>
      </c>
      <c r="P124" s="124" t="str">
        <f>IF(Refsz_Verbräuche[[#Headers],[2026]]=$B$43,IF(OR(SUMIF($E124:Refsz_Verbräuche[[#This Row],[2025]],"&gt;0")&gt;0,), AVERAGEIF($E124:Refsz_Verbräuche[[#This Row],[2025]],"&lt;&gt;"""), ""),IF($B$43=(Refsz_Verbräuche[[#Headers],[2026]]-1),Refsz_Verbräuche[[#This Row],[2025]],IF($B$43&lt;Refsz_Verbräuche[[#Headers],[2026]],Refsz_Verbräuche[[#This Row],[2025]],"")))</f>
        <v/>
      </c>
      <c r="Q124" s="124" t="str">
        <f>IF(Refsz_Verbräuche[[#Headers],[2027]]=$B$43,IF(OR(SUMIF($E124:Refsz_Verbräuche[[#This Row],[2026]],"&gt;0")&gt;0,), AVERAGEIF($E124:Refsz_Verbräuche[[#This Row],[2026]],"&lt;&gt;"""), ""),IF($B$43=(Refsz_Verbräuche[[#Headers],[2027]]-1),Refsz_Verbräuche[[#This Row],[2026]],IF($B$43&lt;Refsz_Verbräuche[[#Headers],[2027]],Refsz_Verbräuche[[#This Row],[2026]],"")))</f>
        <v/>
      </c>
      <c r="R124" s="124" t="str">
        <f>IF(Refsz_Verbräuche[[#Headers],[2028]]=$B$43,IF(OR(SUMIF($E124:Refsz_Verbräuche[[#This Row],[2027]],"&gt;0")&gt;0,), AVERAGEIF($E124:Refsz_Verbräuche[[#This Row],[2027]],"&lt;&gt;"""), ""),IF($B$43=(Refsz_Verbräuche[[#Headers],[2028]]-1),Refsz_Verbräuche[[#This Row],[2027]],IF($B$43&lt;Refsz_Verbräuche[[#Headers],[2028]],Refsz_Verbräuche[[#This Row],[2027]],"")))</f>
        <v/>
      </c>
      <c r="S124" s="124" t="str">
        <f>IF(Refsz_Verbräuche[[#Headers],[2029]]=$B$43,IF(OR(SUMIF($E124:Refsz_Verbräuche[[#This Row],[2028]],"&gt;0")&gt;0,), AVERAGEIF($E124:Refsz_Verbräuche[[#This Row],[2028]],"&lt;&gt;"""), ""),IF($B$43=(Refsz_Verbräuche[[#Headers],[2029]]-1),Refsz_Verbräuche[[#This Row],[2028]],IF($B$43&lt;Refsz_Verbräuche[[#Headers],[2029]],Refsz_Verbräuche[[#This Row],[2028]],"")))</f>
        <v/>
      </c>
      <c r="T124" s="124" t="str">
        <f>IF(Refsz_Verbräuche[[#Headers],[2030]]=$B$43,IF(OR(SUMIF($E124:Refsz_Verbräuche[[#This Row],[2029]],"&gt;0")&gt;0,), AVERAGEIF($E124:Refsz_Verbräuche[[#This Row],[2029]],"&lt;&gt;"""), ""),IF($B$43=(Refsz_Verbräuche[[#Headers],[2030]]-1),Refsz_Verbräuche[[#This Row],[2029]],IF($B$43&lt;Refsz_Verbräuche[[#Headers],[2030]],Refsz_Verbräuche[[#This Row],[2029]],"")))</f>
        <v/>
      </c>
      <c r="U124" s="124" t="str">
        <f>IF(Refsz_Verbräuche[[#Headers],[2035]]=$B$43,IF(OR(SUMIF($E124:Refsz_Verbräuche[[#This Row],[2030]],"&gt;0")&gt;0,), AVERAGEIF($E124:Refsz_Verbräuche[[#This Row],[2030]],"&lt;&gt;"""), ""),IF($B$43=(Refsz_Verbräuche[[#Headers],[2035]]-1),Refsz_Verbräuche[[#This Row],[2030]],IF($B$43&lt;Refsz_Verbräuche[[#Headers],[2035]],Refsz_Verbräuche[[#This Row],[2030]],"")))</f>
        <v/>
      </c>
      <c r="V124" s="124" t="str">
        <f>IF(Refsz_Verbräuche[[#Headers],[2040]]=$B$43,IF(OR(SUMIF($E124:Refsz_Verbräuche[[#This Row],[2035]],"&gt;0")&gt;0,), AVERAGEIF($E124:Refsz_Verbräuche[[#This Row],[2035]],"&lt;&gt;"""), ""),IF($B$43=(Refsz_Verbräuche[[#Headers],[2040]]-1),Refsz_Verbräuche[[#This Row],[2035]],IF($B$43&lt;Refsz_Verbräuche[[#Headers],[2040]],Refsz_Verbräuche[[#This Row],[2035]],"")))</f>
        <v/>
      </c>
      <c r="W124" s="124" t="str">
        <f>IF(Refsz_Verbräuche[[#Headers],[2045]]=$B$43,IF(OR(SUMIF($E124:Refsz_Verbräuche[[#This Row],[2040]],"&gt;0")&gt;0,), AVERAGEIF($E124:Refsz_Verbräuche[[#This Row],[2040]],"&lt;&gt;"""), ""),IF($B$43=(Refsz_Verbräuche[[#Headers],[2045]]-1),Refsz_Verbräuche[[#This Row],[2040]],IF($B$43&lt;Refsz_Verbräuche[[#Headers],[2045]],Refsz_Verbräuche[[#This Row],[2040]],"")))</f>
        <v/>
      </c>
      <c r="X124" s="124" t="str">
        <f>IF(Refsz_Verbräuche[[#Headers],[2050]]=$B$43,IF(OR(SUMIF($E124:Refsz_Verbräuche[[#This Row],[2045]],"&gt;0")&gt;0,), AVERAGEIF($E124:Refsz_Verbräuche[[#This Row],[2045]],"&lt;&gt;"""), ""),IF($B$43=(Refsz_Verbräuche[[#Headers],[2050]]-1),Refsz_Verbräuche[[#This Row],[2045]],IF($B$43&lt;Refsz_Verbräuche[[#Headers],[2050]],Refsz_Verbräuche[[#This Row],[2045]],"")))</f>
        <v/>
      </c>
      <c r="Z124" s="15"/>
    </row>
    <row r="125" spans="2:26" x14ac:dyDescent="0.35">
      <c r="B125" s="15">
        <v>65</v>
      </c>
      <c r="C125" t="str">
        <f>_xlfn.CONCAT('Refsz-Verbräuche'!C50," - Linienbus (Nahverkehr)")</f>
        <v>Pendeln - Linienbus (Nahverkehr)</v>
      </c>
      <c r="D125" t="s">
        <v>47</v>
      </c>
      <c r="E125" s="124"/>
      <c r="F125" s="124"/>
      <c r="G125" s="124"/>
      <c r="H125" s="124"/>
      <c r="I125" s="124"/>
      <c r="J125" s="124"/>
      <c r="K125" s="124"/>
      <c r="L125" s="124" t="str">
        <f>IF(Refsz_Verbräuche[[#Headers],[2022]]=$B$43,IF(OR(SUMIF($E125:Refsz_Verbräuche[[#This Row],[2021]],"&gt;0")&gt;0,), AVERAGEIF($E125:Refsz_Verbräuche[[#This Row],[2021]],"&lt;&gt;"""), ""),IF($B$43=(Refsz_Verbräuche[[#Headers],[2022]]-1),Refsz_Verbräuche[[#This Row],[2021]],IF($B$43&lt;Refsz_Verbräuche[[#Headers],[2022]],Refsz_Verbräuche[[#This Row],[2021]],"")))</f>
        <v/>
      </c>
      <c r="M125" s="124" t="str">
        <f>IF(Refsz_Verbräuche[[#Headers],[2023]]=$B$43,IF(OR(SUMIF($E125:Refsz_Verbräuche[[#This Row],[2022]],"&gt;0")&gt;0,), AVERAGEIF($E125:Refsz_Verbräuche[[#This Row],[2022]],"&lt;&gt;"""), ""),IF($B$43=(Refsz_Verbräuche[[#Headers],[2023]]-1),Refsz_Verbräuche[[#This Row],[2022]],IF($B$43&lt;Refsz_Verbräuche[[#Headers],[2023]],Refsz_Verbräuche[[#This Row],[2022]],"")))</f>
        <v/>
      </c>
      <c r="N125" s="124" t="str">
        <f>IF(Refsz_Verbräuche[[#Headers],[2024]]=$B$43,IF(OR(SUMIF($E125:Refsz_Verbräuche[[#This Row],[2023]],"&gt;0")&gt;0,), AVERAGEIF($E125:Refsz_Verbräuche[[#This Row],[2023]],"&lt;&gt;"""), ""),IF($B$43=(Refsz_Verbräuche[[#Headers],[2024]]-1),Refsz_Verbräuche[[#This Row],[2023]],IF($B$43&lt;Refsz_Verbräuche[[#Headers],[2024]],Refsz_Verbräuche[[#This Row],[2023]],"")))</f>
        <v/>
      </c>
      <c r="O125" s="124" t="str">
        <f>IF(Refsz_Verbräuche[[#Headers],[2025]]=$B$43,IF(OR(SUMIF($E125:Refsz_Verbräuche[[#This Row],[2024]],"&gt;0")&gt;0,), AVERAGEIF($E125:Refsz_Verbräuche[[#This Row],[2024]],"&lt;&gt;"""), ""),IF($B$43=(Refsz_Verbräuche[[#Headers],[2025]]-1),Refsz_Verbräuche[[#This Row],[2024]],IF($B$43&lt;Refsz_Verbräuche[[#Headers],[2025]],Refsz_Verbräuche[[#This Row],[2024]],"")))</f>
        <v/>
      </c>
      <c r="P125" s="124" t="str">
        <f>IF(Refsz_Verbräuche[[#Headers],[2026]]=$B$43,IF(OR(SUMIF($E125:Refsz_Verbräuche[[#This Row],[2025]],"&gt;0")&gt;0,), AVERAGEIF($E125:Refsz_Verbräuche[[#This Row],[2025]],"&lt;&gt;"""), ""),IF($B$43=(Refsz_Verbräuche[[#Headers],[2026]]-1),Refsz_Verbräuche[[#This Row],[2025]],IF($B$43&lt;Refsz_Verbräuche[[#Headers],[2026]],Refsz_Verbräuche[[#This Row],[2025]],"")))</f>
        <v/>
      </c>
      <c r="Q125" s="124" t="str">
        <f>IF(Refsz_Verbräuche[[#Headers],[2027]]=$B$43,IF(OR(SUMIF($E125:Refsz_Verbräuche[[#This Row],[2026]],"&gt;0")&gt;0,), AVERAGEIF($E125:Refsz_Verbräuche[[#This Row],[2026]],"&lt;&gt;"""), ""),IF($B$43=(Refsz_Verbräuche[[#Headers],[2027]]-1),Refsz_Verbräuche[[#This Row],[2026]],IF($B$43&lt;Refsz_Verbräuche[[#Headers],[2027]],Refsz_Verbräuche[[#This Row],[2026]],"")))</f>
        <v/>
      </c>
      <c r="R125" s="124" t="str">
        <f>IF(Refsz_Verbräuche[[#Headers],[2028]]=$B$43,IF(OR(SUMIF($E125:Refsz_Verbräuche[[#This Row],[2027]],"&gt;0")&gt;0,), AVERAGEIF($E125:Refsz_Verbräuche[[#This Row],[2027]],"&lt;&gt;"""), ""),IF($B$43=(Refsz_Verbräuche[[#Headers],[2028]]-1),Refsz_Verbräuche[[#This Row],[2027]],IF($B$43&lt;Refsz_Verbräuche[[#Headers],[2028]],Refsz_Verbräuche[[#This Row],[2027]],"")))</f>
        <v/>
      </c>
      <c r="S125" s="124" t="str">
        <f>IF(Refsz_Verbräuche[[#Headers],[2029]]=$B$43,IF(OR(SUMIF($E125:Refsz_Verbräuche[[#This Row],[2028]],"&gt;0")&gt;0,), AVERAGEIF($E125:Refsz_Verbräuche[[#This Row],[2028]],"&lt;&gt;"""), ""),IF($B$43=(Refsz_Verbräuche[[#Headers],[2029]]-1),Refsz_Verbräuche[[#This Row],[2028]],IF($B$43&lt;Refsz_Verbräuche[[#Headers],[2029]],Refsz_Verbräuche[[#This Row],[2028]],"")))</f>
        <v/>
      </c>
      <c r="T125" s="124" t="str">
        <f>IF(Refsz_Verbräuche[[#Headers],[2030]]=$B$43,IF(OR(SUMIF($E125:Refsz_Verbräuche[[#This Row],[2029]],"&gt;0")&gt;0,), AVERAGEIF($E125:Refsz_Verbräuche[[#This Row],[2029]],"&lt;&gt;"""), ""),IF($B$43=(Refsz_Verbräuche[[#Headers],[2030]]-1),Refsz_Verbräuche[[#This Row],[2029]],IF($B$43&lt;Refsz_Verbräuche[[#Headers],[2030]],Refsz_Verbräuche[[#This Row],[2029]],"")))</f>
        <v/>
      </c>
      <c r="U125" s="124" t="str">
        <f>IF(Refsz_Verbräuche[[#Headers],[2035]]=$B$43,IF(OR(SUMIF($E125:Refsz_Verbräuche[[#This Row],[2030]],"&gt;0")&gt;0,), AVERAGEIF($E125:Refsz_Verbräuche[[#This Row],[2030]],"&lt;&gt;"""), ""),IF($B$43=(Refsz_Verbräuche[[#Headers],[2035]]-1),Refsz_Verbräuche[[#This Row],[2030]],IF($B$43&lt;Refsz_Verbräuche[[#Headers],[2035]],Refsz_Verbräuche[[#This Row],[2030]],"")))</f>
        <v/>
      </c>
      <c r="V125" s="124" t="str">
        <f>IF(Refsz_Verbräuche[[#Headers],[2040]]=$B$43,IF(OR(SUMIF($E125:Refsz_Verbräuche[[#This Row],[2035]],"&gt;0")&gt;0,), AVERAGEIF($E125:Refsz_Verbräuche[[#This Row],[2035]],"&lt;&gt;"""), ""),IF($B$43=(Refsz_Verbräuche[[#Headers],[2040]]-1),Refsz_Verbräuche[[#This Row],[2035]],IF($B$43&lt;Refsz_Verbräuche[[#Headers],[2040]],Refsz_Verbräuche[[#This Row],[2035]],"")))</f>
        <v/>
      </c>
      <c r="W125" s="124" t="str">
        <f>IF(Refsz_Verbräuche[[#Headers],[2045]]=$B$43,IF(OR(SUMIF($E125:Refsz_Verbräuche[[#This Row],[2040]],"&gt;0")&gt;0,), AVERAGEIF($E125:Refsz_Verbräuche[[#This Row],[2040]],"&lt;&gt;"""), ""),IF($B$43=(Refsz_Verbräuche[[#Headers],[2045]]-1),Refsz_Verbräuche[[#This Row],[2040]],IF($B$43&lt;Refsz_Verbräuche[[#Headers],[2045]],Refsz_Verbräuche[[#This Row],[2040]],"")))</f>
        <v/>
      </c>
      <c r="X125" s="124" t="str">
        <f>IF(Refsz_Verbräuche[[#Headers],[2050]]=$B$43,IF(OR(SUMIF($E125:Refsz_Verbräuche[[#This Row],[2045]],"&gt;0")&gt;0,), AVERAGEIF($E125:Refsz_Verbräuche[[#This Row],[2045]],"&lt;&gt;"""), ""),IF($B$43=(Refsz_Verbräuche[[#Headers],[2050]]-1),Refsz_Verbräuche[[#This Row],[2045]],IF($B$43&lt;Refsz_Verbräuche[[#Headers],[2050]],Refsz_Verbräuche[[#This Row],[2045]],"")))</f>
        <v/>
      </c>
      <c r="Z125" s="15"/>
    </row>
    <row r="126" spans="2:26" x14ac:dyDescent="0.35">
      <c r="B126" s="15">
        <v>66</v>
      </c>
      <c r="C126" t="str">
        <f>_xlfn.CONCAT('Refsz-Verbräuche'!C50," - PKW (alle Antriebsarten)")</f>
        <v>Pendeln - PKW (alle Antriebsarten)</v>
      </c>
      <c r="D126" t="s">
        <v>417</v>
      </c>
      <c r="E126" s="124"/>
      <c r="F126" s="124"/>
      <c r="G126" s="124"/>
      <c r="H126" s="124"/>
      <c r="I126" s="124"/>
      <c r="J126" s="124"/>
      <c r="K126" s="124"/>
      <c r="L126" s="124" t="str">
        <f>IF(Refsz_Verbräuche[[#Headers],[2022]]=$B$43,IF(OR(SUMIF($E126:Refsz_Verbräuche[[#This Row],[2021]],"&gt;0")&gt;0,), AVERAGEIF($E126:Refsz_Verbräuche[[#This Row],[2021]],"&lt;&gt;"""), ""),IF($B$43=(Refsz_Verbräuche[[#Headers],[2022]]-1),Refsz_Verbräuche[[#This Row],[2021]],IF($B$43&lt;Refsz_Verbräuche[[#Headers],[2022]],Refsz_Verbräuche[[#This Row],[2021]],"")))</f>
        <v/>
      </c>
      <c r="M126" s="124" t="str">
        <f>IF(Refsz_Verbräuche[[#Headers],[2023]]=$B$43,IF(OR(SUMIF($E126:Refsz_Verbräuche[[#This Row],[2022]],"&gt;0")&gt;0,), AVERAGEIF($E126:Refsz_Verbräuche[[#This Row],[2022]],"&lt;&gt;"""), ""),IF($B$43=(Refsz_Verbräuche[[#Headers],[2023]]-1),Refsz_Verbräuche[[#This Row],[2022]],IF($B$43&lt;Refsz_Verbräuche[[#Headers],[2023]],Refsz_Verbräuche[[#This Row],[2022]],"")))</f>
        <v/>
      </c>
      <c r="N126" s="124" t="str">
        <f>IF(Refsz_Verbräuche[[#Headers],[2024]]=$B$43,IF(OR(SUMIF($E126:Refsz_Verbräuche[[#This Row],[2023]],"&gt;0")&gt;0,), AVERAGEIF($E126:Refsz_Verbräuche[[#This Row],[2023]],"&lt;&gt;"""), ""),IF($B$43=(Refsz_Verbräuche[[#Headers],[2024]]-1),Refsz_Verbräuche[[#This Row],[2023]],IF($B$43&lt;Refsz_Verbräuche[[#Headers],[2024]],Refsz_Verbräuche[[#This Row],[2023]],"")))</f>
        <v/>
      </c>
      <c r="O126" s="124" t="str">
        <f>IF(Refsz_Verbräuche[[#Headers],[2025]]=$B$43,IF(OR(SUMIF($E126:Refsz_Verbräuche[[#This Row],[2024]],"&gt;0")&gt;0,), AVERAGEIF($E126:Refsz_Verbräuche[[#This Row],[2024]],"&lt;&gt;"""), ""),IF($B$43=(Refsz_Verbräuche[[#Headers],[2025]]-1),Refsz_Verbräuche[[#This Row],[2024]],IF($B$43&lt;Refsz_Verbräuche[[#Headers],[2025]],Refsz_Verbräuche[[#This Row],[2024]],"")))</f>
        <v/>
      </c>
      <c r="P126" s="124" t="str">
        <f>IF(Refsz_Verbräuche[[#Headers],[2026]]=$B$43,IF(OR(SUMIF($E126:Refsz_Verbräuche[[#This Row],[2025]],"&gt;0")&gt;0,), AVERAGEIF($E126:Refsz_Verbräuche[[#This Row],[2025]],"&lt;&gt;"""), ""),IF($B$43=(Refsz_Verbräuche[[#Headers],[2026]]-1),Refsz_Verbräuche[[#This Row],[2025]],IF($B$43&lt;Refsz_Verbräuche[[#Headers],[2026]],Refsz_Verbräuche[[#This Row],[2025]],"")))</f>
        <v/>
      </c>
      <c r="Q126" s="124" t="str">
        <f>IF(Refsz_Verbräuche[[#Headers],[2027]]=$B$43,IF(OR(SUMIF($E126:Refsz_Verbräuche[[#This Row],[2026]],"&gt;0")&gt;0,), AVERAGEIF($E126:Refsz_Verbräuche[[#This Row],[2026]],"&lt;&gt;"""), ""),IF($B$43=(Refsz_Verbräuche[[#Headers],[2027]]-1),Refsz_Verbräuche[[#This Row],[2026]],IF($B$43&lt;Refsz_Verbräuche[[#Headers],[2027]],Refsz_Verbräuche[[#This Row],[2026]],"")))</f>
        <v/>
      </c>
      <c r="R126" s="124" t="str">
        <f>IF(Refsz_Verbräuche[[#Headers],[2028]]=$B$43,IF(OR(SUMIF($E126:Refsz_Verbräuche[[#This Row],[2027]],"&gt;0")&gt;0,), AVERAGEIF($E126:Refsz_Verbräuche[[#This Row],[2027]],"&lt;&gt;"""), ""),IF($B$43=(Refsz_Verbräuche[[#Headers],[2028]]-1),Refsz_Verbräuche[[#This Row],[2027]],IF($B$43&lt;Refsz_Verbräuche[[#Headers],[2028]],Refsz_Verbräuche[[#This Row],[2027]],"")))</f>
        <v/>
      </c>
      <c r="S126" s="124" t="str">
        <f>IF(Refsz_Verbräuche[[#Headers],[2029]]=$B$43,IF(OR(SUMIF($E126:Refsz_Verbräuche[[#This Row],[2028]],"&gt;0")&gt;0,), AVERAGEIF($E126:Refsz_Verbräuche[[#This Row],[2028]],"&lt;&gt;"""), ""),IF($B$43=(Refsz_Verbräuche[[#Headers],[2029]]-1),Refsz_Verbräuche[[#This Row],[2028]],IF($B$43&lt;Refsz_Verbräuche[[#Headers],[2029]],Refsz_Verbräuche[[#This Row],[2028]],"")))</f>
        <v/>
      </c>
      <c r="T126" s="124" t="str">
        <f>IF(Refsz_Verbräuche[[#Headers],[2030]]=$B$43,IF(OR(SUMIF($E126:Refsz_Verbräuche[[#This Row],[2029]],"&gt;0")&gt;0,), AVERAGEIF($E126:Refsz_Verbräuche[[#This Row],[2029]],"&lt;&gt;"""), ""),IF($B$43=(Refsz_Verbräuche[[#Headers],[2030]]-1),Refsz_Verbräuche[[#This Row],[2029]],IF($B$43&lt;Refsz_Verbräuche[[#Headers],[2030]],Refsz_Verbräuche[[#This Row],[2029]],"")))</f>
        <v/>
      </c>
      <c r="U126" s="124" t="str">
        <f>IF(Refsz_Verbräuche[[#Headers],[2035]]=$B$43,IF(OR(SUMIF($E126:Refsz_Verbräuche[[#This Row],[2030]],"&gt;0")&gt;0,), AVERAGEIF($E126:Refsz_Verbräuche[[#This Row],[2030]],"&lt;&gt;"""), ""),IF($B$43=(Refsz_Verbräuche[[#Headers],[2035]]-1),Refsz_Verbräuche[[#This Row],[2030]],IF($B$43&lt;Refsz_Verbräuche[[#Headers],[2035]],Refsz_Verbräuche[[#This Row],[2030]],"")))</f>
        <v/>
      </c>
      <c r="V126" s="124" t="str">
        <f>IF(Refsz_Verbräuche[[#Headers],[2040]]=$B$43,IF(OR(SUMIF($E126:Refsz_Verbräuche[[#This Row],[2035]],"&gt;0")&gt;0,), AVERAGEIF($E126:Refsz_Verbräuche[[#This Row],[2035]],"&lt;&gt;"""), ""),IF($B$43=(Refsz_Verbräuche[[#Headers],[2040]]-1),Refsz_Verbräuche[[#This Row],[2035]],IF($B$43&lt;Refsz_Verbräuche[[#Headers],[2040]],Refsz_Verbräuche[[#This Row],[2035]],"")))</f>
        <v/>
      </c>
      <c r="W126" s="124" t="str">
        <f>IF(Refsz_Verbräuche[[#Headers],[2045]]=$B$43,IF(OR(SUMIF($E126:Refsz_Verbräuche[[#This Row],[2040]],"&gt;0")&gt;0,), AVERAGEIF($E126:Refsz_Verbräuche[[#This Row],[2040]],"&lt;&gt;"""), ""),IF($B$43=(Refsz_Verbräuche[[#Headers],[2045]]-1),Refsz_Verbräuche[[#This Row],[2040]],IF($B$43&lt;Refsz_Verbräuche[[#Headers],[2045]],Refsz_Verbräuche[[#This Row],[2040]],"")))</f>
        <v/>
      </c>
      <c r="X126" s="124" t="str">
        <f>IF(Refsz_Verbräuche[[#Headers],[2050]]=$B$43,IF(OR(SUMIF($E126:Refsz_Verbräuche[[#This Row],[2045]],"&gt;0")&gt;0,), AVERAGEIF($E126:Refsz_Verbräuche[[#This Row],[2045]],"&lt;&gt;"""), ""),IF($B$43=(Refsz_Verbräuche[[#Headers],[2050]]-1),Refsz_Verbräuche[[#This Row],[2045]],IF($B$43&lt;Refsz_Verbräuche[[#Headers],[2050]],Refsz_Verbräuche[[#This Row],[2045]],"")))</f>
        <v/>
      </c>
      <c r="Z126" s="15"/>
    </row>
    <row r="127" spans="2:26" x14ac:dyDescent="0.35">
      <c r="B127" s="15">
        <v>67</v>
      </c>
      <c r="C127" s="44" t="str">
        <f>_xlfn.CONCAT('Refsz-Verbräuche'!C50," - PKW (Diesel)")</f>
        <v>Pendeln - PKW (Diesel)</v>
      </c>
      <c r="D127" t="s">
        <v>417</v>
      </c>
      <c r="E127" s="124" t="str">
        <f>Umrechnen!D30</f>
        <v/>
      </c>
      <c r="F127" s="124" t="str">
        <f>Umrechnen!E30</f>
        <v/>
      </c>
      <c r="G127" s="124" t="str">
        <f>Umrechnen!F30</f>
        <v/>
      </c>
      <c r="H127" s="124" t="str">
        <f>Umrechnen!G30</f>
        <v/>
      </c>
      <c r="I127" s="124" t="str">
        <f>Umrechnen!H30</f>
        <v/>
      </c>
      <c r="J127" s="124" t="str">
        <f>Umrechnen!I30</f>
        <v/>
      </c>
      <c r="K127" s="124" t="str">
        <f>Umrechnen!J30</f>
        <v/>
      </c>
      <c r="L127" s="124" t="str">
        <f>IF(Refsz_Verbräuche[[#Headers],[2022]]=$B$43,IF(OR(SUMIF($E127:Refsz_Verbräuche[[#This Row],[2021]],"&gt;0")&gt;0,), AVERAGEIF($E127:Refsz_Verbräuche[[#This Row],[2021]],"&lt;&gt;"""), ""),IF($B$43=(Refsz_Verbräuche[[#Headers],[2022]]-1),Refsz_Verbräuche[[#This Row],[2021]],IF($B$43&lt;Refsz_Verbräuche[[#Headers],[2022]],Refsz_Verbräuche[[#This Row],[2021]],Umrechnen!K30)))</f>
        <v/>
      </c>
      <c r="M127" s="124" t="str">
        <f>IF(Refsz_Verbräuche[[#Headers],[2023]]=$B$43,IF(OR(SUMIF($E127:Refsz_Verbräuche[[#This Row],[2022]],"&gt;0")&gt;0,), AVERAGEIF($E127:Refsz_Verbräuche[[#This Row],[2022]],"&lt;&gt;"""), ""),IF($B$43=(Refsz_Verbräuche[[#Headers],[2023]]-1),Refsz_Verbräuche[[#This Row],[2022]],IF($B$43&lt;Refsz_Verbräuche[[#Headers],[2023]],Refsz_Verbräuche[[#This Row],[2022]],Umrechnen!L30)))</f>
        <v/>
      </c>
      <c r="N127" s="124" t="str">
        <f>IF(Refsz_Verbräuche[[#Headers],[2024]]=$B$43,IF(OR(SUMIF($E127:Refsz_Verbräuche[[#This Row],[2023]],"&gt;0")&gt;0,), AVERAGEIF($E127:Refsz_Verbräuche[[#This Row],[2023]],"&lt;&gt;"""), ""),IF($B$43=(Refsz_Verbräuche[[#Headers],[2024]]-1),Refsz_Verbräuche[[#This Row],[2023]],IF($B$43&lt;Refsz_Verbräuche[[#Headers],[2024]],Refsz_Verbräuche[[#This Row],[2023]],Umrechnen!M30)))</f>
        <v/>
      </c>
      <c r="O127" s="124" t="str">
        <f>IF(Refsz_Verbräuche[[#Headers],[2025]]=$B$43,IF(OR(SUMIF($E127:Refsz_Verbräuche[[#This Row],[2024]],"&gt;0")&gt;0,), AVERAGEIF($E127:Refsz_Verbräuche[[#This Row],[2024]],"&lt;&gt;"""), ""),IF($B$43=(Refsz_Verbräuche[[#Headers],[2025]]-1),Refsz_Verbräuche[[#This Row],[2024]],IF($B$43&lt;Refsz_Verbräuche[[#Headers],[2025]],Refsz_Verbräuche[[#This Row],[2024]],Umrechnen!N30)))</f>
        <v/>
      </c>
      <c r="P127" s="124" t="str">
        <f>IF(Refsz_Verbräuche[[#Headers],[2026]]=$B$43,IF(OR(SUMIF($E127:Refsz_Verbräuche[[#This Row],[2025]],"&gt;0")&gt;0,), AVERAGEIF($E127:Refsz_Verbräuche[[#This Row],[2025]],"&lt;&gt;"""), ""),IF($B$43=(Refsz_Verbräuche[[#Headers],[2026]]-1),Refsz_Verbräuche[[#This Row],[2025]],IF($B$43&lt;Refsz_Verbräuche[[#Headers],[2026]],Refsz_Verbräuche[[#This Row],[2025]],Umrechnen!O30)))</f>
        <v/>
      </c>
      <c r="Q127" s="124" t="str">
        <f>IF(Refsz_Verbräuche[[#Headers],[2027]]=$B$43,IF(OR(SUMIF($E127:Refsz_Verbräuche[[#This Row],[2026]],"&gt;0")&gt;0,), AVERAGEIF($E127:Refsz_Verbräuche[[#This Row],[2026]],"&lt;&gt;"""), ""),IF($B$43=(Refsz_Verbräuche[[#Headers],[2027]]-1),Refsz_Verbräuche[[#This Row],[2026]],IF($B$43&lt;Refsz_Verbräuche[[#Headers],[2027]],Refsz_Verbräuche[[#This Row],[2026]],Umrechnen!P30)))</f>
        <v/>
      </c>
      <c r="R127" s="124" t="str">
        <f>IF(Refsz_Verbräuche[[#Headers],[2028]]=$B$43,IF(OR(SUMIF($E127:Refsz_Verbräuche[[#This Row],[2027]],"&gt;0")&gt;0,), AVERAGEIF($E127:Refsz_Verbräuche[[#This Row],[2027]],"&lt;&gt;"""), ""),IF($B$43=(Refsz_Verbräuche[[#Headers],[2028]]-1),Refsz_Verbräuche[[#This Row],[2027]],IF($B$43&lt;Refsz_Verbräuche[[#Headers],[2028]],Refsz_Verbräuche[[#This Row],[2027]],Umrechnen!Q30)))</f>
        <v/>
      </c>
      <c r="S127" s="124" t="str">
        <f>IF(Refsz_Verbräuche[[#Headers],[2029]]=$B$43,IF(OR(SUMIF($E127:Refsz_Verbräuche[[#This Row],[2028]],"&gt;0")&gt;0,), AVERAGEIF($E127:Refsz_Verbräuche[[#This Row],[2028]],"&lt;&gt;"""), ""),IF($B$43=(Refsz_Verbräuche[[#Headers],[2029]]-1),Refsz_Verbräuche[[#This Row],[2028]],IF($B$43&lt;Refsz_Verbräuche[[#Headers],[2029]],Refsz_Verbräuche[[#This Row],[2028]],Umrechnen!R30)))</f>
        <v/>
      </c>
      <c r="T127" s="124" t="str">
        <f>IF(Refsz_Verbräuche[[#Headers],[2030]]=$B$43,IF(OR(SUMIF($E127:Refsz_Verbräuche[[#This Row],[2029]],"&gt;0")&gt;0,), AVERAGEIF($E127:Refsz_Verbräuche[[#This Row],[2029]],"&lt;&gt;"""), ""),IF($B$43=(Refsz_Verbräuche[[#Headers],[2030]]-1),Refsz_Verbräuche[[#This Row],[2029]],IF($B$43&lt;Refsz_Verbräuche[[#Headers],[2030]],Refsz_Verbräuche[[#This Row],[2029]],Umrechnen!S30)))</f>
        <v/>
      </c>
      <c r="U127" s="124" t="str">
        <f>IF(Refsz_Verbräuche[[#Headers],[2035]]=$B$43,IF(OR(SUMIF($E127:Refsz_Verbräuche[[#This Row],[2030]],"&gt;0")&gt;0,), AVERAGEIF($E127:Refsz_Verbräuche[[#This Row],[2030]],"&lt;&gt;"""), ""),IF($B$43=(Refsz_Verbräuche[[#Headers],[2035]]-1),Refsz_Verbräuche[[#This Row],[2030]],IF($B$43&lt;Refsz_Verbräuche[[#Headers],[2035]],Refsz_Verbräuche[[#This Row],[2030]],Umrechnen!T30)))</f>
        <v/>
      </c>
      <c r="V127" s="124" t="str">
        <f>IF(Refsz_Verbräuche[[#Headers],[2040]]=$B$43,IF(OR(SUMIF($E127:Refsz_Verbräuche[[#This Row],[2035]],"&gt;0")&gt;0,), AVERAGEIF($E127:Refsz_Verbräuche[[#This Row],[2035]],"&lt;&gt;"""), ""),IF($B$43=(Refsz_Verbräuche[[#Headers],[2040]]-1),Refsz_Verbräuche[[#This Row],[2035]],IF($B$43&lt;Refsz_Verbräuche[[#Headers],[2040]],Refsz_Verbräuche[[#This Row],[2035]],Umrechnen!U30)))</f>
        <v/>
      </c>
      <c r="W127" s="124" t="str">
        <f>IF(Refsz_Verbräuche[[#Headers],[2045]]=$B$43,IF(OR(SUMIF($E127:Refsz_Verbräuche[[#This Row],[2040]],"&gt;0")&gt;0,), AVERAGEIF($E127:Refsz_Verbräuche[[#This Row],[2040]],"&lt;&gt;"""), ""),IF($B$43=(Refsz_Verbräuche[[#Headers],[2045]]-1),Refsz_Verbräuche[[#This Row],[2040]],IF($B$43&lt;Refsz_Verbräuche[[#Headers],[2045]],Refsz_Verbräuche[[#This Row],[2040]],Umrechnen!V30)))</f>
        <v/>
      </c>
      <c r="X127" s="124" t="str">
        <f>IF(Refsz_Verbräuche[[#Headers],[2050]]=$B$43,IF(OR(SUMIF($E127:Refsz_Verbräuche[[#This Row],[2045]],"&gt;0")&gt;0,), AVERAGEIF($E127:Refsz_Verbräuche[[#This Row],[2045]],"&lt;&gt;"""), ""),IF($B$43=(Refsz_Verbräuche[[#Headers],[2050]]-1),Refsz_Verbräuche[[#This Row],[2045]],IF($B$43&lt;Refsz_Verbräuche[[#Headers],[2050]],Refsz_Verbräuche[[#This Row],[2045]],Umrechnen!W30)))</f>
        <v/>
      </c>
      <c r="Z127" s="15"/>
    </row>
    <row r="128" spans="2:26" x14ac:dyDescent="0.35">
      <c r="B128" s="15">
        <v>68</v>
      </c>
      <c r="C128" s="44" t="str">
        <f>_xlfn.CONCAT('Refsz-Verbräuche'!C50," - PKW (Benzin)")</f>
        <v>Pendeln - PKW (Benzin)</v>
      </c>
      <c r="D128" t="s">
        <v>417</v>
      </c>
      <c r="E128" s="124" t="str">
        <f>Umrechnen!D36</f>
        <v/>
      </c>
      <c r="F128" s="124" t="str">
        <f>Umrechnen!E36</f>
        <v/>
      </c>
      <c r="G128" s="124" t="str">
        <f>Umrechnen!F36</f>
        <v/>
      </c>
      <c r="H128" s="124" t="str">
        <f>Umrechnen!G36</f>
        <v/>
      </c>
      <c r="I128" s="124" t="str">
        <f>Umrechnen!H36</f>
        <v/>
      </c>
      <c r="J128" s="124" t="str">
        <f>Umrechnen!I36</f>
        <v/>
      </c>
      <c r="K128" s="124" t="str">
        <f>Umrechnen!J36</f>
        <v/>
      </c>
      <c r="L128" s="124" t="str">
        <f>IF(Refsz_Verbräuche[[#Headers],[2022]]=$B$43,IF(OR(SUMIF($E128:Refsz_Verbräuche[[#This Row],[2021]],"&gt;0")&gt;0,), AVERAGEIF($E128:Refsz_Verbräuche[[#This Row],[2021]],"&lt;&gt;"""), ""),IF($B$43=(Refsz_Verbräuche[[#Headers],[2022]]-1),Refsz_Verbräuche[[#This Row],[2021]],IF($B$43&lt;Refsz_Verbräuche[[#Headers],[2022]],Refsz_Verbräuche[[#This Row],[2021]],Umrechnen!K36)))</f>
        <v/>
      </c>
      <c r="M128" s="124" t="str">
        <f>IF(Refsz_Verbräuche[[#Headers],[2023]]=$B$43,IF(OR(SUMIF($E128:Refsz_Verbräuche[[#This Row],[2022]],"&gt;0")&gt;0,), AVERAGEIF($E128:Refsz_Verbräuche[[#This Row],[2022]],"&lt;&gt;"""), ""),IF($B$43=(Refsz_Verbräuche[[#Headers],[2023]]-1),Refsz_Verbräuche[[#This Row],[2022]],IF($B$43&lt;Refsz_Verbräuche[[#Headers],[2023]],Refsz_Verbräuche[[#This Row],[2022]],Umrechnen!L36)))</f>
        <v/>
      </c>
      <c r="N128" s="124" t="str">
        <f>IF(Refsz_Verbräuche[[#Headers],[2024]]=$B$43,IF(OR(SUMIF($E128:Refsz_Verbräuche[[#This Row],[2023]],"&gt;0")&gt;0,), AVERAGEIF($E128:Refsz_Verbräuche[[#This Row],[2023]],"&lt;&gt;"""), ""),IF($B$43=(Refsz_Verbräuche[[#Headers],[2024]]-1),Refsz_Verbräuche[[#This Row],[2023]],IF($B$43&lt;Refsz_Verbräuche[[#Headers],[2024]],Refsz_Verbräuche[[#This Row],[2023]],Umrechnen!M36)))</f>
        <v/>
      </c>
      <c r="O128" s="124" t="str">
        <f>IF(Refsz_Verbräuche[[#Headers],[2025]]=$B$43,IF(OR(SUMIF($E128:Refsz_Verbräuche[[#This Row],[2024]],"&gt;0")&gt;0,), AVERAGEIF($E128:Refsz_Verbräuche[[#This Row],[2024]],"&lt;&gt;"""), ""),IF($B$43=(Refsz_Verbräuche[[#Headers],[2025]]-1),Refsz_Verbräuche[[#This Row],[2024]],IF($B$43&lt;Refsz_Verbräuche[[#Headers],[2025]],Refsz_Verbräuche[[#This Row],[2024]],Umrechnen!N36)))</f>
        <v/>
      </c>
      <c r="P128" s="124" t="str">
        <f>IF(Refsz_Verbräuche[[#Headers],[2026]]=$B$43,IF(OR(SUMIF($E128:Refsz_Verbräuche[[#This Row],[2025]],"&gt;0")&gt;0,), AVERAGEIF($E128:Refsz_Verbräuche[[#This Row],[2025]],"&lt;&gt;"""), ""),IF($B$43=(Refsz_Verbräuche[[#Headers],[2026]]-1),Refsz_Verbräuche[[#This Row],[2025]],IF($B$43&lt;Refsz_Verbräuche[[#Headers],[2026]],Refsz_Verbräuche[[#This Row],[2025]],Umrechnen!O36)))</f>
        <v/>
      </c>
      <c r="Q128" s="124" t="str">
        <f>IF(Refsz_Verbräuche[[#Headers],[2027]]=$B$43,IF(OR(SUMIF($E128:Refsz_Verbräuche[[#This Row],[2026]],"&gt;0")&gt;0,), AVERAGEIF($E128:Refsz_Verbräuche[[#This Row],[2026]],"&lt;&gt;"""), ""),IF($B$43=(Refsz_Verbräuche[[#Headers],[2027]]-1),Refsz_Verbräuche[[#This Row],[2026]],IF($B$43&lt;Refsz_Verbräuche[[#Headers],[2027]],Refsz_Verbräuche[[#This Row],[2026]],Umrechnen!P36)))</f>
        <v/>
      </c>
      <c r="R128" s="124" t="str">
        <f>IF(Refsz_Verbräuche[[#Headers],[2028]]=$B$43,IF(OR(SUMIF($E128:Refsz_Verbräuche[[#This Row],[2027]],"&gt;0")&gt;0,), AVERAGEIF($E128:Refsz_Verbräuche[[#This Row],[2027]],"&lt;&gt;"""), ""),IF($B$43=(Refsz_Verbräuche[[#Headers],[2028]]-1),Refsz_Verbräuche[[#This Row],[2027]],IF($B$43&lt;Refsz_Verbräuche[[#Headers],[2028]],Refsz_Verbräuche[[#This Row],[2027]],Umrechnen!Q36)))</f>
        <v/>
      </c>
      <c r="S128" s="124" t="str">
        <f>IF(Refsz_Verbräuche[[#Headers],[2029]]=$B$43,IF(OR(SUMIF($E128:Refsz_Verbräuche[[#This Row],[2028]],"&gt;0")&gt;0,), AVERAGEIF($E128:Refsz_Verbräuche[[#This Row],[2028]],"&lt;&gt;"""), ""),IF($B$43=(Refsz_Verbräuche[[#Headers],[2029]]-1),Refsz_Verbräuche[[#This Row],[2028]],IF($B$43&lt;Refsz_Verbräuche[[#Headers],[2029]],Refsz_Verbräuche[[#This Row],[2028]],Umrechnen!R36)))</f>
        <v/>
      </c>
      <c r="T128" s="124" t="str">
        <f>IF(Refsz_Verbräuche[[#Headers],[2030]]=$B$43,IF(OR(SUMIF($E128:Refsz_Verbräuche[[#This Row],[2029]],"&gt;0")&gt;0,), AVERAGEIF($E128:Refsz_Verbräuche[[#This Row],[2029]],"&lt;&gt;"""), ""),IF($B$43=(Refsz_Verbräuche[[#Headers],[2030]]-1),Refsz_Verbräuche[[#This Row],[2029]],IF($B$43&lt;Refsz_Verbräuche[[#Headers],[2030]],Refsz_Verbräuche[[#This Row],[2029]],Umrechnen!S36)))</f>
        <v/>
      </c>
      <c r="U128" s="124" t="str">
        <f>IF(Refsz_Verbräuche[[#Headers],[2035]]=$B$43,IF(OR(SUMIF($E128:Refsz_Verbräuche[[#This Row],[2030]],"&gt;0")&gt;0,), AVERAGEIF($E128:Refsz_Verbräuche[[#This Row],[2030]],"&lt;&gt;"""), ""),IF($B$43=(Refsz_Verbräuche[[#Headers],[2035]]-1),Refsz_Verbräuche[[#This Row],[2030]],IF($B$43&lt;Refsz_Verbräuche[[#Headers],[2035]],Refsz_Verbräuche[[#This Row],[2030]],Umrechnen!T36)))</f>
        <v/>
      </c>
      <c r="V128" s="124" t="str">
        <f>IF(Refsz_Verbräuche[[#Headers],[2040]]=$B$43,IF(OR(SUMIF($E128:Refsz_Verbräuche[[#This Row],[2035]],"&gt;0")&gt;0,), AVERAGEIF($E128:Refsz_Verbräuche[[#This Row],[2035]],"&lt;&gt;"""), ""),IF($B$43=(Refsz_Verbräuche[[#Headers],[2040]]-1),Refsz_Verbräuche[[#This Row],[2035]],IF($B$43&lt;Refsz_Verbräuche[[#Headers],[2040]],Refsz_Verbräuche[[#This Row],[2035]],Umrechnen!U36)))</f>
        <v/>
      </c>
      <c r="W128" s="124" t="str">
        <f>IF(Refsz_Verbräuche[[#Headers],[2045]]=$B$43,IF(OR(SUMIF($E128:Refsz_Verbräuche[[#This Row],[2040]],"&gt;0")&gt;0,), AVERAGEIF($E128:Refsz_Verbräuche[[#This Row],[2040]],"&lt;&gt;"""), ""),IF($B$43=(Refsz_Verbräuche[[#Headers],[2045]]-1),Refsz_Verbräuche[[#This Row],[2040]],IF($B$43&lt;Refsz_Verbräuche[[#Headers],[2045]],Refsz_Verbräuche[[#This Row],[2040]],Umrechnen!V36)))</f>
        <v/>
      </c>
      <c r="X128" s="124" t="str">
        <f>IF(Refsz_Verbräuche[[#Headers],[2050]]=$B$43,IF(OR(SUMIF($E128:Refsz_Verbräuche[[#This Row],[2045]],"&gt;0")&gt;0,), AVERAGEIF($E128:Refsz_Verbräuche[[#This Row],[2045]],"&lt;&gt;"""), ""),IF($B$43=(Refsz_Verbräuche[[#Headers],[2050]]-1),Refsz_Verbräuche[[#This Row],[2045]],IF($B$43&lt;Refsz_Verbräuche[[#Headers],[2050]],Refsz_Verbräuche[[#This Row],[2045]],Umrechnen!W36)))</f>
        <v/>
      </c>
      <c r="Z128" s="15"/>
    </row>
    <row r="129" spans="2:26" x14ac:dyDescent="0.35">
      <c r="B129" s="15">
        <v>69</v>
      </c>
      <c r="C129" t="str">
        <f>_xlfn.CONCAT('Refsz-Verbräuche'!C50," - PKW (E-Auto/ BEV)")</f>
        <v>Pendeln - PKW (E-Auto/ BEV)</v>
      </c>
      <c r="D129" t="s">
        <v>417</v>
      </c>
      <c r="E129" s="124"/>
      <c r="F129" s="124"/>
      <c r="G129" s="124"/>
      <c r="H129" s="124"/>
      <c r="I129" s="124"/>
      <c r="J129" s="124"/>
      <c r="K129" s="124"/>
      <c r="L129" s="124" t="str">
        <f>IF(Refsz_Verbräuche[[#Headers],[2022]]=$B$43,IF(OR(SUMIF($E129:Refsz_Verbräuche[[#This Row],[2021]],"&gt;0")&gt;0,), AVERAGEIF($E129:Refsz_Verbräuche[[#This Row],[2021]],"&lt;&gt;"""), ""),IF($B$43=(Refsz_Verbräuche[[#Headers],[2022]]-1),Refsz_Verbräuche[[#This Row],[2021]],IF($B$43&lt;Refsz_Verbräuche[[#Headers],[2022]],Refsz_Verbräuche[[#This Row],[2021]],"")))</f>
        <v/>
      </c>
      <c r="M129" s="124" t="str">
        <f>IF(Refsz_Verbräuche[[#Headers],[2023]]=$B$43,IF(OR(SUMIF($E129:Refsz_Verbräuche[[#This Row],[2022]],"&gt;0")&gt;0,), AVERAGEIF($E129:Refsz_Verbräuche[[#This Row],[2022]],"&lt;&gt;"""), ""),IF($B$43=(Refsz_Verbräuche[[#Headers],[2023]]-1),Refsz_Verbräuche[[#This Row],[2022]],IF($B$43&lt;Refsz_Verbräuche[[#Headers],[2023]],Refsz_Verbräuche[[#This Row],[2022]],"")))</f>
        <v/>
      </c>
      <c r="N129" s="124" t="str">
        <f>IF(Refsz_Verbräuche[[#Headers],[2024]]=$B$43,IF(OR(SUMIF($E129:Refsz_Verbräuche[[#This Row],[2023]],"&gt;0")&gt;0,), AVERAGEIF($E129:Refsz_Verbräuche[[#This Row],[2023]],"&lt;&gt;"""), ""),IF($B$43=(Refsz_Verbräuche[[#Headers],[2024]]-1),Refsz_Verbräuche[[#This Row],[2023]],IF($B$43&lt;Refsz_Verbräuche[[#Headers],[2024]],Refsz_Verbräuche[[#This Row],[2023]],"")))</f>
        <v/>
      </c>
      <c r="O129" s="124" t="str">
        <f>IF(Refsz_Verbräuche[[#Headers],[2025]]=$B$43,IF(OR(SUMIF($E129:Refsz_Verbräuche[[#This Row],[2024]],"&gt;0")&gt;0,), AVERAGEIF($E129:Refsz_Verbräuche[[#This Row],[2024]],"&lt;&gt;"""), ""),IF($B$43=(Refsz_Verbräuche[[#Headers],[2025]]-1),Refsz_Verbräuche[[#This Row],[2024]],IF($B$43&lt;Refsz_Verbräuche[[#Headers],[2025]],Refsz_Verbräuche[[#This Row],[2024]],"")))</f>
        <v/>
      </c>
      <c r="P129" s="124" t="str">
        <f>IF(Refsz_Verbräuche[[#Headers],[2026]]=$B$43,IF(OR(SUMIF($E129:Refsz_Verbräuche[[#This Row],[2025]],"&gt;0")&gt;0,), AVERAGEIF($E129:Refsz_Verbräuche[[#This Row],[2025]],"&lt;&gt;"""), ""),IF($B$43=(Refsz_Verbräuche[[#Headers],[2026]]-1),Refsz_Verbräuche[[#This Row],[2025]],IF($B$43&lt;Refsz_Verbräuche[[#Headers],[2026]],Refsz_Verbräuche[[#This Row],[2025]],"")))</f>
        <v/>
      </c>
      <c r="Q129" s="124" t="str">
        <f>IF(Refsz_Verbräuche[[#Headers],[2027]]=$B$43,IF(OR(SUMIF($E129:Refsz_Verbräuche[[#This Row],[2026]],"&gt;0")&gt;0,), AVERAGEIF($E129:Refsz_Verbräuche[[#This Row],[2026]],"&lt;&gt;"""), ""),IF($B$43=(Refsz_Verbräuche[[#Headers],[2027]]-1),Refsz_Verbräuche[[#This Row],[2026]],IF($B$43&lt;Refsz_Verbräuche[[#Headers],[2027]],Refsz_Verbräuche[[#This Row],[2026]],"")))</f>
        <v/>
      </c>
      <c r="R129" s="124" t="str">
        <f>IF(Refsz_Verbräuche[[#Headers],[2028]]=$B$43,IF(OR(SUMIF($E129:Refsz_Verbräuche[[#This Row],[2027]],"&gt;0")&gt;0,), AVERAGEIF($E129:Refsz_Verbräuche[[#This Row],[2027]],"&lt;&gt;"""), ""),IF($B$43=(Refsz_Verbräuche[[#Headers],[2028]]-1),Refsz_Verbräuche[[#This Row],[2027]],IF($B$43&lt;Refsz_Verbräuche[[#Headers],[2028]],Refsz_Verbräuche[[#This Row],[2027]],"")))</f>
        <v/>
      </c>
      <c r="S129" s="124" t="str">
        <f>IF(Refsz_Verbräuche[[#Headers],[2029]]=$B$43,IF(OR(SUMIF($E129:Refsz_Verbräuche[[#This Row],[2028]],"&gt;0")&gt;0,), AVERAGEIF($E129:Refsz_Verbräuche[[#This Row],[2028]],"&lt;&gt;"""), ""),IF($B$43=(Refsz_Verbräuche[[#Headers],[2029]]-1),Refsz_Verbräuche[[#This Row],[2028]],IF($B$43&lt;Refsz_Verbräuche[[#Headers],[2029]],Refsz_Verbräuche[[#This Row],[2028]],"")))</f>
        <v/>
      </c>
      <c r="T129" s="124" t="str">
        <f>IF(Refsz_Verbräuche[[#Headers],[2030]]=$B$43,IF(OR(SUMIF($E129:Refsz_Verbräuche[[#This Row],[2029]],"&gt;0")&gt;0,), AVERAGEIF($E129:Refsz_Verbräuche[[#This Row],[2029]],"&lt;&gt;"""), ""),IF($B$43=(Refsz_Verbräuche[[#Headers],[2030]]-1),Refsz_Verbräuche[[#This Row],[2029]],IF($B$43&lt;Refsz_Verbräuche[[#Headers],[2030]],Refsz_Verbräuche[[#This Row],[2029]],"")))</f>
        <v/>
      </c>
      <c r="U129" s="124" t="str">
        <f>IF(Refsz_Verbräuche[[#Headers],[2035]]=$B$43,IF(OR(SUMIF($E129:Refsz_Verbräuche[[#This Row],[2030]],"&gt;0")&gt;0,), AVERAGEIF($E129:Refsz_Verbräuche[[#This Row],[2030]],"&lt;&gt;"""), ""),IF($B$43=(Refsz_Verbräuche[[#Headers],[2035]]-1),Refsz_Verbräuche[[#This Row],[2030]],IF($B$43&lt;Refsz_Verbräuche[[#Headers],[2035]],Refsz_Verbräuche[[#This Row],[2030]],"")))</f>
        <v/>
      </c>
      <c r="V129" s="124" t="str">
        <f>IF(Refsz_Verbräuche[[#Headers],[2040]]=$B$43,IF(OR(SUMIF($E129:Refsz_Verbräuche[[#This Row],[2035]],"&gt;0")&gt;0,), AVERAGEIF($E129:Refsz_Verbräuche[[#This Row],[2035]],"&lt;&gt;"""), ""),IF($B$43=(Refsz_Verbräuche[[#Headers],[2040]]-1),Refsz_Verbräuche[[#This Row],[2035]],IF($B$43&lt;Refsz_Verbräuche[[#Headers],[2040]],Refsz_Verbräuche[[#This Row],[2035]],"")))</f>
        <v/>
      </c>
      <c r="W129" s="124" t="str">
        <f>IF(Refsz_Verbräuche[[#Headers],[2045]]=$B$43,IF(OR(SUMIF($E129:Refsz_Verbräuche[[#This Row],[2040]],"&gt;0")&gt;0,), AVERAGEIF($E129:Refsz_Verbräuche[[#This Row],[2040]],"&lt;&gt;"""), ""),IF($B$43=(Refsz_Verbräuche[[#Headers],[2045]]-1),Refsz_Verbräuche[[#This Row],[2040]],IF($B$43&lt;Refsz_Verbräuche[[#Headers],[2045]],Refsz_Verbräuche[[#This Row],[2040]],"")))</f>
        <v/>
      </c>
      <c r="X129" s="124" t="str">
        <f>IF(Refsz_Verbräuche[[#Headers],[2050]]=$B$43,IF(OR(SUMIF($E129:Refsz_Verbräuche[[#This Row],[2045]],"&gt;0")&gt;0,), AVERAGEIF($E129:Refsz_Verbräuche[[#This Row],[2045]],"&lt;&gt;"""), ""),IF($B$43=(Refsz_Verbräuche[[#Headers],[2050]]-1),Refsz_Verbräuche[[#This Row],[2045]],IF($B$43&lt;Refsz_Verbräuche[[#Headers],[2050]],Refsz_Verbräuche[[#This Row],[2045]],"")))</f>
        <v/>
      </c>
      <c r="Z129" s="15"/>
    </row>
    <row r="130" spans="2:26" x14ac:dyDescent="0.35">
      <c r="B130" s="15">
        <v>70</v>
      </c>
      <c r="C130" t="str">
        <f>_xlfn.CONCAT('Refsz-Verbräuche'!C50," - PKW (Wasserstoff/ FCEV)")</f>
        <v>Pendeln - PKW (Wasserstoff/ FCEV)</v>
      </c>
      <c r="D130" t="s">
        <v>417</v>
      </c>
      <c r="E130" s="124"/>
      <c r="F130" s="124"/>
      <c r="G130" s="124"/>
      <c r="H130" s="124"/>
      <c r="I130" s="124"/>
      <c r="J130" s="124"/>
      <c r="K130" s="124"/>
      <c r="L130" s="124" t="str">
        <f>IF(Refsz_Verbräuche[[#Headers],[2022]]=$B$43,IF(OR(SUMIF($E130:Refsz_Verbräuche[[#This Row],[2021]],"&gt;0")&gt;0,), AVERAGEIF($E130:Refsz_Verbräuche[[#This Row],[2021]],"&lt;&gt;"""), ""),IF($B$43=(Refsz_Verbräuche[[#Headers],[2022]]-1),Refsz_Verbräuche[[#This Row],[2021]],IF($B$43&lt;Refsz_Verbräuche[[#Headers],[2022]],Refsz_Verbräuche[[#This Row],[2021]],"")))</f>
        <v/>
      </c>
      <c r="M130" s="124" t="str">
        <f>IF(Refsz_Verbräuche[[#Headers],[2023]]=$B$43,IF(OR(SUMIF($E130:Refsz_Verbräuche[[#This Row],[2022]],"&gt;0")&gt;0,), AVERAGEIF($E130:Refsz_Verbräuche[[#This Row],[2022]],"&lt;&gt;"""), ""),IF($B$43=(Refsz_Verbräuche[[#Headers],[2023]]-1),Refsz_Verbräuche[[#This Row],[2022]],IF($B$43&lt;Refsz_Verbräuche[[#Headers],[2023]],Refsz_Verbräuche[[#This Row],[2022]],"")))</f>
        <v/>
      </c>
      <c r="N130" s="124" t="str">
        <f>IF(Refsz_Verbräuche[[#Headers],[2024]]=$B$43,IF(OR(SUMIF($E130:Refsz_Verbräuche[[#This Row],[2023]],"&gt;0")&gt;0,), AVERAGEIF($E130:Refsz_Verbräuche[[#This Row],[2023]],"&lt;&gt;"""), ""),IF($B$43=(Refsz_Verbräuche[[#Headers],[2024]]-1),Refsz_Verbräuche[[#This Row],[2023]],IF($B$43&lt;Refsz_Verbräuche[[#Headers],[2024]],Refsz_Verbräuche[[#This Row],[2023]],"")))</f>
        <v/>
      </c>
      <c r="O130" s="124" t="str">
        <f>IF(Refsz_Verbräuche[[#Headers],[2025]]=$B$43,IF(OR(SUMIF($E130:Refsz_Verbräuche[[#This Row],[2024]],"&gt;0")&gt;0,), AVERAGEIF($E130:Refsz_Verbräuche[[#This Row],[2024]],"&lt;&gt;"""), ""),IF($B$43=(Refsz_Verbräuche[[#Headers],[2025]]-1),Refsz_Verbräuche[[#This Row],[2024]],IF($B$43&lt;Refsz_Verbräuche[[#Headers],[2025]],Refsz_Verbräuche[[#This Row],[2024]],"")))</f>
        <v/>
      </c>
      <c r="P130" s="124" t="str">
        <f>IF(Refsz_Verbräuche[[#Headers],[2026]]=$B$43,IF(OR(SUMIF($E130:Refsz_Verbräuche[[#This Row],[2025]],"&gt;0")&gt;0,), AVERAGEIF($E130:Refsz_Verbräuche[[#This Row],[2025]],"&lt;&gt;"""), ""),IF($B$43=(Refsz_Verbräuche[[#Headers],[2026]]-1),Refsz_Verbräuche[[#This Row],[2025]],IF($B$43&lt;Refsz_Verbräuche[[#Headers],[2026]],Refsz_Verbräuche[[#This Row],[2025]],"")))</f>
        <v/>
      </c>
      <c r="Q130" s="124" t="str">
        <f>IF(Refsz_Verbräuche[[#Headers],[2027]]=$B$43,IF(OR(SUMIF($E130:Refsz_Verbräuche[[#This Row],[2026]],"&gt;0")&gt;0,), AVERAGEIF($E130:Refsz_Verbräuche[[#This Row],[2026]],"&lt;&gt;"""), ""),IF($B$43=(Refsz_Verbräuche[[#Headers],[2027]]-1),Refsz_Verbräuche[[#This Row],[2026]],IF($B$43&lt;Refsz_Verbräuche[[#Headers],[2027]],Refsz_Verbräuche[[#This Row],[2026]],"")))</f>
        <v/>
      </c>
      <c r="R130" s="124" t="str">
        <f>IF(Refsz_Verbräuche[[#Headers],[2028]]=$B$43,IF(OR(SUMIF($E130:Refsz_Verbräuche[[#This Row],[2027]],"&gt;0")&gt;0,), AVERAGEIF($E130:Refsz_Verbräuche[[#This Row],[2027]],"&lt;&gt;"""), ""),IF($B$43=(Refsz_Verbräuche[[#Headers],[2028]]-1),Refsz_Verbräuche[[#This Row],[2027]],IF($B$43&lt;Refsz_Verbräuche[[#Headers],[2028]],Refsz_Verbräuche[[#This Row],[2027]],"")))</f>
        <v/>
      </c>
      <c r="S130" s="124" t="str">
        <f>IF(Refsz_Verbräuche[[#Headers],[2029]]=$B$43,IF(OR(SUMIF($E130:Refsz_Verbräuche[[#This Row],[2028]],"&gt;0")&gt;0,), AVERAGEIF($E130:Refsz_Verbräuche[[#This Row],[2028]],"&lt;&gt;"""), ""),IF($B$43=(Refsz_Verbräuche[[#Headers],[2029]]-1),Refsz_Verbräuche[[#This Row],[2028]],IF($B$43&lt;Refsz_Verbräuche[[#Headers],[2029]],Refsz_Verbräuche[[#This Row],[2028]],"")))</f>
        <v/>
      </c>
      <c r="T130" s="124" t="str">
        <f>IF(Refsz_Verbräuche[[#Headers],[2030]]=$B$43,IF(OR(SUMIF($E130:Refsz_Verbräuche[[#This Row],[2029]],"&gt;0")&gt;0,), AVERAGEIF($E130:Refsz_Verbräuche[[#This Row],[2029]],"&lt;&gt;"""), ""),IF($B$43=(Refsz_Verbräuche[[#Headers],[2030]]-1),Refsz_Verbräuche[[#This Row],[2029]],IF($B$43&lt;Refsz_Verbräuche[[#Headers],[2030]],Refsz_Verbräuche[[#This Row],[2029]],"")))</f>
        <v/>
      </c>
      <c r="U130" s="124" t="str">
        <f>IF(Refsz_Verbräuche[[#Headers],[2035]]=$B$43,IF(OR(SUMIF($E130:Refsz_Verbräuche[[#This Row],[2030]],"&gt;0")&gt;0,), AVERAGEIF($E130:Refsz_Verbräuche[[#This Row],[2030]],"&lt;&gt;"""), ""),IF($B$43=(Refsz_Verbräuche[[#Headers],[2035]]-1),Refsz_Verbräuche[[#This Row],[2030]],IF($B$43&lt;Refsz_Verbräuche[[#Headers],[2035]],Refsz_Verbräuche[[#This Row],[2030]],"")))</f>
        <v/>
      </c>
      <c r="V130" s="124" t="str">
        <f>IF(Refsz_Verbräuche[[#Headers],[2040]]=$B$43,IF(OR(SUMIF($E130:Refsz_Verbräuche[[#This Row],[2035]],"&gt;0")&gt;0,), AVERAGEIF($E130:Refsz_Verbräuche[[#This Row],[2035]],"&lt;&gt;"""), ""),IF($B$43=(Refsz_Verbräuche[[#Headers],[2040]]-1),Refsz_Verbräuche[[#This Row],[2035]],IF($B$43&lt;Refsz_Verbräuche[[#Headers],[2040]],Refsz_Verbräuche[[#This Row],[2035]],"")))</f>
        <v/>
      </c>
      <c r="W130" s="124" t="str">
        <f>IF(Refsz_Verbräuche[[#Headers],[2045]]=$B$43,IF(OR(SUMIF($E130:Refsz_Verbräuche[[#This Row],[2040]],"&gt;0")&gt;0,), AVERAGEIF($E130:Refsz_Verbräuche[[#This Row],[2040]],"&lt;&gt;"""), ""),IF($B$43=(Refsz_Verbräuche[[#Headers],[2045]]-1),Refsz_Verbräuche[[#This Row],[2040]],IF($B$43&lt;Refsz_Verbräuche[[#Headers],[2045]],Refsz_Verbräuche[[#This Row],[2040]],"")))</f>
        <v/>
      </c>
      <c r="X130" s="124" t="str">
        <f>IF(Refsz_Verbräuche[[#Headers],[2050]]=$B$43,IF(OR(SUMIF($E130:Refsz_Verbräuche[[#This Row],[2045]],"&gt;0")&gt;0,), AVERAGEIF($E130:Refsz_Verbräuche[[#This Row],[2045]],"&lt;&gt;"""), ""),IF($B$43=(Refsz_Verbräuche[[#Headers],[2050]]-1),Refsz_Verbräuche[[#This Row],[2045]],IF($B$43&lt;Refsz_Verbräuche[[#Headers],[2050]],Refsz_Verbräuche[[#This Row],[2045]],"")))</f>
        <v/>
      </c>
      <c r="Z130" s="15"/>
    </row>
    <row r="131" spans="2:26" x14ac:dyDescent="0.35">
      <c r="B131" s="15">
        <v>71</v>
      </c>
      <c r="C131" t="str">
        <f>_xlfn.CONCAT('Refsz-Verbräuche'!C50," - PKW (CNG)")</f>
        <v>Pendeln - PKW (CNG)</v>
      </c>
      <c r="D131" t="s">
        <v>417</v>
      </c>
      <c r="E131" s="124"/>
      <c r="F131" s="124"/>
      <c r="G131" s="124"/>
      <c r="H131" s="124"/>
      <c r="I131" s="124"/>
      <c r="J131" s="124"/>
      <c r="K131" s="124"/>
      <c r="L131" s="124" t="str">
        <f>IF(Refsz_Verbräuche[[#Headers],[2022]]=$B$43,IF(OR(SUMIF($E131:Refsz_Verbräuche[[#This Row],[2021]],"&gt;0")&gt;0,), AVERAGEIF($E131:Refsz_Verbräuche[[#This Row],[2021]],"&lt;&gt;"""), ""),IF($B$43=(Refsz_Verbräuche[[#Headers],[2022]]-1),Refsz_Verbräuche[[#This Row],[2021]],IF($B$43&lt;Refsz_Verbräuche[[#Headers],[2022]],Refsz_Verbräuche[[#This Row],[2021]],"")))</f>
        <v/>
      </c>
      <c r="M131" s="124" t="str">
        <f>IF(Refsz_Verbräuche[[#Headers],[2023]]=$B$43,IF(OR(SUMIF($E131:Refsz_Verbräuche[[#This Row],[2022]],"&gt;0")&gt;0,), AVERAGEIF($E131:Refsz_Verbräuche[[#This Row],[2022]],"&lt;&gt;"""), ""),IF($B$43=(Refsz_Verbräuche[[#Headers],[2023]]-1),Refsz_Verbräuche[[#This Row],[2022]],IF($B$43&lt;Refsz_Verbräuche[[#Headers],[2023]],Refsz_Verbräuche[[#This Row],[2022]],"")))</f>
        <v/>
      </c>
      <c r="N131" s="124" t="str">
        <f>IF(Refsz_Verbräuche[[#Headers],[2024]]=$B$43,IF(OR(SUMIF($E131:Refsz_Verbräuche[[#This Row],[2023]],"&gt;0")&gt;0,), AVERAGEIF($E131:Refsz_Verbräuche[[#This Row],[2023]],"&lt;&gt;"""), ""),IF($B$43=(Refsz_Verbräuche[[#Headers],[2024]]-1),Refsz_Verbräuche[[#This Row],[2023]],IF($B$43&lt;Refsz_Verbräuche[[#Headers],[2024]],Refsz_Verbräuche[[#This Row],[2023]],"")))</f>
        <v/>
      </c>
      <c r="O131" s="124" t="str">
        <f>IF(Refsz_Verbräuche[[#Headers],[2025]]=$B$43,IF(OR(SUMIF($E131:Refsz_Verbräuche[[#This Row],[2024]],"&gt;0")&gt;0,), AVERAGEIF($E131:Refsz_Verbräuche[[#This Row],[2024]],"&lt;&gt;"""), ""),IF($B$43=(Refsz_Verbräuche[[#Headers],[2025]]-1),Refsz_Verbräuche[[#This Row],[2024]],IF($B$43&lt;Refsz_Verbräuche[[#Headers],[2025]],Refsz_Verbräuche[[#This Row],[2024]],"")))</f>
        <v/>
      </c>
      <c r="P131" s="124" t="str">
        <f>IF(Refsz_Verbräuche[[#Headers],[2026]]=$B$43,IF(OR(SUMIF($E131:Refsz_Verbräuche[[#This Row],[2025]],"&gt;0")&gt;0,), AVERAGEIF($E131:Refsz_Verbräuche[[#This Row],[2025]],"&lt;&gt;"""), ""),IF($B$43=(Refsz_Verbräuche[[#Headers],[2026]]-1),Refsz_Verbräuche[[#This Row],[2025]],IF($B$43&lt;Refsz_Verbräuche[[#Headers],[2026]],Refsz_Verbräuche[[#This Row],[2025]],"")))</f>
        <v/>
      </c>
      <c r="Q131" s="124" t="str">
        <f>IF(Refsz_Verbräuche[[#Headers],[2027]]=$B$43,IF(OR(SUMIF($E131:Refsz_Verbräuche[[#This Row],[2026]],"&gt;0")&gt;0,), AVERAGEIF($E131:Refsz_Verbräuche[[#This Row],[2026]],"&lt;&gt;"""), ""),IF($B$43=(Refsz_Verbräuche[[#Headers],[2027]]-1),Refsz_Verbräuche[[#This Row],[2026]],IF($B$43&lt;Refsz_Verbräuche[[#Headers],[2027]],Refsz_Verbräuche[[#This Row],[2026]],"")))</f>
        <v/>
      </c>
      <c r="R131" s="124" t="str">
        <f>IF(Refsz_Verbräuche[[#Headers],[2028]]=$B$43,IF(OR(SUMIF($E131:Refsz_Verbräuche[[#This Row],[2027]],"&gt;0")&gt;0,), AVERAGEIF($E131:Refsz_Verbräuche[[#This Row],[2027]],"&lt;&gt;"""), ""),IF($B$43=(Refsz_Verbräuche[[#Headers],[2028]]-1),Refsz_Verbräuche[[#This Row],[2027]],IF($B$43&lt;Refsz_Verbräuche[[#Headers],[2028]],Refsz_Verbräuche[[#This Row],[2027]],"")))</f>
        <v/>
      </c>
      <c r="S131" s="124" t="str">
        <f>IF(Refsz_Verbräuche[[#Headers],[2029]]=$B$43,IF(OR(SUMIF($E131:Refsz_Verbräuche[[#This Row],[2028]],"&gt;0")&gt;0,), AVERAGEIF($E131:Refsz_Verbräuche[[#This Row],[2028]],"&lt;&gt;"""), ""),IF($B$43=(Refsz_Verbräuche[[#Headers],[2029]]-1),Refsz_Verbräuche[[#This Row],[2028]],IF($B$43&lt;Refsz_Verbräuche[[#Headers],[2029]],Refsz_Verbräuche[[#This Row],[2028]],"")))</f>
        <v/>
      </c>
      <c r="T131" s="124" t="str">
        <f>IF(Refsz_Verbräuche[[#Headers],[2030]]=$B$43,IF(OR(SUMIF($E131:Refsz_Verbräuche[[#This Row],[2029]],"&gt;0")&gt;0,), AVERAGEIF($E131:Refsz_Verbräuche[[#This Row],[2029]],"&lt;&gt;"""), ""),IF($B$43=(Refsz_Verbräuche[[#Headers],[2030]]-1),Refsz_Verbräuche[[#This Row],[2029]],IF($B$43&lt;Refsz_Verbräuche[[#Headers],[2030]],Refsz_Verbräuche[[#This Row],[2029]],"")))</f>
        <v/>
      </c>
      <c r="U131" s="124" t="str">
        <f>IF(Refsz_Verbräuche[[#Headers],[2035]]=$B$43,IF(OR(SUMIF($E131:Refsz_Verbräuche[[#This Row],[2030]],"&gt;0")&gt;0,), AVERAGEIF($E131:Refsz_Verbräuche[[#This Row],[2030]],"&lt;&gt;"""), ""),IF($B$43=(Refsz_Verbräuche[[#Headers],[2035]]-1),Refsz_Verbräuche[[#This Row],[2030]],IF($B$43&lt;Refsz_Verbräuche[[#Headers],[2035]],Refsz_Verbräuche[[#This Row],[2030]],"")))</f>
        <v/>
      </c>
      <c r="V131" s="124" t="str">
        <f>IF(Refsz_Verbräuche[[#Headers],[2040]]=$B$43,IF(OR(SUMIF($E131:Refsz_Verbräuche[[#This Row],[2035]],"&gt;0")&gt;0,), AVERAGEIF($E131:Refsz_Verbräuche[[#This Row],[2035]],"&lt;&gt;"""), ""),IF($B$43=(Refsz_Verbräuche[[#Headers],[2040]]-1),Refsz_Verbräuche[[#This Row],[2035]],IF($B$43&lt;Refsz_Verbräuche[[#Headers],[2040]],Refsz_Verbräuche[[#This Row],[2035]],"")))</f>
        <v/>
      </c>
      <c r="W131" s="124" t="str">
        <f>IF(Refsz_Verbräuche[[#Headers],[2045]]=$B$43,IF(OR(SUMIF($E131:Refsz_Verbräuche[[#This Row],[2040]],"&gt;0")&gt;0,), AVERAGEIF($E131:Refsz_Verbräuche[[#This Row],[2040]],"&lt;&gt;"""), ""),IF($B$43=(Refsz_Verbräuche[[#Headers],[2045]]-1),Refsz_Verbräuche[[#This Row],[2040]],IF($B$43&lt;Refsz_Verbräuche[[#Headers],[2045]],Refsz_Verbräuche[[#This Row],[2040]],"")))</f>
        <v/>
      </c>
      <c r="X131" s="124" t="str">
        <f>IF(Refsz_Verbräuche[[#Headers],[2050]]=$B$43,IF(OR(SUMIF($E131:Refsz_Verbräuche[[#This Row],[2045]],"&gt;0")&gt;0,), AVERAGEIF($E131:Refsz_Verbräuche[[#This Row],[2045]],"&lt;&gt;"""), ""),IF($B$43=(Refsz_Verbräuche[[#Headers],[2050]]-1),Refsz_Verbräuche[[#This Row],[2045]],IF($B$43&lt;Refsz_Verbräuche[[#Headers],[2050]],Refsz_Verbräuche[[#This Row],[2045]],"")))</f>
        <v/>
      </c>
      <c r="Z131" s="15"/>
    </row>
    <row r="132" spans="2:26" x14ac:dyDescent="0.35">
      <c r="B132" s="15">
        <v>72</v>
      </c>
      <c r="C132" s="9" t="str">
        <f>_xlfn.CONCAT('Refsz-Verbräuche'!C50," - PKW (Plug-In-Hybrid/PHEV)")</f>
        <v>Pendeln - PKW (Plug-In-Hybrid/PHEV)</v>
      </c>
      <c r="D132" t="s">
        <v>417</v>
      </c>
      <c r="E132" s="124"/>
      <c r="F132" s="124"/>
      <c r="G132" s="124"/>
      <c r="H132" s="124"/>
      <c r="I132" s="124"/>
      <c r="J132" s="124"/>
      <c r="K132" s="124"/>
      <c r="L132" s="124" t="str">
        <f>IF(Refsz_Verbräuche[[#Headers],[2022]]=$B$43,IF(OR(SUMIF($E132:Refsz_Verbräuche[[#This Row],[2021]],"&gt;0")&gt;0,), AVERAGEIF($E132:Refsz_Verbräuche[[#This Row],[2021]],"&lt;&gt;"""), ""),IF($B$43=(Refsz_Verbräuche[[#Headers],[2022]]-1),Refsz_Verbräuche[[#This Row],[2021]],IF($B$43&lt;Refsz_Verbräuche[[#Headers],[2022]],Refsz_Verbräuche[[#This Row],[2021]],"")))</f>
        <v/>
      </c>
      <c r="M132" s="124" t="str">
        <f>IF(Refsz_Verbräuche[[#Headers],[2023]]=$B$43,IF(OR(SUMIF($E132:Refsz_Verbräuche[[#This Row],[2022]],"&gt;0")&gt;0,), AVERAGEIF($E132:Refsz_Verbräuche[[#This Row],[2022]],"&lt;&gt;"""), ""),IF($B$43=(Refsz_Verbräuche[[#Headers],[2023]]-1),Refsz_Verbräuche[[#This Row],[2022]],IF($B$43&lt;Refsz_Verbräuche[[#Headers],[2023]],Refsz_Verbräuche[[#This Row],[2022]],"")))</f>
        <v/>
      </c>
      <c r="N132" s="124" t="str">
        <f>IF(Refsz_Verbräuche[[#Headers],[2024]]=$B$43,IF(OR(SUMIF($E132:Refsz_Verbräuche[[#This Row],[2023]],"&gt;0")&gt;0,), AVERAGEIF($E132:Refsz_Verbräuche[[#This Row],[2023]],"&lt;&gt;"""), ""),IF($B$43=(Refsz_Verbräuche[[#Headers],[2024]]-1),Refsz_Verbräuche[[#This Row],[2023]],IF($B$43&lt;Refsz_Verbräuche[[#Headers],[2024]],Refsz_Verbräuche[[#This Row],[2023]],"")))</f>
        <v/>
      </c>
      <c r="O132" s="124" t="str">
        <f>IF(Refsz_Verbräuche[[#Headers],[2025]]=$B$43,IF(OR(SUMIF($E132:Refsz_Verbräuche[[#This Row],[2024]],"&gt;0")&gt;0,), AVERAGEIF($E132:Refsz_Verbräuche[[#This Row],[2024]],"&lt;&gt;"""), ""),IF($B$43=(Refsz_Verbräuche[[#Headers],[2025]]-1),Refsz_Verbräuche[[#This Row],[2024]],IF($B$43&lt;Refsz_Verbräuche[[#Headers],[2025]],Refsz_Verbräuche[[#This Row],[2024]],"")))</f>
        <v/>
      </c>
      <c r="P132" s="124" t="str">
        <f>IF(Refsz_Verbräuche[[#Headers],[2026]]=$B$43,IF(OR(SUMIF($E132:Refsz_Verbräuche[[#This Row],[2025]],"&gt;0")&gt;0,), AVERAGEIF($E132:Refsz_Verbräuche[[#This Row],[2025]],"&lt;&gt;"""), ""),IF($B$43=(Refsz_Verbräuche[[#Headers],[2026]]-1),Refsz_Verbräuche[[#This Row],[2025]],IF($B$43&lt;Refsz_Verbräuche[[#Headers],[2026]],Refsz_Verbräuche[[#This Row],[2025]],"")))</f>
        <v/>
      </c>
      <c r="Q132" s="124" t="str">
        <f>IF(Refsz_Verbräuche[[#Headers],[2027]]=$B$43,IF(OR(SUMIF($E132:Refsz_Verbräuche[[#This Row],[2026]],"&gt;0")&gt;0,), AVERAGEIF($E132:Refsz_Verbräuche[[#This Row],[2026]],"&lt;&gt;"""), ""),IF($B$43=(Refsz_Verbräuche[[#Headers],[2027]]-1),Refsz_Verbräuche[[#This Row],[2026]],IF($B$43&lt;Refsz_Verbräuche[[#Headers],[2027]],Refsz_Verbräuche[[#This Row],[2026]],"")))</f>
        <v/>
      </c>
      <c r="R132" s="124" t="str">
        <f>IF(Refsz_Verbräuche[[#Headers],[2028]]=$B$43,IF(OR(SUMIF($E132:Refsz_Verbräuche[[#This Row],[2027]],"&gt;0")&gt;0,), AVERAGEIF($E132:Refsz_Verbräuche[[#This Row],[2027]],"&lt;&gt;"""), ""),IF($B$43=(Refsz_Verbräuche[[#Headers],[2028]]-1),Refsz_Verbräuche[[#This Row],[2027]],IF($B$43&lt;Refsz_Verbräuche[[#Headers],[2028]],Refsz_Verbräuche[[#This Row],[2027]],"")))</f>
        <v/>
      </c>
      <c r="S132" s="124" t="str">
        <f>IF(Refsz_Verbräuche[[#Headers],[2029]]=$B$43,IF(OR(SUMIF($E132:Refsz_Verbräuche[[#This Row],[2028]],"&gt;0")&gt;0,), AVERAGEIF($E132:Refsz_Verbräuche[[#This Row],[2028]],"&lt;&gt;"""), ""),IF($B$43=(Refsz_Verbräuche[[#Headers],[2029]]-1),Refsz_Verbräuche[[#This Row],[2028]],IF($B$43&lt;Refsz_Verbräuche[[#Headers],[2029]],Refsz_Verbräuche[[#This Row],[2028]],"")))</f>
        <v/>
      </c>
      <c r="T132" s="124" t="str">
        <f>IF(Refsz_Verbräuche[[#Headers],[2030]]=$B$43,IF(OR(SUMIF($E132:Refsz_Verbräuche[[#This Row],[2029]],"&gt;0")&gt;0,), AVERAGEIF($E132:Refsz_Verbräuche[[#This Row],[2029]],"&lt;&gt;"""), ""),IF($B$43=(Refsz_Verbräuche[[#Headers],[2030]]-1),Refsz_Verbräuche[[#This Row],[2029]],IF($B$43&lt;Refsz_Verbräuche[[#Headers],[2030]],Refsz_Verbräuche[[#This Row],[2029]],"")))</f>
        <v/>
      </c>
      <c r="U132" s="124" t="str">
        <f>IF(Refsz_Verbräuche[[#Headers],[2035]]=$B$43,IF(OR(SUMIF($E132:Refsz_Verbräuche[[#This Row],[2030]],"&gt;0")&gt;0,), AVERAGEIF($E132:Refsz_Verbräuche[[#This Row],[2030]],"&lt;&gt;"""), ""),IF($B$43=(Refsz_Verbräuche[[#Headers],[2035]]-1),Refsz_Verbräuche[[#This Row],[2030]],IF($B$43&lt;Refsz_Verbräuche[[#Headers],[2035]],Refsz_Verbräuche[[#This Row],[2030]],"")))</f>
        <v/>
      </c>
      <c r="V132" s="124" t="str">
        <f>IF(Refsz_Verbräuche[[#Headers],[2040]]=$B$43,IF(OR(SUMIF($E132:Refsz_Verbräuche[[#This Row],[2035]],"&gt;0")&gt;0,), AVERAGEIF($E132:Refsz_Verbräuche[[#This Row],[2035]],"&lt;&gt;"""), ""),IF($B$43=(Refsz_Verbräuche[[#Headers],[2040]]-1),Refsz_Verbräuche[[#This Row],[2035]],IF($B$43&lt;Refsz_Verbräuche[[#Headers],[2040]],Refsz_Verbräuche[[#This Row],[2035]],"")))</f>
        <v/>
      </c>
      <c r="W132" s="124" t="str">
        <f>IF(Refsz_Verbräuche[[#Headers],[2045]]=$B$43,IF(OR(SUMIF($E132:Refsz_Verbräuche[[#This Row],[2040]],"&gt;0")&gt;0,), AVERAGEIF($E132:Refsz_Verbräuche[[#This Row],[2040]],"&lt;&gt;"""), ""),IF($B$43=(Refsz_Verbräuche[[#Headers],[2045]]-1),Refsz_Verbräuche[[#This Row],[2040]],IF($B$43&lt;Refsz_Verbräuche[[#Headers],[2045]],Refsz_Verbräuche[[#This Row],[2040]],"")))</f>
        <v/>
      </c>
      <c r="X132" s="124" t="str">
        <f>IF(Refsz_Verbräuche[[#Headers],[2050]]=$B$43,IF(OR(SUMIF($E132:Refsz_Verbräuche[[#This Row],[2045]],"&gt;0")&gt;0,), AVERAGEIF($E132:Refsz_Verbräuche[[#This Row],[2045]],"&lt;&gt;"""), ""),IF($B$43=(Refsz_Verbräuche[[#Headers],[2050]]-1),Refsz_Verbräuche[[#This Row],[2045]],IF($B$43&lt;Refsz_Verbräuche[[#Headers],[2050]],Refsz_Verbräuche[[#This Row],[2045]],"")))</f>
        <v/>
      </c>
      <c r="Z132" s="15"/>
    </row>
    <row r="133" spans="2:26" x14ac:dyDescent="0.35">
      <c r="B133" s="15">
        <v>73</v>
      </c>
      <c r="C133" s="9" t="str">
        <f>_xlfn.CONCAT(C50," - Motorisierte Zweiräder")</f>
        <v>Pendeln - Motorisierte Zweiräder</v>
      </c>
      <c r="D133" t="s">
        <v>417</v>
      </c>
      <c r="E133" s="124"/>
      <c r="F133" s="124"/>
      <c r="G133" s="124"/>
      <c r="H133" s="124"/>
      <c r="I133" s="124"/>
      <c r="J133" s="124"/>
      <c r="K133" s="124"/>
      <c r="L133" s="124" t="str">
        <f>IF(Refsz_Verbräuche[[#Headers],[2022]]=$B$43,IF(OR(SUMIF($E133:Refsz_Verbräuche[[#This Row],[2021]],"&gt;0")&gt;0,), AVERAGEIF($E133:Refsz_Verbräuche[[#This Row],[2021]],"&lt;&gt;"""), ""),IF($B$43=(Refsz_Verbräuche[[#Headers],[2022]]-1),Refsz_Verbräuche[[#This Row],[2021]],IF($B$43&lt;Refsz_Verbräuche[[#Headers],[2022]],Refsz_Verbräuche[[#This Row],[2021]],"")))</f>
        <v/>
      </c>
      <c r="M133" s="124" t="str">
        <f>IF(Refsz_Verbräuche[[#Headers],[2023]]=$B$43,IF(OR(SUMIF($E133:Refsz_Verbräuche[[#This Row],[2022]],"&gt;0")&gt;0,), AVERAGEIF($E133:Refsz_Verbräuche[[#This Row],[2022]],"&lt;&gt;"""), ""),IF($B$43=(Refsz_Verbräuche[[#Headers],[2023]]-1),Refsz_Verbräuche[[#This Row],[2022]],IF($B$43&lt;Refsz_Verbräuche[[#Headers],[2023]],Refsz_Verbräuche[[#This Row],[2022]],"")))</f>
        <v/>
      </c>
      <c r="N133" s="124" t="str">
        <f>IF(Refsz_Verbräuche[[#Headers],[2024]]=$B$43,IF(OR(SUMIF($E133:Refsz_Verbräuche[[#This Row],[2023]],"&gt;0")&gt;0,), AVERAGEIF($E133:Refsz_Verbräuche[[#This Row],[2023]],"&lt;&gt;"""), ""),IF($B$43=(Refsz_Verbräuche[[#Headers],[2024]]-1),Refsz_Verbräuche[[#This Row],[2023]],IF($B$43&lt;Refsz_Verbräuche[[#Headers],[2024]],Refsz_Verbräuche[[#This Row],[2023]],"")))</f>
        <v/>
      </c>
      <c r="O133" s="124" t="str">
        <f>IF(Refsz_Verbräuche[[#Headers],[2025]]=$B$43,IF(OR(SUMIF($E133:Refsz_Verbräuche[[#This Row],[2024]],"&gt;0")&gt;0,), AVERAGEIF($E133:Refsz_Verbräuche[[#This Row],[2024]],"&lt;&gt;"""), ""),IF($B$43=(Refsz_Verbräuche[[#Headers],[2025]]-1),Refsz_Verbräuche[[#This Row],[2024]],IF($B$43&lt;Refsz_Verbräuche[[#Headers],[2025]],Refsz_Verbräuche[[#This Row],[2024]],"")))</f>
        <v/>
      </c>
      <c r="P133" s="124" t="str">
        <f>IF(Refsz_Verbräuche[[#Headers],[2026]]=$B$43,IF(OR(SUMIF($E133:Refsz_Verbräuche[[#This Row],[2025]],"&gt;0")&gt;0,), AVERAGEIF($E133:Refsz_Verbräuche[[#This Row],[2025]],"&lt;&gt;"""), ""),IF($B$43=(Refsz_Verbräuche[[#Headers],[2026]]-1),Refsz_Verbräuche[[#This Row],[2025]],IF($B$43&lt;Refsz_Verbräuche[[#Headers],[2026]],Refsz_Verbräuche[[#This Row],[2025]],"")))</f>
        <v/>
      </c>
      <c r="Q133" s="124" t="str">
        <f>IF(Refsz_Verbräuche[[#Headers],[2027]]=$B$43,IF(OR(SUMIF($E133:Refsz_Verbräuche[[#This Row],[2026]],"&gt;0")&gt;0,), AVERAGEIF($E133:Refsz_Verbräuche[[#This Row],[2026]],"&lt;&gt;"""), ""),IF($B$43=(Refsz_Verbräuche[[#Headers],[2027]]-1),Refsz_Verbräuche[[#This Row],[2026]],IF($B$43&lt;Refsz_Verbräuche[[#Headers],[2027]],Refsz_Verbräuche[[#This Row],[2026]],"")))</f>
        <v/>
      </c>
      <c r="R133" s="124" t="str">
        <f>IF(Refsz_Verbräuche[[#Headers],[2028]]=$B$43,IF(OR(SUMIF($E133:Refsz_Verbräuche[[#This Row],[2027]],"&gt;0")&gt;0,), AVERAGEIF($E133:Refsz_Verbräuche[[#This Row],[2027]],"&lt;&gt;"""), ""),IF($B$43=(Refsz_Verbräuche[[#Headers],[2028]]-1),Refsz_Verbräuche[[#This Row],[2027]],IF($B$43&lt;Refsz_Verbräuche[[#Headers],[2028]],Refsz_Verbräuche[[#This Row],[2027]],"")))</f>
        <v/>
      </c>
      <c r="S133" s="124" t="str">
        <f>IF(Refsz_Verbräuche[[#Headers],[2029]]=$B$43,IF(OR(SUMIF($E133:Refsz_Verbräuche[[#This Row],[2028]],"&gt;0")&gt;0,), AVERAGEIF($E133:Refsz_Verbräuche[[#This Row],[2028]],"&lt;&gt;"""), ""),IF($B$43=(Refsz_Verbräuche[[#Headers],[2029]]-1),Refsz_Verbräuche[[#This Row],[2028]],IF($B$43&lt;Refsz_Verbräuche[[#Headers],[2029]],Refsz_Verbräuche[[#This Row],[2028]],"")))</f>
        <v/>
      </c>
      <c r="T133" s="124" t="str">
        <f>IF(Refsz_Verbräuche[[#Headers],[2030]]=$B$43,IF(OR(SUMIF($E133:Refsz_Verbräuche[[#This Row],[2029]],"&gt;0")&gt;0,), AVERAGEIF($E133:Refsz_Verbräuche[[#This Row],[2029]],"&lt;&gt;"""), ""),IF($B$43=(Refsz_Verbräuche[[#Headers],[2030]]-1),Refsz_Verbräuche[[#This Row],[2029]],IF($B$43&lt;Refsz_Verbräuche[[#Headers],[2030]],Refsz_Verbräuche[[#This Row],[2029]],"")))</f>
        <v/>
      </c>
      <c r="U133" s="124" t="str">
        <f>IF(Refsz_Verbräuche[[#Headers],[2035]]=$B$43,IF(OR(SUMIF($E133:Refsz_Verbräuche[[#This Row],[2030]],"&gt;0")&gt;0,), AVERAGEIF($E133:Refsz_Verbräuche[[#This Row],[2030]],"&lt;&gt;"""), ""),IF($B$43=(Refsz_Verbräuche[[#Headers],[2035]]-1),Refsz_Verbräuche[[#This Row],[2030]],IF($B$43&lt;Refsz_Verbräuche[[#Headers],[2035]],Refsz_Verbräuche[[#This Row],[2030]],"")))</f>
        <v/>
      </c>
      <c r="V133" s="124" t="str">
        <f>IF(Refsz_Verbräuche[[#Headers],[2040]]=$B$43,IF(OR(SUMIF($E133:Refsz_Verbräuche[[#This Row],[2035]],"&gt;0")&gt;0,), AVERAGEIF($E133:Refsz_Verbräuche[[#This Row],[2035]],"&lt;&gt;"""), ""),IF($B$43=(Refsz_Verbräuche[[#Headers],[2040]]-1),Refsz_Verbräuche[[#This Row],[2035]],IF($B$43&lt;Refsz_Verbräuche[[#Headers],[2040]],Refsz_Verbräuche[[#This Row],[2035]],"")))</f>
        <v/>
      </c>
      <c r="W133" s="124" t="str">
        <f>IF(Refsz_Verbräuche[[#Headers],[2045]]=$B$43,IF(OR(SUMIF($E133:Refsz_Verbräuche[[#This Row],[2040]],"&gt;0")&gt;0,), AVERAGEIF($E133:Refsz_Verbräuche[[#This Row],[2040]],"&lt;&gt;"""), ""),IF($B$43=(Refsz_Verbräuche[[#Headers],[2045]]-1),Refsz_Verbräuche[[#This Row],[2040]],IF($B$43&lt;Refsz_Verbräuche[[#Headers],[2045]],Refsz_Verbräuche[[#This Row],[2040]],"")))</f>
        <v/>
      </c>
      <c r="X133" s="124" t="str">
        <f>IF(Refsz_Verbräuche[[#Headers],[2050]]=$B$43,IF(OR(SUMIF($E133:Refsz_Verbräuche[[#This Row],[2045]],"&gt;0")&gt;0,), AVERAGEIF($E133:Refsz_Verbräuche[[#This Row],[2045]],"&lt;&gt;"""), ""),IF($B$43=(Refsz_Verbräuche[[#Headers],[2050]]-1),Refsz_Verbräuche[[#This Row],[2045]],IF($B$43&lt;Refsz_Verbräuche[[#Headers],[2050]],Refsz_Verbräuche[[#This Row],[2045]],"")))</f>
        <v/>
      </c>
      <c r="Z133" s="15"/>
    </row>
    <row r="134" spans="2:26" x14ac:dyDescent="0.35">
      <c r="B134" s="15">
        <v>74</v>
      </c>
      <c r="C134" s="9" t="str">
        <f>_xlfn.CONCAT('Refsz-Verbräuche'!C50," - Fahrrad")</f>
        <v>Pendeln - Fahrrad</v>
      </c>
      <c r="D134" t="s">
        <v>417</v>
      </c>
      <c r="E134" s="124"/>
      <c r="F134" s="124"/>
      <c r="G134" s="124"/>
      <c r="H134" s="124"/>
      <c r="I134" s="124"/>
      <c r="J134" s="124"/>
      <c r="K134" s="124"/>
      <c r="L134" s="124" t="str">
        <f>IF(Refsz_Verbräuche[[#Headers],[2022]]=$B$43,IF(OR(SUMIF($E134:Refsz_Verbräuche[[#This Row],[2021]],"&gt;0")&gt;0,), AVERAGEIF($E134:Refsz_Verbräuche[[#This Row],[2021]],"&lt;&gt;"""), ""),IF($B$43=(Refsz_Verbräuche[[#Headers],[2022]]-1),Refsz_Verbräuche[[#This Row],[2021]],IF($B$43&lt;Refsz_Verbräuche[[#Headers],[2022]],Refsz_Verbräuche[[#This Row],[2021]],"")))</f>
        <v/>
      </c>
      <c r="M134" s="124" t="str">
        <f>IF(Refsz_Verbräuche[[#Headers],[2023]]=$B$43,IF(OR(SUMIF($E134:Refsz_Verbräuche[[#This Row],[2022]],"&gt;0")&gt;0,), AVERAGEIF($E134:Refsz_Verbräuche[[#This Row],[2022]],"&lt;&gt;"""), ""),IF($B$43=(Refsz_Verbräuche[[#Headers],[2023]]-1),Refsz_Verbräuche[[#This Row],[2022]],IF($B$43&lt;Refsz_Verbräuche[[#Headers],[2023]],Refsz_Verbräuche[[#This Row],[2022]],"")))</f>
        <v/>
      </c>
      <c r="N134" s="124" t="str">
        <f>IF(Refsz_Verbräuche[[#Headers],[2024]]=$B$43,IF(OR(SUMIF($E134:Refsz_Verbräuche[[#This Row],[2023]],"&gt;0")&gt;0,), AVERAGEIF($E134:Refsz_Verbräuche[[#This Row],[2023]],"&lt;&gt;"""), ""),IF($B$43=(Refsz_Verbräuche[[#Headers],[2024]]-1),Refsz_Verbräuche[[#This Row],[2023]],IF($B$43&lt;Refsz_Verbräuche[[#Headers],[2024]],Refsz_Verbräuche[[#This Row],[2023]],"")))</f>
        <v/>
      </c>
      <c r="O134" s="124" t="str">
        <f>IF(Refsz_Verbräuche[[#Headers],[2025]]=$B$43,IF(OR(SUMIF($E134:Refsz_Verbräuche[[#This Row],[2024]],"&gt;0")&gt;0,), AVERAGEIF($E134:Refsz_Verbräuche[[#This Row],[2024]],"&lt;&gt;"""), ""),IF($B$43=(Refsz_Verbräuche[[#Headers],[2025]]-1),Refsz_Verbräuche[[#This Row],[2024]],IF($B$43&lt;Refsz_Verbräuche[[#Headers],[2025]],Refsz_Verbräuche[[#This Row],[2024]],"")))</f>
        <v/>
      </c>
      <c r="P134" s="124" t="str">
        <f>IF(Refsz_Verbräuche[[#Headers],[2026]]=$B$43,IF(OR(SUMIF($E134:Refsz_Verbräuche[[#This Row],[2025]],"&gt;0")&gt;0,), AVERAGEIF($E134:Refsz_Verbräuche[[#This Row],[2025]],"&lt;&gt;"""), ""),IF($B$43=(Refsz_Verbräuche[[#Headers],[2026]]-1),Refsz_Verbräuche[[#This Row],[2025]],IF($B$43&lt;Refsz_Verbräuche[[#Headers],[2026]],Refsz_Verbräuche[[#This Row],[2025]],"")))</f>
        <v/>
      </c>
      <c r="Q134" s="124" t="str">
        <f>IF(Refsz_Verbräuche[[#Headers],[2027]]=$B$43,IF(OR(SUMIF($E134:Refsz_Verbräuche[[#This Row],[2026]],"&gt;0")&gt;0,), AVERAGEIF($E134:Refsz_Verbräuche[[#This Row],[2026]],"&lt;&gt;"""), ""),IF($B$43=(Refsz_Verbräuche[[#Headers],[2027]]-1),Refsz_Verbräuche[[#This Row],[2026]],IF($B$43&lt;Refsz_Verbräuche[[#Headers],[2027]],Refsz_Verbräuche[[#This Row],[2026]],"")))</f>
        <v/>
      </c>
      <c r="R134" s="124" t="str">
        <f>IF(Refsz_Verbräuche[[#Headers],[2028]]=$B$43,IF(OR(SUMIF($E134:Refsz_Verbräuche[[#This Row],[2027]],"&gt;0")&gt;0,), AVERAGEIF($E134:Refsz_Verbräuche[[#This Row],[2027]],"&lt;&gt;"""), ""),IF($B$43=(Refsz_Verbräuche[[#Headers],[2028]]-1),Refsz_Verbräuche[[#This Row],[2027]],IF($B$43&lt;Refsz_Verbräuche[[#Headers],[2028]],Refsz_Verbräuche[[#This Row],[2027]],"")))</f>
        <v/>
      </c>
      <c r="S134" s="124" t="str">
        <f>IF(Refsz_Verbräuche[[#Headers],[2029]]=$B$43,IF(OR(SUMIF($E134:Refsz_Verbräuche[[#This Row],[2028]],"&gt;0")&gt;0,), AVERAGEIF($E134:Refsz_Verbräuche[[#This Row],[2028]],"&lt;&gt;"""), ""),IF($B$43=(Refsz_Verbräuche[[#Headers],[2029]]-1),Refsz_Verbräuche[[#This Row],[2028]],IF($B$43&lt;Refsz_Verbräuche[[#Headers],[2029]],Refsz_Verbräuche[[#This Row],[2028]],"")))</f>
        <v/>
      </c>
      <c r="T134" s="124" t="str">
        <f>IF(Refsz_Verbräuche[[#Headers],[2030]]=$B$43,IF(OR(SUMIF($E134:Refsz_Verbräuche[[#This Row],[2029]],"&gt;0")&gt;0,), AVERAGEIF($E134:Refsz_Verbräuche[[#This Row],[2029]],"&lt;&gt;"""), ""),IF($B$43=(Refsz_Verbräuche[[#Headers],[2030]]-1),Refsz_Verbräuche[[#This Row],[2029]],IF($B$43&lt;Refsz_Verbräuche[[#Headers],[2030]],Refsz_Verbräuche[[#This Row],[2029]],"")))</f>
        <v/>
      </c>
      <c r="U134" s="124" t="str">
        <f>IF(Refsz_Verbräuche[[#Headers],[2035]]=$B$43,IF(OR(SUMIF($E134:Refsz_Verbräuche[[#This Row],[2030]],"&gt;0")&gt;0,), AVERAGEIF($E134:Refsz_Verbräuche[[#This Row],[2030]],"&lt;&gt;"""), ""),IF($B$43=(Refsz_Verbräuche[[#Headers],[2035]]-1),Refsz_Verbräuche[[#This Row],[2030]],IF($B$43&lt;Refsz_Verbräuche[[#Headers],[2035]],Refsz_Verbräuche[[#This Row],[2030]],"")))</f>
        <v/>
      </c>
      <c r="V134" s="124" t="str">
        <f>IF(Refsz_Verbräuche[[#Headers],[2040]]=$B$43,IF(OR(SUMIF($E134:Refsz_Verbräuche[[#This Row],[2035]],"&gt;0")&gt;0,), AVERAGEIF($E134:Refsz_Verbräuche[[#This Row],[2035]],"&lt;&gt;"""), ""),IF($B$43=(Refsz_Verbräuche[[#Headers],[2040]]-1),Refsz_Verbräuche[[#This Row],[2035]],IF($B$43&lt;Refsz_Verbräuche[[#Headers],[2040]],Refsz_Verbräuche[[#This Row],[2035]],"")))</f>
        <v/>
      </c>
      <c r="W134" s="124" t="str">
        <f>IF(Refsz_Verbräuche[[#Headers],[2045]]=$B$43,IF(OR(SUMIF($E134:Refsz_Verbräuche[[#This Row],[2040]],"&gt;0")&gt;0,), AVERAGEIF($E134:Refsz_Verbräuche[[#This Row],[2040]],"&lt;&gt;"""), ""),IF($B$43=(Refsz_Verbräuche[[#Headers],[2045]]-1),Refsz_Verbräuche[[#This Row],[2040]],IF($B$43&lt;Refsz_Verbräuche[[#Headers],[2045]],Refsz_Verbräuche[[#This Row],[2040]],"")))</f>
        <v/>
      </c>
      <c r="X134" s="124" t="str">
        <f>IF(Refsz_Verbräuche[[#Headers],[2050]]=$B$43,IF(OR(SUMIF($E134:Refsz_Verbräuche[[#This Row],[2045]],"&gt;0")&gt;0,), AVERAGEIF($E134:Refsz_Verbräuche[[#This Row],[2045]],"&lt;&gt;"""), ""),IF($B$43=(Refsz_Verbräuche[[#Headers],[2050]]-1),Refsz_Verbräuche[[#This Row],[2045]],IF($B$43&lt;Refsz_Verbräuche[[#Headers],[2050]],Refsz_Verbräuche[[#This Row],[2045]],"")))</f>
        <v/>
      </c>
      <c r="Z134" s="15"/>
    </row>
    <row r="135" spans="2:26" x14ac:dyDescent="0.35">
      <c r="B135" s="15">
        <v>75</v>
      </c>
      <c r="C135" s="9" t="str">
        <f>_xlfn.CONCAT('Refsz-Verbräuche'!C50," - E-Bike")</f>
        <v>Pendeln - E-Bike</v>
      </c>
      <c r="D135" t="s">
        <v>417</v>
      </c>
      <c r="E135" s="124"/>
      <c r="F135" s="124"/>
      <c r="G135" s="124"/>
      <c r="H135" s="124"/>
      <c r="I135" s="124"/>
      <c r="J135" s="124"/>
      <c r="K135" s="124"/>
      <c r="L135" s="124" t="str">
        <f>IF(Refsz_Verbräuche[[#Headers],[2022]]=$B$43,IF(OR(SUMIF($E135:Refsz_Verbräuche[[#This Row],[2021]],"&gt;0")&gt;0,), AVERAGEIF($E135:Refsz_Verbräuche[[#This Row],[2021]],"&lt;&gt;"""), ""),IF($B$43=(Refsz_Verbräuche[[#Headers],[2022]]-1),Refsz_Verbräuche[[#This Row],[2021]],IF($B$43&lt;Refsz_Verbräuche[[#Headers],[2022]],Refsz_Verbräuche[[#This Row],[2021]],"")))</f>
        <v/>
      </c>
      <c r="M135" s="124" t="str">
        <f>IF(Refsz_Verbräuche[[#Headers],[2023]]=$B$43,IF(OR(SUMIF($E135:Refsz_Verbräuche[[#This Row],[2022]],"&gt;0")&gt;0,), AVERAGEIF($E135:Refsz_Verbräuche[[#This Row],[2022]],"&lt;&gt;"""), ""),IF($B$43=(Refsz_Verbräuche[[#Headers],[2023]]-1),Refsz_Verbräuche[[#This Row],[2022]],IF($B$43&lt;Refsz_Verbräuche[[#Headers],[2023]],Refsz_Verbräuche[[#This Row],[2022]],"")))</f>
        <v/>
      </c>
      <c r="N135" s="124" t="str">
        <f>IF(Refsz_Verbräuche[[#Headers],[2024]]=$B$43,IF(OR(SUMIF($E135:Refsz_Verbräuche[[#This Row],[2023]],"&gt;0")&gt;0,), AVERAGEIF($E135:Refsz_Verbräuche[[#This Row],[2023]],"&lt;&gt;"""), ""),IF($B$43=(Refsz_Verbräuche[[#Headers],[2024]]-1),Refsz_Verbräuche[[#This Row],[2023]],IF($B$43&lt;Refsz_Verbräuche[[#Headers],[2024]],Refsz_Verbräuche[[#This Row],[2023]],"")))</f>
        <v/>
      </c>
      <c r="O135" s="124" t="str">
        <f>IF(Refsz_Verbräuche[[#Headers],[2025]]=$B$43,IF(OR(SUMIF($E135:Refsz_Verbräuche[[#This Row],[2024]],"&gt;0")&gt;0,), AVERAGEIF($E135:Refsz_Verbräuche[[#This Row],[2024]],"&lt;&gt;"""), ""),IF($B$43=(Refsz_Verbräuche[[#Headers],[2025]]-1),Refsz_Verbräuche[[#This Row],[2024]],IF($B$43&lt;Refsz_Verbräuche[[#Headers],[2025]],Refsz_Verbräuche[[#This Row],[2024]],"")))</f>
        <v/>
      </c>
      <c r="P135" s="124" t="str">
        <f>IF(Refsz_Verbräuche[[#Headers],[2026]]=$B$43,IF(OR(SUMIF($E135:Refsz_Verbräuche[[#This Row],[2025]],"&gt;0")&gt;0,), AVERAGEIF($E135:Refsz_Verbräuche[[#This Row],[2025]],"&lt;&gt;"""), ""),IF($B$43=(Refsz_Verbräuche[[#Headers],[2026]]-1),Refsz_Verbräuche[[#This Row],[2025]],IF($B$43&lt;Refsz_Verbräuche[[#Headers],[2026]],Refsz_Verbräuche[[#This Row],[2025]],"")))</f>
        <v/>
      </c>
      <c r="Q135" s="124" t="str">
        <f>IF(Refsz_Verbräuche[[#Headers],[2027]]=$B$43,IF(OR(SUMIF($E135:Refsz_Verbräuche[[#This Row],[2026]],"&gt;0")&gt;0,), AVERAGEIF($E135:Refsz_Verbräuche[[#This Row],[2026]],"&lt;&gt;"""), ""),IF($B$43=(Refsz_Verbräuche[[#Headers],[2027]]-1),Refsz_Verbräuche[[#This Row],[2026]],IF($B$43&lt;Refsz_Verbräuche[[#Headers],[2027]],Refsz_Verbräuche[[#This Row],[2026]],"")))</f>
        <v/>
      </c>
      <c r="R135" s="124" t="str">
        <f>IF(Refsz_Verbräuche[[#Headers],[2028]]=$B$43,IF(OR(SUMIF($E135:Refsz_Verbräuche[[#This Row],[2027]],"&gt;0")&gt;0,), AVERAGEIF($E135:Refsz_Verbräuche[[#This Row],[2027]],"&lt;&gt;"""), ""),IF($B$43=(Refsz_Verbräuche[[#Headers],[2028]]-1),Refsz_Verbräuche[[#This Row],[2027]],IF($B$43&lt;Refsz_Verbräuche[[#Headers],[2028]],Refsz_Verbräuche[[#This Row],[2027]],"")))</f>
        <v/>
      </c>
      <c r="S135" s="124" t="str">
        <f>IF(Refsz_Verbräuche[[#Headers],[2029]]=$B$43,IF(OR(SUMIF($E135:Refsz_Verbräuche[[#This Row],[2028]],"&gt;0")&gt;0,), AVERAGEIF($E135:Refsz_Verbräuche[[#This Row],[2028]],"&lt;&gt;"""), ""),IF($B$43=(Refsz_Verbräuche[[#Headers],[2029]]-1),Refsz_Verbräuche[[#This Row],[2028]],IF($B$43&lt;Refsz_Verbräuche[[#Headers],[2029]],Refsz_Verbräuche[[#This Row],[2028]],"")))</f>
        <v/>
      </c>
      <c r="T135" s="124" t="str">
        <f>IF(Refsz_Verbräuche[[#Headers],[2030]]=$B$43,IF(OR(SUMIF($E135:Refsz_Verbräuche[[#This Row],[2029]],"&gt;0")&gt;0,), AVERAGEIF($E135:Refsz_Verbräuche[[#This Row],[2029]],"&lt;&gt;"""), ""),IF($B$43=(Refsz_Verbräuche[[#Headers],[2030]]-1),Refsz_Verbräuche[[#This Row],[2029]],IF($B$43&lt;Refsz_Verbräuche[[#Headers],[2030]],Refsz_Verbräuche[[#This Row],[2029]],"")))</f>
        <v/>
      </c>
      <c r="U135" s="124" t="str">
        <f>IF(Refsz_Verbräuche[[#Headers],[2035]]=$B$43,IF(OR(SUMIF($E135:Refsz_Verbräuche[[#This Row],[2030]],"&gt;0")&gt;0,), AVERAGEIF($E135:Refsz_Verbräuche[[#This Row],[2030]],"&lt;&gt;"""), ""),IF($B$43=(Refsz_Verbräuche[[#Headers],[2035]]-1),Refsz_Verbräuche[[#This Row],[2030]],IF($B$43&lt;Refsz_Verbräuche[[#Headers],[2035]],Refsz_Verbräuche[[#This Row],[2030]],"")))</f>
        <v/>
      </c>
      <c r="V135" s="124" t="str">
        <f>IF(Refsz_Verbräuche[[#Headers],[2040]]=$B$43,IF(OR(SUMIF($E135:Refsz_Verbräuche[[#This Row],[2035]],"&gt;0")&gt;0,), AVERAGEIF($E135:Refsz_Verbräuche[[#This Row],[2035]],"&lt;&gt;"""), ""),IF($B$43=(Refsz_Verbräuche[[#Headers],[2040]]-1),Refsz_Verbräuche[[#This Row],[2035]],IF($B$43&lt;Refsz_Verbräuche[[#Headers],[2040]],Refsz_Verbräuche[[#This Row],[2035]],"")))</f>
        <v/>
      </c>
      <c r="W135" s="124" t="str">
        <f>IF(Refsz_Verbräuche[[#Headers],[2045]]=$B$43,IF(OR(SUMIF($E135:Refsz_Verbräuche[[#This Row],[2040]],"&gt;0")&gt;0,), AVERAGEIF($E135:Refsz_Verbräuche[[#This Row],[2040]],"&lt;&gt;"""), ""),IF($B$43=(Refsz_Verbräuche[[#Headers],[2045]]-1),Refsz_Verbräuche[[#This Row],[2040]],IF($B$43&lt;Refsz_Verbräuche[[#Headers],[2045]],Refsz_Verbräuche[[#This Row],[2040]],"")))</f>
        <v/>
      </c>
      <c r="X135" s="124" t="str">
        <f>IF(Refsz_Verbräuche[[#Headers],[2050]]=$B$43,IF(OR(SUMIF($E135:Refsz_Verbräuche[[#This Row],[2045]],"&gt;0")&gt;0,), AVERAGEIF($E135:Refsz_Verbräuche[[#This Row],[2045]],"&lt;&gt;"""), ""),IF($B$43=(Refsz_Verbräuche[[#Headers],[2050]]-1),Refsz_Verbräuche[[#This Row],[2045]],IF($B$43&lt;Refsz_Verbräuche[[#Headers],[2050]],Refsz_Verbräuche[[#This Row],[2045]],"")))</f>
        <v/>
      </c>
      <c r="Z135" s="15"/>
    </row>
    <row r="136" spans="2:26" x14ac:dyDescent="0.35">
      <c r="B136" s="15">
        <v>76</v>
      </c>
      <c r="C136" s="9" t="str">
        <f>_xlfn.CONCAT('Refsz-Verbräuche'!C50," - zu Fuß")</f>
        <v>Pendeln - zu Fuß</v>
      </c>
      <c r="D136" t="s">
        <v>47</v>
      </c>
      <c r="E136" s="124"/>
      <c r="F136" s="124"/>
      <c r="G136" s="124"/>
      <c r="H136" s="124"/>
      <c r="I136" s="124"/>
      <c r="J136" s="124"/>
      <c r="K136" s="124"/>
      <c r="L136" s="124" t="str">
        <f>IF(Refsz_Verbräuche[[#Headers],[2022]]=$B$43,IF(OR(SUMIF($E136:Refsz_Verbräuche[[#This Row],[2021]],"&gt;0")&gt;0,), AVERAGEIF($E136:Refsz_Verbräuche[[#This Row],[2021]],"&lt;&gt;"""), ""),IF($B$43=(Refsz_Verbräuche[[#Headers],[2022]]-1),Refsz_Verbräuche[[#This Row],[2021]],IF($B$43&lt;Refsz_Verbräuche[[#Headers],[2022]],Refsz_Verbräuche[[#This Row],[2021]],"")))</f>
        <v/>
      </c>
      <c r="M136" s="124" t="str">
        <f>IF(Refsz_Verbräuche[[#Headers],[2023]]=$B$43,IF(OR(SUMIF($E136:Refsz_Verbräuche[[#This Row],[2022]],"&gt;0")&gt;0,), AVERAGEIF($E136:Refsz_Verbräuche[[#This Row],[2022]],"&lt;&gt;"""), ""),IF($B$43=(Refsz_Verbräuche[[#Headers],[2023]]-1),Refsz_Verbräuche[[#This Row],[2022]],IF($B$43&lt;Refsz_Verbräuche[[#Headers],[2023]],Refsz_Verbräuche[[#This Row],[2022]],"")))</f>
        <v/>
      </c>
      <c r="N136" s="124" t="str">
        <f>IF(Refsz_Verbräuche[[#Headers],[2024]]=$B$43,IF(OR(SUMIF($E136:Refsz_Verbräuche[[#This Row],[2023]],"&gt;0")&gt;0,), AVERAGEIF($E136:Refsz_Verbräuche[[#This Row],[2023]],"&lt;&gt;"""), ""),IF($B$43=(Refsz_Verbräuche[[#Headers],[2024]]-1),Refsz_Verbräuche[[#This Row],[2023]],IF($B$43&lt;Refsz_Verbräuche[[#Headers],[2024]],Refsz_Verbräuche[[#This Row],[2023]],"")))</f>
        <v/>
      </c>
      <c r="O136" s="124" t="str">
        <f>IF(Refsz_Verbräuche[[#Headers],[2025]]=$B$43,IF(OR(SUMIF($E136:Refsz_Verbräuche[[#This Row],[2024]],"&gt;0")&gt;0,), AVERAGEIF($E136:Refsz_Verbräuche[[#This Row],[2024]],"&lt;&gt;"""), ""),IF($B$43=(Refsz_Verbräuche[[#Headers],[2025]]-1),Refsz_Verbräuche[[#This Row],[2024]],IF($B$43&lt;Refsz_Verbräuche[[#Headers],[2025]],Refsz_Verbräuche[[#This Row],[2024]],"")))</f>
        <v/>
      </c>
      <c r="P136" s="124" t="str">
        <f>IF(Refsz_Verbräuche[[#Headers],[2026]]=$B$43,IF(OR(SUMIF($E136:Refsz_Verbräuche[[#This Row],[2025]],"&gt;0")&gt;0,), AVERAGEIF($E136:Refsz_Verbräuche[[#This Row],[2025]],"&lt;&gt;"""), ""),IF($B$43=(Refsz_Verbräuche[[#Headers],[2026]]-1),Refsz_Verbräuche[[#This Row],[2025]],IF($B$43&lt;Refsz_Verbräuche[[#Headers],[2026]],Refsz_Verbräuche[[#This Row],[2025]],"")))</f>
        <v/>
      </c>
      <c r="Q136" s="124" t="str">
        <f>IF(Refsz_Verbräuche[[#Headers],[2027]]=$B$43,IF(OR(SUMIF($E136:Refsz_Verbräuche[[#This Row],[2026]],"&gt;0")&gt;0,), AVERAGEIF($E136:Refsz_Verbräuche[[#This Row],[2026]],"&lt;&gt;"""), ""),IF($B$43=(Refsz_Verbräuche[[#Headers],[2027]]-1),Refsz_Verbräuche[[#This Row],[2026]],IF($B$43&lt;Refsz_Verbräuche[[#Headers],[2027]],Refsz_Verbräuche[[#This Row],[2026]],"")))</f>
        <v/>
      </c>
      <c r="R136" s="124" t="str">
        <f>IF(Refsz_Verbräuche[[#Headers],[2028]]=$B$43,IF(OR(SUMIF($E136:Refsz_Verbräuche[[#This Row],[2027]],"&gt;0")&gt;0,), AVERAGEIF($E136:Refsz_Verbräuche[[#This Row],[2027]],"&lt;&gt;"""), ""),IF($B$43=(Refsz_Verbräuche[[#Headers],[2028]]-1),Refsz_Verbräuche[[#This Row],[2027]],IF($B$43&lt;Refsz_Verbräuche[[#Headers],[2028]],Refsz_Verbräuche[[#This Row],[2027]],"")))</f>
        <v/>
      </c>
      <c r="S136" s="124" t="str">
        <f>IF(Refsz_Verbräuche[[#Headers],[2029]]=$B$43,IF(OR(SUMIF($E136:Refsz_Verbräuche[[#This Row],[2028]],"&gt;0")&gt;0,), AVERAGEIF($E136:Refsz_Verbräuche[[#This Row],[2028]],"&lt;&gt;"""), ""),IF($B$43=(Refsz_Verbräuche[[#Headers],[2029]]-1),Refsz_Verbräuche[[#This Row],[2028]],IF($B$43&lt;Refsz_Verbräuche[[#Headers],[2029]],Refsz_Verbräuche[[#This Row],[2028]],"")))</f>
        <v/>
      </c>
      <c r="T136" s="124" t="str">
        <f>IF(Refsz_Verbräuche[[#Headers],[2030]]=$B$43,IF(OR(SUMIF($E136:Refsz_Verbräuche[[#This Row],[2029]],"&gt;0")&gt;0,), AVERAGEIF($E136:Refsz_Verbräuche[[#This Row],[2029]],"&lt;&gt;"""), ""),IF($B$43=(Refsz_Verbräuche[[#Headers],[2030]]-1),Refsz_Verbräuche[[#This Row],[2029]],IF($B$43&lt;Refsz_Verbräuche[[#Headers],[2030]],Refsz_Verbräuche[[#This Row],[2029]],"")))</f>
        <v/>
      </c>
      <c r="U136" s="124" t="str">
        <f>IF(Refsz_Verbräuche[[#Headers],[2035]]=$B$43,IF(OR(SUMIF($E136:Refsz_Verbräuche[[#This Row],[2030]],"&gt;0")&gt;0,), AVERAGEIF($E136:Refsz_Verbräuche[[#This Row],[2030]],"&lt;&gt;"""), ""),IF($B$43=(Refsz_Verbräuche[[#Headers],[2035]]-1),Refsz_Verbräuche[[#This Row],[2030]],IF($B$43&lt;Refsz_Verbräuche[[#Headers],[2035]],Refsz_Verbräuche[[#This Row],[2030]],"")))</f>
        <v/>
      </c>
      <c r="V136" s="124" t="str">
        <f>IF(Refsz_Verbräuche[[#Headers],[2040]]=$B$43,IF(OR(SUMIF($E136:Refsz_Verbräuche[[#This Row],[2035]],"&gt;0")&gt;0,), AVERAGEIF($E136:Refsz_Verbräuche[[#This Row],[2035]],"&lt;&gt;"""), ""),IF($B$43=(Refsz_Verbräuche[[#Headers],[2040]]-1),Refsz_Verbräuche[[#This Row],[2035]],IF($B$43&lt;Refsz_Verbräuche[[#Headers],[2040]],Refsz_Verbräuche[[#This Row],[2035]],"")))</f>
        <v/>
      </c>
      <c r="W136" s="124" t="str">
        <f>IF(Refsz_Verbräuche[[#Headers],[2045]]=$B$43,IF(OR(SUMIF($E136:Refsz_Verbräuche[[#This Row],[2040]],"&gt;0")&gt;0,), AVERAGEIF($E136:Refsz_Verbräuche[[#This Row],[2040]],"&lt;&gt;"""), ""),IF($B$43=(Refsz_Verbräuche[[#Headers],[2045]]-1),Refsz_Verbräuche[[#This Row],[2040]],IF($B$43&lt;Refsz_Verbräuche[[#Headers],[2045]],Refsz_Verbräuche[[#This Row],[2040]],"")))</f>
        <v/>
      </c>
      <c r="X136" s="124" t="str">
        <f>IF(Refsz_Verbräuche[[#Headers],[2050]]=$B$43,IF(OR(SUMIF($E136:Refsz_Verbräuche[[#This Row],[2045]],"&gt;0")&gt;0,), AVERAGEIF($E136:Refsz_Verbräuche[[#This Row],[2045]],"&lt;&gt;"""), ""),IF($B$43=(Refsz_Verbräuche[[#Headers],[2050]]-1),Refsz_Verbräuche[[#This Row],[2045]],IF($B$43&lt;Refsz_Verbräuche[[#Headers],[2050]],Refsz_Verbräuche[[#This Row],[2045]],"")))</f>
        <v/>
      </c>
      <c r="Z136" s="15"/>
    </row>
    <row r="137" spans="2:26" x14ac:dyDescent="0.35">
      <c r="B137" s="15">
        <v>77</v>
      </c>
      <c r="C137" s="9"/>
      <c r="D137" s="9"/>
      <c r="E137" s="124"/>
      <c r="F137" s="124"/>
      <c r="G137" s="124"/>
      <c r="H137" s="124"/>
      <c r="I137" s="124"/>
      <c r="J137" s="124"/>
      <c r="K137" s="124"/>
      <c r="L137" s="124" t="str">
        <f>IF(Refsz_Verbräuche[[#Headers],[2022]]=$B$43,IF(OR(SUMIF($E137:Refsz_Verbräuche[[#This Row],[2021]],"&gt;0")&gt;0,), AVERAGEIF($E137:Refsz_Verbräuche[[#This Row],[2021]],"&lt;&gt;"""), ""),IF($B$43=(Refsz_Verbräuche[[#Headers],[2022]]-1),Refsz_Verbräuche[[#This Row],[2021]],IF($B$43&lt;Refsz_Verbräuche[[#Headers],[2022]],Refsz_Verbräuche[[#This Row],[2021]],"")))</f>
        <v/>
      </c>
      <c r="M137" s="124" t="str">
        <f>IF(Refsz_Verbräuche[[#Headers],[2023]]=$B$43,IF(OR(SUMIF($E137:Refsz_Verbräuche[[#This Row],[2022]],"&gt;0")&gt;0,), AVERAGEIF($E137:Refsz_Verbräuche[[#This Row],[2022]],"&lt;&gt;"""), ""),IF($B$43=(Refsz_Verbräuche[[#Headers],[2023]]-1),Refsz_Verbräuche[[#This Row],[2022]],IF($B$43&lt;Refsz_Verbräuche[[#Headers],[2023]],Refsz_Verbräuche[[#This Row],[2022]],"")))</f>
        <v/>
      </c>
      <c r="N137" s="124" t="str">
        <f>IF(Refsz_Verbräuche[[#Headers],[2024]]=$B$43,IF(OR(SUMIF($E137:Refsz_Verbräuche[[#This Row],[2023]],"&gt;0")&gt;0,), AVERAGEIF($E137:Refsz_Verbräuche[[#This Row],[2023]],"&lt;&gt;"""), ""),IF($B$43=(Refsz_Verbräuche[[#Headers],[2024]]-1),Refsz_Verbräuche[[#This Row],[2023]],IF($B$43&lt;Refsz_Verbräuche[[#Headers],[2024]],Refsz_Verbräuche[[#This Row],[2023]],"")))</f>
        <v/>
      </c>
      <c r="O137" s="124" t="str">
        <f>IF(Refsz_Verbräuche[[#Headers],[2025]]=$B$43,IF(OR(SUMIF($E137:Refsz_Verbräuche[[#This Row],[2024]],"&gt;0")&gt;0,), AVERAGEIF($E137:Refsz_Verbräuche[[#This Row],[2024]],"&lt;&gt;"""), ""),IF($B$43=(Refsz_Verbräuche[[#Headers],[2025]]-1),Refsz_Verbräuche[[#This Row],[2024]],IF($B$43&lt;Refsz_Verbräuche[[#Headers],[2025]],Refsz_Verbräuche[[#This Row],[2024]],"")))</f>
        <v/>
      </c>
      <c r="P137" s="124" t="str">
        <f>IF(Refsz_Verbräuche[[#Headers],[2026]]=$B$43,IF(OR(SUMIF($E137:Refsz_Verbräuche[[#This Row],[2025]],"&gt;0")&gt;0,), AVERAGEIF($E137:Refsz_Verbräuche[[#This Row],[2025]],"&lt;&gt;"""), ""),IF($B$43=(Refsz_Verbräuche[[#Headers],[2026]]-1),Refsz_Verbräuche[[#This Row],[2025]],IF($B$43&lt;Refsz_Verbräuche[[#Headers],[2026]],Refsz_Verbräuche[[#This Row],[2025]],"")))</f>
        <v/>
      </c>
      <c r="Q137" s="124" t="str">
        <f>IF(Refsz_Verbräuche[[#Headers],[2027]]=$B$43,IF(OR(SUMIF($E137:Refsz_Verbräuche[[#This Row],[2026]],"&gt;0")&gt;0,), AVERAGEIF($E137:Refsz_Verbräuche[[#This Row],[2026]],"&lt;&gt;"""), ""),IF($B$43=(Refsz_Verbräuche[[#Headers],[2027]]-1),Refsz_Verbräuche[[#This Row],[2026]],IF($B$43&lt;Refsz_Verbräuche[[#Headers],[2027]],Refsz_Verbräuche[[#This Row],[2026]],"")))</f>
        <v/>
      </c>
      <c r="R137" s="124" t="str">
        <f>IF(Refsz_Verbräuche[[#Headers],[2028]]=$B$43,IF(OR(SUMIF($E137:Refsz_Verbräuche[[#This Row],[2027]],"&gt;0")&gt;0,), AVERAGEIF($E137:Refsz_Verbräuche[[#This Row],[2027]],"&lt;&gt;"""), ""),IF($B$43=(Refsz_Verbräuche[[#Headers],[2028]]-1),Refsz_Verbräuche[[#This Row],[2027]],IF($B$43&lt;Refsz_Verbräuche[[#Headers],[2028]],Refsz_Verbräuche[[#This Row],[2027]],"")))</f>
        <v/>
      </c>
      <c r="S137" s="124" t="str">
        <f>IF(Refsz_Verbräuche[[#Headers],[2029]]=$B$43,IF(OR(SUMIF($E137:Refsz_Verbräuche[[#This Row],[2028]],"&gt;0")&gt;0,), AVERAGEIF($E137:Refsz_Verbräuche[[#This Row],[2028]],"&lt;&gt;"""), ""),IF($B$43=(Refsz_Verbräuche[[#Headers],[2029]]-1),Refsz_Verbräuche[[#This Row],[2028]],IF($B$43&lt;Refsz_Verbräuche[[#Headers],[2029]],Refsz_Verbräuche[[#This Row],[2028]],"")))</f>
        <v/>
      </c>
      <c r="T137" s="124" t="str">
        <f>IF(Refsz_Verbräuche[[#Headers],[2030]]=$B$43,IF(OR(SUMIF($E137:Refsz_Verbräuche[[#This Row],[2029]],"&gt;0")&gt;0,), AVERAGEIF($E137:Refsz_Verbräuche[[#This Row],[2029]],"&lt;&gt;"""), ""),IF($B$43=(Refsz_Verbräuche[[#Headers],[2030]]-1),Refsz_Verbräuche[[#This Row],[2029]],IF($B$43&lt;Refsz_Verbräuche[[#Headers],[2030]],Refsz_Verbräuche[[#This Row],[2029]],"")))</f>
        <v/>
      </c>
      <c r="U137" s="124" t="str">
        <f>IF(Refsz_Verbräuche[[#Headers],[2035]]=$B$43,IF(OR(SUMIF($E137:Refsz_Verbräuche[[#This Row],[2030]],"&gt;0")&gt;0,), AVERAGEIF($E137:Refsz_Verbräuche[[#This Row],[2030]],"&lt;&gt;"""), ""),IF($B$43=(Refsz_Verbräuche[[#Headers],[2035]]-1),Refsz_Verbräuche[[#This Row],[2030]],IF($B$43&lt;Refsz_Verbräuche[[#Headers],[2035]],Refsz_Verbräuche[[#This Row],[2030]],"")))</f>
        <v/>
      </c>
      <c r="V137" s="124" t="str">
        <f>IF(Refsz_Verbräuche[[#Headers],[2040]]=$B$43,IF(OR(SUMIF($E137:Refsz_Verbräuche[[#This Row],[2035]],"&gt;0")&gt;0,), AVERAGEIF($E137:Refsz_Verbräuche[[#This Row],[2035]],"&lt;&gt;"""), ""),IF($B$43=(Refsz_Verbräuche[[#Headers],[2040]]-1),Refsz_Verbräuche[[#This Row],[2035]],IF($B$43&lt;Refsz_Verbräuche[[#Headers],[2040]],Refsz_Verbräuche[[#This Row],[2035]],"")))</f>
        <v/>
      </c>
      <c r="W137" s="124" t="str">
        <f>IF(Refsz_Verbräuche[[#Headers],[2045]]=$B$43,IF(OR(SUMIF($E137:Refsz_Verbräuche[[#This Row],[2040]],"&gt;0")&gt;0,), AVERAGEIF($E137:Refsz_Verbräuche[[#This Row],[2040]],"&lt;&gt;"""), ""),IF($B$43=(Refsz_Verbräuche[[#Headers],[2045]]-1),Refsz_Verbräuche[[#This Row],[2040]],IF($B$43&lt;Refsz_Verbräuche[[#Headers],[2045]],Refsz_Verbräuche[[#This Row],[2040]],"")))</f>
        <v/>
      </c>
      <c r="X137" s="124" t="str">
        <f>IF(Refsz_Verbräuche[[#Headers],[2050]]=$B$43,IF(OR(SUMIF($E137:Refsz_Verbräuche[[#This Row],[2045]],"&gt;0")&gt;0,), AVERAGEIF($E137:Refsz_Verbräuche[[#This Row],[2045]],"&lt;&gt;"""), ""),IF($B$43=(Refsz_Verbräuche[[#Headers],[2050]]-1),Refsz_Verbräuche[[#This Row],[2045]],IF($B$43&lt;Refsz_Verbräuche[[#Headers],[2050]],Refsz_Verbräuche[[#This Row],[2045]],"")))</f>
        <v/>
      </c>
      <c r="Z137" s="15"/>
    </row>
    <row r="138" spans="2:26" x14ac:dyDescent="0.35">
      <c r="B138" s="15">
        <v>78</v>
      </c>
      <c r="C138" s="9" t="str">
        <f>_xlfn.CONCAT('Refsz-Verbräuche'!C51," - Flugreisen")</f>
        <v>Studierendenreisen (Incoming) - Flugreisen</v>
      </c>
      <c r="D138" t="s">
        <v>47</v>
      </c>
      <c r="E138" s="124"/>
      <c r="F138" s="124"/>
      <c r="G138" s="124"/>
      <c r="H138" s="124"/>
      <c r="I138" s="124"/>
      <c r="J138" s="124"/>
      <c r="K138" s="124"/>
      <c r="L138" s="124" t="str">
        <f>IF(Refsz_Verbräuche[[#Headers],[2022]]=$B$43,IF(OR(SUMIF($E138:Refsz_Verbräuche[[#This Row],[2021]],"&gt;0")&gt;0,), AVERAGEIF($E138:Refsz_Verbräuche[[#This Row],[2021]],"&lt;&gt;"""), ""),IF($B$43=(Refsz_Verbräuche[[#Headers],[2022]]-1),Refsz_Verbräuche[[#This Row],[2021]],IF($B$43&lt;Refsz_Verbräuche[[#Headers],[2022]],Refsz_Verbräuche[[#This Row],[2021]],"")))</f>
        <v/>
      </c>
      <c r="M138" s="124" t="str">
        <f>IF(Refsz_Verbräuche[[#Headers],[2023]]=$B$43,IF(OR(SUMIF($E138:Refsz_Verbräuche[[#This Row],[2022]],"&gt;0")&gt;0,), AVERAGEIF($E138:Refsz_Verbräuche[[#This Row],[2022]],"&lt;&gt;"""), ""),IF($B$43=(Refsz_Verbräuche[[#Headers],[2023]]-1),Refsz_Verbräuche[[#This Row],[2022]],IF($B$43&lt;Refsz_Verbräuche[[#Headers],[2023]],Refsz_Verbräuche[[#This Row],[2022]],"")))</f>
        <v/>
      </c>
      <c r="N138" s="124" t="str">
        <f>IF(Refsz_Verbräuche[[#Headers],[2024]]=$B$43,IF(OR(SUMIF($E138:Refsz_Verbräuche[[#This Row],[2023]],"&gt;0")&gt;0,), AVERAGEIF($E138:Refsz_Verbräuche[[#This Row],[2023]],"&lt;&gt;"""), ""),IF($B$43=(Refsz_Verbräuche[[#Headers],[2024]]-1),Refsz_Verbräuche[[#This Row],[2023]],IF($B$43&lt;Refsz_Verbräuche[[#Headers],[2024]],Refsz_Verbräuche[[#This Row],[2023]],"")))</f>
        <v/>
      </c>
      <c r="O138" s="124" t="str">
        <f>IF(Refsz_Verbräuche[[#Headers],[2025]]=$B$43,IF(OR(SUMIF($E138:Refsz_Verbräuche[[#This Row],[2024]],"&gt;0")&gt;0,), AVERAGEIF($E138:Refsz_Verbräuche[[#This Row],[2024]],"&lt;&gt;"""), ""),IF($B$43=(Refsz_Verbräuche[[#Headers],[2025]]-1),Refsz_Verbräuche[[#This Row],[2024]],IF($B$43&lt;Refsz_Verbräuche[[#Headers],[2025]],Refsz_Verbräuche[[#This Row],[2024]],"")))</f>
        <v/>
      </c>
      <c r="P138" s="124" t="str">
        <f>IF(Refsz_Verbräuche[[#Headers],[2026]]=$B$43,IF(OR(SUMIF($E138:Refsz_Verbräuche[[#This Row],[2025]],"&gt;0")&gt;0,), AVERAGEIF($E138:Refsz_Verbräuche[[#This Row],[2025]],"&lt;&gt;"""), ""),IF($B$43=(Refsz_Verbräuche[[#Headers],[2026]]-1),Refsz_Verbräuche[[#This Row],[2025]],IF($B$43&lt;Refsz_Verbräuche[[#Headers],[2026]],Refsz_Verbräuche[[#This Row],[2025]],"")))</f>
        <v/>
      </c>
      <c r="Q138" s="124" t="str">
        <f>IF(Refsz_Verbräuche[[#Headers],[2027]]=$B$43,IF(OR(SUMIF($E138:Refsz_Verbräuche[[#This Row],[2026]],"&gt;0")&gt;0,), AVERAGEIF($E138:Refsz_Verbräuche[[#This Row],[2026]],"&lt;&gt;"""), ""),IF($B$43=(Refsz_Verbräuche[[#Headers],[2027]]-1),Refsz_Verbräuche[[#This Row],[2026]],IF($B$43&lt;Refsz_Verbräuche[[#Headers],[2027]],Refsz_Verbräuche[[#This Row],[2026]],"")))</f>
        <v/>
      </c>
      <c r="R138" s="124" t="str">
        <f>IF(Refsz_Verbräuche[[#Headers],[2028]]=$B$43,IF(OR(SUMIF($E138:Refsz_Verbräuche[[#This Row],[2027]],"&gt;0")&gt;0,), AVERAGEIF($E138:Refsz_Verbräuche[[#This Row],[2027]],"&lt;&gt;"""), ""),IF($B$43=(Refsz_Verbräuche[[#Headers],[2028]]-1),Refsz_Verbräuche[[#This Row],[2027]],IF($B$43&lt;Refsz_Verbräuche[[#Headers],[2028]],Refsz_Verbräuche[[#This Row],[2027]],"")))</f>
        <v/>
      </c>
      <c r="S138" s="124" t="str">
        <f>IF(Refsz_Verbräuche[[#Headers],[2029]]=$B$43,IF(OR(SUMIF($E138:Refsz_Verbräuche[[#This Row],[2028]],"&gt;0")&gt;0,), AVERAGEIF($E138:Refsz_Verbräuche[[#This Row],[2028]],"&lt;&gt;"""), ""),IF($B$43=(Refsz_Verbräuche[[#Headers],[2029]]-1),Refsz_Verbräuche[[#This Row],[2028]],IF($B$43&lt;Refsz_Verbräuche[[#Headers],[2029]],Refsz_Verbräuche[[#This Row],[2028]],"")))</f>
        <v/>
      </c>
      <c r="T138" s="124" t="str">
        <f>IF(Refsz_Verbräuche[[#Headers],[2030]]=$B$43,IF(OR(SUMIF($E138:Refsz_Verbräuche[[#This Row],[2029]],"&gt;0")&gt;0,), AVERAGEIF($E138:Refsz_Verbräuche[[#This Row],[2029]],"&lt;&gt;"""), ""),IF($B$43=(Refsz_Verbräuche[[#Headers],[2030]]-1),Refsz_Verbräuche[[#This Row],[2029]],IF($B$43&lt;Refsz_Verbräuche[[#Headers],[2030]],Refsz_Verbräuche[[#This Row],[2029]],"")))</f>
        <v/>
      </c>
      <c r="U138" s="124" t="str">
        <f>IF(Refsz_Verbräuche[[#Headers],[2035]]=$B$43,IF(OR(SUMIF($E138:Refsz_Verbräuche[[#This Row],[2030]],"&gt;0")&gt;0,), AVERAGEIF($E138:Refsz_Verbräuche[[#This Row],[2030]],"&lt;&gt;"""), ""),IF($B$43=(Refsz_Verbräuche[[#Headers],[2035]]-1),Refsz_Verbräuche[[#This Row],[2030]],IF($B$43&lt;Refsz_Verbräuche[[#Headers],[2035]],Refsz_Verbräuche[[#This Row],[2030]],"")))</f>
        <v/>
      </c>
      <c r="V138" s="124" t="str">
        <f>IF(Refsz_Verbräuche[[#Headers],[2040]]=$B$43,IF(OR(SUMIF($E138:Refsz_Verbräuche[[#This Row],[2035]],"&gt;0")&gt;0,), AVERAGEIF($E138:Refsz_Verbräuche[[#This Row],[2035]],"&lt;&gt;"""), ""),IF($B$43=(Refsz_Verbräuche[[#Headers],[2040]]-1),Refsz_Verbräuche[[#This Row],[2035]],IF($B$43&lt;Refsz_Verbräuche[[#Headers],[2040]],Refsz_Verbräuche[[#This Row],[2035]],"")))</f>
        <v/>
      </c>
      <c r="W138" s="124" t="str">
        <f>IF(Refsz_Verbräuche[[#Headers],[2045]]=$B$43,IF(OR(SUMIF($E138:Refsz_Verbräuche[[#This Row],[2040]],"&gt;0")&gt;0,), AVERAGEIF($E138:Refsz_Verbräuche[[#This Row],[2040]],"&lt;&gt;"""), ""),IF($B$43=(Refsz_Verbräuche[[#Headers],[2045]]-1),Refsz_Verbräuche[[#This Row],[2040]],IF($B$43&lt;Refsz_Verbräuche[[#Headers],[2045]],Refsz_Verbräuche[[#This Row],[2040]],"")))</f>
        <v/>
      </c>
      <c r="X138" s="124" t="str">
        <f>IF(Refsz_Verbräuche[[#Headers],[2050]]=$B$43,IF(OR(SUMIF($E138:Refsz_Verbräuche[[#This Row],[2045]],"&gt;0")&gt;0,), AVERAGEIF($E138:Refsz_Verbräuche[[#This Row],[2045]],"&lt;&gt;"""), ""),IF($B$43=(Refsz_Verbräuche[[#Headers],[2050]]-1),Refsz_Verbräuche[[#This Row],[2045]],IF($B$43&lt;Refsz_Verbräuche[[#Headers],[2050]],Refsz_Verbräuche[[#This Row],[2045]],"")))</f>
        <v/>
      </c>
      <c r="Z138" s="15"/>
    </row>
    <row r="139" spans="2:26" x14ac:dyDescent="0.35">
      <c r="B139" s="15">
        <v>79</v>
      </c>
      <c r="C139" s="9" t="str">
        <f>_xlfn.CONCAT('Refsz-Verbräuche'!C51," - Eisenbahn (Nahverkehr)")</f>
        <v>Studierendenreisen (Incoming) - Eisenbahn (Nahverkehr)</v>
      </c>
      <c r="D139" s="9" t="s">
        <v>47</v>
      </c>
      <c r="E139" s="124"/>
      <c r="F139" s="124"/>
      <c r="G139" s="124"/>
      <c r="H139" s="124"/>
      <c r="I139" s="124"/>
      <c r="J139" s="124"/>
      <c r="K139" s="124"/>
      <c r="L139" s="124" t="str">
        <f>IF(Refsz_Verbräuche[[#Headers],[2022]]=$B$43,IF(OR(SUMIF($E139:Refsz_Verbräuche[[#This Row],[2021]],"&gt;0")&gt;0,), AVERAGEIF($E139:Refsz_Verbräuche[[#This Row],[2021]],"&lt;&gt;"""), ""),IF($B$43=(Refsz_Verbräuche[[#Headers],[2022]]-1),Refsz_Verbräuche[[#This Row],[2021]],IF($B$43&lt;Refsz_Verbräuche[[#Headers],[2022]],Refsz_Verbräuche[[#This Row],[2021]],"")))</f>
        <v/>
      </c>
      <c r="M139" s="124" t="str">
        <f>IF(Refsz_Verbräuche[[#Headers],[2023]]=$B$43,IF(OR(SUMIF($E139:Refsz_Verbräuche[[#This Row],[2022]],"&gt;0")&gt;0,), AVERAGEIF($E139:Refsz_Verbräuche[[#This Row],[2022]],"&lt;&gt;"""), ""),IF($B$43=(Refsz_Verbräuche[[#Headers],[2023]]-1),Refsz_Verbräuche[[#This Row],[2022]],IF($B$43&lt;Refsz_Verbräuche[[#Headers],[2023]],Refsz_Verbräuche[[#This Row],[2022]],"")))</f>
        <v/>
      </c>
      <c r="N139" s="124" t="str">
        <f>IF(Refsz_Verbräuche[[#Headers],[2024]]=$B$43,IF(OR(SUMIF($E139:Refsz_Verbräuche[[#This Row],[2023]],"&gt;0")&gt;0,), AVERAGEIF($E139:Refsz_Verbräuche[[#This Row],[2023]],"&lt;&gt;"""), ""),IF($B$43=(Refsz_Verbräuche[[#Headers],[2024]]-1),Refsz_Verbräuche[[#This Row],[2023]],IF($B$43&lt;Refsz_Verbräuche[[#Headers],[2024]],Refsz_Verbräuche[[#This Row],[2023]],"")))</f>
        <v/>
      </c>
      <c r="O139" s="124" t="str">
        <f>IF(Refsz_Verbräuche[[#Headers],[2025]]=$B$43,IF(OR(SUMIF($E139:Refsz_Verbräuche[[#This Row],[2024]],"&gt;0")&gt;0,), AVERAGEIF($E139:Refsz_Verbräuche[[#This Row],[2024]],"&lt;&gt;"""), ""),IF($B$43=(Refsz_Verbräuche[[#Headers],[2025]]-1),Refsz_Verbräuche[[#This Row],[2024]],IF($B$43&lt;Refsz_Verbräuche[[#Headers],[2025]],Refsz_Verbräuche[[#This Row],[2024]],"")))</f>
        <v/>
      </c>
      <c r="P139" s="124" t="str">
        <f>IF(Refsz_Verbräuche[[#Headers],[2026]]=$B$43,IF(OR(SUMIF($E139:Refsz_Verbräuche[[#This Row],[2025]],"&gt;0")&gt;0,), AVERAGEIF($E139:Refsz_Verbräuche[[#This Row],[2025]],"&lt;&gt;"""), ""),IF($B$43=(Refsz_Verbräuche[[#Headers],[2026]]-1),Refsz_Verbräuche[[#This Row],[2025]],IF($B$43&lt;Refsz_Verbräuche[[#Headers],[2026]],Refsz_Verbräuche[[#This Row],[2025]],"")))</f>
        <v/>
      </c>
      <c r="Q139" s="124" t="str">
        <f>IF(Refsz_Verbräuche[[#Headers],[2027]]=$B$43,IF(OR(SUMIF($E139:Refsz_Verbräuche[[#This Row],[2026]],"&gt;0")&gt;0,), AVERAGEIF($E139:Refsz_Verbräuche[[#This Row],[2026]],"&lt;&gt;"""), ""),IF($B$43=(Refsz_Verbräuche[[#Headers],[2027]]-1),Refsz_Verbräuche[[#This Row],[2026]],IF($B$43&lt;Refsz_Verbräuche[[#Headers],[2027]],Refsz_Verbräuche[[#This Row],[2026]],"")))</f>
        <v/>
      </c>
      <c r="R139" s="124" t="str">
        <f>IF(Refsz_Verbräuche[[#Headers],[2028]]=$B$43,IF(OR(SUMIF($E139:Refsz_Verbräuche[[#This Row],[2027]],"&gt;0")&gt;0,), AVERAGEIF($E139:Refsz_Verbräuche[[#This Row],[2027]],"&lt;&gt;"""), ""),IF($B$43=(Refsz_Verbräuche[[#Headers],[2028]]-1),Refsz_Verbräuche[[#This Row],[2027]],IF($B$43&lt;Refsz_Verbräuche[[#Headers],[2028]],Refsz_Verbräuche[[#This Row],[2027]],"")))</f>
        <v/>
      </c>
      <c r="S139" s="124" t="str">
        <f>IF(Refsz_Verbräuche[[#Headers],[2029]]=$B$43,IF(OR(SUMIF($E139:Refsz_Verbräuche[[#This Row],[2028]],"&gt;0")&gt;0,), AVERAGEIF($E139:Refsz_Verbräuche[[#This Row],[2028]],"&lt;&gt;"""), ""),IF($B$43=(Refsz_Verbräuche[[#Headers],[2029]]-1),Refsz_Verbräuche[[#This Row],[2028]],IF($B$43&lt;Refsz_Verbräuche[[#Headers],[2029]],Refsz_Verbräuche[[#This Row],[2028]],"")))</f>
        <v/>
      </c>
      <c r="T139" s="124" t="str">
        <f>IF(Refsz_Verbräuche[[#Headers],[2030]]=$B$43,IF(OR(SUMIF($E139:Refsz_Verbräuche[[#This Row],[2029]],"&gt;0")&gt;0,), AVERAGEIF($E139:Refsz_Verbräuche[[#This Row],[2029]],"&lt;&gt;"""), ""),IF($B$43=(Refsz_Verbräuche[[#Headers],[2030]]-1),Refsz_Verbräuche[[#This Row],[2029]],IF($B$43&lt;Refsz_Verbräuche[[#Headers],[2030]],Refsz_Verbräuche[[#This Row],[2029]],"")))</f>
        <v/>
      </c>
      <c r="U139" s="124" t="str">
        <f>IF(Refsz_Verbräuche[[#Headers],[2035]]=$B$43,IF(OR(SUMIF($E139:Refsz_Verbräuche[[#This Row],[2030]],"&gt;0")&gt;0,), AVERAGEIF($E139:Refsz_Verbräuche[[#This Row],[2030]],"&lt;&gt;"""), ""),IF($B$43=(Refsz_Verbräuche[[#Headers],[2035]]-1),Refsz_Verbräuche[[#This Row],[2030]],IF($B$43&lt;Refsz_Verbräuche[[#Headers],[2035]],Refsz_Verbräuche[[#This Row],[2030]],"")))</f>
        <v/>
      </c>
      <c r="V139" s="124" t="str">
        <f>IF(Refsz_Verbräuche[[#Headers],[2040]]=$B$43,IF(OR(SUMIF($E139:Refsz_Verbräuche[[#This Row],[2035]],"&gt;0")&gt;0,), AVERAGEIF($E139:Refsz_Verbräuche[[#This Row],[2035]],"&lt;&gt;"""), ""),IF($B$43=(Refsz_Verbräuche[[#Headers],[2040]]-1),Refsz_Verbräuche[[#This Row],[2035]],IF($B$43&lt;Refsz_Verbräuche[[#Headers],[2040]],Refsz_Verbräuche[[#This Row],[2035]],"")))</f>
        <v/>
      </c>
      <c r="W139" s="124" t="str">
        <f>IF(Refsz_Verbräuche[[#Headers],[2045]]=$B$43,IF(OR(SUMIF($E139:Refsz_Verbräuche[[#This Row],[2040]],"&gt;0")&gt;0,), AVERAGEIF($E139:Refsz_Verbräuche[[#This Row],[2040]],"&lt;&gt;"""), ""),IF($B$43=(Refsz_Verbräuche[[#Headers],[2045]]-1),Refsz_Verbräuche[[#This Row],[2040]],IF($B$43&lt;Refsz_Verbräuche[[#Headers],[2045]],Refsz_Verbräuche[[#This Row],[2040]],"")))</f>
        <v/>
      </c>
      <c r="X139" s="124" t="str">
        <f>IF(Refsz_Verbräuche[[#Headers],[2050]]=$B$43,IF(OR(SUMIF($E139:Refsz_Verbräuche[[#This Row],[2045]],"&gt;0")&gt;0,), AVERAGEIF($E139:Refsz_Verbräuche[[#This Row],[2045]],"&lt;&gt;"""), ""),IF($B$43=(Refsz_Verbräuche[[#Headers],[2050]]-1),Refsz_Verbräuche[[#This Row],[2045]],IF($B$43&lt;Refsz_Verbräuche[[#Headers],[2050]],Refsz_Verbräuche[[#This Row],[2045]],"")))</f>
        <v/>
      </c>
      <c r="Z139" s="15"/>
    </row>
    <row r="140" spans="2:26" x14ac:dyDescent="0.35">
      <c r="B140" s="15">
        <v>80</v>
      </c>
      <c r="C140" s="9" t="str">
        <f>_xlfn.CONCAT('Refsz-Verbräuche'!C51," - Privater PKW (alle Antriebsarten)")</f>
        <v>Studierendenreisen (Incoming) - Privater PKW (alle Antriebsarten)</v>
      </c>
      <c r="D140" t="s">
        <v>417</v>
      </c>
      <c r="E140" s="124"/>
      <c r="F140" s="124"/>
      <c r="G140" s="124"/>
      <c r="H140" s="124"/>
      <c r="I140" s="124"/>
      <c r="J140" s="124"/>
      <c r="K140" s="124"/>
      <c r="L140" s="124" t="str">
        <f>IF(Refsz_Verbräuche[[#Headers],[2022]]=$B$43,IF(OR(SUMIF($E140:Refsz_Verbräuche[[#This Row],[2021]],"&gt;0")&gt;0,), AVERAGEIF($E140:Refsz_Verbräuche[[#This Row],[2021]],"&lt;&gt;"""), ""),IF($B$43=(Refsz_Verbräuche[[#Headers],[2022]]-1),Refsz_Verbräuche[[#This Row],[2021]],IF($B$43&lt;Refsz_Verbräuche[[#Headers],[2022]],Refsz_Verbräuche[[#This Row],[2021]],"")))</f>
        <v/>
      </c>
      <c r="M140" s="124" t="str">
        <f>IF(Refsz_Verbräuche[[#Headers],[2023]]=$B$43,IF(OR(SUMIF($E140:Refsz_Verbräuche[[#This Row],[2022]],"&gt;0")&gt;0,), AVERAGEIF($E140:Refsz_Verbräuche[[#This Row],[2022]],"&lt;&gt;"""), ""),IF($B$43=(Refsz_Verbräuche[[#Headers],[2023]]-1),Refsz_Verbräuche[[#This Row],[2022]],IF($B$43&lt;Refsz_Verbräuche[[#Headers],[2023]],Refsz_Verbräuche[[#This Row],[2022]],"")))</f>
        <v/>
      </c>
      <c r="N140" s="124" t="str">
        <f>IF(Refsz_Verbräuche[[#Headers],[2024]]=$B$43,IF(OR(SUMIF($E140:Refsz_Verbräuche[[#This Row],[2023]],"&gt;0")&gt;0,), AVERAGEIF($E140:Refsz_Verbräuche[[#This Row],[2023]],"&lt;&gt;"""), ""),IF($B$43=(Refsz_Verbräuche[[#Headers],[2024]]-1),Refsz_Verbräuche[[#This Row],[2023]],IF($B$43&lt;Refsz_Verbräuche[[#Headers],[2024]],Refsz_Verbräuche[[#This Row],[2023]],"")))</f>
        <v/>
      </c>
      <c r="O140" s="124" t="str">
        <f>IF(Refsz_Verbräuche[[#Headers],[2025]]=$B$43,IF(OR(SUMIF($E140:Refsz_Verbräuche[[#This Row],[2024]],"&gt;0")&gt;0,), AVERAGEIF($E140:Refsz_Verbräuche[[#This Row],[2024]],"&lt;&gt;"""), ""),IF($B$43=(Refsz_Verbräuche[[#Headers],[2025]]-1),Refsz_Verbräuche[[#This Row],[2024]],IF($B$43&lt;Refsz_Verbräuche[[#Headers],[2025]],Refsz_Verbräuche[[#This Row],[2024]],"")))</f>
        <v/>
      </c>
      <c r="P140" s="124" t="str">
        <f>IF(Refsz_Verbräuche[[#Headers],[2026]]=$B$43,IF(OR(SUMIF($E140:Refsz_Verbräuche[[#This Row],[2025]],"&gt;0")&gt;0,), AVERAGEIF($E140:Refsz_Verbräuche[[#This Row],[2025]],"&lt;&gt;"""), ""),IF($B$43=(Refsz_Verbräuche[[#Headers],[2026]]-1),Refsz_Verbräuche[[#This Row],[2025]],IF($B$43&lt;Refsz_Verbräuche[[#Headers],[2026]],Refsz_Verbräuche[[#This Row],[2025]],"")))</f>
        <v/>
      </c>
      <c r="Q140" s="124" t="str">
        <f>IF(Refsz_Verbräuche[[#Headers],[2027]]=$B$43,IF(OR(SUMIF($E140:Refsz_Verbräuche[[#This Row],[2026]],"&gt;0")&gt;0,), AVERAGEIF($E140:Refsz_Verbräuche[[#This Row],[2026]],"&lt;&gt;"""), ""),IF($B$43=(Refsz_Verbräuche[[#Headers],[2027]]-1),Refsz_Verbräuche[[#This Row],[2026]],IF($B$43&lt;Refsz_Verbräuche[[#Headers],[2027]],Refsz_Verbräuche[[#This Row],[2026]],"")))</f>
        <v/>
      </c>
      <c r="R140" s="124" t="str">
        <f>IF(Refsz_Verbräuche[[#Headers],[2028]]=$B$43,IF(OR(SUMIF($E140:Refsz_Verbräuche[[#This Row],[2027]],"&gt;0")&gt;0,), AVERAGEIF($E140:Refsz_Verbräuche[[#This Row],[2027]],"&lt;&gt;"""), ""),IF($B$43=(Refsz_Verbräuche[[#Headers],[2028]]-1),Refsz_Verbräuche[[#This Row],[2027]],IF($B$43&lt;Refsz_Verbräuche[[#Headers],[2028]],Refsz_Verbräuche[[#This Row],[2027]],"")))</f>
        <v/>
      </c>
      <c r="S140" s="124" t="str">
        <f>IF(Refsz_Verbräuche[[#Headers],[2029]]=$B$43,IF(OR(SUMIF($E140:Refsz_Verbräuche[[#This Row],[2028]],"&gt;0")&gt;0,), AVERAGEIF($E140:Refsz_Verbräuche[[#This Row],[2028]],"&lt;&gt;"""), ""),IF($B$43=(Refsz_Verbräuche[[#Headers],[2029]]-1),Refsz_Verbräuche[[#This Row],[2028]],IF($B$43&lt;Refsz_Verbräuche[[#Headers],[2029]],Refsz_Verbräuche[[#This Row],[2028]],"")))</f>
        <v/>
      </c>
      <c r="T140" s="124" t="str">
        <f>IF(Refsz_Verbräuche[[#Headers],[2030]]=$B$43,IF(OR(SUMIF($E140:Refsz_Verbräuche[[#This Row],[2029]],"&gt;0")&gt;0,), AVERAGEIF($E140:Refsz_Verbräuche[[#This Row],[2029]],"&lt;&gt;"""), ""),IF($B$43=(Refsz_Verbräuche[[#Headers],[2030]]-1),Refsz_Verbräuche[[#This Row],[2029]],IF($B$43&lt;Refsz_Verbräuche[[#Headers],[2030]],Refsz_Verbräuche[[#This Row],[2029]],"")))</f>
        <v/>
      </c>
      <c r="U140" s="124" t="str">
        <f>IF(Refsz_Verbräuche[[#Headers],[2035]]=$B$43,IF(OR(SUMIF($E140:Refsz_Verbräuche[[#This Row],[2030]],"&gt;0")&gt;0,), AVERAGEIF($E140:Refsz_Verbräuche[[#This Row],[2030]],"&lt;&gt;"""), ""),IF($B$43=(Refsz_Verbräuche[[#Headers],[2035]]-1),Refsz_Verbräuche[[#This Row],[2030]],IF($B$43&lt;Refsz_Verbräuche[[#Headers],[2035]],Refsz_Verbräuche[[#This Row],[2030]],"")))</f>
        <v/>
      </c>
      <c r="V140" s="124" t="str">
        <f>IF(Refsz_Verbräuche[[#Headers],[2040]]=$B$43,IF(OR(SUMIF($E140:Refsz_Verbräuche[[#This Row],[2035]],"&gt;0")&gt;0,), AVERAGEIF($E140:Refsz_Verbräuche[[#This Row],[2035]],"&lt;&gt;"""), ""),IF($B$43=(Refsz_Verbräuche[[#Headers],[2040]]-1),Refsz_Verbräuche[[#This Row],[2035]],IF($B$43&lt;Refsz_Verbräuche[[#Headers],[2040]],Refsz_Verbräuche[[#This Row],[2035]],"")))</f>
        <v/>
      </c>
      <c r="W140" s="124" t="str">
        <f>IF(Refsz_Verbräuche[[#Headers],[2045]]=$B$43,IF(OR(SUMIF($E140:Refsz_Verbräuche[[#This Row],[2040]],"&gt;0")&gt;0,), AVERAGEIF($E140:Refsz_Verbräuche[[#This Row],[2040]],"&lt;&gt;"""), ""),IF($B$43=(Refsz_Verbräuche[[#Headers],[2045]]-1),Refsz_Verbräuche[[#This Row],[2040]],IF($B$43&lt;Refsz_Verbräuche[[#Headers],[2045]],Refsz_Verbräuche[[#This Row],[2040]],"")))</f>
        <v/>
      </c>
      <c r="X140" s="124" t="str">
        <f>IF(Refsz_Verbräuche[[#Headers],[2050]]=$B$43,IF(OR(SUMIF($E140:Refsz_Verbräuche[[#This Row],[2045]],"&gt;0")&gt;0,), AVERAGEIF($E140:Refsz_Verbräuche[[#This Row],[2045]],"&lt;&gt;"""), ""),IF($B$43=(Refsz_Verbräuche[[#Headers],[2050]]-1),Refsz_Verbräuche[[#This Row],[2045]],IF($B$43&lt;Refsz_Verbräuche[[#Headers],[2050]],Refsz_Verbräuche[[#This Row],[2045]],"")))</f>
        <v/>
      </c>
      <c r="Z140" s="15"/>
    </row>
    <row r="141" spans="2:26" x14ac:dyDescent="0.35">
      <c r="B141" s="15">
        <v>81</v>
      </c>
      <c r="C141" s="9"/>
      <c r="E141" s="124"/>
      <c r="F141" s="124"/>
      <c r="G141" s="124"/>
      <c r="H141" s="124"/>
      <c r="I141" s="124"/>
      <c r="J141" s="124"/>
      <c r="K141" s="124"/>
      <c r="L141" s="124" t="str">
        <f>IF(Refsz_Verbräuche[[#Headers],[2022]]=$B$43,IF(OR(SUMIF($E141:Refsz_Verbräuche[[#This Row],[2021]],"&gt;0")&gt;0,), AVERAGEIF($E141:Refsz_Verbräuche[[#This Row],[2021]],"&lt;&gt;"""), ""),IF($B$43=(Refsz_Verbräuche[[#Headers],[2022]]-1),Refsz_Verbräuche[[#This Row],[2021]],IF($B$43&lt;Refsz_Verbräuche[[#Headers],[2022]],Refsz_Verbräuche[[#This Row],[2021]],"")))</f>
        <v/>
      </c>
      <c r="M141" s="124" t="str">
        <f>IF(Refsz_Verbräuche[[#Headers],[2023]]=$B$43,IF(OR(SUMIF($E141:Refsz_Verbräuche[[#This Row],[2022]],"&gt;0")&gt;0,), AVERAGEIF($E141:Refsz_Verbräuche[[#This Row],[2022]],"&lt;&gt;"""), ""),IF($B$43=(Refsz_Verbräuche[[#Headers],[2023]]-1),Refsz_Verbräuche[[#This Row],[2022]],IF($B$43&lt;Refsz_Verbräuche[[#Headers],[2023]],Refsz_Verbräuche[[#This Row],[2022]],"")))</f>
        <v/>
      </c>
      <c r="N141" s="124" t="str">
        <f>IF(Refsz_Verbräuche[[#Headers],[2024]]=$B$43,IF(OR(SUMIF($E141:Refsz_Verbräuche[[#This Row],[2023]],"&gt;0")&gt;0,), AVERAGEIF($E141:Refsz_Verbräuche[[#This Row],[2023]],"&lt;&gt;"""), ""),IF($B$43=(Refsz_Verbräuche[[#Headers],[2024]]-1),Refsz_Verbräuche[[#This Row],[2023]],IF($B$43&lt;Refsz_Verbräuche[[#Headers],[2024]],Refsz_Verbräuche[[#This Row],[2023]],"")))</f>
        <v/>
      </c>
      <c r="O141" s="124" t="str">
        <f>IF(Refsz_Verbräuche[[#Headers],[2025]]=$B$43,IF(OR(SUMIF($E141:Refsz_Verbräuche[[#This Row],[2024]],"&gt;0")&gt;0,), AVERAGEIF($E141:Refsz_Verbräuche[[#This Row],[2024]],"&lt;&gt;"""), ""),IF($B$43=(Refsz_Verbräuche[[#Headers],[2025]]-1),Refsz_Verbräuche[[#This Row],[2024]],IF($B$43&lt;Refsz_Verbräuche[[#Headers],[2025]],Refsz_Verbräuche[[#This Row],[2024]],"")))</f>
        <v/>
      </c>
      <c r="P141" s="124" t="str">
        <f>IF(Refsz_Verbräuche[[#Headers],[2026]]=$B$43,IF(OR(SUMIF($E141:Refsz_Verbräuche[[#This Row],[2025]],"&gt;0")&gt;0,), AVERAGEIF($E141:Refsz_Verbräuche[[#This Row],[2025]],"&lt;&gt;"""), ""),IF($B$43=(Refsz_Verbräuche[[#Headers],[2026]]-1),Refsz_Verbräuche[[#This Row],[2025]],IF($B$43&lt;Refsz_Verbräuche[[#Headers],[2026]],Refsz_Verbräuche[[#This Row],[2025]],"")))</f>
        <v/>
      </c>
      <c r="Q141" s="124" t="str">
        <f>IF(Refsz_Verbräuche[[#Headers],[2027]]=$B$43,IF(OR(SUMIF($E141:Refsz_Verbräuche[[#This Row],[2026]],"&gt;0")&gt;0,), AVERAGEIF($E141:Refsz_Verbräuche[[#This Row],[2026]],"&lt;&gt;"""), ""),IF($B$43=(Refsz_Verbräuche[[#Headers],[2027]]-1),Refsz_Verbräuche[[#This Row],[2026]],IF($B$43&lt;Refsz_Verbräuche[[#Headers],[2027]],Refsz_Verbräuche[[#This Row],[2026]],"")))</f>
        <v/>
      </c>
      <c r="R141" s="124" t="str">
        <f>IF(Refsz_Verbräuche[[#Headers],[2028]]=$B$43,IF(OR(SUMIF($E141:Refsz_Verbräuche[[#This Row],[2027]],"&gt;0")&gt;0,), AVERAGEIF($E141:Refsz_Verbräuche[[#This Row],[2027]],"&lt;&gt;"""), ""),IF($B$43=(Refsz_Verbräuche[[#Headers],[2028]]-1),Refsz_Verbräuche[[#This Row],[2027]],IF($B$43&lt;Refsz_Verbräuche[[#Headers],[2028]],Refsz_Verbräuche[[#This Row],[2027]],"")))</f>
        <v/>
      </c>
      <c r="S141" s="124" t="str">
        <f>IF(Refsz_Verbräuche[[#Headers],[2029]]=$B$43,IF(OR(SUMIF($E141:Refsz_Verbräuche[[#This Row],[2028]],"&gt;0")&gt;0,), AVERAGEIF($E141:Refsz_Verbräuche[[#This Row],[2028]],"&lt;&gt;"""), ""),IF($B$43=(Refsz_Verbräuche[[#Headers],[2029]]-1),Refsz_Verbräuche[[#This Row],[2028]],IF($B$43&lt;Refsz_Verbräuche[[#Headers],[2029]],Refsz_Verbräuche[[#This Row],[2028]],"")))</f>
        <v/>
      </c>
      <c r="T141" s="124" t="str">
        <f>IF(Refsz_Verbräuche[[#Headers],[2030]]=$B$43,IF(OR(SUMIF($E141:Refsz_Verbräuche[[#This Row],[2029]],"&gt;0")&gt;0,), AVERAGEIF($E141:Refsz_Verbräuche[[#This Row],[2029]],"&lt;&gt;"""), ""),IF($B$43=(Refsz_Verbräuche[[#Headers],[2030]]-1),Refsz_Verbräuche[[#This Row],[2029]],IF($B$43&lt;Refsz_Verbräuche[[#Headers],[2030]],Refsz_Verbräuche[[#This Row],[2029]],"")))</f>
        <v/>
      </c>
      <c r="U141" s="124" t="str">
        <f>IF(Refsz_Verbräuche[[#Headers],[2035]]=$B$43,IF(OR(SUMIF($E141:Refsz_Verbräuche[[#This Row],[2030]],"&gt;0")&gt;0,), AVERAGEIF($E141:Refsz_Verbräuche[[#This Row],[2030]],"&lt;&gt;"""), ""),IF($B$43=(Refsz_Verbräuche[[#Headers],[2035]]-1),Refsz_Verbräuche[[#This Row],[2030]],IF($B$43&lt;Refsz_Verbräuche[[#Headers],[2035]],Refsz_Verbräuche[[#This Row],[2030]],"")))</f>
        <v/>
      </c>
      <c r="V141" s="124" t="str">
        <f>IF(Refsz_Verbräuche[[#Headers],[2040]]=$B$43,IF(OR(SUMIF($E141:Refsz_Verbräuche[[#This Row],[2035]],"&gt;0")&gt;0,), AVERAGEIF($E141:Refsz_Verbräuche[[#This Row],[2035]],"&lt;&gt;"""), ""),IF($B$43=(Refsz_Verbräuche[[#Headers],[2040]]-1),Refsz_Verbräuche[[#This Row],[2035]],IF($B$43&lt;Refsz_Verbräuche[[#Headers],[2040]],Refsz_Verbräuche[[#This Row],[2035]],"")))</f>
        <v/>
      </c>
      <c r="W141" s="124" t="str">
        <f>IF(Refsz_Verbräuche[[#Headers],[2045]]=$B$43,IF(OR(SUMIF($E141:Refsz_Verbräuche[[#This Row],[2040]],"&gt;0")&gt;0,), AVERAGEIF($E141:Refsz_Verbräuche[[#This Row],[2040]],"&lt;&gt;"""), ""),IF($B$43=(Refsz_Verbräuche[[#Headers],[2045]]-1),Refsz_Verbräuche[[#This Row],[2040]],IF($B$43&lt;Refsz_Verbräuche[[#Headers],[2045]],Refsz_Verbräuche[[#This Row],[2040]],"")))</f>
        <v/>
      </c>
      <c r="X141" s="124" t="str">
        <f>IF(Refsz_Verbräuche[[#Headers],[2050]]=$B$43,IF(OR(SUMIF($E141:Refsz_Verbräuche[[#This Row],[2045]],"&gt;0")&gt;0,), AVERAGEIF($E141:Refsz_Verbräuche[[#This Row],[2045]],"&lt;&gt;"""), ""),IF($B$43=(Refsz_Verbräuche[[#Headers],[2050]]-1),Refsz_Verbräuche[[#This Row],[2045]],IF($B$43&lt;Refsz_Verbräuche[[#Headers],[2050]],Refsz_Verbräuche[[#This Row],[2045]],"")))</f>
        <v/>
      </c>
      <c r="Z141" s="15"/>
    </row>
    <row r="142" spans="2:26" x14ac:dyDescent="0.35">
      <c r="B142" s="15">
        <v>82</v>
      </c>
      <c r="C142" s="9" t="str">
        <f>_xlfn.CONCAT('Refsz-Verbräuche'!C52," - Flugreisen")</f>
        <v>An- und Abreise von Gästen - Flugreisen</v>
      </c>
      <c r="D142" t="s">
        <v>47</v>
      </c>
      <c r="E142" s="124"/>
      <c r="F142" s="124"/>
      <c r="G142" s="124"/>
      <c r="H142" s="124"/>
      <c r="I142" s="124"/>
      <c r="J142" s="124"/>
      <c r="K142" s="124"/>
      <c r="L142" s="124" t="str">
        <f>IF(Refsz_Verbräuche[[#Headers],[2022]]=$B$43,IF(OR(SUMIF($E142:Refsz_Verbräuche[[#This Row],[2021]],"&gt;0")&gt;0,), AVERAGEIF($E142:Refsz_Verbräuche[[#This Row],[2021]],"&lt;&gt;"""), ""),IF($B$43=(Refsz_Verbräuche[[#Headers],[2022]]-1),Refsz_Verbräuche[[#This Row],[2021]],IF($B$43&lt;Refsz_Verbräuche[[#Headers],[2022]],Refsz_Verbräuche[[#This Row],[2021]],"")))</f>
        <v/>
      </c>
      <c r="M142" s="124" t="str">
        <f>IF(Refsz_Verbräuche[[#Headers],[2023]]=$B$43,IF(OR(SUMIF($E142:Refsz_Verbräuche[[#This Row],[2022]],"&gt;0")&gt;0,), AVERAGEIF($E142:Refsz_Verbräuche[[#This Row],[2022]],"&lt;&gt;"""), ""),IF($B$43=(Refsz_Verbräuche[[#Headers],[2023]]-1),Refsz_Verbräuche[[#This Row],[2022]],IF($B$43&lt;Refsz_Verbräuche[[#Headers],[2023]],Refsz_Verbräuche[[#This Row],[2022]],"")))</f>
        <v/>
      </c>
      <c r="N142" s="124" t="str">
        <f>IF(Refsz_Verbräuche[[#Headers],[2024]]=$B$43,IF(OR(SUMIF($E142:Refsz_Verbräuche[[#This Row],[2023]],"&gt;0")&gt;0,), AVERAGEIF($E142:Refsz_Verbräuche[[#This Row],[2023]],"&lt;&gt;"""), ""),IF($B$43=(Refsz_Verbräuche[[#Headers],[2024]]-1),Refsz_Verbräuche[[#This Row],[2023]],IF($B$43&lt;Refsz_Verbräuche[[#Headers],[2024]],Refsz_Verbräuche[[#This Row],[2023]],"")))</f>
        <v/>
      </c>
      <c r="O142" s="124" t="str">
        <f>IF(Refsz_Verbräuche[[#Headers],[2025]]=$B$43,IF(OR(SUMIF($E142:Refsz_Verbräuche[[#This Row],[2024]],"&gt;0")&gt;0,), AVERAGEIF($E142:Refsz_Verbräuche[[#This Row],[2024]],"&lt;&gt;"""), ""),IF($B$43=(Refsz_Verbräuche[[#Headers],[2025]]-1),Refsz_Verbräuche[[#This Row],[2024]],IF($B$43&lt;Refsz_Verbräuche[[#Headers],[2025]],Refsz_Verbräuche[[#This Row],[2024]],"")))</f>
        <v/>
      </c>
      <c r="P142" s="124" t="str">
        <f>IF(Refsz_Verbräuche[[#Headers],[2026]]=$B$43,IF(OR(SUMIF($E142:Refsz_Verbräuche[[#This Row],[2025]],"&gt;0")&gt;0,), AVERAGEIF($E142:Refsz_Verbräuche[[#This Row],[2025]],"&lt;&gt;"""), ""),IF($B$43=(Refsz_Verbräuche[[#Headers],[2026]]-1),Refsz_Verbräuche[[#This Row],[2025]],IF($B$43&lt;Refsz_Verbräuche[[#Headers],[2026]],Refsz_Verbräuche[[#This Row],[2025]],"")))</f>
        <v/>
      </c>
      <c r="Q142" s="124" t="str">
        <f>IF(Refsz_Verbräuche[[#Headers],[2027]]=$B$43,IF(OR(SUMIF($E142:Refsz_Verbräuche[[#This Row],[2026]],"&gt;0")&gt;0,), AVERAGEIF($E142:Refsz_Verbräuche[[#This Row],[2026]],"&lt;&gt;"""), ""),IF($B$43=(Refsz_Verbräuche[[#Headers],[2027]]-1),Refsz_Verbräuche[[#This Row],[2026]],IF($B$43&lt;Refsz_Verbräuche[[#Headers],[2027]],Refsz_Verbräuche[[#This Row],[2026]],"")))</f>
        <v/>
      </c>
      <c r="R142" s="124" t="str">
        <f>IF(Refsz_Verbräuche[[#Headers],[2028]]=$B$43,IF(OR(SUMIF($E142:Refsz_Verbräuche[[#This Row],[2027]],"&gt;0")&gt;0,), AVERAGEIF($E142:Refsz_Verbräuche[[#This Row],[2027]],"&lt;&gt;"""), ""),IF($B$43=(Refsz_Verbräuche[[#Headers],[2028]]-1),Refsz_Verbräuche[[#This Row],[2027]],IF($B$43&lt;Refsz_Verbräuche[[#Headers],[2028]],Refsz_Verbräuche[[#This Row],[2027]],"")))</f>
        <v/>
      </c>
      <c r="S142" s="124" t="str">
        <f>IF(Refsz_Verbräuche[[#Headers],[2029]]=$B$43,IF(OR(SUMIF($E142:Refsz_Verbräuche[[#This Row],[2028]],"&gt;0")&gt;0,), AVERAGEIF($E142:Refsz_Verbräuche[[#This Row],[2028]],"&lt;&gt;"""), ""),IF($B$43=(Refsz_Verbräuche[[#Headers],[2029]]-1),Refsz_Verbräuche[[#This Row],[2028]],IF($B$43&lt;Refsz_Verbräuche[[#Headers],[2029]],Refsz_Verbräuche[[#This Row],[2028]],"")))</f>
        <v/>
      </c>
      <c r="T142" s="124" t="str">
        <f>IF(Refsz_Verbräuche[[#Headers],[2030]]=$B$43,IF(OR(SUMIF($E142:Refsz_Verbräuche[[#This Row],[2029]],"&gt;0")&gt;0,), AVERAGEIF($E142:Refsz_Verbräuche[[#This Row],[2029]],"&lt;&gt;"""), ""),IF($B$43=(Refsz_Verbräuche[[#Headers],[2030]]-1),Refsz_Verbräuche[[#This Row],[2029]],IF($B$43&lt;Refsz_Verbräuche[[#Headers],[2030]],Refsz_Verbräuche[[#This Row],[2029]],"")))</f>
        <v/>
      </c>
      <c r="U142" s="124" t="str">
        <f>IF(Refsz_Verbräuche[[#Headers],[2035]]=$B$43,IF(OR(SUMIF($E142:Refsz_Verbräuche[[#This Row],[2030]],"&gt;0")&gt;0,), AVERAGEIF($E142:Refsz_Verbräuche[[#This Row],[2030]],"&lt;&gt;"""), ""),IF($B$43=(Refsz_Verbräuche[[#Headers],[2035]]-1),Refsz_Verbräuche[[#This Row],[2030]],IF($B$43&lt;Refsz_Verbräuche[[#Headers],[2035]],Refsz_Verbräuche[[#This Row],[2030]],"")))</f>
        <v/>
      </c>
      <c r="V142" s="124" t="str">
        <f>IF(Refsz_Verbräuche[[#Headers],[2040]]=$B$43,IF(OR(SUMIF($E142:Refsz_Verbräuche[[#This Row],[2035]],"&gt;0")&gt;0,), AVERAGEIF($E142:Refsz_Verbräuche[[#This Row],[2035]],"&lt;&gt;"""), ""),IF($B$43=(Refsz_Verbräuche[[#Headers],[2040]]-1),Refsz_Verbräuche[[#This Row],[2035]],IF($B$43&lt;Refsz_Verbräuche[[#Headers],[2040]],Refsz_Verbräuche[[#This Row],[2035]],"")))</f>
        <v/>
      </c>
      <c r="W142" s="124" t="str">
        <f>IF(Refsz_Verbräuche[[#Headers],[2045]]=$B$43,IF(OR(SUMIF($E142:Refsz_Verbräuche[[#This Row],[2040]],"&gt;0")&gt;0,), AVERAGEIF($E142:Refsz_Verbräuche[[#This Row],[2040]],"&lt;&gt;"""), ""),IF($B$43=(Refsz_Verbräuche[[#Headers],[2045]]-1),Refsz_Verbräuche[[#This Row],[2040]],IF($B$43&lt;Refsz_Verbräuche[[#Headers],[2045]],Refsz_Verbräuche[[#This Row],[2040]],"")))</f>
        <v/>
      </c>
      <c r="X142" s="124" t="str">
        <f>IF(Refsz_Verbräuche[[#Headers],[2050]]=$B$43,IF(OR(SUMIF($E142:Refsz_Verbräuche[[#This Row],[2045]],"&gt;0")&gt;0,), AVERAGEIF($E142:Refsz_Verbräuche[[#This Row],[2045]],"&lt;&gt;"""), ""),IF($B$43=(Refsz_Verbräuche[[#Headers],[2050]]-1),Refsz_Verbräuche[[#This Row],[2045]],IF($B$43&lt;Refsz_Verbräuche[[#Headers],[2050]],Refsz_Verbräuche[[#This Row],[2045]],"")))</f>
        <v/>
      </c>
      <c r="Z142" s="15"/>
    </row>
    <row r="143" spans="2:26" x14ac:dyDescent="0.35">
      <c r="B143" s="15">
        <v>83</v>
      </c>
      <c r="C143" s="9" t="str">
        <f>_xlfn.CONCAT('Refsz-Verbräuche'!C52," - Eisenbahn (Nahverkehr)")</f>
        <v>An- und Abreise von Gästen - Eisenbahn (Nahverkehr)</v>
      </c>
      <c r="D143" s="9" t="s">
        <v>47</v>
      </c>
      <c r="E143" s="124"/>
      <c r="F143" s="124"/>
      <c r="G143" s="124"/>
      <c r="H143" s="124"/>
      <c r="I143" s="124"/>
      <c r="J143" s="124"/>
      <c r="K143" s="124"/>
      <c r="L143" s="124" t="str">
        <f>IF(Refsz_Verbräuche[[#Headers],[2022]]=$B$43,IF(OR(SUMIF($E143:Refsz_Verbräuche[[#This Row],[2021]],"&gt;0")&gt;0,), AVERAGEIF($E143:Refsz_Verbräuche[[#This Row],[2021]],"&lt;&gt;"""), ""),IF($B$43=(Refsz_Verbräuche[[#Headers],[2022]]-1),Refsz_Verbräuche[[#This Row],[2021]],IF($B$43&lt;Refsz_Verbräuche[[#Headers],[2022]],Refsz_Verbräuche[[#This Row],[2021]],"")))</f>
        <v/>
      </c>
      <c r="M143" s="124" t="str">
        <f>IF(Refsz_Verbräuche[[#Headers],[2023]]=$B$43,IF(OR(SUMIF($E143:Refsz_Verbräuche[[#This Row],[2022]],"&gt;0")&gt;0,), AVERAGEIF($E143:Refsz_Verbräuche[[#This Row],[2022]],"&lt;&gt;"""), ""),IF($B$43=(Refsz_Verbräuche[[#Headers],[2023]]-1),Refsz_Verbräuche[[#This Row],[2022]],IF($B$43&lt;Refsz_Verbräuche[[#Headers],[2023]],Refsz_Verbräuche[[#This Row],[2022]],"")))</f>
        <v/>
      </c>
      <c r="N143" s="124" t="str">
        <f>IF(Refsz_Verbräuche[[#Headers],[2024]]=$B$43,IF(OR(SUMIF($E143:Refsz_Verbräuche[[#This Row],[2023]],"&gt;0")&gt;0,), AVERAGEIF($E143:Refsz_Verbräuche[[#This Row],[2023]],"&lt;&gt;"""), ""),IF($B$43=(Refsz_Verbräuche[[#Headers],[2024]]-1),Refsz_Verbräuche[[#This Row],[2023]],IF($B$43&lt;Refsz_Verbräuche[[#Headers],[2024]],Refsz_Verbräuche[[#This Row],[2023]],"")))</f>
        <v/>
      </c>
      <c r="O143" s="124" t="str">
        <f>IF(Refsz_Verbräuche[[#Headers],[2025]]=$B$43,IF(OR(SUMIF($E143:Refsz_Verbräuche[[#This Row],[2024]],"&gt;0")&gt;0,), AVERAGEIF($E143:Refsz_Verbräuche[[#This Row],[2024]],"&lt;&gt;"""), ""),IF($B$43=(Refsz_Verbräuche[[#Headers],[2025]]-1),Refsz_Verbräuche[[#This Row],[2024]],IF($B$43&lt;Refsz_Verbräuche[[#Headers],[2025]],Refsz_Verbräuche[[#This Row],[2024]],"")))</f>
        <v/>
      </c>
      <c r="P143" s="124" t="str">
        <f>IF(Refsz_Verbräuche[[#Headers],[2026]]=$B$43,IF(OR(SUMIF($E143:Refsz_Verbräuche[[#This Row],[2025]],"&gt;0")&gt;0,), AVERAGEIF($E143:Refsz_Verbräuche[[#This Row],[2025]],"&lt;&gt;"""), ""),IF($B$43=(Refsz_Verbräuche[[#Headers],[2026]]-1),Refsz_Verbräuche[[#This Row],[2025]],IF($B$43&lt;Refsz_Verbräuche[[#Headers],[2026]],Refsz_Verbräuche[[#This Row],[2025]],"")))</f>
        <v/>
      </c>
      <c r="Q143" s="124" t="str">
        <f>IF(Refsz_Verbräuche[[#Headers],[2027]]=$B$43,IF(OR(SUMIF($E143:Refsz_Verbräuche[[#This Row],[2026]],"&gt;0")&gt;0,), AVERAGEIF($E143:Refsz_Verbräuche[[#This Row],[2026]],"&lt;&gt;"""), ""),IF($B$43=(Refsz_Verbräuche[[#Headers],[2027]]-1),Refsz_Verbräuche[[#This Row],[2026]],IF($B$43&lt;Refsz_Verbräuche[[#Headers],[2027]],Refsz_Verbräuche[[#This Row],[2026]],"")))</f>
        <v/>
      </c>
      <c r="R143" s="124" t="str">
        <f>IF(Refsz_Verbräuche[[#Headers],[2028]]=$B$43,IF(OR(SUMIF($E143:Refsz_Verbräuche[[#This Row],[2027]],"&gt;0")&gt;0,), AVERAGEIF($E143:Refsz_Verbräuche[[#This Row],[2027]],"&lt;&gt;"""), ""),IF($B$43=(Refsz_Verbräuche[[#Headers],[2028]]-1),Refsz_Verbräuche[[#This Row],[2027]],IF($B$43&lt;Refsz_Verbräuche[[#Headers],[2028]],Refsz_Verbräuche[[#This Row],[2027]],"")))</f>
        <v/>
      </c>
      <c r="S143" s="124" t="str">
        <f>IF(Refsz_Verbräuche[[#Headers],[2029]]=$B$43,IF(OR(SUMIF($E143:Refsz_Verbräuche[[#This Row],[2028]],"&gt;0")&gt;0,), AVERAGEIF($E143:Refsz_Verbräuche[[#This Row],[2028]],"&lt;&gt;"""), ""),IF($B$43=(Refsz_Verbräuche[[#Headers],[2029]]-1),Refsz_Verbräuche[[#This Row],[2028]],IF($B$43&lt;Refsz_Verbräuche[[#Headers],[2029]],Refsz_Verbräuche[[#This Row],[2028]],"")))</f>
        <v/>
      </c>
      <c r="T143" s="124" t="str">
        <f>IF(Refsz_Verbräuche[[#Headers],[2030]]=$B$43,IF(OR(SUMIF($E143:Refsz_Verbräuche[[#This Row],[2029]],"&gt;0")&gt;0,), AVERAGEIF($E143:Refsz_Verbräuche[[#This Row],[2029]],"&lt;&gt;"""), ""),IF($B$43=(Refsz_Verbräuche[[#Headers],[2030]]-1),Refsz_Verbräuche[[#This Row],[2029]],IF($B$43&lt;Refsz_Verbräuche[[#Headers],[2030]],Refsz_Verbräuche[[#This Row],[2029]],"")))</f>
        <v/>
      </c>
      <c r="U143" s="124" t="str">
        <f>IF(Refsz_Verbräuche[[#Headers],[2035]]=$B$43,IF(OR(SUMIF($E143:Refsz_Verbräuche[[#This Row],[2030]],"&gt;0")&gt;0,), AVERAGEIF($E143:Refsz_Verbräuche[[#This Row],[2030]],"&lt;&gt;"""), ""),IF($B$43=(Refsz_Verbräuche[[#Headers],[2035]]-1),Refsz_Verbräuche[[#This Row],[2030]],IF($B$43&lt;Refsz_Verbräuche[[#Headers],[2035]],Refsz_Verbräuche[[#This Row],[2030]],"")))</f>
        <v/>
      </c>
      <c r="V143" s="124" t="str">
        <f>IF(Refsz_Verbräuche[[#Headers],[2040]]=$B$43,IF(OR(SUMIF($E143:Refsz_Verbräuche[[#This Row],[2035]],"&gt;0")&gt;0,), AVERAGEIF($E143:Refsz_Verbräuche[[#This Row],[2035]],"&lt;&gt;"""), ""),IF($B$43=(Refsz_Verbräuche[[#Headers],[2040]]-1),Refsz_Verbräuche[[#This Row],[2035]],IF($B$43&lt;Refsz_Verbräuche[[#Headers],[2040]],Refsz_Verbräuche[[#This Row],[2035]],"")))</f>
        <v/>
      </c>
      <c r="W143" s="124" t="str">
        <f>IF(Refsz_Verbräuche[[#Headers],[2045]]=$B$43,IF(OR(SUMIF($E143:Refsz_Verbräuche[[#This Row],[2040]],"&gt;0")&gt;0,), AVERAGEIF($E143:Refsz_Verbräuche[[#This Row],[2040]],"&lt;&gt;"""), ""),IF($B$43=(Refsz_Verbräuche[[#Headers],[2045]]-1),Refsz_Verbräuche[[#This Row],[2040]],IF($B$43&lt;Refsz_Verbräuche[[#Headers],[2045]],Refsz_Verbräuche[[#This Row],[2040]],"")))</f>
        <v/>
      </c>
      <c r="X143" s="124" t="str">
        <f>IF(Refsz_Verbräuche[[#Headers],[2050]]=$B$43,IF(OR(SUMIF($E143:Refsz_Verbräuche[[#This Row],[2045]],"&gt;0")&gt;0,), AVERAGEIF($E143:Refsz_Verbräuche[[#This Row],[2045]],"&lt;&gt;"""), ""),IF($B$43=(Refsz_Verbräuche[[#Headers],[2050]]-1),Refsz_Verbräuche[[#This Row],[2045]],IF($B$43&lt;Refsz_Verbräuche[[#Headers],[2050]],Refsz_Verbräuche[[#This Row],[2045]],"")))</f>
        <v/>
      </c>
      <c r="Z143" s="15"/>
    </row>
    <row r="144" spans="2:26" x14ac:dyDescent="0.35">
      <c r="B144" s="15">
        <v>84</v>
      </c>
      <c r="C144" s="9" t="str">
        <f>_xlfn.CONCAT('Refsz-Verbräuche'!C52," - Privater PKW (alle Antriebsarten)")</f>
        <v>An- und Abreise von Gästen - Privater PKW (alle Antriebsarten)</v>
      </c>
      <c r="D144" t="s">
        <v>417</v>
      </c>
      <c r="E144" s="124"/>
      <c r="F144" s="124"/>
      <c r="G144" s="124"/>
      <c r="H144" s="124"/>
      <c r="I144" s="124"/>
      <c r="J144" s="124"/>
      <c r="K144" s="124"/>
      <c r="L144" s="124" t="str">
        <f>IF(Refsz_Verbräuche[[#Headers],[2022]]=$B$43,IF(OR(SUMIF($E144:Refsz_Verbräuche[[#This Row],[2021]],"&gt;0")&gt;0,), AVERAGEIF($E144:Refsz_Verbräuche[[#This Row],[2021]],"&lt;&gt;"""), ""),IF($B$43=(Refsz_Verbräuche[[#Headers],[2022]]-1),Refsz_Verbräuche[[#This Row],[2021]],IF($B$43&lt;Refsz_Verbräuche[[#Headers],[2022]],Refsz_Verbräuche[[#This Row],[2021]],"")))</f>
        <v/>
      </c>
      <c r="M144" s="124" t="str">
        <f>IF(Refsz_Verbräuche[[#Headers],[2023]]=$B$43,IF(OR(SUMIF($E144:Refsz_Verbräuche[[#This Row],[2022]],"&gt;0")&gt;0,), AVERAGEIF($E144:Refsz_Verbräuche[[#This Row],[2022]],"&lt;&gt;"""), ""),IF($B$43=(Refsz_Verbräuche[[#Headers],[2023]]-1),Refsz_Verbräuche[[#This Row],[2022]],IF($B$43&lt;Refsz_Verbräuche[[#Headers],[2023]],Refsz_Verbräuche[[#This Row],[2022]],"")))</f>
        <v/>
      </c>
      <c r="N144" s="124" t="str">
        <f>IF(Refsz_Verbräuche[[#Headers],[2024]]=$B$43,IF(OR(SUMIF($E144:Refsz_Verbräuche[[#This Row],[2023]],"&gt;0")&gt;0,), AVERAGEIF($E144:Refsz_Verbräuche[[#This Row],[2023]],"&lt;&gt;"""), ""),IF($B$43=(Refsz_Verbräuche[[#Headers],[2024]]-1),Refsz_Verbräuche[[#This Row],[2023]],IF($B$43&lt;Refsz_Verbräuche[[#Headers],[2024]],Refsz_Verbräuche[[#This Row],[2023]],"")))</f>
        <v/>
      </c>
      <c r="O144" s="124" t="str">
        <f>IF(Refsz_Verbräuche[[#Headers],[2025]]=$B$43,IF(OR(SUMIF($E144:Refsz_Verbräuche[[#This Row],[2024]],"&gt;0")&gt;0,), AVERAGEIF($E144:Refsz_Verbräuche[[#This Row],[2024]],"&lt;&gt;"""), ""),IF($B$43=(Refsz_Verbräuche[[#Headers],[2025]]-1),Refsz_Verbräuche[[#This Row],[2024]],IF($B$43&lt;Refsz_Verbräuche[[#Headers],[2025]],Refsz_Verbräuche[[#This Row],[2024]],"")))</f>
        <v/>
      </c>
      <c r="P144" s="124" t="str">
        <f>IF(Refsz_Verbräuche[[#Headers],[2026]]=$B$43,IF(OR(SUMIF($E144:Refsz_Verbräuche[[#This Row],[2025]],"&gt;0")&gt;0,), AVERAGEIF($E144:Refsz_Verbräuche[[#This Row],[2025]],"&lt;&gt;"""), ""),IF($B$43=(Refsz_Verbräuche[[#Headers],[2026]]-1),Refsz_Verbräuche[[#This Row],[2025]],IF($B$43&lt;Refsz_Verbräuche[[#Headers],[2026]],Refsz_Verbräuche[[#This Row],[2025]],"")))</f>
        <v/>
      </c>
      <c r="Q144" s="124" t="str">
        <f>IF(Refsz_Verbräuche[[#Headers],[2027]]=$B$43,IF(OR(SUMIF($E144:Refsz_Verbräuche[[#This Row],[2026]],"&gt;0")&gt;0,), AVERAGEIF($E144:Refsz_Verbräuche[[#This Row],[2026]],"&lt;&gt;"""), ""),IF($B$43=(Refsz_Verbräuche[[#Headers],[2027]]-1),Refsz_Verbräuche[[#This Row],[2026]],IF($B$43&lt;Refsz_Verbräuche[[#Headers],[2027]],Refsz_Verbräuche[[#This Row],[2026]],"")))</f>
        <v/>
      </c>
      <c r="R144" s="124" t="str">
        <f>IF(Refsz_Verbräuche[[#Headers],[2028]]=$B$43,IF(OR(SUMIF($E144:Refsz_Verbräuche[[#This Row],[2027]],"&gt;0")&gt;0,), AVERAGEIF($E144:Refsz_Verbräuche[[#This Row],[2027]],"&lt;&gt;"""), ""),IF($B$43=(Refsz_Verbräuche[[#Headers],[2028]]-1),Refsz_Verbräuche[[#This Row],[2027]],IF($B$43&lt;Refsz_Verbräuche[[#Headers],[2028]],Refsz_Verbräuche[[#This Row],[2027]],"")))</f>
        <v/>
      </c>
      <c r="S144" s="124" t="str">
        <f>IF(Refsz_Verbräuche[[#Headers],[2029]]=$B$43,IF(OR(SUMIF($E144:Refsz_Verbräuche[[#This Row],[2028]],"&gt;0")&gt;0,), AVERAGEIF($E144:Refsz_Verbräuche[[#This Row],[2028]],"&lt;&gt;"""), ""),IF($B$43=(Refsz_Verbräuche[[#Headers],[2029]]-1),Refsz_Verbräuche[[#This Row],[2028]],IF($B$43&lt;Refsz_Verbräuche[[#Headers],[2029]],Refsz_Verbräuche[[#This Row],[2028]],"")))</f>
        <v/>
      </c>
      <c r="T144" s="124" t="str">
        <f>IF(Refsz_Verbräuche[[#Headers],[2030]]=$B$43,IF(OR(SUMIF($E144:Refsz_Verbräuche[[#This Row],[2029]],"&gt;0")&gt;0,), AVERAGEIF($E144:Refsz_Verbräuche[[#This Row],[2029]],"&lt;&gt;"""), ""),IF($B$43=(Refsz_Verbräuche[[#Headers],[2030]]-1),Refsz_Verbräuche[[#This Row],[2029]],IF($B$43&lt;Refsz_Verbräuche[[#Headers],[2030]],Refsz_Verbräuche[[#This Row],[2029]],"")))</f>
        <v/>
      </c>
      <c r="U144" s="124" t="str">
        <f>IF(Refsz_Verbräuche[[#Headers],[2035]]=$B$43,IF(OR(SUMIF($E144:Refsz_Verbräuche[[#This Row],[2030]],"&gt;0")&gt;0,), AVERAGEIF($E144:Refsz_Verbräuche[[#This Row],[2030]],"&lt;&gt;"""), ""),IF($B$43=(Refsz_Verbräuche[[#Headers],[2035]]-1),Refsz_Verbräuche[[#This Row],[2030]],IF($B$43&lt;Refsz_Verbräuche[[#Headers],[2035]],Refsz_Verbräuche[[#This Row],[2030]],"")))</f>
        <v/>
      </c>
      <c r="V144" s="124" t="str">
        <f>IF(Refsz_Verbräuche[[#Headers],[2040]]=$B$43,IF(OR(SUMIF($E144:Refsz_Verbräuche[[#This Row],[2035]],"&gt;0")&gt;0,), AVERAGEIF($E144:Refsz_Verbräuche[[#This Row],[2035]],"&lt;&gt;"""), ""),IF($B$43=(Refsz_Verbräuche[[#Headers],[2040]]-1),Refsz_Verbräuche[[#This Row],[2035]],IF($B$43&lt;Refsz_Verbräuche[[#Headers],[2040]],Refsz_Verbräuche[[#This Row],[2035]],"")))</f>
        <v/>
      </c>
      <c r="W144" s="124" t="str">
        <f>IF(Refsz_Verbräuche[[#Headers],[2045]]=$B$43,IF(OR(SUMIF($E144:Refsz_Verbräuche[[#This Row],[2040]],"&gt;0")&gt;0,), AVERAGEIF($E144:Refsz_Verbräuche[[#This Row],[2040]],"&lt;&gt;"""), ""),IF($B$43=(Refsz_Verbräuche[[#Headers],[2045]]-1),Refsz_Verbräuche[[#This Row],[2040]],IF($B$43&lt;Refsz_Verbräuche[[#Headers],[2045]],Refsz_Verbräuche[[#This Row],[2040]],"")))</f>
        <v/>
      </c>
      <c r="X144" s="124" t="str">
        <f>IF(Refsz_Verbräuche[[#Headers],[2050]]=$B$43,IF(OR(SUMIF($E144:Refsz_Verbräuche[[#This Row],[2045]],"&gt;0")&gt;0,), AVERAGEIF($E144:Refsz_Verbräuche[[#This Row],[2045]],"&lt;&gt;"""), ""),IF($B$43=(Refsz_Verbräuche[[#Headers],[2050]]-1),Refsz_Verbräuche[[#This Row],[2045]],IF($B$43&lt;Refsz_Verbräuche[[#Headers],[2050]],Refsz_Verbräuche[[#This Row],[2045]],"")))</f>
        <v/>
      </c>
      <c r="Z144" s="15"/>
    </row>
    <row r="145" spans="2:26" x14ac:dyDescent="0.35">
      <c r="B145" s="15">
        <v>85</v>
      </c>
      <c r="C145" s="9"/>
      <c r="E145" s="124"/>
      <c r="F145" s="124"/>
      <c r="G145" s="124"/>
      <c r="H145" s="124"/>
      <c r="I145" s="124"/>
      <c r="J145" s="124"/>
      <c r="K145" s="124"/>
      <c r="L145" s="124" t="str">
        <f>IF(Refsz_Verbräuche[[#Headers],[2022]]=$B$43,IF(OR(SUMIF($E145:Refsz_Verbräuche[[#This Row],[2021]],"&gt;0")&gt;0,), AVERAGEIF($E145:Refsz_Verbräuche[[#This Row],[2021]],"&lt;&gt;"""), ""),IF($B$43=(Refsz_Verbräuche[[#Headers],[2022]]-1),Refsz_Verbräuche[[#This Row],[2021]],IF($B$43&lt;Refsz_Verbräuche[[#Headers],[2022]],Refsz_Verbräuche[[#This Row],[2021]],"")))</f>
        <v/>
      </c>
      <c r="M145" s="124" t="str">
        <f>IF(Refsz_Verbräuche[[#Headers],[2023]]=$B$43,IF(OR(SUMIF($E145:Refsz_Verbräuche[[#This Row],[2022]],"&gt;0")&gt;0,), AVERAGEIF($E145:Refsz_Verbräuche[[#This Row],[2022]],"&lt;&gt;"""), ""),IF($B$43=(Refsz_Verbräuche[[#Headers],[2023]]-1),Refsz_Verbräuche[[#This Row],[2022]],IF($B$43&lt;Refsz_Verbräuche[[#Headers],[2023]],Refsz_Verbräuche[[#This Row],[2022]],"")))</f>
        <v/>
      </c>
      <c r="N145" s="124" t="str">
        <f>IF(Refsz_Verbräuche[[#Headers],[2024]]=$B$43,IF(OR(SUMIF($E145:Refsz_Verbräuche[[#This Row],[2023]],"&gt;0")&gt;0,), AVERAGEIF($E145:Refsz_Verbräuche[[#This Row],[2023]],"&lt;&gt;"""), ""),IF($B$43=(Refsz_Verbräuche[[#Headers],[2024]]-1),Refsz_Verbräuche[[#This Row],[2023]],IF($B$43&lt;Refsz_Verbräuche[[#Headers],[2024]],Refsz_Verbräuche[[#This Row],[2023]],"")))</f>
        <v/>
      </c>
      <c r="O145" s="124" t="str">
        <f>IF(Refsz_Verbräuche[[#Headers],[2025]]=$B$43,IF(OR(SUMIF($E145:Refsz_Verbräuche[[#This Row],[2024]],"&gt;0")&gt;0,), AVERAGEIF($E145:Refsz_Verbräuche[[#This Row],[2024]],"&lt;&gt;"""), ""),IF($B$43=(Refsz_Verbräuche[[#Headers],[2025]]-1),Refsz_Verbräuche[[#This Row],[2024]],IF($B$43&lt;Refsz_Verbräuche[[#Headers],[2025]],Refsz_Verbräuche[[#This Row],[2024]],"")))</f>
        <v/>
      </c>
      <c r="P145" s="124" t="str">
        <f>IF(Refsz_Verbräuche[[#Headers],[2026]]=$B$43,IF(OR(SUMIF($E145:Refsz_Verbräuche[[#This Row],[2025]],"&gt;0")&gt;0,), AVERAGEIF($E145:Refsz_Verbräuche[[#This Row],[2025]],"&lt;&gt;"""), ""),IF($B$43=(Refsz_Verbräuche[[#Headers],[2026]]-1),Refsz_Verbräuche[[#This Row],[2025]],IF($B$43&lt;Refsz_Verbräuche[[#Headers],[2026]],Refsz_Verbräuche[[#This Row],[2025]],"")))</f>
        <v/>
      </c>
      <c r="Q145" s="124" t="str">
        <f>IF(Refsz_Verbräuche[[#Headers],[2027]]=$B$43,IF(OR(SUMIF($E145:Refsz_Verbräuche[[#This Row],[2026]],"&gt;0")&gt;0,), AVERAGEIF($E145:Refsz_Verbräuche[[#This Row],[2026]],"&lt;&gt;"""), ""),IF($B$43=(Refsz_Verbräuche[[#Headers],[2027]]-1),Refsz_Verbräuche[[#This Row],[2026]],IF($B$43&lt;Refsz_Verbräuche[[#Headers],[2027]],Refsz_Verbräuche[[#This Row],[2026]],"")))</f>
        <v/>
      </c>
      <c r="R145" s="124" t="str">
        <f>IF(Refsz_Verbräuche[[#Headers],[2028]]=$B$43,IF(OR(SUMIF($E145:Refsz_Verbräuche[[#This Row],[2027]],"&gt;0")&gt;0,), AVERAGEIF($E145:Refsz_Verbräuche[[#This Row],[2027]],"&lt;&gt;"""), ""),IF($B$43=(Refsz_Verbräuche[[#Headers],[2028]]-1),Refsz_Verbräuche[[#This Row],[2027]],IF($B$43&lt;Refsz_Verbräuche[[#Headers],[2028]],Refsz_Verbräuche[[#This Row],[2027]],"")))</f>
        <v/>
      </c>
      <c r="S145" s="124" t="str">
        <f>IF(Refsz_Verbräuche[[#Headers],[2029]]=$B$43,IF(OR(SUMIF($E145:Refsz_Verbräuche[[#This Row],[2028]],"&gt;0")&gt;0,), AVERAGEIF($E145:Refsz_Verbräuche[[#This Row],[2028]],"&lt;&gt;"""), ""),IF($B$43=(Refsz_Verbräuche[[#Headers],[2029]]-1),Refsz_Verbräuche[[#This Row],[2028]],IF($B$43&lt;Refsz_Verbräuche[[#Headers],[2029]],Refsz_Verbräuche[[#This Row],[2028]],"")))</f>
        <v/>
      </c>
      <c r="T145" s="124" t="str">
        <f>IF(Refsz_Verbräuche[[#Headers],[2030]]=$B$43,IF(OR(SUMIF($E145:Refsz_Verbräuche[[#This Row],[2029]],"&gt;0")&gt;0,), AVERAGEIF($E145:Refsz_Verbräuche[[#This Row],[2029]],"&lt;&gt;"""), ""),IF($B$43=(Refsz_Verbräuche[[#Headers],[2030]]-1),Refsz_Verbräuche[[#This Row],[2029]],IF($B$43&lt;Refsz_Verbräuche[[#Headers],[2030]],Refsz_Verbräuche[[#This Row],[2029]],"")))</f>
        <v/>
      </c>
      <c r="U145" s="124" t="str">
        <f>IF(Refsz_Verbräuche[[#Headers],[2035]]=$B$43,IF(OR(SUMIF($E145:Refsz_Verbräuche[[#This Row],[2030]],"&gt;0")&gt;0,), AVERAGEIF($E145:Refsz_Verbräuche[[#This Row],[2030]],"&lt;&gt;"""), ""),IF($B$43=(Refsz_Verbräuche[[#Headers],[2035]]-1),Refsz_Verbräuche[[#This Row],[2030]],IF($B$43&lt;Refsz_Verbräuche[[#Headers],[2035]],Refsz_Verbräuche[[#This Row],[2030]],"")))</f>
        <v/>
      </c>
      <c r="V145" s="124" t="str">
        <f>IF(Refsz_Verbräuche[[#Headers],[2040]]=$B$43,IF(OR(SUMIF($E145:Refsz_Verbräuche[[#This Row],[2035]],"&gt;0")&gt;0,), AVERAGEIF($E145:Refsz_Verbräuche[[#This Row],[2035]],"&lt;&gt;"""), ""),IF($B$43=(Refsz_Verbräuche[[#Headers],[2040]]-1),Refsz_Verbräuche[[#This Row],[2035]],IF($B$43&lt;Refsz_Verbräuche[[#Headers],[2040]],Refsz_Verbräuche[[#This Row],[2035]],"")))</f>
        <v/>
      </c>
      <c r="W145" s="124" t="str">
        <f>IF(Refsz_Verbräuche[[#Headers],[2045]]=$B$43,IF(OR(SUMIF($E145:Refsz_Verbräuche[[#This Row],[2040]],"&gt;0")&gt;0,), AVERAGEIF($E145:Refsz_Verbräuche[[#This Row],[2040]],"&lt;&gt;"""), ""),IF($B$43=(Refsz_Verbräuche[[#Headers],[2045]]-1),Refsz_Verbräuche[[#This Row],[2040]],IF($B$43&lt;Refsz_Verbräuche[[#Headers],[2045]],Refsz_Verbräuche[[#This Row],[2040]],"")))</f>
        <v/>
      </c>
      <c r="X145" s="124" t="str">
        <f>IF(Refsz_Verbräuche[[#Headers],[2050]]=$B$43,IF(OR(SUMIF($E145:Refsz_Verbräuche[[#This Row],[2045]],"&gt;0")&gt;0,), AVERAGEIF($E145:Refsz_Verbräuche[[#This Row],[2045]],"&lt;&gt;"""), ""),IF($B$43=(Refsz_Verbräuche[[#Headers],[2050]]-1),Refsz_Verbräuche[[#This Row],[2045]],IF($B$43&lt;Refsz_Verbräuche[[#Headers],[2050]],Refsz_Verbräuche[[#This Row],[2045]],"")))</f>
        <v/>
      </c>
      <c r="Z145" s="15"/>
    </row>
    <row r="146" spans="2:26" x14ac:dyDescent="0.35">
      <c r="B146" s="15">
        <v>86</v>
      </c>
      <c r="C146" s="9" t="s">
        <v>36</v>
      </c>
      <c r="D146" t="s">
        <v>20</v>
      </c>
      <c r="E146" s="124"/>
      <c r="F146" s="124"/>
      <c r="G146" s="124"/>
      <c r="H146" s="124"/>
      <c r="I146" s="124"/>
      <c r="J146" s="124"/>
      <c r="K146" s="124"/>
      <c r="L146" s="124" t="str">
        <f>IF(Refsz_Verbräuche[[#Headers],[2022]]=$B$43,IF(OR(SUMIF($E146:Refsz_Verbräuche[[#This Row],[2021]],"&gt;0")&gt;0,), AVERAGEIF($E146:Refsz_Verbräuche[[#This Row],[2021]],"&lt;&gt;"""), ""),IF($B$43=(Refsz_Verbräuche[[#Headers],[2022]]-1),Refsz_Verbräuche[[#This Row],[2021]],IF($B$43&lt;Refsz_Verbräuche[[#Headers],[2022]],Refsz_Verbräuche[[#This Row],[2021]],"")))</f>
        <v/>
      </c>
      <c r="M146" s="124" t="str">
        <f>IF(Refsz_Verbräuche[[#Headers],[2023]]=$B$43,IF(OR(SUMIF($E146:Refsz_Verbräuche[[#This Row],[2022]],"&gt;0")&gt;0,), AVERAGEIF($E146:Refsz_Verbräuche[[#This Row],[2022]],"&lt;&gt;"""), ""),IF($B$43=(Refsz_Verbräuche[[#Headers],[2023]]-1),Refsz_Verbräuche[[#This Row],[2022]],IF($B$43&lt;Refsz_Verbräuche[[#Headers],[2023]],Refsz_Verbräuche[[#This Row],[2022]],"")))</f>
        <v/>
      </c>
      <c r="N146" s="124" t="str">
        <f>IF(Refsz_Verbräuche[[#Headers],[2024]]=$B$43,IF(OR(SUMIF($E146:Refsz_Verbräuche[[#This Row],[2023]],"&gt;0")&gt;0,), AVERAGEIF($E146:Refsz_Verbräuche[[#This Row],[2023]],"&lt;&gt;"""), ""),IF($B$43=(Refsz_Verbräuche[[#Headers],[2024]]-1),Refsz_Verbräuche[[#This Row],[2023]],IF($B$43&lt;Refsz_Verbräuche[[#Headers],[2024]],Refsz_Verbräuche[[#This Row],[2023]],"")))</f>
        <v/>
      </c>
      <c r="O146" s="124" t="str">
        <f>IF(Refsz_Verbräuche[[#Headers],[2025]]=$B$43,IF(OR(SUMIF($E146:Refsz_Verbräuche[[#This Row],[2024]],"&gt;0")&gt;0,), AVERAGEIF($E146:Refsz_Verbräuche[[#This Row],[2024]],"&lt;&gt;"""), ""),IF($B$43=(Refsz_Verbräuche[[#Headers],[2025]]-1),Refsz_Verbräuche[[#This Row],[2024]],IF($B$43&lt;Refsz_Verbräuche[[#Headers],[2025]],Refsz_Verbräuche[[#This Row],[2024]],"")))</f>
        <v/>
      </c>
      <c r="P146" s="124" t="str">
        <f>IF(Refsz_Verbräuche[[#Headers],[2026]]=$B$43,IF(OR(SUMIF($E146:Refsz_Verbräuche[[#This Row],[2025]],"&gt;0")&gt;0,), AVERAGEIF($E146:Refsz_Verbräuche[[#This Row],[2025]],"&lt;&gt;"""), ""),IF($B$43=(Refsz_Verbräuche[[#Headers],[2026]]-1),Refsz_Verbräuche[[#This Row],[2025]],IF($B$43&lt;Refsz_Verbräuche[[#Headers],[2026]],Refsz_Verbräuche[[#This Row],[2025]],"")))</f>
        <v/>
      </c>
      <c r="Q146" s="124" t="str">
        <f>IF(Refsz_Verbräuche[[#Headers],[2027]]=$B$43,IF(OR(SUMIF($E146:Refsz_Verbräuche[[#This Row],[2026]],"&gt;0")&gt;0,), AVERAGEIF($E146:Refsz_Verbräuche[[#This Row],[2026]],"&lt;&gt;"""), ""),IF($B$43=(Refsz_Verbräuche[[#Headers],[2027]]-1),Refsz_Verbräuche[[#This Row],[2026]],IF($B$43&lt;Refsz_Verbräuche[[#Headers],[2027]],Refsz_Verbräuche[[#This Row],[2026]],"")))</f>
        <v/>
      </c>
      <c r="R146" s="124" t="str">
        <f>IF(Refsz_Verbräuche[[#Headers],[2028]]=$B$43,IF(OR(SUMIF($E146:Refsz_Verbräuche[[#This Row],[2027]],"&gt;0")&gt;0,), AVERAGEIF($E146:Refsz_Verbräuche[[#This Row],[2027]],"&lt;&gt;"""), ""),IF($B$43=(Refsz_Verbräuche[[#Headers],[2028]]-1),Refsz_Verbräuche[[#This Row],[2027]],IF($B$43&lt;Refsz_Verbräuche[[#Headers],[2028]],Refsz_Verbräuche[[#This Row],[2027]],"")))</f>
        <v/>
      </c>
      <c r="S146" s="124" t="str">
        <f>IF(Refsz_Verbräuche[[#Headers],[2029]]=$B$43,IF(OR(SUMIF($E146:Refsz_Verbräuche[[#This Row],[2028]],"&gt;0")&gt;0,), AVERAGEIF($E146:Refsz_Verbräuche[[#This Row],[2028]],"&lt;&gt;"""), ""),IF($B$43=(Refsz_Verbräuche[[#Headers],[2029]]-1),Refsz_Verbräuche[[#This Row],[2028]],IF($B$43&lt;Refsz_Verbräuche[[#Headers],[2029]],Refsz_Verbräuche[[#This Row],[2028]],"")))</f>
        <v/>
      </c>
      <c r="T146" s="124" t="str">
        <f>IF(Refsz_Verbräuche[[#Headers],[2030]]=$B$43,IF(OR(SUMIF($E146:Refsz_Verbräuche[[#This Row],[2029]],"&gt;0")&gt;0,), AVERAGEIF($E146:Refsz_Verbräuche[[#This Row],[2029]],"&lt;&gt;"""), ""),IF($B$43=(Refsz_Verbräuche[[#Headers],[2030]]-1),Refsz_Verbräuche[[#This Row],[2029]],IF($B$43&lt;Refsz_Verbräuche[[#Headers],[2030]],Refsz_Verbräuche[[#This Row],[2029]],"")))</f>
        <v/>
      </c>
      <c r="U146" s="124" t="str">
        <f>IF(Refsz_Verbräuche[[#Headers],[2035]]=$B$43,IF(OR(SUMIF($E146:Refsz_Verbräuche[[#This Row],[2030]],"&gt;0")&gt;0,), AVERAGEIF($E146:Refsz_Verbräuche[[#This Row],[2030]],"&lt;&gt;"""), ""),IF($B$43=(Refsz_Verbräuche[[#Headers],[2035]]-1),Refsz_Verbräuche[[#This Row],[2030]],IF($B$43&lt;Refsz_Verbräuche[[#Headers],[2035]],Refsz_Verbräuche[[#This Row],[2030]],"")))</f>
        <v/>
      </c>
      <c r="V146" s="124" t="str">
        <f>IF(Refsz_Verbräuche[[#Headers],[2040]]=$B$43,IF(OR(SUMIF($E146:Refsz_Verbräuche[[#This Row],[2035]],"&gt;0")&gt;0,), AVERAGEIF($E146:Refsz_Verbräuche[[#This Row],[2035]],"&lt;&gt;"""), ""),IF($B$43=(Refsz_Verbräuche[[#Headers],[2040]]-1),Refsz_Verbräuche[[#This Row],[2035]],IF($B$43&lt;Refsz_Verbräuche[[#Headers],[2040]],Refsz_Verbräuche[[#This Row],[2035]],"")))</f>
        <v/>
      </c>
      <c r="W146" s="124" t="str">
        <f>IF(Refsz_Verbräuche[[#Headers],[2045]]=$B$43,IF(OR(SUMIF($E146:Refsz_Verbräuche[[#This Row],[2040]],"&gt;0")&gt;0,), AVERAGEIF($E146:Refsz_Verbräuche[[#This Row],[2040]],"&lt;&gt;"""), ""),IF($B$43=(Refsz_Verbräuche[[#Headers],[2045]]-1),Refsz_Verbräuche[[#This Row],[2040]],IF($B$43&lt;Refsz_Verbräuche[[#Headers],[2045]],Refsz_Verbräuche[[#This Row],[2040]],"")))</f>
        <v/>
      </c>
      <c r="X146" s="124" t="str">
        <f>IF(Refsz_Verbräuche[[#Headers],[2050]]=$B$43,IF(OR(SUMIF($E146:Refsz_Verbräuche[[#This Row],[2045]],"&gt;0")&gt;0,), AVERAGEIF($E146:Refsz_Verbräuche[[#This Row],[2045]],"&lt;&gt;"""), ""),IF($B$43=(Refsz_Verbräuche[[#Headers],[2050]]-1),Refsz_Verbräuche[[#This Row],[2045]],IF($B$43&lt;Refsz_Verbräuche[[#Headers],[2050]],Refsz_Verbräuche[[#This Row],[2045]],"")))</f>
        <v/>
      </c>
      <c r="Z146" s="15"/>
    </row>
    <row r="147" spans="2:26" x14ac:dyDescent="0.35">
      <c r="B147" s="15">
        <v>87</v>
      </c>
      <c r="C147" s="9" t="s">
        <v>38</v>
      </c>
      <c r="D147" t="s">
        <v>20</v>
      </c>
      <c r="E147" s="124"/>
      <c r="F147" s="124"/>
      <c r="G147" s="124"/>
      <c r="H147" s="124"/>
      <c r="I147" s="124"/>
      <c r="J147" s="124"/>
      <c r="K147" s="124"/>
      <c r="L147" s="124" t="str">
        <f>IF(Refsz_Verbräuche[[#Headers],[2022]]=$B$43,IF(OR(SUMIF($E147:Refsz_Verbräuche[[#This Row],[2021]],"&gt;0")&gt;0,), AVERAGEIF($E147:Refsz_Verbräuche[[#This Row],[2021]],"&lt;&gt;"""), ""),IF($B$43=(Refsz_Verbräuche[[#Headers],[2022]]-1),Refsz_Verbräuche[[#This Row],[2021]],IF($B$43&lt;Refsz_Verbräuche[[#Headers],[2022]],Refsz_Verbräuche[[#This Row],[2021]],"")))</f>
        <v/>
      </c>
      <c r="M147" s="124" t="str">
        <f>IF(Refsz_Verbräuche[[#Headers],[2023]]=$B$43,IF(OR(SUMIF($E147:Refsz_Verbräuche[[#This Row],[2022]],"&gt;0")&gt;0,), AVERAGEIF($E147:Refsz_Verbräuche[[#This Row],[2022]],"&lt;&gt;"""), ""),IF($B$43=(Refsz_Verbräuche[[#Headers],[2023]]-1),Refsz_Verbräuche[[#This Row],[2022]],IF($B$43&lt;Refsz_Verbräuche[[#Headers],[2023]],Refsz_Verbräuche[[#This Row],[2022]],"")))</f>
        <v/>
      </c>
      <c r="N147" s="124" t="str">
        <f>IF(Refsz_Verbräuche[[#Headers],[2024]]=$B$43,IF(OR(SUMIF($E147:Refsz_Verbräuche[[#This Row],[2023]],"&gt;0")&gt;0,), AVERAGEIF($E147:Refsz_Verbräuche[[#This Row],[2023]],"&lt;&gt;"""), ""),IF($B$43=(Refsz_Verbräuche[[#Headers],[2024]]-1),Refsz_Verbräuche[[#This Row],[2023]],IF($B$43&lt;Refsz_Verbräuche[[#Headers],[2024]],Refsz_Verbräuche[[#This Row],[2023]],"")))</f>
        <v/>
      </c>
      <c r="O147" s="124" t="str">
        <f>IF(Refsz_Verbräuche[[#Headers],[2025]]=$B$43,IF(OR(SUMIF($E147:Refsz_Verbräuche[[#This Row],[2024]],"&gt;0")&gt;0,), AVERAGEIF($E147:Refsz_Verbräuche[[#This Row],[2024]],"&lt;&gt;"""), ""),IF($B$43=(Refsz_Verbräuche[[#Headers],[2025]]-1),Refsz_Verbräuche[[#This Row],[2024]],IF($B$43&lt;Refsz_Verbräuche[[#Headers],[2025]],Refsz_Verbräuche[[#This Row],[2024]],"")))</f>
        <v/>
      </c>
      <c r="P147" s="124" t="str">
        <f>IF(Refsz_Verbräuche[[#Headers],[2026]]=$B$43,IF(OR(SUMIF($E147:Refsz_Verbräuche[[#This Row],[2025]],"&gt;0")&gt;0,), AVERAGEIF($E147:Refsz_Verbräuche[[#This Row],[2025]],"&lt;&gt;"""), ""),IF($B$43=(Refsz_Verbräuche[[#Headers],[2026]]-1),Refsz_Verbräuche[[#This Row],[2025]],IF($B$43&lt;Refsz_Verbräuche[[#Headers],[2026]],Refsz_Verbräuche[[#This Row],[2025]],"")))</f>
        <v/>
      </c>
      <c r="Q147" s="124" t="str">
        <f>IF(Refsz_Verbräuche[[#Headers],[2027]]=$B$43,IF(OR(SUMIF($E147:Refsz_Verbräuche[[#This Row],[2026]],"&gt;0")&gt;0,), AVERAGEIF($E147:Refsz_Verbräuche[[#This Row],[2026]],"&lt;&gt;"""), ""),IF($B$43=(Refsz_Verbräuche[[#Headers],[2027]]-1),Refsz_Verbräuche[[#This Row],[2026]],IF($B$43&lt;Refsz_Verbräuche[[#Headers],[2027]],Refsz_Verbräuche[[#This Row],[2026]],"")))</f>
        <v/>
      </c>
      <c r="R147" s="124" t="str">
        <f>IF(Refsz_Verbräuche[[#Headers],[2028]]=$B$43,IF(OR(SUMIF($E147:Refsz_Verbräuche[[#This Row],[2027]],"&gt;0")&gt;0,), AVERAGEIF($E147:Refsz_Verbräuche[[#This Row],[2027]],"&lt;&gt;"""), ""),IF($B$43=(Refsz_Verbräuche[[#Headers],[2028]]-1),Refsz_Verbräuche[[#This Row],[2027]],IF($B$43&lt;Refsz_Verbräuche[[#Headers],[2028]],Refsz_Verbräuche[[#This Row],[2027]],"")))</f>
        <v/>
      </c>
      <c r="S147" s="124" t="str">
        <f>IF(Refsz_Verbräuche[[#Headers],[2029]]=$B$43,IF(OR(SUMIF($E147:Refsz_Verbräuche[[#This Row],[2028]],"&gt;0")&gt;0,), AVERAGEIF($E147:Refsz_Verbräuche[[#This Row],[2028]],"&lt;&gt;"""), ""),IF($B$43=(Refsz_Verbräuche[[#Headers],[2029]]-1),Refsz_Verbräuche[[#This Row],[2028]],IF($B$43&lt;Refsz_Verbräuche[[#Headers],[2029]],Refsz_Verbräuche[[#This Row],[2028]],"")))</f>
        <v/>
      </c>
      <c r="T147" s="124" t="str">
        <f>IF(Refsz_Verbräuche[[#Headers],[2030]]=$B$43,IF(OR(SUMIF($E147:Refsz_Verbräuche[[#This Row],[2029]],"&gt;0")&gt;0,), AVERAGEIF($E147:Refsz_Verbräuche[[#This Row],[2029]],"&lt;&gt;"""), ""),IF($B$43=(Refsz_Verbräuche[[#Headers],[2030]]-1),Refsz_Verbräuche[[#This Row],[2029]],IF($B$43&lt;Refsz_Verbräuche[[#Headers],[2030]],Refsz_Verbräuche[[#This Row],[2029]],"")))</f>
        <v/>
      </c>
      <c r="U147" s="124" t="str">
        <f>IF(Refsz_Verbräuche[[#Headers],[2035]]=$B$43,IF(OR(SUMIF($E147:Refsz_Verbräuche[[#This Row],[2030]],"&gt;0")&gt;0,), AVERAGEIF($E147:Refsz_Verbräuche[[#This Row],[2030]],"&lt;&gt;"""), ""),IF($B$43=(Refsz_Verbräuche[[#Headers],[2035]]-1),Refsz_Verbräuche[[#This Row],[2030]],IF($B$43&lt;Refsz_Verbräuche[[#Headers],[2035]],Refsz_Verbräuche[[#This Row],[2030]],"")))</f>
        <v/>
      </c>
      <c r="V147" s="124" t="str">
        <f>IF(Refsz_Verbräuche[[#Headers],[2040]]=$B$43,IF(OR(SUMIF($E147:Refsz_Verbräuche[[#This Row],[2035]],"&gt;0")&gt;0,), AVERAGEIF($E147:Refsz_Verbräuche[[#This Row],[2035]],"&lt;&gt;"""), ""),IF($B$43=(Refsz_Verbräuche[[#Headers],[2040]]-1),Refsz_Verbräuche[[#This Row],[2035]],IF($B$43&lt;Refsz_Verbräuche[[#Headers],[2040]],Refsz_Verbräuche[[#This Row],[2035]],"")))</f>
        <v/>
      </c>
      <c r="W147" s="124" t="str">
        <f>IF(Refsz_Verbräuche[[#Headers],[2045]]=$B$43,IF(OR(SUMIF($E147:Refsz_Verbräuche[[#This Row],[2040]],"&gt;0")&gt;0,), AVERAGEIF($E147:Refsz_Verbräuche[[#This Row],[2040]],"&lt;&gt;"""), ""),IF($B$43=(Refsz_Verbräuche[[#Headers],[2045]]-1),Refsz_Verbräuche[[#This Row],[2040]],IF($B$43&lt;Refsz_Verbräuche[[#Headers],[2045]],Refsz_Verbräuche[[#This Row],[2040]],"")))</f>
        <v/>
      </c>
      <c r="X147" s="124" t="str">
        <f>IF(Refsz_Verbräuche[[#Headers],[2050]]=$B$43,IF(OR(SUMIF($E147:Refsz_Verbräuche[[#This Row],[2045]],"&gt;0")&gt;0,), AVERAGEIF($E147:Refsz_Verbräuche[[#This Row],[2045]],"&lt;&gt;"""), ""),IF($B$43=(Refsz_Verbräuche[[#Headers],[2050]]-1),Refsz_Verbräuche[[#This Row],[2045]],IF($B$43&lt;Refsz_Verbräuche[[#Headers],[2050]],Refsz_Verbräuche[[#This Row],[2045]],"")))</f>
        <v/>
      </c>
      <c r="Z147" s="15"/>
    </row>
    <row r="148" spans="2:26" x14ac:dyDescent="0.35">
      <c r="B148" s="15">
        <v>88</v>
      </c>
      <c r="C148" s="9"/>
      <c r="D148" s="9"/>
      <c r="E148" s="124"/>
      <c r="F148" s="124"/>
      <c r="G148" s="124"/>
      <c r="H148" s="124"/>
      <c r="I148" s="124"/>
      <c r="J148" s="124"/>
      <c r="K148" s="124"/>
      <c r="L148" s="124" t="str">
        <f>IF(Refsz_Verbräuche[[#Headers],[2022]]=$B$43,IF(OR(SUMIF($E148:Refsz_Verbräuche[[#This Row],[2021]],"&gt;0")&gt;0,), AVERAGEIF($E148:Refsz_Verbräuche[[#This Row],[2021]],"&lt;&gt;"""), ""),IF($B$43=(Refsz_Verbräuche[[#Headers],[2022]]-1),Refsz_Verbräuche[[#This Row],[2021]],IF($B$43&lt;Refsz_Verbräuche[[#Headers],[2022]],Refsz_Verbräuche[[#This Row],[2021]],"")))</f>
        <v/>
      </c>
      <c r="M148" s="124" t="str">
        <f>IF(Refsz_Verbräuche[[#Headers],[2023]]=$B$43,IF(OR(SUMIF($E148:Refsz_Verbräuche[[#This Row],[2022]],"&gt;0")&gt;0,), AVERAGEIF($E148:Refsz_Verbräuche[[#This Row],[2022]],"&lt;&gt;"""), ""),IF($B$43=(Refsz_Verbräuche[[#Headers],[2023]]-1),Refsz_Verbräuche[[#This Row],[2022]],IF($B$43&lt;Refsz_Verbräuche[[#Headers],[2023]],Refsz_Verbräuche[[#This Row],[2022]],"")))</f>
        <v/>
      </c>
      <c r="N148" s="124" t="str">
        <f>IF(Refsz_Verbräuche[[#Headers],[2024]]=$B$43,IF(OR(SUMIF($E148:Refsz_Verbräuche[[#This Row],[2023]],"&gt;0")&gt;0,), AVERAGEIF($E148:Refsz_Verbräuche[[#This Row],[2023]],"&lt;&gt;"""), ""),IF($B$43=(Refsz_Verbräuche[[#Headers],[2024]]-1),Refsz_Verbräuche[[#This Row],[2023]],IF($B$43&lt;Refsz_Verbräuche[[#Headers],[2024]],Refsz_Verbräuche[[#This Row],[2023]],"")))</f>
        <v/>
      </c>
      <c r="O148" s="124" t="str">
        <f>IF(Refsz_Verbräuche[[#Headers],[2025]]=$B$43,IF(OR(SUMIF($E148:Refsz_Verbräuche[[#This Row],[2024]],"&gt;0")&gt;0,), AVERAGEIF($E148:Refsz_Verbräuche[[#This Row],[2024]],"&lt;&gt;"""), ""),IF($B$43=(Refsz_Verbräuche[[#Headers],[2025]]-1),Refsz_Verbräuche[[#This Row],[2024]],IF($B$43&lt;Refsz_Verbräuche[[#Headers],[2025]],Refsz_Verbräuche[[#This Row],[2024]],"")))</f>
        <v/>
      </c>
      <c r="P148" s="124" t="str">
        <f>IF(Refsz_Verbräuche[[#Headers],[2026]]=$B$43,IF(OR(SUMIF($E148:Refsz_Verbräuche[[#This Row],[2025]],"&gt;0")&gt;0,), AVERAGEIF($E148:Refsz_Verbräuche[[#This Row],[2025]],"&lt;&gt;"""), ""),IF($B$43=(Refsz_Verbräuche[[#Headers],[2026]]-1),Refsz_Verbräuche[[#This Row],[2025]],IF($B$43&lt;Refsz_Verbräuche[[#Headers],[2026]],Refsz_Verbräuche[[#This Row],[2025]],"")))</f>
        <v/>
      </c>
      <c r="Q148" s="124" t="str">
        <f>IF(Refsz_Verbräuche[[#Headers],[2027]]=$B$43,IF(OR(SUMIF($E148:Refsz_Verbräuche[[#This Row],[2026]],"&gt;0")&gt;0,), AVERAGEIF($E148:Refsz_Verbräuche[[#This Row],[2026]],"&lt;&gt;"""), ""),IF($B$43=(Refsz_Verbräuche[[#Headers],[2027]]-1),Refsz_Verbräuche[[#This Row],[2026]],IF($B$43&lt;Refsz_Verbräuche[[#Headers],[2027]],Refsz_Verbräuche[[#This Row],[2026]],"")))</f>
        <v/>
      </c>
      <c r="R148" s="124" t="str">
        <f>IF(Refsz_Verbräuche[[#Headers],[2028]]=$B$43,IF(OR(SUMIF($E148:Refsz_Verbräuche[[#This Row],[2027]],"&gt;0")&gt;0,), AVERAGEIF($E148:Refsz_Verbräuche[[#This Row],[2027]],"&lt;&gt;"""), ""),IF($B$43=(Refsz_Verbräuche[[#Headers],[2028]]-1),Refsz_Verbräuche[[#This Row],[2027]],IF($B$43&lt;Refsz_Verbräuche[[#Headers],[2028]],Refsz_Verbräuche[[#This Row],[2027]],"")))</f>
        <v/>
      </c>
      <c r="S148" s="124" t="str">
        <f>IF(Refsz_Verbräuche[[#Headers],[2029]]=$B$43,IF(OR(SUMIF($E148:Refsz_Verbräuche[[#This Row],[2028]],"&gt;0")&gt;0,), AVERAGEIF($E148:Refsz_Verbräuche[[#This Row],[2028]],"&lt;&gt;"""), ""),IF($B$43=(Refsz_Verbräuche[[#Headers],[2029]]-1),Refsz_Verbräuche[[#This Row],[2028]],IF($B$43&lt;Refsz_Verbräuche[[#Headers],[2029]],Refsz_Verbräuche[[#This Row],[2028]],"")))</f>
        <v/>
      </c>
      <c r="T148" s="124" t="str">
        <f>IF(Refsz_Verbräuche[[#Headers],[2030]]=$B$43,IF(OR(SUMIF($E148:Refsz_Verbräuche[[#This Row],[2029]],"&gt;0")&gt;0,), AVERAGEIF($E148:Refsz_Verbräuche[[#This Row],[2029]],"&lt;&gt;"""), ""),IF($B$43=(Refsz_Verbräuche[[#Headers],[2030]]-1),Refsz_Verbräuche[[#This Row],[2029]],IF($B$43&lt;Refsz_Verbräuche[[#Headers],[2030]],Refsz_Verbräuche[[#This Row],[2029]],"")))</f>
        <v/>
      </c>
      <c r="U148" s="124" t="str">
        <f>IF(Refsz_Verbräuche[[#Headers],[2035]]=$B$43,IF(OR(SUMIF($E148:Refsz_Verbräuche[[#This Row],[2030]],"&gt;0")&gt;0,), AVERAGEIF($E148:Refsz_Verbräuche[[#This Row],[2030]],"&lt;&gt;"""), ""),IF($B$43=(Refsz_Verbräuche[[#Headers],[2035]]-1),Refsz_Verbräuche[[#This Row],[2030]],IF($B$43&lt;Refsz_Verbräuche[[#Headers],[2035]],Refsz_Verbräuche[[#This Row],[2030]],"")))</f>
        <v/>
      </c>
      <c r="V148" s="124" t="str">
        <f>IF(Refsz_Verbräuche[[#Headers],[2040]]=$B$43,IF(OR(SUMIF($E148:Refsz_Verbräuche[[#This Row],[2035]],"&gt;0")&gt;0,), AVERAGEIF($E148:Refsz_Verbräuche[[#This Row],[2035]],"&lt;&gt;"""), ""),IF($B$43=(Refsz_Verbräuche[[#Headers],[2040]]-1),Refsz_Verbräuche[[#This Row],[2035]],IF($B$43&lt;Refsz_Verbräuche[[#Headers],[2040]],Refsz_Verbräuche[[#This Row],[2035]],"")))</f>
        <v/>
      </c>
      <c r="W148" s="124" t="str">
        <f>IF(Refsz_Verbräuche[[#Headers],[2045]]=$B$43,IF(OR(SUMIF($E148:Refsz_Verbräuche[[#This Row],[2040]],"&gt;0")&gt;0,), AVERAGEIF($E148:Refsz_Verbräuche[[#This Row],[2040]],"&lt;&gt;"""), ""),IF($B$43=(Refsz_Verbräuche[[#Headers],[2045]]-1),Refsz_Verbräuche[[#This Row],[2040]],IF($B$43&lt;Refsz_Verbräuche[[#Headers],[2045]],Refsz_Verbräuche[[#This Row],[2040]],"")))</f>
        <v/>
      </c>
      <c r="X148" s="124" t="str">
        <f>IF(Refsz_Verbräuche[[#Headers],[2050]]=$B$43,IF(OR(SUMIF($E148:Refsz_Verbräuche[[#This Row],[2045]],"&gt;0")&gt;0,), AVERAGEIF($E148:Refsz_Verbräuche[[#This Row],[2045]],"&lt;&gt;"""), ""),IF($B$43=(Refsz_Verbräuche[[#Headers],[2050]]-1),Refsz_Verbräuche[[#This Row],[2045]],IF($B$43&lt;Refsz_Verbräuche[[#Headers],[2050]],Refsz_Verbräuche[[#This Row],[2045]],"")))</f>
        <v/>
      </c>
      <c r="Z148" s="15"/>
    </row>
    <row r="149" spans="2:26" x14ac:dyDescent="0.35">
      <c r="B149" s="15">
        <v>89</v>
      </c>
      <c r="C149" s="43" t="s">
        <v>21</v>
      </c>
      <c r="D149" t="s">
        <v>48</v>
      </c>
      <c r="E149" s="124" t="str">
        <f>Umrechnen!D55</f>
        <v/>
      </c>
      <c r="F149" s="124" t="str">
        <f>Umrechnen!E55</f>
        <v/>
      </c>
      <c r="G149" s="124" t="str">
        <f>Umrechnen!F55</f>
        <v/>
      </c>
      <c r="H149" s="124" t="str">
        <f>Umrechnen!G55</f>
        <v/>
      </c>
      <c r="I149" s="124" t="str">
        <f>Umrechnen!H55</f>
        <v/>
      </c>
      <c r="J149" s="124" t="str">
        <f>Umrechnen!I55</f>
        <v/>
      </c>
      <c r="K149" s="124" t="str">
        <f>Umrechnen!J55</f>
        <v/>
      </c>
      <c r="L149" s="124" t="str">
        <f>IF(Refsz_Verbräuche[[#Headers],[2022]]=$B$43,IF(OR(SUMIF($E149:Refsz_Verbräuche[[#This Row],[2021]],"&gt;0")&gt;0,), AVERAGEIF($E149:Refsz_Verbräuche[[#This Row],[2021]],"&lt;&gt;"""), ""),IF($B$43=(Refsz_Verbräuche[[#Headers],[2022]]-1),Refsz_Verbräuche[[#This Row],[2021]],IF($B$43&lt;Refsz_Verbräuche[[#Headers],[2022]],Refsz_Verbräuche[[#This Row],[2021]],Umrechnen!K55)))</f>
        <v/>
      </c>
      <c r="M149" s="124" t="str">
        <f>IF(Refsz_Verbräuche[[#Headers],[2023]]=$B$43,IF(OR(SUMIF($E149:Refsz_Verbräuche[[#This Row],[2022]],"&gt;0")&gt;0,), AVERAGEIF($E149:Refsz_Verbräuche[[#This Row],[2022]],"&lt;&gt;"""), ""),IF($B$43=(Refsz_Verbräuche[[#Headers],[2023]]-1),Refsz_Verbräuche[[#This Row],[2022]],IF($B$43&lt;Refsz_Verbräuche[[#Headers],[2023]],Refsz_Verbräuche[[#This Row],[2022]],Umrechnen!L55)))</f>
        <v/>
      </c>
      <c r="N149" s="124" t="str">
        <f>IF(Refsz_Verbräuche[[#Headers],[2024]]=$B$43,IF(OR(SUMIF($E149:Refsz_Verbräuche[[#This Row],[2023]],"&gt;0")&gt;0,), AVERAGEIF($E149:Refsz_Verbräuche[[#This Row],[2023]],"&lt;&gt;"""), ""),IF($B$43=(Refsz_Verbräuche[[#Headers],[2024]]-1),Refsz_Verbräuche[[#This Row],[2023]],IF($B$43&lt;Refsz_Verbräuche[[#Headers],[2024]],Refsz_Verbräuche[[#This Row],[2023]],Umrechnen!M55)))</f>
        <v/>
      </c>
      <c r="O149" s="124" t="str">
        <f>IF(Refsz_Verbräuche[[#Headers],[2025]]=$B$43,IF(OR(SUMIF($E149:Refsz_Verbräuche[[#This Row],[2024]],"&gt;0")&gt;0,), AVERAGEIF($E149:Refsz_Verbräuche[[#This Row],[2024]],"&lt;&gt;"""), ""),IF($B$43=(Refsz_Verbräuche[[#Headers],[2025]]-1),Refsz_Verbräuche[[#This Row],[2024]],IF($B$43&lt;Refsz_Verbräuche[[#Headers],[2025]],Refsz_Verbräuche[[#This Row],[2024]],Umrechnen!N55)))</f>
        <v/>
      </c>
      <c r="P149" s="124" t="str">
        <f>IF(Refsz_Verbräuche[[#Headers],[2026]]=$B$43,IF(OR(SUMIF($E149:Refsz_Verbräuche[[#This Row],[2025]],"&gt;0")&gt;0,), AVERAGEIF($E149:Refsz_Verbräuche[[#This Row],[2025]],"&lt;&gt;"""), ""),IF($B$43=(Refsz_Verbräuche[[#Headers],[2026]]-1),Refsz_Verbräuche[[#This Row],[2025]],IF($B$43&lt;Refsz_Verbräuche[[#Headers],[2026]],Refsz_Verbräuche[[#This Row],[2025]],Umrechnen!O55)))</f>
        <v/>
      </c>
      <c r="Q149" s="124" t="str">
        <f>IF(Refsz_Verbräuche[[#Headers],[2027]]=$B$43,IF(OR(SUMIF($E149:Refsz_Verbräuche[[#This Row],[2026]],"&gt;0")&gt;0,), AVERAGEIF($E149:Refsz_Verbräuche[[#This Row],[2026]],"&lt;&gt;"""), ""),IF($B$43=(Refsz_Verbräuche[[#Headers],[2027]]-1),Refsz_Verbräuche[[#This Row],[2026]],IF($B$43&lt;Refsz_Verbräuche[[#Headers],[2027]],Refsz_Verbräuche[[#This Row],[2026]],Umrechnen!P55)))</f>
        <v/>
      </c>
      <c r="R149" s="124" t="str">
        <f>IF(Refsz_Verbräuche[[#Headers],[2028]]=$B$43,IF(OR(SUMIF($E149:Refsz_Verbräuche[[#This Row],[2027]],"&gt;0")&gt;0,), AVERAGEIF($E149:Refsz_Verbräuche[[#This Row],[2027]],"&lt;&gt;"""), ""),IF($B$43=(Refsz_Verbräuche[[#Headers],[2028]]-1),Refsz_Verbräuche[[#This Row],[2027]],IF($B$43&lt;Refsz_Verbräuche[[#Headers],[2028]],Refsz_Verbräuche[[#This Row],[2027]],Umrechnen!Q55)))</f>
        <v/>
      </c>
      <c r="S149" s="124" t="str">
        <f>IF(Refsz_Verbräuche[[#Headers],[2029]]=$B$43,IF(OR(SUMIF($E149:Refsz_Verbräuche[[#This Row],[2028]],"&gt;0")&gt;0,), AVERAGEIF($E149:Refsz_Verbräuche[[#This Row],[2028]],"&lt;&gt;"""), ""),IF($B$43=(Refsz_Verbräuche[[#Headers],[2029]]-1),Refsz_Verbräuche[[#This Row],[2028]],IF($B$43&lt;Refsz_Verbräuche[[#Headers],[2029]],Refsz_Verbräuche[[#This Row],[2028]],Umrechnen!R55)))</f>
        <v/>
      </c>
      <c r="T149" s="124" t="str">
        <f>IF(Refsz_Verbräuche[[#Headers],[2030]]=$B$43,IF(OR(SUMIF($E149:Refsz_Verbräuche[[#This Row],[2029]],"&gt;0")&gt;0,), AVERAGEIF($E149:Refsz_Verbräuche[[#This Row],[2029]],"&lt;&gt;"""), ""),IF($B$43=(Refsz_Verbräuche[[#Headers],[2030]]-1),Refsz_Verbräuche[[#This Row],[2029]],IF($B$43&lt;Refsz_Verbräuche[[#Headers],[2030]],Refsz_Verbräuche[[#This Row],[2029]],Umrechnen!S55)))</f>
        <v/>
      </c>
      <c r="U149" s="124" t="str">
        <f>IF(Refsz_Verbräuche[[#Headers],[2035]]=$B$43,IF(OR(SUMIF($E149:Refsz_Verbräuche[[#This Row],[2030]],"&gt;0")&gt;0,), AVERAGEIF($E149:Refsz_Verbräuche[[#This Row],[2030]],"&lt;&gt;"""), ""),IF($B$43=(Refsz_Verbräuche[[#Headers],[2035]]-1),Refsz_Verbräuche[[#This Row],[2030]],IF($B$43&lt;Refsz_Verbräuche[[#Headers],[2035]],Refsz_Verbräuche[[#This Row],[2030]],Umrechnen!T55)))</f>
        <v/>
      </c>
      <c r="V149" s="124" t="str">
        <f>IF(Refsz_Verbräuche[[#Headers],[2040]]=$B$43,IF(OR(SUMIF($E149:Refsz_Verbräuche[[#This Row],[2035]],"&gt;0")&gt;0,), AVERAGEIF($E149:Refsz_Verbräuche[[#This Row],[2035]],"&lt;&gt;"""), ""),IF($B$43=(Refsz_Verbräuche[[#Headers],[2040]]-1),Refsz_Verbräuche[[#This Row],[2035]],IF($B$43&lt;Refsz_Verbräuche[[#Headers],[2040]],Refsz_Verbräuche[[#This Row],[2035]],Umrechnen!U55)))</f>
        <v/>
      </c>
      <c r="W149" s="124" t="str">
        <f>IF(Refsz_Verbräuche[[#Headers],[2045]]=$B$43,IF(OR(SUMIF($E149:Refsz_Verbräuche[[#This Row],[2040]],"&gt;0")&gt;0,), AVERAGEIF($E149:Refsz_Verbräuche[[#This Row],[2040]],"&lt;&gt;"""), ""),IF($B$43=(Refsz_Verbräuche[[#Headers],[2045]]-1),Refsz_Verbräuche[[#This Row],[2040]],IF($B$43&lt;Refsz_Verbräuche[[#Headers],[2045]],Refsz_Verbräuche[[#This Row],[2040]],Umrechnen!V55)))</f>
        <v/>
      </c>
      <c r="X149" s="124" t="str">
        <f>IF(Refsz_Verbräuche[[#Headers],[2050]]=$B$43,IF(OR(SUMIF($E149:Refsz_Verbräuche[[#This Row],[2045]],"&gt;0")&gt;0,), AVERAGEIF($E149:Refsz_Verbräuche[[#This Row],[2045]],"&lt;&gt;"""), ""),IF($B$43=(Refsz_Verbräuche[[#Headers],[2050]]-1),Refsz_Verbräuche[[#This Row],[2045]],IF($B$43&lt;Refsz_Verbräuche[[#Headers],[2050]],Refsz_Verbräuche[[#This Row],[2045]],Umrechnen!W55)))</f>
        <v/>
      </c>
      <c r="Z149" s="15"/>
    </row>
    <row r="150" spans="2:26" x14ac:dyDescent="0.35">
      <c r="B150" s="15">
        <v>90</v>
      </c>
      <c r="C150" s="43" t="s">
        <v>23</v>
      </c>
      <c r="D150" t="s">
        <v>48</v>
      </c>
      <c r="E150" s="124" t="str">
        <f>Umrechnen!D54</f>
        <v/>
      </c>
      <c r="F150" s="124" t="str">
        <f>Umrechnen!E54</f>
        <v/>
      </c>
      <c r="G150" s="124" t="str">
        <f>Umrechnen!F54</f>
        <v/>
      </c>
      <c r="H150" s="124" t="str">
        <f>Umrechnen!G54</f>
        <v/>
      </c>
      <c r="I150" s="124" t="str">
        <f>Umrechnen!H54</f>
        <v/>
      </c>
      <c r="J150" s="124" t="str">
        <f>Umrechnen!I54</f>
        <v/>
      </c>
      <c r="K150" s="124" t="str">
        <f>Umrechnen!J54</f>
        <v/>
      </c>
      <c r="L150" s="124" t="str">
        <f>IF(Refsz_Verbräuche[[#Headers],[2022]]=$B$43,IF(OR(SUMIF($E150:Refsz_Verbräuche[[#This Row],[2021]],"&gt;0")&gt;0,), AVERAGEIF($E150:Refsz_Verbräuche[[#This Row],[2021]],"&lt;&gt;"""), ""),IF($B$43=(Refsz_Verbräuche[[#Headers],[2022]]-1),Refsz_Verbräuche[[#This Row],[2021]],IF($B$43&lt;Refsz_Verbräuche[[#Headers],[2022]],Refsz_Verbräuche[[#This Row],[2021]],Umrechnen!K54)))</f>
        <v/>
      </c>
      <c r="M150" s="124" t="str">
        <f>IF(Refsz_Verbräuche[[#Headers],[2023]]=$B$43,IF(OR(SUMIF($E150:Refsz_Verbräuche[[#This Row],[2022]],"&gt;0")&gt;0,), AVERAGEIF($E150:Refsz_Verbräuche[[#This Row],[2022]],"&lt;&gt;"""), ""),IF($B$43=(Refsz_Verbräuche[[#Headers],[2023]]-1),Refsz_Verbräuche[[#This Row],[2022]],IF($B$43&lt;Refsz_Verbräuche[[#Headers],[2023]],Refsz_Verbräuche[[#This Row],[2022]],Umrechnen!L54)))</f>
        <v/>
      </c>
      <c r="N150" s="124" t="str">
        <f>IF(Refsz_Verbräuche[[#Headers],[2024]]=$B$43,IF(OR(SUMIF($E150:Refsz_Verbräuche[[#This Row],[2023]],"&gt;0")&gt;0,), AVERAGEIF($E150:Refsz_Verbräuche[[#This Row],[2023]],"&lt;&gt;"""), ""),IF($B$43=(Refsz_Verbräuche[[#Headers],[2024]]-1),Refsz_Verbräuche[[#This Row],[2023]],IF($B$43&lt;Refsz_Verbräuche[[#Headers],[2024]],Refsz_Verbräuche[[#This Row],[2023]],Umrechnen!M54)))</f>
        <v/>
      </c>
      <c r="O150" s="124" t="str">
        <f>IF(Refsz_Verbräuche[[#Headers],[2025]]=$B$43,IF(OR(SUMIF($E150:Refsz_Verbräuche[[#This Row],[2024]],"&gt;0")&gt;0,), AVERAGEIF($E150:Refsz_Verbräuche[[#This Row],[2024]],"&lt;&gt;"""), ""),IF($B$43=(Refsz_Verbräuche[[#Headers],[2025]]-1),Refsz_Verbräuche[[#This Row],[2024]],IF($B$43&lt;Refsz_Verbräuche[[#Headers],[2025]],Refsz_Verbräuche[[#This Row],[2024]],Umrechnen!N54)))</f>
        <v/>
      </c>
      <c r="P150" s="124" t="str">
        <f>IF(Refsz_Verbräuche[[#Headers],[2026]]=$B$43,IF(OR(SUMIF($E150:Refsz_Verbräuche[[#This Row],[2025]],"&gt;0")&gt;0,), AVERAGEIF($E150:Refsz_Verbräuche[[#This Row],[2025]],"&lt;&gt;"""), ""),IF($B$43=(Refsz_Verbräuche[[#Headers],[2026]]-1),Refsz_Verbräuche[[#This Row],[2025]],IF($B$43&lt;Refsz_Verbräuche[[#Headers],[2026]],Refsz_Verbräuche[[#This Row],[2025]],Umrechnen!O54)))</f>
        <v/>
      </c>
      <c r="Q150" s="124" t="str">
        <f>IF(Refsz_Verbräuche[[#Headers],[2027]]=$B$43,IF(OR(SUMIF($E150:Refsz_Verbräuche[[#This Row],[2026]],"&gt;0")&gt;0,), AVERAGEIF($E150:Refsz_Verbräuche[[#This Row],[2026]],"&lt;&gt;"""), ""),IF($B$43=(Refsz_Verbräuche[[#Headers],[2027]]-1),Refsz_Verbräuche[[#This Row],[2026]],IF($B$43&lt;Refsz_Verbräuche[[#Headers],[2027]],Refsz_Verbräuche[[#This Row],[2026]],Umrechnen!P54)))</f>
        <v/>
      </c>
      <c r="R150" s="124" t="str">
        <f>IF(Refsz_Verbräuche[[#Headers],[2028]]=$B$43,IF(OR(SUMIF($E150:Refsz_Verbräuche[[#This Row],[2027]],"&gt;0")&gt;0,), AVERAGEIF($E150:Refsz_Verbräuche[[#This Row],[2027]],"&lt;&gt;"""), ""),IF($B$43=(Refsz_Verbräuche[[#Headers],[2028]]-1),Refsz_Verbräuche[[#This Row],[2027]],IF($B$43&lt;Refsz_Verbräuche[[#Headers],[2028]],Refsz_Verbräuche[[#This Row],[2027]],Umrechnen!Q54)))</f>
        <v/>
      </c>
      <c r="S150" s="124" t="str">
        <f>IF(Refsz_Verbräuche[[#Headers],[2029]]=$B$43,IF(OR(SUMIF($E150:Refsz_Verbräuche[[#This Row],[2028]],"&gt;0")&gt;0,), AVERAGEIF($E150:Refsz_Verbräuche[[#This Row],[2028]],"&lt;&gt;"""), ""),IF($B$43=(Refsz_Verbräuche[[#Headers],[2029]]-1),Refsz_Verbräuche[[#This Row],[2028]],IF($B$43&lt;Refsz_Verbräuche[[#Headers],[2029]],Refsz_Verbräuche[[#This Row],[2028]],Umrechnen!R54)))</f>
        <v/>
      </c>
      <c r="T150" s="124" t="str">
        <f>IF(Refsz_Verbräuche[[#Headers],[2030]]=$B$43,IF(OR(SUMIF($E150:Refsz_Verbräuche[[#This Row],[2029]],"&gt;0")&gt;0,), AVERAGEIF($E150:Refsz_Verbräuche[[#This Row],[2029]],"&lt;&gt;"""), ""),IF($B$43=(Refsz_Verbräuche[[#Headers],[2030]]-1),Refsz_Verbräuche[[#This Row],[2029]],IF($B$43&lt;Refsz_Verbräuche[[#Headers],[2030]],Refsz_Verbräuche[[#This Row],[2029]],Umrechnen!S54)))</f>
        <v/>
      </c>
      <c r="U150" s="124" t="str">
        <f>IF(Refsz_Verbräuche[[#Headers],[2035]]=$B$43,IF(OR(SUMIF($E150:Refsz_Verbräuche[[#This Row],[2030]],"&gt;0")&gt;0,), AVERAGEIF($E150:Refsz_Verbräuche[[#This Row],[2030]],"&lt;&gt;"""), ""),IF($B$43=(Refsz_Verbräuche[[#Headers],[2035]]-1),Refsz_Verbräuche[[#This Row],[2030]],IF($B$43&lt;Refsz_Verbräuche[[#Headers],[2035]],Refsz_Verbräuche[[#This Row],[2030]],Umrechnen!T54)))</f>
        <v/>
      </c>
      <c r="V150" s="124" t="str">
        <f>IF(Refsz_Verbräuche[[#Headers],[2040]]=$B$43,IF(OR(SUMIF($E150:Refsz_Verbräuche[[#This Row],[2035]],"&gt;0")&gt;0,), AVERAGEIF($E150:Refsz_Verbräuche[[#This Row],[2035]],"&lt;&gt;"""), ""),IF($B$43=(Refsz_Verbräuche[[#Headers],[2040]]-1),Refsz_Verbräuche[[#This Row],[2035]],IF($B$43&lt;Refsz_Verbräuche[[#Headers],[2040]],Refsz_Verbräuche[[#This Row],[2035]],Umrechnen!U54)))</f>
        <v/>
      </c>
      <c r="W150" s="124" t="str">
        <f>IF(Refsz_Verbräuche[[#Headers],[2045]]=$B$43,IF(OR(SUMIF($E150:Refsz_Verbräuche[[#This Row],[2040]],"&gt;0")&gt;0,), AVERAGEIF($E150:Refsz_Verbräuche[[#This Row],[2040]],"&lt;&gt;"""), ""),IF($B$43=(Refsz_Verbräuche[[#Headers],[2045]]-1),Refsz_Verbräuche[[#This Row],[2040]],IF($B$43&lt;Refsz_Verbräuche[[#Headers],[2045]],Refsz_Verbräuche[[#This Row],[2040]],Umrechnen!V54)))</f>
        <v/>
      </c>
      <c r="X150" s="124" t="str">
        <f>IF(Refsz_Verbräuche[[#Headers],[2050]]=$B$43,IF(OR(SUMIF($E150:Refsz_Verbräuche[[#This Row],[2045]],"&gt;0")&gt;0,), AVERAGEIF($E150:Refsz_Verbräuche[[#This Row],[2045]],"&lt;&gt;"""), ""),IF($B$43=(Refsz_Verbräuche[[#Headers],[2050]]-1),Refsz_Verbräuche[[#This Row],[2045]],IF($B$43&lt;Refsz_Verbräuche[[#Headers],[2050]],Refsz_Verbräuche[[#This Row],[2045]],Umrechnen!W54)))</f>
        <v/>
      </c>
      <c r="Z150" s="15"/>
    </row>
    <row r="151" spans="2:26" x14ac:dyDescent="0.35">
      <c r="B151" s="15">
        <v>91</v>
      </c>
      <c r="C151" s="9" t="s">
        <v>67</v>
      </c>
      <c r="D151" t="s">
        <v>191</v>
      </c>
      <c r="E151" s="124"/>
      <c r="F151" s="124"/>
      <c r="G151" s="124"/>
      <c r="H151" s="124"/>
      <c r="I151" s="124"/>
      <c r="J151" s="124"/>
      <c r="K151" s="124"/>
      <c r="L151" s="124" t="str">
        <f>IF(Refsz_Verbräuche[[#Headers],[2022]]=$B$43,IF(OR(SUMIF($E151:Refsz_Verbräuche[[#This Row],[2021]],"&gt;0")&gt;0,), AVERAGEIF($E151:Refsz_Verbräuche[[#This Row],[2021]],"&lt;&gt;"""), ""),IF($B$43=(Refsz_Verbräuche[[#Headers],[2022]]-1),Refsz_Verbräuche[[#This Row],[2021]],IF($B$43&lt;Refsz_Verbräuche[[#Headers],[2022]],Refsz_Verbräuche[[#This Row],[2021]],"")))</f>
        <v/>
      </c>
      <c r="M151" s="124" t="str">
        <f>IF(Refsz_Verbräuche[[#Headers],[2023]]=$B$43,IF(OR(SUMIF($E151:Refsz_Verbräuche[[#This Row],[2022]],"&gt;0")&gt;0,), AVERAGEIF($E151:Refsz_Verbräuche[[#This Row],[2022]],"&lt;&gt;"""), ""),IF($B$43=(Refsz_Verbräuche[[#Headers],[2023]]-1),Refsz_Verbräuche[[#This Row],[2022]],IF($B$43&lt;Refsz_Verbräuche[[#Headers],[2023]],Refsz_Verbräuche[[#This Row],[2022]],"")))</f>
        <v/>
      </c>
      <c r="N151" s="124" t="str">
        <f>IF(Refsz_Verbräuche[[#Headers],[2024]]=$B$43,IF(OR(SUMIF($E151:Refsz_Verbräuche[[#This Row],[2023]],"&gt;0")&gt;0,), AVERAGEIF($E151:Refsz_Verbräuche[[#This Row],[2023]],"&lt;&gt;"""), ""),IF($B$43=(Refsz_Verbräuche[[#Headers],[2024]]-1),Refsz_Verbräuche[[#This Row],[2023]],IF($B$43&lt;Refsz_Verbräuche[[#Headers],[2024]],Refsz_Verbräuche[[#This Row],[2023]],"")))</f>
        <v/>
      </c>
      <c r="O151" s="124" t="str">
        <f>IF(Refsz_Verbräuche[[#Headers],[2025]]=$B$43,IF(OR(SUMIF($E151:Refsz_Verbräuche[[#This Row],[2024]],"&gt;0")&gt;0,), AVERAGEIF($E151:Refsz_Verbräuche[[#This Row],[2024]],"&lt;&gt;"""), ""),IF($B$43=(Refsz_Verbräuche[[#Headers],[2025]]-1),Refsz_Verbräuche[[#This Row],[2024]],IF($B$43&lt;Refsz_Verbräuche[[#Headers],[2025]],Refsz_Verbräuche[[#This Row],[2024]],"")))</f>
        <v/>
      </c>
      <c r="P151" s="124" t="str">
        <f>IF(Refsz_Verbräuche[[#Headers],[2026]]=$B$43,IF(OR(SUMIF($E151:Refsz_Verbräuche[[#This Row],[2025]],"&gt;0")&gt;0,), AVERAGEIF($E151:Refsz_Verbräuche[[#This Row],[2025]],"&lt;&gt;"""), ""),IF($B$43=(Refsz_Verbräuche[[#Headers],[2026]]-1),Refsz_Verbräuche[[#This Row],[2025]],IF($B$43&lt;Refsz_Verbräuche[[#Headers],[2026]],Refsz_Verbräuche[[#This Row],[2025]],"")))</f>
        <v/>
      </c>
      <c r="Q151" s="124" t="str">
        <f>IF(Refsz_Verbräuche[[#Headers],[2027]]=$B$43,IF(OR(SUMIF($E151:Refsz_Verbräuche[[#This Row],[2026]],"&gt;0")&gt;0,), AVERAGEIF($E151:Refsz_Verbräuche[[#This Row],[2026]],"&lt;&gt;"""), ""),IF($B$43=(Refsz_Verbräuche[[#Headers],[2027]]-1),Refsz_Verbräuche[[#This Row],[2026]],IF($B$43&lt;Refsz_Verbräuche[[#Headers],[2027]],Refsz_Verbräuche[[#This Row],[2026]],"")))</f>
        <v/>
      </c>
      <c r="R151" s="124" t="str">
        <f>IF(Refsz_Verbräuche[[#Headers],[2028]]=$B$43,IF(OR(SUMIF($E151:Refsz_Verbräuche[[#This Row],[2027]],"&gt;0")&gt;0,), AVERAGEIF($E151:Refsz_Verbräuche[[#This Row],[2027]],"&lt;&gt;"""), ""),IF($B$43=(Refsz_Verbräuche[[#Headers],[2028]]-1),Refsz_Verbräuche[[#This Row],[2027]],IF($B$43&lt;Refsz_Verbräuche[[#Headers],[2028]],Refsz_Verbräuche[[#This Row],[2027]],"")))</f>
        <v/>
      </c>
      <c r="S151" s="124" t="str">
        <f>IF(Refsz_Verbräuche[[#Headers],[2029]]=$B$43,IF(OR(SUMIF($E151:Refsz_Verbräuche[[#This Row],[2028]],"&gt;0")&gt;0,), AVERAGEIF($E151:Refsz_Verbräuche[[#This Row],[2028]],"&lt;&gt;"""), ""),IF($B$43=(Refsz_Verbräuche[[#Headers],[2029]]-1),Refsz_Verbräuche[[#This Row],[2028]],IF($B$43&lt;Refsz_Verbräuche[[#Headers],[2029]],Refsz_Verbräuche[[#This Row],[2028]],"")))</f>
        <v/>
      </c>
      <c r="T151" s="124" t="str">
        <f>IF(Refsz_Verbräuche[[#Headers],[2030]]=$B$43,IF(OR(SUMIF($E151:Refsz_Verbräuche[[#This Row],[2029]],"&gt;0")&gt;0,), AVERAGEIF($E151:Refsz_Verbräuche[[#This Row],[2029]],"&lt;&gt;"""), ""),IF($B$43=(Refsz_Verbräuche[[#Headers],[2030]]-1),Refsz_Verbräuche[[#This Row],[2029]],IF($B$43&lt;Refsz_Verbräuche[[#Headers],[2030]],Refsz_Verbräuche[[#This Row],[2029]],"")))</f>
        <v/>
      </c>
      <c r="U151" s="124" t="str">
        <f>IF(Refsz_Verbräuche[[#Headers],[2035]]=$B$43,IF(OR(SUMIF($E151:Refsz_Verbräuche[[#This Row],[2030]],"&gt;0")&gt;0,), AVERAGEIF($E151:Refsz_Verbräuche[[#This Row],[2030]],"&lt;&gt;"""), ""),IF($B$43=(Refsz_Verbräuche[[#Headers],[2035]]-1),Refsz_Verbräuche[[#This Row],[2030]],IF($B$43&lt;Refsz_Verbräuche[[#Headers],[2035]],Refsz_Verbräuche[[#This Row],[2030]],"")))</f>
        <v/>
      </c>
      <c r="V151" s="124" t="str">
        <f>IF(Refsz_Verbräuche[[#Headers],[2040]]=$B$43,IF(OR(SUMIF($E151:Refsz_Verbräuche[[#This Row],[2035]],"&gt;0")&gt;0,), AVERAGEIF($E151:Refsz_Verbräuche[[#This Row],[2035]],"&lt;&gt;"""), ""),IF($B$43=(Refsz_Verbräuche[[#Headers],[2040]]-1),Refsz_Verbräuche[[#This Row],[2035]],IF($B$43&lt;Refsz_Verbräuche[[#Headers],[2040]],Refsz_Verbräuche[[#This Row],[2035]],"")))</f>
        <v/>
      </c>
      <c r="W151" s="124" t="str">
        <f>IF(Refsz_Verbräuche[[#Headers],[2045]]=$B$43,IF(OR(SUMIF($E151:Refsz_Verbräuche[[#This Row],[2040]],"&gt;0")&gt;0,), AVERAGEIF($E151:Refsz_Verbräuche[[#This Row],[2040]],"&lt;&gt;"""), ""),IF($B$43=(Refsz_Verbräuche[[#Headers],[2045]]-1),Refsz_Verbräuche[[#This Row],[2040]],IF($B$43&lt;Refsz_Verbräuche[[#Headers],[2045]],Refsz_Verbräuche[[#This Row],[2040]],"")))</f>
        <v/>
      </c>
      <c r="X151" s="124" t="str">
        <f>IF(Refsz_Verbräuche[[#Headers],[2050]]=$B$43,IF(OR(SUMIF($E151:Refsz_Verbräuche[[#This Row],[2045]],"&gt;0")&gt;0,), AVERAGEIF($E151:Refsz_Verbräuche[[#This Row],[2045]],"&lt;&gt;"""), ""),IF($B$43=(Refsz_Verbräuche[[#Headers],[2050]]-1),Refsz_Verbräuche[[#This Row],[2045]],IF($B$43&lt;Refsz_Verbräuche[[#Headers],[2050]],Refsz_Verbräuche[[#This Row],[2045]],"")))</f>
        <v/>
      </c>
      <c r="Z151" s="15"/>
    </row>
    <row r="152" spans="2:26" x14ac:dyDescent="0.35">
      <c r="B152" s="15">
        <v>92</v>
      </c>
      <c r="C152" s="9" t="s">
        <v>68</v>
      </c>
      <c r="D152" t="s">
        <v>191</v>
      </c>
      <c r="E152" s="124"/>
      <c r="F152" s="124"/>
      <c r="G152" s="124"/>
      <c r="H152" s="124"/>
      <c r="I152" s="124"/>
      <c r="J152" s="124"/>
      <c r="K152" s="124"/>
      <c r="L152" s="124" t="str">
        <f>IF(Refsz_Verbräuche[[#Headers],[2022]]=$B$43,IF(OR(SUMIF($E152:Refsz_Verbräuche[[#This Row],[2021]],"&gt;0")&gt;0,), AVERAGEIF($E152:Refsz_Verbräuche[[#This Row],[2021]],"&lt;&gt;"""), ""),IF($B$43=(Refsz_Verbräuche[[#Headers],[2022]]-1),Refsz_Verbräuche[[#This Row],[2021]],IF($B$43&lt;Refsz_Verbräuche[[#Headers],[2022]],Refsz_Verbräuche[[#This Row],[2021]],"")))</f>
        <v/>
      </c>
      <c r="M152" s="124" t="str">
        <f>IF(Refsz_Verbräuche[[#Headers],[2023]]=$B$43,IF(OR(SUMIF($E152:Refsz_Verbräuche[[#This Row],[2022]],"&gt;0")&gt;0,), AVERAGEIF($E152:Refsz_Verbräuche[[#This Row],[2022]],"&lt;&gt;"""), ""),IF($B$43=(Refsz_Verbräuche[[#Headers],[2023]]-1),Refsz_Verbräuche[[#This Row],[2022]],IF($B$43&lt;Refsz_Verbräuche[[#Headers],[2023]],Refsz_Verbräuche[[#This Row],[2022]],"")))</f>
        <v/>
      </c>
      <c r="N152" s="124" t="str">
        <f>IF(Refsz_Verbräuche[[#Headers],[2024]]=$B$43,IF(OR(SUMIF($E152:Refsz_Verbräuche[[#This Row],[2023]],"&gt;0")&gt;0,), AVERAGEIF($E152:Refsz_Verbräuche[[#This Row],[2023]],"&lt;&gt;"""), ""),IF($B$43=(Refsz_Verbräuche[[#Headers],[2024]]-1),Refsz_Verbräuche[[#This Row],[2023]],IF($B$43&lt;Refsz_Verbräuche[[#Headers],[2024]],Refsz_Verbräuche[[#This Row],[2023]],"")))</f>
        <v/>
      </c>
      <c r="O152" s="124" t="str">
        <f>IF(Refsz_Verbräuche[[#Headers],[2025]]=$B$43,IF(OR(SUMIF($E152:Refsz_Verbräuche[[#This Row],[2024]],"&gt;0")&gt;0,), AVERAGEIF($E152:Refsz_Verbräuche[[#This Row],[2024]],"&lt;&gt;"""), ""),IF($B$43=(Refsz_Verbräuche[[#Headers],[2025]]-1),Refsz_Verbräuche[[#This Row],[2024]],IF($B$43&lt;Refsz_Verbräuche[[#Headers],[2025]],Refsz_Verbräuche[[#This Row],[2024]],"")))</f>
        <v/>
      </c>
      <c r="P152" s="124" t="str">
        <f>IF(Refsz_Verbräuche[[#Headers],[2026]]=$B$43,IF(OR(SUMIF($E152:Refsz_Verbräuche[[#This Row],[2025]],"&gt;0")&gt;0,), AVERAGEIF($E152:Refsz_Verbräuche[[#This Row],[2025]],"&lt;&gt;"""), ""),IF($B$43=(Refsz_Verbräuche[[#Headers],[2026]]-1),Refsz_Verbräuche[[#This Row],[2025]],IF($B$43&lt;Refsz_Verbräuche[[#Headers],[2026]],Refsz_Verbräuche[[#This Row],[2025]],"")))</f>
        <v/>
      </c>
      <c r="Q152" s="124" t="str">
        <f>IF(Refsz_Verbräuche[[#Headers],[2027]]=$B$43,IF(OR(SUMIF($E152:Refsz_Verbräuche[[#This Row],[2026]],"&gt;0")&gt;0,), AVERAGEIF($E152:Refsz_Verbräuche[[#This Row],[2026]],"&lt;&gt;"""), ""),IF($B$43=(Refsz_Verbräuche[[#Headers],[2027]]-1),Refsz_Verbräuche[[#This Row],[2026]],IF($B$43&lt;Refsz_Verbräuche[[#Headers],[2027]],Refsz_Verbräuche[[#This Row],[2026]],"")))</f>
        <v/>
      </c>
      <c r="R152" s="124" t="str">
        <f>IF(Refsz_Verbräuche[[#Headers],[2028]]=$B$43,IF(OR(SUMIF($E152:Refsz_Verbräuche[[#This Row],[2027]],"&gt;0")&gt;0,), AVERAGEIF($E152:Refsz_Verbräuche[[#This Row],[2027]],"&lt;&gt;"""), ""),IF($B$43=(Refsz_Verbräuche[[#Headers],[2028]]-1),Refsz_Verbräuche[[#This Row],[2027]],IF($B$43&lt;Refsz_Verbräuche[[#Headers],[2028]],Refsz_Verbräuche[[#This Row],[2027]],"")))</f>
        <v/>
      </c>
      <c r="S152" s="124" t="str">
        <f>IF(Refsz_Verbräuche[[#Headers],[2029]]=$B$43,IF(OR(SUMIF($E152:Refsz_Verbräuche[[#This Row],[2028]],"&gt;0")&gt;0,), AVERAGEIF($E152:Refsz_Verbräuche[[#This Row],[2028]],"&lt;&gt;"""), ""),IF($B$43=(Refsz_Verbräuche[[#Headers],[2029]]-1),Refsz_Verbräuche[[#This Row],[2028]],IF($B$43&lt;Refsz_Verbräuche[[#Headers],[2029]],Refsz_Verbräuche[[#This Row],[2028]],"")))</f>
        <v/>
      </c>
      <c r="T152" s="124" t="str">
        <f>IF(Refsz_Verbräuche[[#Headers],[2030]]=$B$43,IF(OR(SUMIF($E152:Refsz_Verbräuche[[#This Row],[2029]],"&gt;0")&gt;0,), AVERAGEIF($E152:Refsz_Verbräuche[[#This Row],[2029]],"&lt;&gt;"""), ""),IF($B$43=(Refsz_Verbräuche[[#Headers],[2030]]-1),Refsz_Verbräuche[[#This Row],[2029]],IF($B$43&lt;Refsz_Verbräuche[[#Headers],[2030]],Refsz_Verbräuche[[#This Row],[2029]],"")))</f>
        <v/>
      </c>
      <c r="U152" s="124" t="str">
        <f>IF(Refsz_Verbräuche[[#Headers],[2035]]=$B$43,IF(OR(SUMIF($E152:Refsz_Verbräuche[[#This Row],[2030]],"&gt;0")&gt;0,), AVERAGEIF($E152:Refsz_Verbräuche[[#This Row],[2030]],"&lt;&gt;"""), ""),IF($B$43=(Refsz_Verbräuche[[#Headers],[2035]]-1),Refsz_Verbräuche[[#This Row],[2030]],IF($B$43&lt;Refsz_Verbräuche[[#Headers],[2035]],Refsz_Verbräuche[[#This Row],[2030]],"")))</f>
        <v/>
      </c>
      <c r="V152" s="124" t="str">
        <f>IF(Refsz_Verbräuche[[#Headers],[2040]]=$B$43,IF(OR(SUMIF($E152:Refsz_Verbräuche[[#This Row],[2035]],"&gt;0")&gt;0,), AVERAGEIF($E152:Refsz_Verbräuche[[#This Row],[2035]],"&lt;&gt;"""), ""),IF($B$43=(Refsz_Verbräuche[[#Headers],[2040]]-1),Refsz_Verbräuche[[#This Row],[2035]],IF($B$43&lt;Refsz_Verbräuche[[#Headers],[2040]],Refsz_Verbräuche[[#This Row],[2035]],"")))</f>
        <v/>
      </c>
      <c r="W152" s="124" t="str">
        <f>IF(Refsz_Verbräuche[[#Headers],[2045]]=$B$43,IF(OR(SUMIF($E152:Refsz_Verbräuche[[#This Row],[2040]],"&gt;0")&gt;0,), AVERAGEIF($E152:Refsz_Verbräuche[[#This Row],[2040]],"&lt;&gt;"""), ""),IF($B$43=(Refsz_Verbräuche[[#Headers],[2045]]-1),Refsz_Verbräuche[[#This Row],[2040]],IF($B$43&lt;Refsz_Verbräuche[[#Headers],[2045]],Refsz_Verbräuche[[#This Row],[2040]],"")))</f>
        <v/>
      </c>
      <c r="X152" s="124" t="str">
        <f>IF(Refsz_Verbräuche[[#Headers],[2050]]=$B$43,IF(OR(SUMIF($E152:Refsz_Verbräuche[[#This Row],[2045]],"&gt;0")&gt;0,), AVERAGEIF($E152:Refsz_Verbräuche[[#This Row],[2045]],"&lt;&gt;"""), ""),IF($B$43=(Refsz_Verbräuche[[#Headers],[2050]]-1),Refsz_Verbräuche[[#This Row],[2045]],IF($B$43&lt;Refsz_Verbräuche[[#Headers],[2050]],Refsz_Verbräuche[[#This Row],[2045]],"")))</f>
        <v/>
      </c>
      <c r="Z152" s="15"/>
    </row>
    <row r="153" spans="2:26" x14ac:dyDescent="0.35">
      <c r="B153" s="15">
        <v>93</v>
      </c>
      <c r="C153" s="9"/>
      <c r="D153" s="9"/>
      <c r="E153" s="124"/>
      <c r="F153" s="124"/>
      <c r="G153" s="124"/>
      <c r="H153" s="124"/>
      <c r="I153" s="124"/>
      <c r="J153" s="124"/>
      <c r="K153" s="124"/>
      <c r="L153" s="124" t="str">
        <f>IF(Refsz_Verbräuche[[#Headers],[2022]]=$B$43,IF(OR(SUMIF($E153:Refsz_Verbräuche[[#This Row],[2021]],"&gt;0")&gt;0,), AVERAGEIF($E153:Refsz_Verbräuche[[#This Row],[2021]],"&lt;&gt;"""), ""),IF($B$43=(Refsz_Verbräuche[[#Headers],[2022]]-1),Refsz_Verbräuche[[#This Row],[2021]],IF($B$43&lt;Refsz_Verbräuche[[#Headers],[2022]],Refsz_Verbräuche[[#This Row],[2021]],"")))</f>
        <v/>
      </c>
      <c r="M153" s="124" t="str">
        <f>IF(Refsz_Verbräuche[[#Headers],[2023]]=$B$43,IF(OR(SUMIF($E153:Refsz_Verbräuche[[#This Row],[2022]],"&gt;0")&gt;0,), AVERAGEIF($E153:Refsz_Verbräuche[[#This Row],[2022]],"&lt;&gt;"""), ""),IF($B$43=(Refsz_Verbräuche[[#Headers],[2023]]-1),Refsz_Verbräuche[[#This Row],[2022]],IF($B$43&lt;Refsz_Verbräuche[[#Headers],[2023]],Refsz_Verbräuche[[#This Row],[2022]],"")))</f>
        <v/>
      </c>
      <c r="N153" s="124" t="str">
        <f>IF(Refsz_Verbräuche[[#Headers],[2024]]=$B$43,IF(OR(SUMIF($E153:Refsz_Verbräuche[[#This Row],[2023]],"&gt;0")&gt;0,), AVERAGEIF($E153:Refsz_Verbräuche[[#This Row],[2023]],"&lt;&gt;"""), ""),IF($B$43=(Refsz_Verbräuche[[#Headers],[2024]]-1),Refsz_Verbräuche[[#This Row],[2023]],IF($B$43&lt;Refsz_Verbräuche[[#Headers],[2024]],Refsz_Verbräuche[[#This Row],[2023]],"")))</f>
        <v/>
      </c>
      <c r="O153" s="124" t="str">
        <f>IF(Refsz_Verbräuche[[#Headers],[2025]]=$B$43,IF(OR(SUMIF($E153:Refsz_Verbräuche[[#This Row],[2024]],"&gt;0")&gt;0,), AVERAGEIF($E153:Refsz_Verbräuche[[#This Row],[2024]],"&lt;&gt;"""), ""),IF($B$43=(Refsz_Verbräuche[[#Headers],[2025]]-1),Refsz_Verbräuche[[#This Row],[2024]],IF($B$43&lt;Refsz_Verbräuche[[#Headers],[2025]],Refsz_Verbräuche[[#This Row],[2024]],"")))</f>
        <v/>
      </c>
      <c r="P153" s="124" t="str">
        <f>IF(Refsz_Verbräuche[[#Headers],[2026]]=$B$43,IF(OR(SUMIF($E153:Refsz_Verbräuche[[#This Row],[2025]],"&gt;0")&gt;0,), AVERAGEIF($E153:Refsz_Verbräuche[[#This Row],[2025]],"&lt;&gt;"""), ""),IF($B$43=(Refsz_Verbräuche[[#Headers],[2026]]-1),Refsz_Verbräuche[[#This Row],[2025]],IF($B$43&lt;Refsz_Verbräuche[[#Headers],[2026]],Refsz_Verbräuche[[#This Row],[2025]],"")))</f>
        <v/>
      </c>
      <c r="Q153" s="124" t="str">
        <f>IF(Refsz_Verbräuche[[#Headers],[2027]]=$B$43,IF(OR(SUMIF($E153:Refsz_Verbräuche[[#This Row],[2026]],"&gt;0")&gt;0,), AVERAGEIF($E153:Refsz_Verbräuche[[#This Row],[2026]],"&lt;&gt;"""), ""),IF($B$43=(Refsz_Verbräuche[[#Headers],[2027]]-1),Refsz_Verbräuche[[#This Row],[2026]],IF($B$43&lt;Refsz_Verbräuche[[#Headers],[2027]],Refsz_Verbräuche[[#This Row],[2026]],"")))</f>
        <v/>
      </c>
      <c r="R153" s="124" t="str">
        <f>IF(Refsz_Verbräuche[[#Headers],[2028]]=$B$43,IF(OR(SUMIF($E153:Refsz_Verbräuche[[#This Row],[2027]],"&gt;0")&gt;0,), AVERAGEIF($E153:Refsz_Verbräuche[[#This Row],[2027]],"&lt;&gt;"""), ""),IF($B$43=(Refsz_Verbräuche[[#Headers],[2028]]-1),Refsz_Verbräuche[[#This Row],[2027]],IF($B$43&lt;Refsz_Verbräuche[[#Headers],[2028]],Refsz_Verbräuche[[#This Row],[2027]],"")))</f>
        <v/>
      </c>
      <c r="S153" s="124" t="str">
        <f>IF(Refsz_Verbräuche[[#Headers],[2029]]=$B$43,IF(OR(SUMIF($E153:Refsz_Verbräuche[[#This Row],[2028]],"&gt;0")&gt;0,), AVERAGEIF($E153:Refsz_Verbräuche[[#This Row],[2028]],"&lt;&gt;"""), ""),IF($B$43=(Refsz_Verbräuche[[#Headers],[2029]]-1),Refsz_Verbräuche[[#This Row],[2028]],IF($B$43&lt;Refsz_Verbräuche[[#Headers],[2029]],Refsz_Verbräuche[[#This Row],[2028]],"")))</f>
        <v/>
      </c>
      <c r="T153" s="124" t="str">
        <f>IF(Refsz_Verbräuche[[#Headers],[2030]]=$B$43,IF(OR(SUMIF($E153:Refsz_Verbräuche[[#This Row],[2029]],"&gt;0")&gt;0,), AVERAGEIF($E153:Refsz_Verbräuche[[#This Row],[2029]],"&lt;&gt;"""), ""),IF($B$43=(Refsz_Verbräuche[[#Headers],[2030]]-1),Refsz_Verbräuche[[#This Row],[2029]],IF($B$43&lt;Refsz_Verbräuche[[#Headers],[2030]],Refsz_Verbräuche[[#This Row],[2029]],"")))</f>
        <v/>
      </c>
      <c r="U153" s="124" t="str">
        <f>IF(Refsz_Verbräuche[[#Headers],[2035]]=$B$43,IF(OR(SUMIF($E153:Refsz_Verbräuche[[#This Row],[2030]],"&gt;0")&gt;0,), AVERAGEIF($E153:Refsz_Verbräuche[[#This Row],[2030]],"&lt;&gt;"""), ""),IF($B$43=(Refsz_Verbräuche[[#Headers],[2035]]-1),Refsz_Verbräuche[[#This Row],[2030]],IF($B$43&lt;Refsz_Verbräuche[[#Headers],[2035]],Refsz_Verbräuche[[#This Row],[2030]],"")))</f>
        <v/>
      </c>
      <c r="V153" s="124" t="str">
        <f>IF(Refsz_Verbräuche[[#Headers],[2040]]=$B$43,IF(OR(SUMIF($E153:Refsz_Verbräuche[[#This Row],[2035]],"&gt;0")&gt;0,), AVERAGEIF($E153:Refsz_Verbräuche[[#This Row],[2035]],"&lt;&gt;"""), ""),IF($B$43=(Refsz_Verbräuche[[#Headers],[2040]]-1),Refsz_Verbräuche[[#This Row],[2035]],IF($B$43&lt;Refsz_Verbräuche[[#Headers],[2040]],Refsz_Verbräuche[[#This Row],[2035]],"")))</f>
        <v/>
      </c>
      <c r="W153" s="124" t="str">
        <f>IF(Refsz_Verbräuche[[#Headers],[2045]]=$B$43,IF(OR(SUMIF($E153:Refsz_Verbräuche[[#This Row],[2040]],"&gt;0")&gt;0,), AVERAGEIF($E153:Refsz_Verbräuche[[#This Row],[2040]],"&lt;&gt;"""), ""),IF($B$43=(Refsz_Verbräuche[[#Headers],[2045]]-1),Refsz_Verbräuche[[#This Row],[2040]],IF($B$43&lt;Refsz_Verbräuche[[#Headers],[2045]],Refsz_Verbräuche[[#This Row],[2040]],"")))</f>
        <v/>
      </c>
      <c r="X153" s="124" t="str">
        <f>IF(Refsz_Verbräuche[[#Headers],[2050]]=$B$43,IF(OR(SUMIF($E153:Refsz_Verbräuche[[#This Row],[2045]],"&gt;0")&gt;0,), AVERAGEIF($E153:Refsz_Verbräuche[[#This Row],[2045]],"&lt;&gt;"""), ""),IF($B$43=(Refsz_Verbräuche[[#Headers],[2050]]-1),Refsz_Verbräuche[[#This Row],[2045]],IF($B$43&lt;Refsz_Verbräuche[[#Headers],[2050]],Refsz_Verbräuche[[#This Row],[2045]],"")))</f>
        <v/>
      </c>
      <c r="Z153" s="15"/>
    </row>
    <row r="154" spans="2:26" x14ac:dyDescent="0.35">
      <c r="B154" s="15">
        <v>94</v>
      </c>
      <c r="C154" s="9" t="s">
        <v>160</v>
      </c>
      <c r="D154" t="s">
        <v>192</v>
      </c>
      <c r="E154" s="124"/>
      <c r="F154" s="124"/>
      <c r="G154" s="124"/>
      <c r="H154" s="124"/>
      <c r="I154" s="124"/>
      <c r="J154" s="124"/>
      <c r="K154" s="124"/>
      <c r="L154" s="124" t="str">
        <f>IF(Refsz_Verbräuche[[#Headers],[2022]]=$B$43,IF(OR(SUMIF($E154:Refsz_Verbräuche[[#This Row],[2021]],"&gt;0")&gt;0,), AVERAGEIF($E154:Refsz_Verbräuche[[#This Row],[2021]],"&lt;&gt;"""), ""),IF($B$43=(Refsz_Verbräuche[[#Headers],[2022]]-1),Refsz_Verbräuche[[#This Row],[2021]],IF($B$43&lt;Refsz_Verbräuche[[#Headers],[2022]],Refsz_Verbräuche[[#This Row],[2021]],"")))</f>
        <v/>
      </c>
      <c r="M154" s="124" t="str">
        <f>IF(Refsz_Verbräuche[[#Headers],[2023]]=$B$43,IF(OR(SUMIF($E154:Refsz_Verbräuche[[#This Row],[2022]],"&gt;0")&gt;0,), AVERAGEIF($E154:Refsz_Verbräuche[[#This Row],[2022]],"&lt;&gt;"""), ""),IF($B$43=(Refsz_Verbräuche[[#Headers],[2023]]-1),Refsz_Verbräuche[[#This Row],[2022]],IF($B$43&lt;Refsz_Verbräuche[[#Headers],[2023]],Refsz_Verbräuche[[#This Row],[2022]],"")))</f>
        <v/>
      </c>
      <c r="N154" s="124" t="str">
        <f>IF(Refsz_Verbräuche[[#Headers],[2024]]=$B$43,IF(OR(SUMIF($E154:Refsz_Verbräuche[[#This Row],[2023]],"&gt;0")&gt;0,), AVERAGEIF($E154:Refsz_Verbräuche[[#This Row],[2023]],"&lt;&gt;"""), ""),IF($B$43=(Refsz_Verbräuche[[#Headers],[2024]]-1),Refsz_Verbräuche[[#This Row],[2023]],IF($B$43&lt;Refsz_Verbräuche[[#Headers],[2024]],Refsz_Verbräuche[[#This Row],[2023]],"")))</f>
        <v/>
      </c>
      <c r="O154" s="124" t="str">
        <f>IF(Refsz_Verbräuche[[#Headers],[2025]]=$B$43,IF(OR(SUMIF($E154:Refsz_Verbräuche[[#This Row],[2024]],"&gt;0")&gt;0,), AVERAGEIF($E154:Refsz_Verbräuche[[#This Row],[2024]],"&lt;&gt;"""), ""),IF($B$43=(Refsz_Verbräuche[[#Headers],[2025]]-1),Refsz_Verbräuche[[#This Row],[2024]],IF($B$43&lt;Refsz_Verbräuche[[#Headers],[2025]],Refsz_Verbräuche[[#This Row],[2024]],"")))</f>
        <v/>
      </c>
      <c r="P154" s="124" t="str">
        <f>IF(Refsz_Verbräuche[[#Headers],[2026]]=$B$43,IF(OR(SUMIF($E154:Refsz_Verbräuche[[#This Row],[2025]],"&gt;0")&gt;0,), AVERAGEIF($E154:Refsz_Verbräuche[[#This Row],[2025]],"&lt;&gt;"""), ""),IF($B$43=(Refsz_Verbräuche[[#Headers],[2026]]-1),Refsz_Verbräuche[[#This Row],[2025]],IF($B$43&lt;Refsz_Verbräuche[[#Headers],[2026]],Refsz_Verbräuche[[#This Row],[2025]],"")))</f>
        <v/>
      </c>
      <c r="Q154" s="124" t="str">
        <f>IF(Refsz_Verbräuche[[#Headers],[2027]]=$B$43,IF(OR(SUMIF($E154:Refsz_Verbräuche[[#This Row],[2026]],"&gt;0")&gt;0,), AVERAGEIF($E154:Refsz_Verbräuche[[#This Row],[2026]],"&lt;&gt;"""), ""),IF($B$43=(Refsz_Verbräuche[[#Headers],[2027]]-1),Refsz_Verbräuche[[#This Row],[2026]],IF($B$43&lt;Refsz_Verbräuche[[#Headers],[2027]],Refsz_Verbräuche[[#This Row],[2026]],"")))</f>
        <v/>
      </c>
      <c r="R154" s="124" t="str">
        <f>IF(Refsz_Verbräuche[[#Headers],[2028]]=$B$43,IF(OR(SUMIF($E154:Refsz_Verbräuche[[#This Row],[2027]],"&gt;0")&gt;0,), AVERAGEIF($E154:Refsz_Verbräuche[[#This Row],[2027]],"&lt;&gt;"""), ""),IF($B$43=(Refsz_Verbräuche[[#Headers],[2028]]-1),Refsz_Verbräuche[[#This Row],[2027]],IF($B$43&lt;Refsz_Verbräuche[[#Headers],[2028]],Refsz_Verbräuche[[#This Row],[2027]],"")))</f>
        <v/>
      </c>
      <c r="S154" s="124" t="str">
        <f>IF(Refsz_Verbräuche[[#Headers],[2029]]=$B$43,IF(OR(SUMIF($E154:Refsz_Verbräuche[[#This Row],[2028]],"&gt;0")&gt;0,), AVERAGEIF($E154:Refsz_Verbräuche[[#This Row],[2028]],"&lt;&gt;"""), ""),IF($B$43=(Refsz_Verbräuche[[#Headers],[2029]]-1),Refsz_Verbräuche[[#This Row],[2028]],IF($B$43&lt;Refsz_Verbräuche[[#Headers],[2029]],Refsz_Verbräuche[[#This Row],[2028]],"")))</f>
        <v/>
      </c>
      <c r="T154" s="124" t="str">
        <f>IF(Refsz_Verbräuche[[#Headers],[2030]]=$B$43,IF(OR(SUMIF($E154:Refsz_Verbräuche[[#This Row],[2029]],"&gt;0")&gt;0,), AVERAGEIF($E154:Refsz_Verbräuche[[#This Row],[2029]],"&lt;&gt;"""), ""),IF($B$43=(Refsz_Verbräuche[[#Headers],[2030]]-1),Refsz_Verbräuche[[#This Row],[2029]],IF($B$43&lt;Refsz_Verbräuche[[#Headers],[2030]],Refsz_Verbräuche[[#This Row],[2029]],"")))</f>
        <v/>
      </c>
      <c r="U154" s="124" t="str">
        <f>IF(Refsz_Verbräuche[[#Headers],[2035]]=$B$43,IF(OR(SUMIF($E154:Refsz_Verbräuche[[#This Row],[2030]],"&gt;0")&gt;0,), AVERAGEIF($E154:Refsz_Verbräuche[[#This Row],[2030]],"&lt;&gt;"""), ""),IF($B$43=(Refsz_Verbräuche[[#Headers],[2035]]-1),Refsz_Verbräuche[[#This Row],[2030]],IF($B$43&lt;Refsz_Verbräuche[[#Headers],[2035]],Refsz_Verbräuche[[#This Row],[2030]],"")))</f>
        <v/>
      </c>
      <c r="V154" s="124" t="str">
        <f>IF(Refsz_Verbräuche[[#Headers],[2040]]=$B$43,IF(OR(SUMIF($E154:Refsz_Verbräuche[[#This Row],[2035]],"&gt;0")&gt;0,), AVERAGEIF($E154:Refsz_Verbräuche[[#This Row],[2035]],"&lt;&gt;"""), ""),IF($B$43=(Refsz_Verbräuche[[#Headers],[2040]]-1),Refsz_Verbräuche[[#This Row],[2035]],IF($B$43&lt;Refsz_Verbräuche[[#Headers],[2040]],Refsz_Verbräuche[[#This Row],[2035]],"")))</f>
        <v/>
      </c>
      <c r="W154" s="124" t="str">
        <f>IF(Refsz_Verbräuche[[#Headers],[2045]]=$B$43,IF(OR(SUMIF($E154:Refsz_Verbräuche[[#This Row],[2040]],"&gt;0")&gt;0,), AVERAGEIF($E154:Refsz_Verbräuche[[#This Row],[2040]],"&lt;&gt;"""), ""),IF($B$43=(Refsz_Verbräuche[[#Headers],[2045]]-1),Refsz_Verbräuche[[#This Row],[2040]],IF($B$43&lt;Refsz_Verbräuche[[#Headers],[2045]],Refsz_Verbräuche[[#This Row],[2040]],"")))</f>
        <v/>
      </c>
      <c r="X154" s="124" t="str">
        <f>IF(Refsz_Verbräuche[[#Headers],[2050]]=$B$43,IF(OR(SUMIF($E154:Refsz_Verbräuche[[#This Row],[2045]],"&gt;0")&gt;0,), AVERAGEIF($E154:Refsz_Verbräuche[[#This Row],[2045]],"&lt;&gt;"""), ""),IF($B$43=(Refsz_Verbräuche[[#Headers],[2050]]-1),Refsz_Verbräuche[[#This Row],[2045]],IF($B$43&lt;Refsz_Verbräuche[[#Headers],[2050]],Refsz_Verbräuche[[#This Row],[2045]],"")))</f>
        <v/>
      </c>
      <c r="Z154" s="15"/>
    </row>
    <row r="155" spans="2:26" x14ac:dyDescent="0.35">
      <c r="B155" s="15">
        <v>95</v>
      </c>
      <c r="C155" s="9" t="s">
        <v>63</v>
      </c>
      <c r="D155" t="s">
        <v>193</v>
      </c>
      <c r="E155" s="124"/>
      <c r="F155" s="124"/>
      <c r="G155" s="124"/>
      <c r="H155" s="124"/>
      <c r="I155" s="124"/>
      <c r="J155" s="124"/>
      <c r="K155" s="124"/>
      <c r="L155" s="124" t="str">
        <f>IF(Refsz_Verbräuche[[#Headers],[2022]]=$B$43,IF(OR(SUMIF($E155:Refsz_Verbräuche[[#This Row],[2021]],"&gt;0")&gt;0,), AVERAGEIF($E155:Refsz_Verbräuche[[#This Row],[2021]],"&lt;&gt;"""), ""),IF($B$43=(Refsz_Verbräuche[[#Headers],[2022]]-1),Refsz_Verbräuche[[#This Row],[2021]],IF($B$43&lt;Refsz_Verbräuche[[#Headers],[2022]],Refsz_Verbräuche[[#This Row],[2021]],"")))</f>
        <v/>
      </c>
      <c r="M155" s="124" t="str">
        <f>IF(Refsz_Verbräuche[[#Headers],[2023]]=$B$43,IF(OR(SUMIF($E155:Refsz_Verbräuche[[#This Row],[2022]],"&gt;0")&gt;0,), AVERAGEIF($E155:Refsz_Verbräuche[[#This Row],[2022]],"&lt;&gt;"""), ""),IF($B$43=(Refsz_Verbräuche[[#Headers],[2023]]-1),Refsz_Verbräuche[[#This Row],[2022]],IF($B$43&lt;Refsz_Verbräuche[[#Headers],[2023]],Refsz_Verbräuche[[#This Row],[2022]],"")))</f>
        <v/>
      </c>
      <c r="N155" s="124" t="str">
        <f>IF(Refsz_Verbräuche[[#Headers],[2024]]=$B$43,IF(OR(SUMIF($E155:Refsz_Verbräuche[[#This Row],[2023]],"&gt;0")&gt;0,), AVERAGEIF($E155:Refsz_Verbräuche[[#This Row],[2023]],"&lt;&gt;"""), ""),IF($B$43=(Refsz_Verbräuche[[#Headers],[2024]]-1),Refsz_Verbräuche[[#This Row],[2023]],IF($B$43&lt;Refsz_Verbräuche[[#Headers],[2024]],Refsz_Verbräuche[[#This Row],[2023]],"")))</f>
        <v/>
      </c>
      <c r="O155" s="124" t="str">
        <f>IF(Refsz_Verbräuche[[#Headers],[2025]]=$B$43,IF(OR(SUMIF($E155:Refsz_Verbräuche[[#This Row],[2024]],"&gt;0")&gt;0,), AVERAGEIF($E155:Refsz_Verbräuche[[#This Row],[2024]],"&lt;&gt;"""), ""),IF($B$43=(Refsz_Verbräuche[[#Headers],[2025]]-1),Refsz_Verbräuche[[#This Row],[2024]],IF($B$43&lt;Refsz_Verbräuche[[#Headers],[2025]],Refsz_Verbräuche[[#This Row],[2024]],"")))</f>
        <v/>
      </c>
      <c r="P155" s="124" t="str">
        <f>IF(Refsz_Verbräuche[[#Headers],[2026]]=$B$43,IF(OR(SUMIF($E155:Refsz_Verbräuche[[#This Row],[2025]],"&gt;0")&gt;0,), AVERAGEIF($E155:Refsz_Verbräuche[[#This Row],[2025]],"&lt;&gt;"""), ""),IF($B$43=(Refsz_Verbräuche[[#Headers],[2026]]-1),Refsz_Verbräuche[[#This Row],[2025]],IF($B$43&lt;Refsz_Verbräuche[[#Headers],[2026]],Refsz_Verbräuche[[#This Row],[2025]],"")))</f>
        <v/>
      </c>
      <c r="Q155" s="124" t="str">
        <f>IF(Refsz_Verbräuche[[#Headers],[2027]]=$B$43,IF(OR(SUMIF($E155:Refsz_Verbräuche[[#This Row],[2026]],"&gt;0")&gt;0,), AVERAGEIF($E155:Refsz_Verbräuche[[#This Row],[2026]],"&lt;&gt;"""), ""),IF($B$43=(Refsz_Verbräuche[[#Headers],[2027]]-1),Refsz_Verbräuche[[#This Row],[2026]],IF($B$43&lt;Refsz_Verbräuche[[#Headers],[2027]],Refsz_Verbräuche[[#This Row],[2026]],"")))</f>
        <v/>
      </c>
      <c r="R155" s="124" t="str">
        <f>IF(Refsz_Verbräuche[[#Headers],[2028]]=$B$43,IF(OR(SUMIF($E155:Refsz_Verbräuche[[#This Row],[2027]],"&gt;0")&gt;0,), AVERAGEIF($E155:Refsz_Verbräuche[[#This Row],[2027]],"&lt;&gt;"""), ""),IF($B$43=(Refsz_Verbräuche[[#Headers],[2028]]-1),Refsz_Verbräuche[[#This Row],[2027]],IF($B$43&lt;Refsz_Verbräuche[[#Headers],[2028]],Refsz_Verbräuche[[#This Row],[2027]],"")))</f>
        <v/>
      </c>
      <c r="S155" s="124" t="str">
        <f>IF(Refsz_Verbräuche[[#Headers],[2029]]=$B$43,IF(OR(SUMIF($E155:Refsz_Verbräuche[[#This Row],[2028]],"&gt;0")&gt;0,), AVERAGEIF($E155:Refsz_Verbräuche[[#This Row],[2028]],"&lt;&gt;"""), ""),IF($B$43=(Refsz_Verbräuche[[#Headers],[2029]]-1),Refsz_Verbräuche[[#This Row],[2028]],IF($B$43&lt;Refsz_Verbräuche[[#Headers],[2029]],Refsz_Verbräuche[[#This Row],[2028]],"")))</f>
        <v/>
      </c>
      <c r="T155" s="124" t="str">
        <f>IF(Refsz_Verbräuche[[#Headers],[2030]]=$B$43,IF(OR(SUMIF($E155:Refsz_Verbräuche[[#This Row],[2029]],"&gt;0")&gt;0,), AVERAGEIF($E155:Refsz_Verbräuche[[#This Row],[2029]],"&lt;&gt;"""), ""),IF($B$43=(Refsz_Verbräuche[[#Headers],[2030]]-1),Refsz_Verbräuche[[#This Row],[2029]],IF($B$43&lt;Refsz_Verbräuche[[#Headers],[2030]],Refsz_Verbräuche[[#This Row],[2029]],"")))</f>
        <v/>
      </c>
      <c r="U155" s="124" t="str">
        <f>IF(Refsz_Verbräuche[[#Headers],[2035]]=$B$43,IF(OR(SUMIF($E155:Refsz_Verbräuche[[#This Row],[2030]],"&gt;0")&gt;0,), AVERAGEIF($E155:Refsz_Verbräuche[[#This Row],[2030]],"&lt;&gt;"""), ""),IF($B$43=(Refsz_Verbräuche[[#Headers],[2035]]-1),Refsz_Verbräuche[[#This Row],[2030]],IF($B$43&lt;Refsz_Verbräuche[[#Headers],[2035]],Refsz_Verbräuche[[#This Row],[2030]],"")))</f>
        <v/>
      </c>
      <c r="V155" s="124" t="str">
        <f>IF(Refsz_Verbräuche[[#Headers],[2040]]=$B$43,IF(OR(SUMIF($E155:Refsz_Verbräuche[[#This Row],[2035]],"&gt;0")&gt;0,), AVERAGEIF($E155:Refsz_Verbräuche[[#This Row],[2035]],"&lt;&gt;"""), ""),IF($B$43=(Refsz_Verbräuche[[#Headers],[2040]]-1),Refsz_Verbräuche[[#This Row],[2035]],IF($B$43&lt;Refsz_Verbräuche[[#Headers],[2040]],Refsz_Verbräuche[[#This Row],[2035]],"")))</f>
        <v/>
      </c>
      <c r="W155" s="124" t="str">
        <f>IF(Refsz_Verbräuche[[#Headers],[2045]]=$B$43,IF(OR(SUMIF($E155:Refsz_Verbräuche[[#This Row],[2040]],"&gt;0")&gt;0,), AVERAGEIF($E155:Refsz_Verbräuche[[#This Row],[2040]],"&lt;&gt;"""), ""),IF($B$43=(Refsz_Verbräuche[[#Headers],[2045]]-1),Refsz_Verbräuche[[#This Row],[2040]],IF($B$43&lt;Refsz_Verbräuche[[#Headers],[2045]],Refsz_Verbräuche[[#This Row],[2040]],"")))</f>
        <v/>
      </c>
      <c r="X155" s="124" t="str">
        <f>IF(Refsz_Verbräuche[[#Headers],[2050]]=$B$43,IF(OR(SUMIF($E155:Refsz_Verbräuche[[#This Row],[2045]],"&gt;0")&gt;0,), AVERAGEIF($E155:Refsz_Verbräuche[[#This Row],[2045]],"&lt;&gt;"""), ""),IF($B$43=(Refsz_Verbräuche[[#Headers],[2050]]-1),Refsz_Verbräuche[[#This Row],[2045]],IF($B$43&lt;Refsz_Verbräuche[[#Headers],[2050]],Refsz_Verbräuche[[#This Row],[2045]],"")))</f>
        <v/>
      </c>
      <c r="Z155" s="15"/>
    </row>
    <row r="156" spans="2:26" x14ac:dyDescent="0.35">
      <c r="B156" s="15">
        <v>96</v>
      </c>
      <c r="C156" s="9" t="s">
        <v>66</v>
      </c>
      <c r="D156" t="s">
        <v>193</v>
      </c>
      <c r="E156" s="124"/>
      <c r="F156" s="124"/>
      <c r="G156" s="124"/>
      <c r="H156" s="124"/>
      <c r="I156" s="124"/>
      <c r="J156" s="124"/>
      <c r="K156" s="124"/>
      <c r="L156" s="124" t="str">
        <f>IF(Refsz_Verbräuche[[#Headers],[2022]]=$B$43,IF(OR(SUMIF($E156:Refsz_Verbräuche[[#This Row],[2021]],"&gt;0")&gt;0,), AVERAGEIF($E156:Refsz_Verbräuche[[#This Row],[2021]],"&lt;&gt;"""), ""),IF($B$43=(Refsz_Verbräuche[[#Headers],[2022]]-1),Refsz_Verbräuche[[#This Row],[2021]],IF($B$43&lt;Refsz_Verbräuche[[#Headers],[2022]],Refsz_Verbräuche[[#This Row],[2021]],"")))</f>
        <v/>
      </c>
      <c r="M156" s="124" t="str">
        <f>IF(Refsz_Verbräuche[[#Headers],[2023]]=$B$43,IF(OR(SUMIF($E156:Refsz_Verbräuche[[#This Row],[2022]],"&gt;0")&gt;0,), AVERAGEIF($E156:Refsz_Verbräuche[[#This Row],[2022]],"&lt;&gt;"""), ""),IF($B$43=(Refsz_Verbräuche[[#Headers],[2023]]-1),Refsz_Verbräuche[[#This Row],[2022]],IF($B$43&lt;Refsz_Verbräuche[[#Headers],[2023]],Refsz_Verbräuche[[#This Row],[2022]],"")))</f>
        <v/>
      </c>
      <c r="N156" s="124" t="str">
        <f>IF(Refsz_Verbräuche[[#Headers],[2024]]=$B$43,IF(OR(SUMIF($E156:Refsz_Verbräuche[[#This Row],[2023]],"&gt;0")&gt;0,), AVERAGEIF($E156:Refsz_Verbräuche[[#This Row],[2023]],"&lt;&gt;"""), ""),IF($B$43=(Refsz_Verbräuche[[#Headers],[2024]]-1),Refsz_Verbräuche[[#This Row],[2023]],IF($B$43&lt;Refsz_Verbräuche[[#Headers],[2024]],Refsz_Verbräuche[[#This Row],[2023]],"")))</f>
        <v/>
      </c>
      <c r="O156" s="124" t="str">
        <f>IF(Refsz_Verbräuche[[#Headers],[2025]]=$B$43,IF(OR(SUMIF($E156:Refsz_Verbräuche[[#This Row],[2024]],"&gt;0")&gt;0,), AVERAGEIF($E156:Refsz_Verbräuche[[#This Row],[2024]],"&lt;&gt;"""), ""),IF($B$43=(Refsz_Verbräuche[[#Headers],[2025]]-1),Refsz_Verbräuche[[#This Row],[2024]],IF($B$43&lt;Refsz_Verbräuche[[#Headers],[2025]],Refsz_Verbräuche[[#This Row],[2024]],"")))</f>
        <v/>
      </c>
      <c r="P156" s="124" t="str">
        <f>IF(Refsz_Verbräuche[[#Headers],[2026]]=$B$43,IF(OR(SUMIF($E156:Refsz_Verbräuche[[#This Row],[2025]],"&gt;0")&gt;0,), AVERAGEIF($E156:Refsz_Verbräuche[[#This Row],[2025]],"&lt;&gt;"""), ""),IF($B$43=(Refsz_Verbräuche[[#Headers],[2026]]-1),Refsz_Verbräuche[[#This Row],[2025]],IF($B$43&lt;Refsz_Verbräuche[[#Headers],[2026]],Refsz_Verbräuche[[#This Row],[2025]],"")))</f>
        <v/>
      </c>
      <c r="Q156" s="124" t="str">
        <f>IF(Refsz_Verbräuche[[#Headers],[2027]]=$B$43,IF(OR(SUMIF($E156:Refsz_Verbräuche[[#This Row],[2026]],"&gt;0")&gt;0,), AVERAGEIF($E156:Refsz_Verbräuche[[#This Row],[2026]],"&lt;&gt;"""), ""),IF($B$43=(Refsz_Verbräuche[[#Headers],[2027]]-1),Refsz_Verbräuche[[#This Row],[2026]],IF($B$43&lt;Refsz_Verbräuche[[#Headers],[2027]],Refsz_Verbräuche[[#This Row],[2026]],"")))</f>
        <v/>
      </c>
      <c r="R156" s="124" t="str">
        <f>IF(Refsz_Verbräuche[[#Headers],[2028]]=$B$43,IF(OR(SUMIF($E156:Refsz_Verbräuche[[#This Row],[2027]],"&gt;0")&gt;0,), AVERAGEIF($E156:Refsz_Verbräuche[[#This Row],[2027]],"&lt;&gt;"""), ""),IF($B$43=(Refsz_Verbräuche[[#Headers],[2028]]-1),Refsz_Verbräuche[[#This Row],[2027]],IF($B$43&lt;Refsz_Verbräuche[[#Headers],[2028]],Refsz_Verbräuche[[#This Row],[2027]],"")))</f>
        <v/>
      </c>
      <c r="S156" s="124" t="str">
        <f>IF(Refsz_Verbräuche[[#Headers],[2029]]=$B$43,IF(OR(SUMIF($E156:Refsz_Verbräuche[[#This Row],[2028]],"&gt;0")&gt;0,), AVERAGEIF($E156:Refsz_Verbräuche[[#This Row],[2028]],"&lt;&gt;"""), ""),IF($B$43=(Refsz_Verbräuche[[#Headers],[2029]]-1),Refsz_Verbräuche[[#This Row],[2028]],IF($B$43&lt;Refsz_Verbräuche[[#Headers],[2029]],Refsz_Verbräuche[[#This Row],[2028]],"")))</f>
        <v/>
      </c>
      <c r="T156" s="124" t="str">
        <f>IF(Refsz_Verbräuche[[#Headers],[2030]]=$B$43,IF(OR(SUMIF($E156:Refsz_Verbräuche[[#This Row],[2029]],"&gt;0")&gt;0,), AVERAGEIF($E156:Refsz_Verbräuche[[#This Row],[2029]],"&lt;&gt;"""), ""),IF($B$43=(Refsz_Verbräuche[[#Headers],[2030]]-1),Refsz_Verbräuche[[#This Row],[2029]],IF($B$43&lt;Refsz_Verbräuche[[#Headers],[2030]],Refsz_Verbräuche[[#This Row],[2029]],"")))</f>
        <v/>
      </c>
      <c r="U156" s="124" t="str">
        <f>IF(Refsz_Verbräuche[[#Headers],[2035]]=$B$43,IF(OR(SUMIF($E156:Refsz_Verbräuche[[#This Row],[2030]],"&gt;0")&gt;0,), AVERAGEIF($E156:Refsz_Verbräuche[[#This Row],[2030]],"&lt;&gt;"""), ""),IF($B$43=(Refsz_Verbräuche[[#Headers],[2035]]-1),Refsz_Verbräuche[[#This Row],[2030]],IF($B$43&lt;Refsz_Verbräuche[[#Headers],[2035]],Refsz_Verbräuche[[#This Row],[2030]],"")))</f>
        <v/>
      </c>
      <c r="V156" s="124" t="str">
        <f>IF(Refsz_Verbräuche[[#Headers],[2040]]=$B$43,IF(OR(SUMIF($E156:Refsz_Verbräuche[[#This Row],[2035]],"&gt;0")&gt;0,), AVERAGEIF($E156:Refsz_Verbräuche[[#This Row],[2035]],"&lt;&gt;"""), ""),IF($B$43=(Refsz_Verbräuche[[#Headers],[2040]]-1),Refsz_Verbräuche[[#This Row],[2035]],IF($B$43&lt;Refsz_Verbräuche[[#Headers],[2040]],Refsz_Verbräuche[[#This Row],[2035]],"")))</f>
        <v/>
      </c>
      <c r="W156" s="124" t="str">
        <f>IF(Refsz_Verbräuche[[#Headers],[2045]]=$B$43,IF(OR(SUMIF($E156:Refsz_Verbräuche[[#This Row],[2040]],"&gt;0")&gt;0,), AVERAGEIF($E156:Refsz_Verbräuche[[#This Row],[2040]],"&lt;&gt;"""), ""),IF($B$43=(Refsz_Verbräuche[[#Headers],[2045]]-1),Refsz_Verbräuche[[#This Row],[2040]],IF($B$43&lt;Refsz_Verbräuche[[#Headers],[2045]],Refsz_Verbräuche[[#This Row],[2040]],"")))</f>
        <v/>
      </c>
      <c r="X156" s="124" t="str">
        <f>IF(Refsz_Verbräuche[[#Headers],[2050]]=$B$43,IF(OR(SUMIF($E156:Refsz_Verbräuche[[#This Row],[2045]],"&gt;0")&gt;0,), AVERAGEIF($E156:Refsz_Verbräuche[[#This Row],[2045]],"&lt;&gt;"""), ""),IF($B$43=(Refsz_Verbräuche[[#Headers],[2050]]-1),Refsz_Verbräuche[[#This Row],[2045]],IF($B$43&lt;Refsz_Verbräuche[[#Headers],[2050]],Refsz_Verbräuche[[#This Row],[2045]],"")))</f>
        <v/>
      </c>
      <c r="Z156" s="15"/>
    </row>
    <row r="157" spans="2:26" x14ac:dyDescent="0.35">
      <c r="B157" s="15">
        <v>97</v>
      </c>
      <c r="C157" s="9" t="s">
        <v>137</v>
      </c>
      <c r="D157" t="s">
        <v>193</v>
      </c>
      <c r="E157" s="124"/>
      <c r="F157" s="124"/>
      <c r="G157" s="124"/>
      <c r="H157" s="124"/>
      <c r="I157" s="124"/>
      <c r="J157" s="124"/>
      <c r="K157" s="124"/>
      <c r="L157" s="124" t="str">
        <f>IF(Refsz_Verbräuche[[#Headers],[2022]]=$B$43,IF(OR(SUMIF($E157:Refsz_Verbräuche[[#This Row],[2021]],"&gt;0")&gt;0,), AVERAGEIF($E157:Refsz_Verbräuche[[#This Row],[2021]],"&lt;&gt;"""), ""),IF($B$43=(Refsz_Verbräuche[[#Headers],[2022]]-1),Refsz_Verbräuche[[#This Row],[2021]],IF($B$43&lt;Refsz_Verbräuche[[#Headers],[2022]],Refsz_Verbräuche[[#This Row],[2021]],"")))</f>
        <v/>
      </c>
      <c r="M157" s="124" t="str">
        <f>IF(Refsz_Verbräuche[[#Headers],[2023]]=$B$43,IF(OR(SUMIF($E157:Refsz_Verbräuche[[#This Row],[2022]],"&gt;0")&gt;0,), AVERAGEIF($E157:Refsz_Verbräuche[[#This Row],[2022]],"&lt;&gt;"""), ""),IF($B$43=(Refsz_Verbräuche[[#Headers],[2023]]-1),Refsz_Verbräuche[[#This Row],[2022]],IF($B$43&lt;Refsz_Verbräuche[[#Headers],[2023]],Refsz_Verbräuche[[#This Row],[2022]],"")))</f>
        <v/>
      </c>
      <c r="N157" s="124" t="str">
        <f>IF(Refsz_Verbräuche[[#Headers],[2024]]=$B$43,IF(OR(SUMIF($E157:Refsz_Verbräuche[[#This Row],[2023]],"&gt;0")&gt;0,), AVERAGEIF($E157:Refsz_Verbräuche[[#This Row],[2023]],"&lt;&gt;"""), ""),IF($B$43=(Refsz_Verbräuche[[#Headers],[2024]]-1),Refsz_Verbräuche[[#This Row],[2023]],IF($B$43&lt;Refsz_Verbräuche[[#Headers],[2024]],Refsz_Verbräuche[[#This Row],[2023]],"")))</f>
        <v/>
      </c>
      <c r="O157" s="124" t="str">
        <f>IF(Refsz_Verbräuche[[#Headers],[2025]]=$B$43,IF(OR(SUMIF($E157:Refsz_Verbräuche[[#This Row],[2024]],"&gt;0")&gt;0,), AVERAGEIF($E157:Refsz_Verbräuche[[#This Row],[2024]],"&lt;&gt;"""), ""),IF($B$43=(Refsz_Verbräuche[[#Headers],[2025]]-1),Refsz_Verbräuche[[#This Row],[2024]],IF($B$43&lt;Refsz_Verbräuche[[#Headers],[2025]],Refsz_Verbräuche[[#This Row],[2024]],"")))</f>
        <v/>
      </c>
      <c r="P157" s="124" t="str">
        <f>IF(Refsz_Verbräuche[[#Headers],[2026]]=$B$43,IF(OR(SUMIF($E157:Refsz_Verbräuche[[#This Row],[2025]],"&gt;0")&gt;0,), AVERAGEIF($E157:Refsz_Verbräuche[[#This Row],[2025]],"&lt;&gt;"""), ""),IF($B$43=(Refsz_Verbräuche[[#Headers],[2026]]-1),Refsz_Verbräuche[[#This Row],[2025]],IF($B$43&lt;Refsz_Verbräuche[[#Headers],[2026]],Refsz_Verbräuche[[#This Row],[2025]],"")))</f>
        <v/>
      </c>
      <c r="Q157" s="124" t="str">
        <f>IF(Refsz_Verbräuche[[#Headers],[2027]]=$B$43,IF(OR(SUMIF($E157:Refsz_Verbräuche[[#This Row],[2026]],"&gt;0")&gt;0,), AVERAGEIF($E157:Refsz_Verbräuche[[#This Row],[2026]],"&lt;&gt;"""), ""),IF($B$43=(Refsz_Verbräuche[[#Headers],[2027]]-1),Refsz_Verbräuche[[#This Row],[2026]],IF($B$43&lt;Refsz_Verbräuche[[#Headers],[2027]],Refsz_Verbräuche[[#This Row],[2026]],"")))</f>
        <v/>
      </c>
      <c r="R157" s="124" t="str">
        <f>IF(Refsz_Verbräuche[[#Headers],[2028]]=$B$43,IF(OR(SUMIF($E157:Refsz_Verbräuche[[#This Row],[2027]],"&gt;0")&gt;0,), AVERAGEIF($E157:Refsz_Verbräuche[[#This Row],[2027]],"&lt;&gt;"""), ""),IF($B$43=(Refsz_Verbräuche[[#Headers],[2028]]-1),Refsz_Verbräuche[[#This Row],[2027]],IF($B$43&lt;Refsz_Verbräuche[[#Headers],[2028]],Refsz_Verbräuche[[#This Row],[2027]],"")))</f>
        <v/>
      </c>
      <c r="S157" s="124" t="str">
        <f>IF(Refsz_Verbräuche[[#Headers],[2029]]=$B$43,IF(OR(SUMIF($E157:Refsz_Verbräuche[[#This Row],[2028]],"&gt;0")&gt;0,), AVERAGEIF($E157:Refsz_Verbräuche[[#This Row],[2028]],"&lt;&gt;"""), ""),IF($B$43=(Refsz_Verbräuche[[#Headers],[2029]]-1),Refsz_Verbräuche[[#This Row],[2028]],IF($B$43&lt;Refsz_Verbräuche[[#Headers],[2029]],Refsz_Verbräuche[[#This Row],[2028]],"")))</f>
        <v/>
      </c>
      <c r="T157" s="124" t="str">
        <f>IF(Refsz_Verbräuche[[#Headers],[2030]]=$B$43,IF(OR(SUMIF($E157:Refsz_Verbräuche[[#This Row],[2029]],"&gt;0")&gt;0,), AVERAGEIF($E157:Refsz_Verbräuche[[#This Row],[2029]],"&lt;&gt;"""), ""),IF($B$43=(Refsz_Verbräuche[[#Headers],[2030]]-1),Refsz_Verbräuche[[#This Row],[2029]],IF($B$43&lt;Refsz_Verbräuche[[#Headers],[2030]],Refsz_Verbräuche[[#This Row],[2029]],"")))</f>
        <v/>
      </c>
      <c r="U157" s="124" t="str">
        <f>IF(Refsz_Verbräuche[[#Headers],[2035]]=$B$43,IF(OR(SUMIF($E157:Refsz_Verbräuche[[#This Row],[2030]],"&gt;0")&gt;0,), AVERAGEIF($E157:Refsz_Verbräuche[[#This Row],[2030]],"&lt;&gt;"""), ""),IF($B$43=(Refsz_Verbräuche[[#Headers],[2035]]-1),Refsz_Verbräuche[[#This Row],[2030]],IF($B$43&lt;Refsz_Verbräuche[[#Headers],[2035]],Refsz_Verbräuche[[#This Row],[2030]],"")))</f>
        <v/>
      </c>
      <c r="V157" s="124" t="str">
        <f>IF(Refsz_Verbräuche[[#Headers],[2040]]=$B$43,IF(OR(SUMIF($E157:Refsz_Verbräuche[[#This Row],[2035]],"&gt;0")&gt;0,), AVERAGEIF($E157:Refsz_Verbräuche[[#This Row],[2035]],"&lt;&gt;"""), ""),IF($B$43=(Refsz_Verbräuche[[#Headers],[2040]]-1),Refsz_Verbräuche[[#This Row],[2035]],IF($B$43&lt;Refsz_Verbräuche[[#Headers],[2040]],Refsz_Verbräuche[[#This Row],[2035]],"")))</f>
        <v/>
      </c>
      <c r="W157" s="124" t="str">
        <f>IF(Refsz_Verbräuche[[#Headers],[2045]]=$B$43,IF(OR(SUMIF($E157:Refsz_Verbräuche[[#This Row],[2040]],"&gt;0")&gt;0,), AVERAGEIF($E157:Refsz_Verbräuche[[#This Row],[2040]],"&lt;&gt;"""), ""),IF($B$43=(Refsz_Verbräuche[[#Headers],[2045]]-1),Refsz_Verbräuche[[#This Row],[2040]],IF($B$43&lt;Refsz_Verbräuche[[#Headers],[2045]],Refsz_Verbräuche[[#This Row],[2040]],"")))</f>
        <v/>
      </c>
      <c r="X157" s="124" t="str">
        <f>IF(Refsz_Verbräuche[[#Headers],[2050]]=$B$43,IF(OR(SUMIF($E157:Refsz_Verbräuche[[#This Row],[2045]],"&gt;0")&gt;0,), AVERAGEIF($E157:Refsz_Verbräuche[[#This Row],[2045]],"&lt;&gt;"""), ""),IF($B$43=(Refsz_Verbräuche[[#Headers],[2050]]-1),Refsz_Verbräuche[[#This Row],[2045]],IF($B$43&lt;Refsz_Verbräuche[[#Headers],[2050]],Refsz_Verbräuche[[#This Row],[2045]],"")))</f>
        <v/>
      </c>
      <c r="Z157" s="15"/>
    </row>
    <row r="158" spans="2:26" x14ac:dyDescent="0.35">
      <c r="B158" s="15">
        <v>98</v>
      </c>
      <c r="C158" s="9" t="s">
        <v>64</v>
      </c>
      <c r="D158" t="s">
        <v>193</v>
      </c>
      <c r="E158" s="124"/>
      <c r="F158" s="124"/>
      <c r="G158" s="124"/>
      <c r="H158" s="124"/>
      <c r="I158" s="124"/>
      <c r="J158" s="124"/>
      <c r="K158" s="124"/>
      <c r="L158" s="124" t="str">
        <f>IF(Refsz_Verbräuche[[#Headers],[2022]]=$B$43,IF(OR(SUMIF($E158:Refsz_Verbräuche[[#This Row],[2021]],"&gt;0")&gt;0,), AVERAGEIF($E158:Refsz_Verbräuche[[#This Row],[2021]],"&lt;&gt;"""), ""),IF($B$43=(Refsz_Verbräuche[[#Headers],[2022]]-1),Refsz_Verbräuche[[#This Row],[2021]],IF($B$43&lt;Refsz_Verbräuche[[#Headers],[2022]],Refsz_Verbräuche[[#This Row],[2021]],"")))</f>
        <v/>
      </c>
      <c r="M158" s="124" t="str">
        <f>IF(Refsz_Verbräuche[[#Headers],[2023]]=$B$43,IF(OR(SUMIF($E158:Refsz_Verbräuche[[#This Row],[2022]],"&gt;0")&gt;0,), AVERAGEIF($E158:Refsz_Verbräuche[[#This Row],[2022]],"&lt;&gt;"""), ""),IF($B$43=(Refsz_Verbräuche[[#Headers],[2023]]-1),Refsz_Verbräuche[[#This Row],[2022]],IF($B$43&lt;Refsz_Verbräuche[[#Headers],[2023]],Refsz_Verbräuche[[#This Row],[2022]],"")))</f>
        <v/>
      </c>
      <c r="N158" s="124" t="str">
        <f>IF(Refsz_Verbräuche[[#Headers],[2024]]=$B$43,IF(OR(SUMIF($E158:Refsz_Verbräuche[[#This Row],[2023]],"&gt;0")&gt;0,), AVERAGEIF($E158:Refsz_Verbräuche[[#This Row],[2023]],"&lt;&gt;"""), ""),IF($B$43=(Refsz_Verbräuche[[#Headers],[2024]]-1),Refsz_Verbräuche[[#This Row],[2023]],IF($B$43&lt;Refsz_Verbräuche[[#Headers],[2024]],Refsz_Verbräuche[[#This Row],[2023]],"")))</f>
        <v/>
      </c>
      <c r="O158" s="124" t="str">
        <f>IF(Refsz_Verbräuche[[#Headers],[2025]]=$B$43,IF(OR(SUMIF($E158:Refsz_Verbräuche[[#This Row],[2024]],"&gt;0")&gt;0,), AVERAGEIF($E158:Refsz_Verbräuche[[#This Row],[2024]],"&lt;&gt;"""), ""),IF($B$43=(Refsz_Verbräuche[[#Headers],[2025]]-1),Refsz_Verbräuche[[#This Row],[2024]],IF($B$43&lt;Refsz_Verbräuche[[#Headers],[2025]],Refsz_Verbräuche[[#This Row],[2024]],"")))</f>
        <v/>
      </c>
      <c r="P158" s="124" t="str">
        <f>IF(Refsz_Verbräuche[[#Headers],[2026]]=$B$43,IF(OR(SUMIF($E158:Refsz_Verbräuche[[#This Row],[2025]],"&gt;0")&gt;0,), AVERAGEIF($E158:Refsz_Verbräuche[[#This Row],[2025]],"&lt;&gt;"""), ""),IF($B$43=(Refsz_Verbräuche[[#Headers],[2026]]-1),Refsz_Verbräuche[[#This Row],[2025]],IF($B$43&lt;Refsz_Verbräuche[[#Headers],[2026]],Refsz_Verbräuche[[#This Row],[2025]],"")))</f>
        <v/>
      </c>
      <c r="Q158" s="124" t="str">
        <f>IF(Refsz_Verbräuche[[#Headers],[2027]]=$B$43,IF(OR(SUMIF($E158:Refsz_Verbräuche[[#This Row],[2026]],"&gt;0")&gt;0,), AVERAGEIF($E158:Refsz_Verbräuche[[#This Row],[2026]],"&lt;&gt;"""), ""),IF($B$43=(Refsz_Verbräuche[[#Headers],[2027]]-1),Refsz_Verbräuche[[#This Row],[2026]],IF($B$43&lt;Refsz_Verbräuche[[#Headers],[2027]],Refsz_Verbräuche[[#This Row],[2026]],"")))</f>
        <v/>
      </c>
      <c r="R158" s="124" t="str">
        <f>IF(Refsz_Verbräuche[[#Headers],[2028]]=$B$43,IF(OR(SUMIF($E158:Refsz_Verbräuche[[#This Row],[2027]],"&gt;0")&gt;0,), AVERAGEIF($E158:Refsz_Verbräuche[[#This Row],[2027]],"&lt;&gt;"""), ""),IF($B$43=(Refsz_Verbräuche[[#Headers],[2028]]-1),Refsz_Verbräuche[[#This Row],[2027]],IF($B$43&lt;Refsz_Verbräuche[[#Headers],[2028]],Refsz_Verbräuche[[#This Row],[2027]],"")))</f>
        <v/>
      </c>
      <c r="S158" s="124" t="str">
        <f>IF(Refsz_Verbräuche[[#Headers],[2029]]=$B$43,IF(OR(SUMIF($E158:Refsz_Verbräuche[[#This Row],[2028]],"&gt;0")&gt;0,), AVERAGEIF($E158:Refsz_Verbräuche[[#This Row],[2028]],"&lt;&gt;"""), ""),IF($B$43=(Refsz_Verbräuche[[#Headers],[2029]]-1),Refsz_Verbräuche[[#This Row],[2028]],IF($B$43&lt;Refsz_Verbräuche[[#Headers],[2029]],Refsz_Verbräuche[[#This Row],[2028]],"")))</f>
        <v/>
      </c>
      <c r="T158" s="124" t="str">
        <f>IF(Refsz_Verbräuche[[#Headers],[2030]]=$B$43,IF(OR(SUMIF($E158:Refsz_Verbräuche[[#This Row],[2029]],"&gt;0")&gt;0,), AVERAGEIF($E158:Refsz_Verbräuche[[#This Row],[2029]],"&lt;&gt;"""), ""),IF($B$43=(Refsz_Verbräuche[[#Headers],[2030]]-1),Refsz_Verbräuche[[#This Row],[2029]],IF($B$43&lt;Refsz_Verbräuche[[#Headers],[2030]],Refsz_Verbräuche[[#This Row],[2029]],"")))</f>
        <v/>
      </c>
      <c r="U158" s="124" t="str">
        <f>IF(Refsz_Verbräuche[[#Headers],[2035]]=$B$43,IF(OR(SUMIF($E158:Refsz_Verbräuche[[#This Row],[2030]],"&gt;0")&gt;0,), AVERAGEIF($E158:Refsz_Verbräuche[[#This Row],[2030]],"&lt;&gt;"""), ""),IF($B$43=(Refsz_Verbräuche[[#Headers],[2035]]-1),Refsz_Verbräuche[[#This Row],[2030]],IF($B$43&lt;Refsz_Verbräuche[[#Headers],[2035]],Refsz_Verbräuche[[#This Row],[2030]],"")))</f>
        <v/>
      </c>
      <c r="V158" s="124" t="str">
        <f>IF(Refsz_Verbräuche[[#Headers],[2040]]=$B$43,IF(OR(SUMIF($E158:Refsz_Verbräuche[[#This Row],[2035]],"&gt;0")&gt;0,), AVERAGEIF($E158:Refsz_Verbräuche[[#This Row],[2035]],"&lt;&gt;"""), ""),IF($B$43=(Refsz_Verbräuche[[#Headers],[2040]]-1),Refsz_Verbräuche[[#This Row],[2035]],IF($B$43&lt;Refsz_Verbräuche[[#Headers],[2040]],Refsz_Verbräuche[[#This Row],[2035]],"")))</f>
        <v/>
      </c>
      <c r="W158" s="124" t="str">
        <f>IF(Refsz_Verbräuche[[#Headers],[2045]]=$B$43,IF(OR(SUMIF($E158:Refsz_Verbräuche[[#This Row],[2040]],"&gt;0")&gt;0,), AVERAGEIF($E158:Refsz_Verbräuche[[#This Row],[2040]],"&lt;&gt;"""), ""),IF($B$43=(Refsz_Verbräuche[[#Headers],[2045]]-1),Refsz_Verbräuche[[#This Row],[2040]],IF($B$43&lt;Refsz_Verbräuche[[#Headers],[2045]],Refsz_Verbräuche[[#This Row],[2040]],"")))</f>
        <v/>
      </c>
      <c r="X158" s="124" t="str">
        <f>IF(Refsz_Verbräuche[[#Headers],[2050]]=$B$43,IF(OR(SUMIF($E158:Refsz_Verbräuche[[#This Row],[2045]],"&gt;0")&gt;0,), AVERAGEIF($E158:Refsz_Verbräuche[[#This Row],[2045]],"&lt;&gt;"""), ""),IF($B$43=(Refsz_Verbräuche[[#Headers],[2050]]-1),Refsz_Verbräuche[[#This Row],[2045]],IF($B$43&lt;Refsz_Verbräuche[[#Headers],[2050]],Refsz_Verbräuche[[#This Row],[2045]],"")))</f>
        <v/>
      </c>
      <c r="Z158" s="15"/>
    </row>
    <row r="159" spans="2:26" x14ac:dyDescent="0.35">
      <c r="B159" s="15">
        <v>99</v>
      </c>
      <c r="C159" s="9" t="s">
        <v>196</v>
      </c>
      <c r="D159" t="s">
        <v>193</v>
      </c>
      <c r="E159" s="124"/>
      <c r="F159" s="124"/>
      <c r="G159" s="124"/>
      <c r="H159" s="124"/>
      <c r="I159" s="124"/>
      <c r="J159" s="124"/>
      <c r="K159" s="124"/>
      <c r="L159" s="124" t="str">
        <f>IF(Refsz_Verbräuche[[#Headers],[2022]]=$B$43,IF(OR(SUMIF($E159:Refsz_Verbräuche[[#This Row],[2021]],"&gt;0")&gt;0,), AVERAGEIF($E159:Refsz_Verbräuche[[#This Row],[2021]],"&lt;&gt;"""), ""),IF($B$43=(Refsz_Verbräuche[[#Headers],[2022]]-1),Refsz_Verbräuche[[#This Row],[2021]],IF($B$43&lt;Refsz_Verbräuche[[#Headers],[2022]],Refsz_Verbräuche[[#This Row],[2021]],"")))</f>
        <v/>
      </c>
      <c r="M159" s="124" t="str">
        <f>IF(Refsz_Verbräuche[[#Headers],[2023]]=$B$43,IF(OR(SUMIF($E159:Refsz_Verbräuche[[#This Row],[2022]],"&gt;0")&gt;0,), AVERAGEIF($E159:Refsz_Verbräuche[[#This Row],[2022]],"&lt;&gt;"""), ""),IF($B$43=(Refsz_Verbräuche[[#Headers],[2023]]-1),Refsz_Verbräuche[[#This Row],[2022]],IF($B$43&lt;Refsz_Verbräuche[[#Headers],[2023]],Refsz_Verbräuche[[#This Row],[2022]],"")))</f>
        <v/>
      </c>
      <c r="N159" s="124" t="str">
        <f>IF(Refsz_Verbräuche[[#Headers],[2024]]=$B$43,IF(OR(SUMIF($E159:Refsz_Verbräuche[[#This Row],[2023]],"&gt;0")&gt;0,), AVERAGEIF($E159:Refsz_Verbräuche[[#This Row],[2023]],"&lt;&gt;"""), ""),IF($B$43=(Refsz_Verbräuche[[#Headers],[2024]]-1),Refsz_Verbräuche[[#This Row],[2023]],IF($B$43&lt;Refsz_Verbräuche[[#Headers],[2024]],Refsz_Verbräuche[[#This Row],[2023]],"")))</f>
        <v/>
      </c>
      <c r="O159" s="124" t="str">
        <f>IF(Refsz_Verbräuche[[#Headers],[2025]]=$B$43,IF(OR(SUMIF($E159:Refsz_Verbräuche[[#This Row],[2024]],"&gt;0")&gt;0,), AVERAGEIF($E159:Refsz_Verbräuche[[#This Row],[2024]],"&lt;&gt;"""), ""),IF($B$43=(Refsz_Verbräuche[[#Headers],[2025]]-1),Refsz_Verbräuche[[#This Row],[2024]],IF($B$43&lt;Refsz_Verbräuche[[#Headers],[2025]],Refsz_Verbräuche[[#This Row],[2024]],"")))</f>
        <v/>
      </c>
      <c r="P159" s="124" t="str">
        <f>IF(Refsz_Verbräuche[[#Headers],[2026]]=$B$43,IF(OR(SUMIF($E159:Refsz_Verbräuche[[#This Row],[2025]],"&gt;0")&gt;0,), AVERAGEIF($E159:Refsz_Verbräuche[[#This Row],[2025]],"&lt;&gt;"""), ""),IF($B$43=(Refsz_Verbräuche[[#Headers],[2026]]-1),Refsz_Verbräuche[[#This Row],[2025]],IF($B$43&lt;Refsz_Verbräuche[[#Headers],[2026]],Refsz_Verbräuche[[#This Row],[2025]],"")))</f>
        <v/>
      </c>
      <c r="Q159" s="124" t="str">
        <f>IF(Refsz_Verbräuche[[#Headers],[2027]]=$B$43,IF(OR(SUMIF($E159:Refsz_Verbräuche[[#This Row],[2026]],"&gt;0")&gt;0,), AVERAGEIF($E159:Refsz_Verbräuche[[#This Row],[2026]],"&lt;&gt;"""), ""),IF($B$43=(Refsz_Verbräuche[[#Headers],[2027]]-1),Refsz_Verbräuche[[#This Row],[2026]],IF($B$43&lt;Refsz_Verbräuche[[#Headers],[2027]],Refsz_Verbräuche[[#This Row],[2026]],"")))</f>
        <v/>
      </c>
      <c r="R159" s="124" t="str">
        <f>IF(Refsz_Verbräuche[[#Headers],[2028]]=$B$43,IF(OR(SUMIF($E159:Refsz_Verbräuche[[#This Row],[2027]],"&gt;0")&gt;0,), AVERAGEIF($E159:Refsz_Verbräuche[[#This Row],[2027]],"&lt;&gt;"""), ""),IF($B$43=(Refsz_Verbräuche[[#Headers],[2028]]-1),Refsz_Verbräuche[[#This Row],[2027]],IF($B$43&lt;Refsz_Verbräuche[[#Headers],[2028]],Refsz_Verbräuche[[#This Row],[2027]],"")))</f>
        <v/>
      </c>
      <c r="S159" s="124" t="str">
        <f>IF(Refsz_Verbräuche[[#Headers],[2029]]=$B$43,IF(OR(SUMIF($E159:Refsz_Verbräuche[[#This Row],[2028]],"&gt;0")&gt;0,), AVERAGEIF($E159:Refsz_Verbräuche[[#This Row],[2028]],"&lt;&gt;"""), ""),IF($B$43=(Refsz_Verbräuche[[#Headers],[2029]]-1),Refsz_Verbräuche[[#This Row],[2028]],IF($B$43&lt;Refsz_Verbräuche[[#Headers],[2029]],Refsz_Verbräuche[[#This Row],[2028]],"")))</f>
        <v/>
      </c>
      <c r="T159" s="124" t="str">
        <f>IF(Refsz_Verbräuche[[#Headers],[2030]]=$B$43,IF(OR(SUMIF($E159:Refsz_Verbräuche[[#This Row],[2029]],"&gt;0")&gt;0,), AVERAGEIF($E159:Refsz_Verbräuche[[#This Row],[2029]],"&lt;&gt;"""), ""),IF($B$43=(Refsz_Verbräuche[[#Headers],[2030]]-1),Refsz_Verbräuche[[#This Row],[2029]],IF($B$43&lt;Refsz_Verbräuche[[#Headers],[2030]],Refsz_Verbräuche[[#This Row],[2029]],"")))</f>
        <v/>
      </c>
      <c r="U159" s="124" t="str">
        <f>IF(Refsz_Verbräuche[[#Headers],[2035]]=$B$43,IF(OR(SUMIF($E159:Refsz_Verbräuche[[#This Row],[2030]],"&gt;0")&gt;0,), AVERAGEIF($E159:Refsz_Verbräuche[[#This Row],[2030]],"&lt;&gt;"""), ""),IF($B$43=(Refsz_Verbräuche[[#Headers],[2035]]-1),Refsz_Verbräuche[[#This Row],[2030]],IF($B$43&lt;Refsz_Verbräuche[[#Headers],[2035]],Refsz_Verbräuche[[#This Row],[2030]],"")))</f>
        <v/>
      </c>
      <c r="V159" s="124" t="str">
        <f>IF(Refsz_Verbräuche[[#Headers],[2040]]=$B$43,IF(OR(SUMIF($E159:Refsz_Verbräuche[[#This Row],[2035]],"&gt;0")&gt;0,), AVERAGEIF($E159:Refsz_Verbräuche[[#This Row],[2035]],"&lt;&gt;"""), ""),IF($B$43=(Refsz_Verbräuche[[#Headers],[2040]]-1),Refsz_Verbräuche[[#This Row],[2035]],IF($B$43&lt;Refsz_Verbräuche[[#Headers],[2040]],Refsz_Verbräuche[[#This Row],[2035]],"")))</f>
        <v/>
      </c>
      <c r="W159" s="124" t="str">
        <f>IF(Refsz_Verbräuche[[#Headers],[2045]]=$B$43,IF(OR(SUMIF($E159:Refsz_Verbräuche[[#This Row],[2040]],"&gt;0")&gt;0,), AVERAGEIF($E159:Refsz_Verbräuche[[#This Row],[2040]],"&lt;&gt;"""), ""),IF($B$43=(Refsz_Verbräuche[[#Headers],[2045]]-1),Refsz_Verbräuche[[#This Row],[2040]],IF($B$43&lt;Refsz_Verbräuche[[#Headers],[2045]],Refsz_Verbräuche[[#This Row],[2040]],"")))</f>
        <v/>
      </c>
      <c r="X159" s="124" t="str">
        <f>IF(Refsz_Verbräuche[[#Headers],[2050]]=$B$43,IF(OR(SUMIF($E159:Refsz_Verbräuche[[#This Row],[2045]],"&gt;0")&gt;0,), AVERAGEIF($E159:Refsz_Verbräuche[[#This Row],[2045]],"&lt;&gt;"""), ""),IF($B$43=(Refsz_Verbräuche[[#Headers],[2050]]-1),Refsz_Verbräuche[[#This Row],[2045]],IF($B$43&lt;Refsz_Verbräuche[[#Headers],[2050]],Refsz_Verbräuche[[#This Row],[2045]],"")))</f>
        <v/>
      </c>
      <c r="Z159" s="15"/>
    </row>
    <row r="160" spans="2:26" x14ac:dyDescent="0.35">
      <c r="B160" s="15">
        <v>100</v>
      </c>
      <c r="C160" s="27" t="s">
        <v>205</v>
      </c>
      <c r="D160" t="s">
        <v>193</v>
      </c>
      <c r="E160" s="124"/>
      <c r="F160" s="124"/>
      <c r="G160" s="124"/>
      <c r="H160" s="124"/>
      <c r="I160" s="124"/>
      <c r="J160" s="124"/>
      <c r="K160" s="124"/>
      <c r="L160" s="124" t="str">
        <f>IF(Refsz_Verbräuche[[#Headers],[2022]]=$B$43,IF(OR(SUMIF($E160:Refsz_Verbräuche[[#This Row],[2021]],"&gt;0")&gt;0,), AVERAGEIF($E160:Refsz_Verbräuche[[#This Row],[2021]],"&lt;&gt;"""), ""),IF($B$43=(Refsz_Verbräuche[[#Headers],[2022]]-1),Refsz_Verbräuche[[#This Row],[2021]],IF($B$43&lt;Refsz_Verbräuche[[#Headers],[2022]],Refsz_Verbräuche[[#This Row],[2021]],"")))</f>
        <v/>
      </c>
      <c r="M160" s="124" t="str">
        <f>IF(Refsz_Verbräuche[[#Headers],[2023]]=$B$43,IF(OR(SUMIF($E160:Refsz_Verbräuche[[#This Row],[2022]],"&gt;0")&gt;0,), AVERAGEIF($E160:Refsz_Verbräuche[[#This Row],[2022]],"&lt;&gt;"""), ""),IF($B$43=(Refsz_Verbräuche[[#Headers],[2023]]-1),Refsz_Verbräuche[[#This Row],[2022]],IF($B$43&lt;Refsz_Verbräuche[[#Headers],[2023]],Refsz_Verbräuche[[#This Row],[2022]],"")))</f>
        <v/>
      </c>
      <c r="N160" s="124" t="str">
        <f>IF(Refsz_Verbräuche[[#Headers],[2024]]=$B$43,IF(OR(SUMIF($E160:Refsz_Verbräuche[[#This Row],[2023]],"&gt;0")&gt;0,), AVERAGEIF($E160:Refsz_Verbräuche[[#This Row],[2023]],"&lt;&gt;"""), ""),IF($B$43=(Refsz_Verbräuche[[#Headers],[2024]]-1),Refsz_Verbräuche[[#This Row],[2023]],IF($B$43&lt;Refsz_Verbräuche[[#Headers],[2024]],Refsz_Verbräuche[[#This Row],[2023]],"")))</f>
        <v/>
      </c>
      <c r="O160" s="124" t="str">
        <f>IF(Refsz_Verbräuche[[#Headers],[2025]]=$B$43,IF(OR(SUMIF($E160:Refsz_Verbräuche[[#This Row],[2024]],"&gt;0")&gt;0,), AVERAGEIF($E160:Refsz_Verbräuche[[#This Row],[2024]],"&lt;&gt;"""), ""),IF($B$43=(Refsz_Verbräuche[[#Headers],[2025]]-1),Refsz_Verbräuche[[#This Row],[2024]],IF($B$43&lt;Refsz_Verbräuche[[#Headers],[2025]],Refsz_Verbräuche[[#This Row],[2024]],"")))</f>
        <v/>
      </c>
      <c r="P160" s="124" t="str">
        <f>IF(Refsz_Verbräuche[[#Headers],[2026]]=$B$43,IF(OR(SUMIF($E160:Refsz_Verbräuche[[#This Row],[2025]],"&gt;0")&gt;0,), AVERAGEIF($E160:Refsz_Verbräuche[[#This Row],[2025]],"&lt;&gt;"""), ""),IF($B$43=(Refsz_Verbräuche[[#Headers],[2026]]-1),Refsz_Verbräuche[[#This Row],[2025]],IF($B$43&lt;Refsz_Verbräuche[[#Headers],[2026]],Refsz_Verbräuche[[#This Row],[2025]],"")))</f>
        <v/>
      </c>
      <c r="Q160" s="124" t="str">
        <f>IF(Refsz_Verbräuche[[#Headers],[2027]]=$B$43,IF(OR(SUMIF($E160:Refsz_Verbräuche[[#This Row],[2026]],"&gt;0")&gt;0,), AVERAGEIF($E160:Refsz_Verbräuche[[#This Row],[2026]],"&lt;&gt;"""), ""),IF($B$43=(Refsz_Verbräuche[[#Headers],[2027]]-1),Refsz_Verbräuche[[#This Row],[2026]],IF($B$43&lt;Refsz_Verbräuche[[#Headers],[2027]],Refsz_Verbräuche[[#This Row],[2026]],"")))</f>
        <v/>
      </c>
      <c r="R160" s="124" t="str">
        <f>IF(Refsz_Verbräuche[[#Headers],[2028]]=$B$43,IF(OR(SUMIF($E160:Refsz_Verbräuche[[#This Row],[2027]],"&gt;0")&gt;0,), AVERAGEIF($E160:Refsz_Verbräuche[[#This Row],[2027]],"&lt;&gt;"""), ""),IF($B$43=(Refsz_Verbräuche[[#Headers],[2028]]-1),Refsz_Verbräuche[[#This Row],[2027]],IF($B$43&lt;Refsz_Verbräuche[[#Headers],[2028]],Refsz_Verbräuche[[#This Row],[2027]],"")))</f>
        <v/>
      </c>
      <c r="S160" s="124" t="str">
        <f>IF(Refsz_Verbräuche[[#Headers],[2029]]=$B$43,IF(OR(SUMIF($E160:Refsz_Verbräuche[[#This Row],[2028]],"&gt;0")&gt;0,), AVERAGEIF($E160:Refsz_Verbräuche[[#This Row],[2028]],"&lt;&gt;"""), ""),IF($B$43=(Refsz_Verbräuche[[#Headers],[2029]]-1),Refsz_Verbräuche[[#This Row],[2028]],IF($B$43&lt;Refsz_Verbräuche[[#Headers],[2029]],Refsz_Verbräuche[[#This Row],[2028]],"")))</f>
        <v/>
      </c>
      <c r="T160" s="124" t="str">
        <f>IF(Refsz_Verbräuche[[#Headers],[2030]]=$B$43,IF(OR(SUMIF($E160:Refsz_Verbräuche[[#This Row],[2029]],"&gt;0")&gt;0,), AVERAGEIF($E160:Refsz_Verbräuche[[#This Row],[2029]],"&lt;&gt;"""), ""),IF($B$43=(Refsz_Verbräuche[[#Headers],[2030]]-1),Refsz_Verbräuche[[#This Row],[2029]],IF($B$43&lt;Refsz_Verbräuche[[#Headers],[2030]],Refsz_Verbräuche[[#This Row],[2029]],"")))</f>
        <v/>
      </c>
      <c r="U160" s="124" t="str">
        <f>IF(Refsz_Verbräuche[[#Headers],[2035]]=$B$43,IF(OR(SUMIF($E160:Refsz_Verbräuche[[#This Row],[2030]],"&gt;0")&gt;0,), AVERAGEIF($E160:Refsz_Verbräuche[[#This Row],[2030]],"&lt;&gt;"""), ""),IF($B$43=(Refsz_Verbräuche[[#Headers],[2035]]-1),Refsz_Verbräuche[[#This Row],[2030]],IF($B$43&lt;Refsz_Verbräuche[[#Headers],[2035]],Refsz_Verbräuche[[#This Row],[2030]],"")))</f>
        <v/>
      </c>
      <c r="V160" s="124" t="str">
        <f>IF(Refsz_Verbräuche[[#Headers],[2040]]=$B$43,IF(OR(SUMIF($E160:Refsz_Verbräuche[[#This Row],[2035]],"&gt;0")&gt;0,), AVERAGEIF($E160:Refsz_Verbräuche[[#This Row],[2035]],"&lt;&gt;"""), ""),IF($B$43=(Refsz_Verbräuche[[#Headers],[2040]]-1),Refsz_Verbräuche[[#This Row],[2035]],IF($B$43&lt;Refsz_Verbräuche[[#Headers],[2040]],Refsz_Verbräuche[[#This Row],[2035]],"")))</f>
        <v/>
      </c>
      <c r="W160" s="124" t="str">
        <f>IF(Refsz_Verbräuche[[#Headers],[2045]]=$B$43,IF(OR(SUMIF($E160:Refsz_Verbräuche[[#This Row],[2040]],"&gt;0")&gt;0,), AVERAGEIF($E160:Refsz_Verbräuche[[#This Row],[2040]],"&lt;&gt;"""), ""),IF($B$43=(Refsz_Verbräuche[[#Headers],[2045]]-1),Refsz_Verbräuche[[#This Row],[2040]],IF($B$43&lt;Refsz_Verbräuche[[#Headers],[2045]],Refsz_Verbräuche[[#This Row],[2040]],"")))</f>
        <v/>
      </c>
      <c r="X160" s="124" t="str">
        <f>IF(Refsz_Verbräuche[[#Headers],[2050]]=$B$43,IF(OR(SUMIF($E160:Refsz_Verbräuche[[#This Row],[2045]],"&gt;0")&gt;0,), AVERAGEIF($E160:Refsz_Verbräuche[[#This Row],[2045]],"&lt;&gt;"""), ""),IF($B$43=(Refsz_Verbräuche[[#Headers],[2050]]-1),Refsz_Verbräuche[[#This Row],[2045]],IF($B$43&lt;Refsz_Verbräuche[[#Headers],[2050]],Refsz_Verbräuche[[#This Row],[2045]],"")))</f>
        <v/>
      </c>
      <c r="Z160" s="15"/>
    </row>
    <row r="161" spans="2:26" x14ac:dyDescent="0.35">
      <c r="B161" s="15">
        <v>101</v>
      </c>
      <c r="C161" s="27" t="s">
        <v>206</v>
      </c>
      <c r="D161" t="s">
        <v>193</v>
      </c>
      <c r="E161" s="124"/>
      <c r="F161" s="124"/>
      <c r="G161" s="124"/>
      <c r="H161" s="124"/>
      <c r="I161" s="124"/>
      <c r="J161" s="124"/>
      <c r="K161" s="124"/>
      <c r="L161" s="124" t="str">
        <f>IF(Refsz_Verbräuche[[#Headers],[2022]]=$B$43,IF(OR(SUMIF($E161:Refsz_Verbräuche[[#This Row],[2021]],"&gt;0")&gt;0,), AVERAGEIF($E161:Refsz_Verbräuche[[#This Row],[2021]],"&lt;&gt;"""), ""),IF($B$43=(Refsz_Verbräuche[[#Headers],[2022]]-1),Refsz_Verbräuche[[#This Row],[2021]],IF($B$43&lt;Refsz_Verbräuche[[#Headers],[2022]],Refsz_Verbräuche[[#This Row],[2021]],"")))</f>
        <v/>
      </c>
      <c r="M161" s="124" t="str">
        <f>IF(Refsz_Verbräuche[[#Headers],[2023]]=$B$43,IF(OR(SUMIF($E161:Refsz_Verbräuche[[#This Row],[2022]],"&gt;0")&gt;0,), AVERAGEIF($E161:Refsz_Verbräuche[[#This Row],[2022]],"&lt;&gt;"""), ""),IF($B$43=(Refsz_Verbräuche[[#Headers],[2023]]-1),Refsz_Verbräuche[[#This Row],[2022]],IF($B$43&lt;Refsz_Verbräuche[[#Headers],[2023]],Refsz_Verbräuche[[#This Row],[2022]],"")))</f>
        <v/>
      </c>
      <c r="N161" s="124" t="str">
        <f>IF(Refsz_Verbräuche[[#Headers],[2024]]=$B$43,IF(OR(SUMIF($E161:Refsz_Verbräuche[[#This Row],[2023]],"&gt;0")&gt;0,), AVERAGEIF($E161:Refsz_Verbräuche[[#This Row],[2023]],"&lt;&gt;"""), ""),IF($B$43=(Refsz_Verbräuche[[#Headers],[2024]]-1),Refsz_Verbräuche[[#This Row],[2023]],IF($B$43&lt;Refsz_Verbräuche[[#Headers],[2024]],Refsz_Verbräuche[[#This Row],[2023]],"")))</f>
        <v/>
      </c>
      <c r="O161" s="124" t="str">
        <f>IF(Refsz_Verbräuche[[#Headers],[2025]]=$B$43,IF(OR(SUMIF($E161:Refsz_Verbräuche[[#This Row],[2024]],"&gt;0")&gt;0,), AVERAGEIF($E161:Refsz_Verbräuche[[#This Row],[2024]],"&lt;&gt;"""), ""),IF($B$43=(Refsz_Verbräuche[[#Headers],[2025]]-1),Refsz_Verbräuche[[#This Row],[2024]],IF($B$43&lt;Refsz_Verbräuche[[#Headers],[2025]],Refsz_Verbräuche[[#This Row],[2024]],"")))</f>
        <v/>
      </c>
      <c r="P161" s="124" t="str">
        <f>IF(Refsz_Verbräuche[[#Headers],[2026]]=$B$43,IF(OR(SUMIF($E161:Refsz_Verbräuche[[#This Row],[2025]],"&gt;0")&gt;0,), AVERAGEIF($E161:Refsz_Verbräuche[[#This Row],[2025]],"&lt;&gt;"""), ""),IF($B$43=(Refsz_Verbräuche[[#Headers],[2026]]-1),Refsz_Verbräuche[[#This Row],[2025]],IF($B$43&lt;Refsz_Verbräuche[[#Headers],[2026]],Refsz_Verbräuche[[#This Row],[2025]],"")))</f>
        <v/>
      </c>
      <c r="Q161" s="124" t="str">
        <f>IF(Refsz_Verbräuche[[#Headers],[2027]]=$B$43,IF(OR(SUMIF($E161:Refsz_Verbräuche[[#This Row],[2026]],"&gt;0")&gt;0,), AVERAGEIF($E161:Refsz_Verbräuche[[#This Row],[2026]],"&lt;&gt;"""), ""),IF($B$43=(Refsz_Verbräuche[[#Headers],[2027]]-1),Refsz_Verbräuche[[#This Row],[2026]],IF($B$43&lt;Refsz_Verbräuche[[#Headers],[2027]],Refsz_Verbräuche[[#This Row],[2026]],"")))</f>
        <v/>
      </c>
      <c r="R161" s="124" t="str">
        <f>IF(Refsz_Verbräuche[[#Headers],[2028]]=$B$43,IF(OR(SUMIF($E161:Refsz_Verbräuche[[#This Row],[2027]],"&gt;0")&gt;0,), AVERAGEIF($E161:Refsz_Verbräuche[[#This Row],[2027]],"&lt;&gt;"""), ""),IF($B$43=(Refsz_Verbräuche[[#Headers],[2028]]-1),Refsz_Verbräuche[[#This Row],[2027]],IF($B$43&lt;Refsz_Verbräuche[[#Headers],[2028]],Refsz_Verbräuche[[#This Row],[2027]],"")))</f>
        <v/>
      </c>
      <c r="S161" s="124" t="str">
        <f>IF(Refsz_Verbräuche[[#Headers],[2029]]=$B$43,IF(OR(SUMIF($E161:Refsz_Verbräuche[[#This Row],[2028]],"&gt;0")&gt;0,), AVERAGEIF($E161:Refsz_Verbräuche[[#This Row],[2028]],"&lt;&gt;"""), ""),IF($B$43=(Refsz_Verbräuche[[#Headers],[2029]]-1),Refsz_Verbräuche[[#This Row],[2028]],IF($B$43&lt;Refsz_Verbräuche[[#Headers],[2029]],Refsz_Verbräuche[[#This Row],[2028]],"")))</f>
        <v/>
      </c>
      <c r="T161" s="124" t="str">
        <f>IF(Refsz_Verbräuche[[#Headers],[2030]]=$B$43,IF(OR(SUMIF($E161:Refsz_Verbräuche[[#This Row],[2029]],"&gt;0")&gt;0,), AVERAGEIF($E161:Refsz_Verbräuche[[#This Row],[2029]],"&lt;&gt;"""), ""),IF($B$43=(Refsz_Verbräuche[[#Headers],[2030]]-1),Refsz_Verbräuche[[#This Row],[2029]],IF($B$43&lt;Refsz_Verbräuche[[#Headers],[2030]],Refsz_Verbräuche[[#This Row],[2029]],"")))</f>
        <v/>
      </c>
      <c r="U161" s="124" t="str">
        <f>IF(Refsz_Verbräuche[[#Headers],[2035]]=$B$43,IF(OR(SUMIF($E161:Refsz_Verbräuche[[#This Row],[2030]],"&gt;0")&gt;0,), AVERAGEIF($E161:Refsz_Verbräuche[[#This Row],[2030]],"&lt;&gt;"""), ""),IF($B$43=(Refsz_Verbräuche[[#Headers],[2035]]-1),Refsz_Verbräuche[[#This Row],[2030]],IF($B$43&lt;Refsz_Verbräuche[[#Headers],[2035]],Refsz_Verbräuche[[#This Row],[2030]],"")))</f>
        <v/>
      </c>
      <c r="V161" s="124" t="str">
        <f>IF(Refsz_Verbräuche[[#Headers],[2040]]=$B$43,IF(OR(SUMIF($E161:Refsz_Verbräuche[[#This Row],[2035]],"&gt;0")&gt;0,), AVERAGEIF($E161:Refsz_Verbräuche[[#This Row],[2035]],"&lt;&gt;"""), ""),IF($B$43=(Refsz_Verbräuche[[#Headers],[2040]]-1),Refsz_Verbräuche[[#This Row],[2035]],IF($B$43&lt;Refsz_Verbräuche[[#Headers],[2040]],Refsz_Verbräuche[[#This Row],[2035]],"")))</f>
        <v/>
      </c>
      <c r="W161" s="124" t="str">
        <f>IF(Refsz_Verbräuche[[#Headers],[2045]]=$B$43,IF(OR(SUMIF($E161:Refsz_Verbräuche[[#This Row],[2040]],"&gt;0")&gt;0,), AVERAGEIF($E161:Refsz_Verbräuche[[#This Row],[2040]],"&lt;&gt;"""), ""),IF($B$43=(Refsz_Verbräuche[[#Headers],[2045]]-1),Refsz_Verbräuche[[#This Row],[2040]],IF($B$43&lt;Refsz_Verbräuche[[#Headers],[2045]],Refsz_Verbräuche[[#This Row],[2040]],"")))</f>
        <v/>
      </c>
      <c r="X161" s="124" t="str">
        <f>IF(Refsz_Verbräuche[[#Headers],[2050]]=$B$43,IF(OR(SUMIF($E161:Refsz_Verbräuche[[#This Row],[2045]],"&gt;0")&gt;0,), AVERAGEIF($E161:Refsz_Verbräuche[[#This Row],[2045]],"&lt;&gt;"""), ""),IF($B$43=(Refsz_Verbräuche[[#Headers],[2050]]-1),Refsz_Verbräuche[[#This Row],[2045]],IF($B$43&lt;Refsz_Verbräuche[[#Headers],[2050]],Refsz_Verbräuche[[#This Row],[2045]],"")))</f>
        <v/>
      </c>
      <c r="Z161" s="15"/>
    </row>
    <row r="162" spans="2:26" x14ac:dyDescent="0.35">
      <c r="B162" s="15">
        <v>102</v>
      </c>
      <c r="C162" s="27" t="s">
        <v>207</v>
      </c>
      <c r="D162" t="s">
        <v>193</v>
      </c>
      <c r="E162" s="124"/>
      <c r="F162" s="124"/>
      <c r="G162" s="124"/>
      <c r="H162" s="124"/>
      <c r="I162" s="124"/>
      <c r="J162" s="124"/>
      <c r="K162" s="124"/>
      <c r="L162" s="124" t="str">
        <f>IF(Refsz_Verbräuche[[#Headers],[2022]]=$B$43,IF(OR(SUMIF($E162:Refsz_Verbräuche[[#This Row],[2021]],"&gt;0")&gt;0,), AVERAGEIF($E162:Refsz_Verbräuche[[#This Row],[2021]],"&lt;&gt;"""), ""),IF($B$43=(Refsz_Verbräuche[[#Headers],[2022]]-1),Refsz_Verbräuche[[#This Row],[2021]],IF($B$43&lt;Refsz_Verbräuche[[#Headers],[2022]],Refsz_Verbräuche[[#This Row],[2021]],"")))</f>
        <v/>
      </c>
      <c r="M162" s="124" t="str">
        <f>IF(Refsz_Verbräuche[[#Headers],[2023]]=$B$43,IF(OR(SUMIF($E162:Refsz_Verbräuche[[#This Row],[2022]],"&gt;0")&gt;0,), AVERAGEIF($E162:Refsz_Verbräuche[[#This Row],[2022]],"&lt;&gt;"""), ""),IF($B$43=(Refsz_Verbräuche[[#Headers],[2023]]-1),Refsz_Verbräuche[[#This Row],[2022]],IF($B$43&lt;Refsz_Verbräuche[[#Headers],[2023]],Refsz_Verbräuche[[#This Row],[2022]],"")))</f>
        <v/>
      </c>
      <c r="N162" s="124" t="str">
        <f>IF(Refsz_Verbräuche[[#Headers],[2024]]=$B$43,IF(OR(SUMIF($E162:Refsz_Verbräuche[[#This Row],[2023]],"&gt;0")&gt;0,), AVERAGEIF($E162:Refsz_Verbräuche[[#This Row],[2023]],"&lt;&gt;"""), ""),IF($B$43=(Refsz_Verbräuche[[#Headers],[2024]]-1),Refsz_Verbräuche[[#This Row],[2023]],IF($B$43&lt;Refsz_Verbräuche[[#Headers],[2024]],Refsz_Verbräuche[[#This Row],[2023]],"")))</f>
        <v/>
      </c>
      <c r="O162" s="124" t="str">
        <f>IF(Refsz_Verbräuche[[#Headers],[2025]]=$B$43,IF(OR(SUMIF($E162:Refsz_Verbräuche[[#This Row],[2024]],"&gt;0")&gt;0,), AVERAGEIF($E162:Refsz_Verbräuche[[#This Row],[2024]],"&lt;&gt;"""), ""),IF($B$43=(Refsz_Verbräuche[[#Headers],[2025]]-1),Refsz_Verbräuche[[#This Row],[2024]],IF($B$43&lt;Refsz_Verbräuche[[#Headers],[2025]],Refsz_Verbräuche[[#This Row],[2024]],"")))</f>
        <v/>
      </c>
      <c r="P162" s="124" t="str">
        <f>IF(Refsz_Verbräuche[[#Headers],[2026]]=$B$43,IF(OR(SUMIF($E162:Refsz_Verbräuche[[#This Row],[2025]],"&gt;0")&gt;0,), AVERAGEIF($E162:Refsz_Verbräuche[[#This Row],[2025]],"&lt;&gt;"""), ""),IF($B$43=(Refsz_Verbräuche[[#Headers],[2026]]-1),Refsz_Verbräuche[[#This Row],[2025]],IF($B$43&lt;Refsz_Verbräuche[[#Headers],[2026]],Refsz_Verbräuche[[#This Row],[2025]],"")))</f>
        <v/>
      </c>
      <c r="Q162" s="124" t="str">
        <f>IF(Refsz_Verbräuche[[#Headers],[2027]]=$B$43,IF(OR(SUMIF($E162:Refsz_Verbräuche[[#This Row],[2026]],"&gt;0")&gt;0,), AVERAGEIF($E162:Refsz_Verbräuche[[#This Row],[2026]],"&lt;&gt;"""), ""),IF($B$43=(Refsz_Verbräuche[[#Headers],[2027]]-1),Refsz_Verbräuche[[#This Row],[2026]],IF($B$43&lt;Refsz_Verbräuche[[#Headers],[2027]],Refsz_Verbräuche[[#This Row],[2026]],"")))</f>
        <v/>
      </c>
      <c r="R162" s="124" t="str">
        <f>IF(Refsz_Verbräuche[[#Headers],[2028]]=$B$43,IF(OR(SUMIF($E162:Refsz_Verbräuche[[#This Row],[2027]],"&gt;0")&gt;0,), AVERAGEIF($E162:Refsz_Verbräuche[[#This Row],[2027]],"&lt;&gt;"""), ""),IF($B$43=(Refsz_Verbräuche[[#Headers],[2028]]-1),Refsz_Verbräuche[[#This Row],[2027]],IF($B$43&lt;Refsz_Verbräuche[[#Headers],[2028]],Refsz_Verbräuche[[#This Row],[2027]],"")))</f>
        <v/>
      </c>
      <c r="S162" s="124" t="str">
        <f>IF(Refsz_Verbräuche[[#Headers],[2029]]=$B$43,IF(OR(SUMIF($E162:Refsz_Verbräuche[[#This Row],[2028]],"&gt;0")&gt;0,), AVERAGEIF($E162:Refsz_Verbräuche[[#This Row],[2028]],"&lt;&gt;"""), ""),IF($B$43=(Refsz_Verbräuche[[#Headers],[2029]]-1),Refsz_Verbräuche[[#This Row],[2028]],IF($B$43&lt;Refsz_Verbräuche[[#Headers],[2029]],Refsz_Verbräuche[[#This Row],[2028]],"")))</f>
        <v/>
      </c>
      <c r="T162" s="124" t="str">
        <f>IF(Refsz_Verbräuche[[#Headers],[2030]]=$B$43,IF(OR(SUMIF($E162:Refsz_Verbräuche[[#This Row],[2029]],"&gt;0")&gt;0,), AVERAGEIF($E162:Refsz_Verbräuche[[#This Row],[2029]],"&lt;&gt;"""), ""),IF($B$43=(Refsz_Verbräuche[[#Headers],[2030]]-1),Refsz_Verbräuche[[#This Row],[2029]],IF($B$43&lt;Refsz_Verbräuche[[#Headers],[2030]],Refsz_Verbräuche[[#This Row],[2029]],"")))</f>
        <v/>
      </c>
      <c r="U162" s="124" t="str">
        <f>IF(Refsz_Verbräuche[[#Headers],[2035]]=$B$43,IF(OR(SUMIF($E162:Refsz_Verbräuche[[#This Row],[2030]],"&gt;0")&gt;0,), AVERAGEIF($E162:Refsz_Verbräuche[[#This Row],[2030]],"&lt;&gt;"""), ""),IF($B$43=(Refsz_Verbräuche[[#Headers],[2035]]-1),Refsz_Verbräuche[[#This Row],[2030]],IF($B$43&lt;Refsz_Verbräuche[[#Headers],[2035]],Refsz_Verbräuche[[#This Row],[2030]],"")))</f>
        <v/>
      </c>
      <c r="V162" s="124" t="str">
        <f>IF(Refsz_Verbräuche[[#Headers],[2040]]=$B$43,IF(OR(SUMIF($E162:Refsz_Verbräuche[[#This Row],[2035]],"&gt;0")&gt;0,), AVERAGEIF($E162:Refsz_Verbräuche[[#This Row],[2035]],"&lt;&gt;"""), ""),IF($B$43=(Refsz_Verbräuche[[#Headers],[2040]]-1),Refsz_Verbräuche[[#This Row],[2035]],IF($B$43&lt;Refsz_Verbräuche[[#Headers],[2040]],Refsz_Verbräuche[[#This Row],[2035]],"")))</f>
        <v/>
      </c>
      <c r="W162" s="124" t="str">
        <f>IF(Refsz_Verbräuche[[#Headers],[2045]]=$B$43,IF(OR(SUMIF($E162:Refsz_Verbräuche[[#This Row],[2040]],"&gt;0")&gt;0,), AVERAGEIF($E162:Refsz_Verbräuche[[#This Row],[2040]],"&lt;&gt;"""), ""),IF($B$43=(Refsz_Verbräuche[[#Headers],[2045]]-1),Refsz_Verbräuche[[#This Row],[2040]],IF($B$43&lt;Refsz_Verbräuche[[#Headers],[2045]],Refsz_Verbräuche[[#This Row],[2040]],"")))</f>
        <v/>
      </c>
      <c r="X162" s="124" t="str">
        <f>IF(Refsz_Verbräuche[[#Headers],[2050]]=$B$43,IF(OR(SUMIF($E162:Refsz_Verbräuche[[#This Row],[2045]],"&gt;0")&gt;0,), AVERAGEIF($E162:Refsz_Verbräuche[[#This Row],[2045]],"&lt;&gt;"""), ""),IF($B$43=(Refsz_Verbräuche[[#Headers],[2050]]-1),Refsz_Verbräuche[[#This Row],[2045]],IF($B$43&lt;Refsz_Verbräuche[[#Headers],[2050]],Refsz_Verbräuche[[#This Row],[2045]],"")))</f>
        <v/>
      </c>
      <c r="Z162" s="15"/>
    </row>
    <row r="163" spans="2:26" x14ac:dyDescent="0.35">
      <c r="B163" s="15">
        <v>103</v>
      </c>
      <c r="C163" s="9" t="s">
        <v>65</v>
      </c>
      <c r="D163" s="9" t="s">
        <v>193</v>
      </c>
      <c r="E163" s="124"/>
      <c r="F163" s="124"/>
      <c r="G163" s="124"/>
      <c r="H163" s="124"/>
      <c r="I163" s="124"/>
      <c r="J163" s="124"/>
      <c r="K163" s="124"/>
      <c r="L163" s="124" t="str">
        <f>IF(Refsz_Verbräuche[[#Headers],[2022]]=$B$43,IF(OR(SUMIF($E163:Refsz_Verbräuche[[#This Row],[2021]],"&gt;0")&gt;0,), AVERAGEIF($E163:Refsz_Verbräuche[[#This Row],[2021]],"&lt;&gt;"""), ""),IF($B$43=(Refsz_Verbräuche[[#Headers],[2022]]-1),Refsz_Verbräuche[[#This Row],[2021]],IF($B$43&lt;Refsz_Verbräuche[[#Headers],[2022]],Refsz_Verbräuche[[#This Row],[2021]],"")))</f>
        <v/>
      </c>
      <c r="M163" s="124" t="str">
        <f>IF(Refsz_Verbräuche[[#Headers],[2023]]=$B$43,IF(OR(SUMIF($E163:Refsz_Verbräuche[[#This Row],[2022]],"&gt;0")&gt;0,), AVERAGEIF($E163:Refsz_Verbräuche[[#This Row],[2022]],"&lt;&gt;"""), ""),IF($B$43=(Refsz_Verbräuche[[#Headers],[2023]]-1),Refsz_Verbräuche[[#This Row],[2022]],IF($B$43&lt;Refsz_Verbräuche[[#Headers],[2023]],Refsz_Verbräuche[[#This Row],[2022]],"")))</f>
        <v/>
      </c>
      <c r="N163" s="124" t="str">
        <f>IF(Refsz_Verbräuche[[#Headers],[2024]]=$B$43,IF(OR(SUMIF($E163:Refsz_Verbräuche[[#This Row],[2023]],"&gt;0")&gt;0,), AVERAGEIF($E163:Refsz_Verbräuche[[#This Row],[2023]],"&lt;&gt;"""), ""),IF($B$43=(Refsz_Verbräuche[[#Headers],[2024]]-1),Refsz_Verbräuche[[#This Row],[2023]],IF($B$43&lt;Refsz_Verbräuche[[#Headers],[2024]],Refsz_Verbräuche[[#This Row],[2023]],"")))</f>
        <v/>
      </c>
      <c r="O163" s="124" t="str">
        <f>IF(Refsz_Verbräuche[[#Headers],[2025]]=$B$43,IF(OR(SUMIF($E163:Refsz_Verbräuche[[#This Row],[2024]],"&gt;0")&gt;0,), AVERAGEIF($E163:Refsz_Verbräuche[[#This Row],[2024]],"&lt;&gt;"""), ""),IF($B$43=(Refsz_Verbräuche[[#Headers],[2025]]-1),Refsz_Verbräuche[[#This Row],[2024]],IF($B$43&lt;Refsz_Verbräuche[[#Headers],[2025]],Refsz_Verbräuche[[#This Row],[2024]],"")))</f>
        <v/>
      </c>
      <c r="P163" s="124" t="str">
        <f>IF(Refsz_Verbräuche[[#Headers],[2026]]=$B$43,IF(OR(SUMIF($E163:Refsz_Verbräuche[[#This Row],[2025]],"&gt;0")&gt;0,), AVERAGEIF($E163:Refsz_Verbräuche[[#This Row],[2025]],"&lt;&gt;"""), ""),IF($B$43=(Refsz_Verbräuche[[#Headers],[2026]]-1),Refsz_Verbräuche[[#This Row],[2025]],IF($B$43&lt;Refsz_Verbräuche[[#Headers],[2026]],Refsz_Verbräuche[[#This Row],[2025]],"")))</f>
        <v/>
      </c>
      <c r="Q163" s="124" t="str">
        <f>IF(Refsz_Verbräuche[[#Headers],[2027]]=$B$43,IF(OR(SUMIF($E163:Refsz_Verbräuche[[#This Row],[2026]],"&gt;0")&gt;0,), AVERAGEIF($E163:Refsz_Verbräuche[[#This Row],[2026]],"&lt;&gt;"""), ""),IF($B$43=(Refsz_Verbräuche[[#Headers],[2027]]-1),Refsz_Verbräuche[[#This Row],[2026]],IF($B$43&lt;Refsz_Verbräuche[[#Headers],[2027]],Refsz_Verbräuche[[#This Row],[2026]],"")))</f>
        <v/>
      </c>
      <c r="R163" s="124" t="str">
        <f>IF(Refsz_Verbräuche[[#Headers],[2028]]=$B$43,IF(OR(SUMIF($E163:Refsz_Verbräuche[[#This Row],[2027]],"&gt;0")&gt;0,), AVERAGEIF($E163:Refsz_Verbräuche[[#This Row],[2027]],"&lt;&gt;"""), ""),IF($B$43=(Refsz_Verbräuche[[#Headers],[2028]]-1),Refsz_Verbräuche[[#This Row],[2027]],IF($B$43&lt;Refsz_Verbräuche[[#Headers],[2028]],Refsz_Verbräuche[[#This Row],[2027]],"")))</f>
        <v/>
      </c>
      <c r="S163" s="124" t="str">
        <f>IF(Refsz_Verbräuche[[#Headers],[2029]]=$B$43,IF(OR(SUMIF($E163:Refsz_Verbräuche[[#This Row],[2028]],"&gt;0")&gt;0,), AVERAGEIF($E163:Refsz_Verbräuche[[#This Row],[2028]],"&lt;&gt;"""), ""),IF($B$43=(Refsz_Verbräuche[[#Headers],[2029]]-1),Refsz_Verbräuche[[#This Row],[2028]],IF($B$43&lt;Refsz_Verbräuche[[#Headers],[2029]],Refsz_Verbräuche[[#This Row],[2028]],"")))</f>
        <v/>
      </c>
      <c r="T163" s="124" t="str">
        <f>IF(Refsz_Verbräuche[[#Headers],[2030]]=$B$43,IF(OR(SUMIF($E163:Refsz_Verbräuche[[#This Row],[2029]],"&gt;0")&gt;0,), AVERAGEIF($E163:Refsz_Verbräuche[[#This Row],[2029]],"&lt;&gt;"""), ""),IF($B$43=(Refsz_Verbräuche[[#Headers],[2030]]-1),Refsz_Verbräuche[[#This Row],[2029]],IF($B$43&lt;Refsz_Verbräuche[[#Headers],[2030]],Refsz_Verbräuche[[#This Row],[2029]],"")))</f>
        <v/>
      </c>
      <c r="U163" s="124" t="str">
        <f>IF(Refsz_Verbräuche[[#Headers],[2035]]=$B$43,IF(OR(SUMIF($E163:Refsz_Verbräuche[[#This Row],[2030]],"&gt;0")&gt;0,), AVERAGEIF($E163:Refsz_Verbräuche[[#This Row],[2030]],"&lt;&gt;"""), ""),IF($B$43=(Refsz_Verbräuche[[#Headers],[2035]]-1),Refsz_Verbräuche[[#This Row],[2030]],IF($B$43&lt;Refsz_Verbräuche[[#Headers],[2035]],Refsz_Verbräuche[[#This Row],[2030]],"")))</f>
        <v/>
      </c>
      <c r="V163" s="124" t="str">
        <f>IF(Refsz_Verbräuche[[#Headers],[2040]]=$B$43,IF(OR(SUMIF($E163:Refsz_Verbräuche[[#This Row],[2035]],"&gt;0")&gt;0,), AVERAGEIF($E163:Refsz_Verbräuche[[#This Row],[2035]],"&lt;&gt;"""), ""),IF($B$43=(Refsz_Verbräuche[[#Headers],[2040]]-1),Refsz_Verbräuche[[#This Row],[2035]],IF($B$43&lt;Refsz_Verbräuche[[#Headers],[2040]],Refsz_Verbräuche[[#This Row],[2035]],"")))</f>
        <v/>
      </c>
      <c r="W163" s="124" t="str">
        <f>IF(Refsz_Verbräuche[[#Headers],[2045]]=$B$43,IF(OR(SUMIF($E163:Refsz_Verbräuche[[#This Row],[2040]],"&gt;0")&gt;0,), AVERAGEIF($E163:Refsz_Verbräuche[[#This Row],[2040]],"&lt;&gt;"""), ""),IF($B$43=(Refsz_Verbräuche[[#Headers],[2045]]-1),Refsz_Verbräuche[[#This Row],[2040]],IF($B$43&lt;Refsz_Verbräuche[[#Headers],[2045]],Refsz_Verbräuche[[#This Row],[2040]],"")))</f>
        <v/>
      </c>
      <c r="X163" s="124" t="str">
        <f>IF(Refsz_Verbräuche[[#Headers],[2050]]=$B$43,IF(OR(SUMIF($E163:Refsz_Verbräuche[[#This Row],[2045]],"&gt;0")&gt;0,), AVERAGEIF($E163:Refsz_Verbräuche[[#This Row],[2045]],"&lt;&gt;"""), ""),IF($B$43=(Refsz_Verbräuche[[#Headers],[2050]]-1),Refsz_Verbräuche[[#This Row],[2045]],IF($B$43&lt;Refsz_Verbräuche[[#Headers],[2050]],Refsz_Verbräuche[[#This Row],[2045]],"")))</f>
        <v/>
      </c>
      <c r="Z163" s="15"/>
    </row>
    <row r="164" spans="2:26" x14ac:dyDescent="0.35">
      <c r="B164" s="15">
        <v>104</v>
      </c>
      <c r="C164" s="9"/>
      <c r="D164" s="9"/>
      <c r="E164" s="124"/>
      <c r="F164" s="124"/>
      <c r="G164" s="124"/>
      <c r="H164" s="124"/>
      <c r="I164" s="124"/>
      <c r="J164" s="124"/>
      <c r="K164" s="124"/>
      <c r="L164" s="124" t="str">
        <f>IF(Refsz_Verbräuche[[#Headers],[2022]]=$B$43,IF(OR(SUMIF($E164:Refsz_Verbräuche[[#This Row],[2021]],"&gt;0")&gt;0,), AVERAGEIF($E164:Refsz_Verbräuche[[#This Row],[2021]],"&lt;&gt;"""), ""),IF($B$43=(Refsz_Verbräuche[[#Headers],[2022]]-1),Refsz_Verbräuche[[#This Row],[2021]],IF($B$43&lt;Refsz_Verbräuche[[#Headers],[2022]],Refsz_Verbräuche[[#This Row],[2021]],"")))</f>
        <v/>
      </c>
      <c r="M164" s="124" t="str">
        <f>IF(Refsz_Verbräuche[[#Headers],[2023]]=$B$43,IF(OR(SUMIF($E164:Refsz_Verbräuche[[#This Row],[2022]],"&gt;0")&gt;0,), AVERAGEIF($E164:Refsz_Verbräuche[[#This Row],[2022]],"&lt;&gt;"""), ""),IF($B$43=(Refsz_Verbräuche[[#Headers],[2023]]-1),Refsz_Verbräuche[[#This Row],[2022]],IF($B$43&lt;Refsz_Verbräuche[[#Headers],[2023]],Refsz_Verbräuche[[#This Row],[2022]],"")))</f>
        <v/>
      </c>
      <c r="N164" s="124" t="str">
        <f>IF(Refsz_Verbräuche[[#Headers],[2024]]=$B$43,IF(OR(SUMIF($E164:Refsz_Verbräuche[[#This Row],[2023]],"&gt;0")&gt;0,), AVERAGEIF($E164:Refsz_Verbräuche[[#This Row],[2023]],"&lt;&gt;"""), ""),IF($B$43=(Refsz_Verbräuche[[#Headers],[2024]]-1),Refsz_Verbräuche[[#This Row],[2023]],IF($B$43&lt;Refsz_Verbräuche[[#Headers],[2024]],Refsz_Verbräuche[[#This Row],[2023]],"")))</f>
        <v/>
      </c>
      <c r="O164" s="124" t="str">
        <f>IF(Refsz_Verbräuche[[#Headers],[2025]]=$B$43,IF(OR(SUMIF($E164:Refsz_Verbräuche[[#This Row],[2024]],"&gt;0")&gt;0,), AVERAGEIF($E164:Refsz_Verbräuche[[#This Row],[2024]],"&lt;&gt;"""), ""),IF($B$43=(Refsz_Verbräuche[[#Headers],[2025]]-1),Refsz_Verbräuche[[#This Row],[2024]],IF($B$43&lt;Refsz_Verbräuche[[#Headers],[2025]],Refsz_Verbräuche[[#This Row],[2024]],"")))</f>
        <v/>
      </c>
      <c r="P164" s="124" t="str">
        <f>IF(Refsz_Verbräuche[[#Headers],[2026]]=$B$43,IF(OR(SUMIF($E164:Refsz_Verbräuche[[#This Row],[2025]],"&gt;0")&gt;0,), AVERAGEIF($E164:Refsz_Verbräuche[[#This Row],[2025]],"&lt;&gt;"""), ""),IF($B$43=(Refsz_Verbräuche[[#Headers],[2026]]-1),Refsz_Verbräuche[[#This Row],[2025]],IF($B$43&lt;Refsz_Verbräuche[[#Headers],[2026]],Refsz_Verbräuche[[#This Row],[2025]],"")))</f>
        <v/>
      </c>
      <c r="Q164" s="124" t="str">
        <f>IF(Refsz_Verbräuche[[#Headers],[2027]]=$B$43,IF(OR(SUMIF($E164:Refsz_Verbräuche[[#This Row],[2026]],"&gt;0")&gt;0,), AVERAGEIF($E164:Refsz_Verbräuche[[#This Row],[2026]],"&lt;&gt;"""), ""),IF($B$43=(Refsz_Verbräuche[[#Headers],[2027]]-1),Refsz_Verbräuche[[#This Row],[2026]],IF($B$43&lt;Refsz_Verbräuche[[#Headers],[2027]],Refsz_Verbräuche[[#This Row],[2026]],"")))</f>
        <v/>
      </c>
      <c r="R164" s="124" t="str">
        <f>IF(Refsz_Verbräuche[[#Headers],[2028]]=$B$43,IF(OR(SUMIF($E164:Refsz_Verbräuche[[#This Row],[2027]],"&gt;0")&gt;0,), AVERAGEIF($E164:Refsz_Verbräuche[[#This Row],[2027]],"&lt;&gt;"""), ""),IF($B$43=(Refsz_Verbräuche[[#Headers],[2028]]-1),Refsz_Verbräuche[[#This Row],[2027]],IF($B$43&lt;Refsz_Verbräuche[[#Headers],[2028]],Refsz_Verbräuche[[#This Row],[2027]],"")))</f>
        <v/>
      </c>
      <c r="S164" s="124" t="str">
        <f>IF(Refsz_Verbräuche[[#Headers],[2029]]=$B$43,IF(OR(SUMIF($E164:Refsz_Verbräuche[[#This Row],[2028]],"&gt;0")&gt;0,), AVERAGEIF($E164:Refsz_Verbräuche[[#This Row],[2028]],"&lt;&gt;"""), ""),IF($B$43=(Refsz_Verbräuche[[#Headers],[2029]]-1),Refsz_Verbräuche[[#This Row],[2028]],IF($B$43&lt;Refsz_Verbräuche[[#Headers],[2029]],Refsz_Verbräuche[[#This Row],[2028]],"")))</f>
        <v/>
      </c>
      <c r="T164" s="124" t="str">
        <f>IF(Refsz_Verbräuche[[#Headers],[2030]]=$B$43,IF(OR(SUMIF($E164:Refsz_Verbräuche[[#This Row],[2029]],"&gt;0")&gt;0,), AVERAGEIF($E164:Refsz_Verbräuche[[#This Row],[2029]],"&lt;&gt;"""), ""),IF($B$43=(Refsz_Verbräuche[[#Headers],[2030]]-1),Refsz_Verbräuche[[#This Row],[2029]],IF($B$43&lt;Refsz_Verbräuche[[#Headers],[2030]],Refsz_Verbräuche[[#This Row],[2029]],"")))</f>
        <v/>
      </c>
      <c r="U164" s="124" t="str">
        <f>IF(Refsz_Verbräuche[[#Headers],[2035]]=$B$43,IF(OR(SUMIF($E164:Refsz_Verbräuche[[#This Row],[2030]],"&gt;0")&gt;0,), AVERAGEIF($E164:Refsz_Verbräuche[[#This Row],[2030]],"&lt;&gt;"""), ""),IF($B$43=(Refsz_Verbräuche[[#Headers],[2035]]-1),Refsz_Verbräuche[[#This Row],[2030]],IF($B$43&lt;Refsz_Verbräuche[[#Headers],[2035]],Refsz_Verbräuche[[#This Row],[2030]],"")))</f>
        <v/>
      </c>
      <c r="V164" s="124" t="str">
        <f>IF(Refsz_Verbräuche[[#Headers],[2040]]=$B$43,IF(OR(SUMIF($E164:Refsz_Verbräuche[[#This Row],[2035]],"&gt;0")&gt;0,), AVERAGEIF($E164:Refsz_Verbräuche[[#This Row],[2035]],"&lt;&gt;"""), ""),IF($B$43=(Refsz_Verbräuche[[#Headers],[2040]]-1),Refsz_Verbräuche[[#This Row],[2035]],IF($B$43&lt;Refsz_Verbräuche[[#Headers],[2040]],Refsz_Verbräuche[[#This Row],[2035]],"")))</f>
        <v/>
      </c>
      <c r="W164" s="124" t="str">
        <f>IF(Refsz_Verbräuche[[#Headers],[2045]]=$B$43,IF(OR(SUMIF($E164:Refsz_Verbräuche[[#This Row],[2040]],"&gt;0")&gt;0,), AVERAGEIF($E164:Refsz_Verbräuche[[#This Row],[2040]],"&lt;&gt;"""), ""),IF($B$43=(Refsz_Verbräuche[[#Headers],[2045]]-1),Refsz_Verbräuche[[#This Row],[2040]],IF($B$43&lt;Refsz_Verbräuche[[#Headers],[2045]],Refsz_Verbräuche[[#This Row],[2040]],"")))</f>
        <v/>
      </c>
      <c r="X164" s="124" t="str">
        <f>IF(Refsz_Verbräuche[[#Headers],[2050]]=$B$43,IF(OR(SUMIF($E164:Refsz_Verbräuche[[#This Row],[2045]],"&gt;0")&gt;0,), AVERAGEIF($E164:Refsz_Verbräuche[[#This Row],[2045]],"&lt;&gt;"""), ""),IF($B$43=(Refsz_Verbräuche[[#Headers],[2050]]-1),Refsz_Verbräuche[[#This Row],[2045]],IF($B$43&lt;Refsz_Verbräuche[[#Headers],[2050]],Refsz_Verbräuche[[#This Row],[2045]],"")))</f>
        <v/>
      </c>
      <c r="Z164" s="15"/>
    </row>
    <row r="165" spans="2:26" x14ac:dyDescent="0.35">
      <c r="B165" s="15">
        <v>105</v>
      </c>
      <c r="C165" s="9" t="s">
        <v>61</v>
      </c>
      <c r="D165" t="s">
        <v>191</v>
      </c>
      <c r="E165" s="124"/>
      <c r="F165" s="124"/>
      <c r="G165" s="124"/>
      <c r="H165" s="124"/>
      <c r="I165" s="124"/>
      <c r="J165" s="124"/>
      <c r="K165" s="124"/>
      <c r="L165" s="124" t="str">
        <f>IF(Refsz_Verbräuche[[#Headers],[2022]]=$B$43,IF(OR(SUMIF($E165:Refsz_Verbräuche[[#This Row],[2021]],"&gt;0")&gt;0,), AVERAGEIF($E165:Refsz_Verbräuche[[#This Row],[2021]],"&lt;&gt;"""), ""),IF($B$43=(Refsz_Verbräuche[[#Headers],[2022]]-1),Refsz_Verbräuche[[#This Row],[2021]],IF($B$43&lt;Refsz_Verbräuche[[#Headers],[2022]],Refsz_Verbräuche[[#This Row],[2021]],"")))</f>
        <v/>
      </c>
      <c r="M165" s="124" t="str">
        <f>IF(Refsz_Verbräuche[[#Headers],[2023]]=$B$43,IF(OR(SUMIF($E165:Refsz_Verbräuche[[#This Row],[2022]],"&gt;0")&gt;0,), AVERAGEIF($E165:Refsz_Verbräuche[[#This Row],[2022]],"&lt;&gt;"""), ""),IF($B$43=(Refsz_Verbräuche[[#Headers],[2023]]-1),Refsz_Verbräuche[[#This Row],[2022]],IF($B$43&lt;Refsz_Verbräuche[[#Headers],[2023]],Refsz_Verbräuche[[#This Row],[2022]],"")))</f>
        <v/>
      </c>
      <c r="N165" s="124" t="str">
        <f>IF(Refsz_Verbräuche[[#Headers],[2024]]=$B$43,IF(OR(SUMIF($E165:Refsz_Verbräuche[[#This Row],[2023]],"&gt;0")&gt;0,), AVERAGEIF($E165:Refsz_Verbräuche[[#This Row],[2023]],"&lt;&gt;"""), ""),IF($B$43=(Refsz_Verbräuche[[#Headers],[2024]]-1),Refsz_Verbräuche[[#This Row],[2023]],IF($B$43&lt;Refsz_Verbräuche[[#Headers],[2024]],Refsz_Verbräuche[[#This Row],[2023]],"")))</f>
        <v/>
      </c>
      <c r="O165" s="124" t="str">
        <f>IF(Refsz_Verbräuche[[#Headers],[2025]]=$B$43,IF(OR(SUMIF($E165:Refsz_Verbräuche[[#This Row],[2024]],"&gt;0")&gt;0,), AVERAGEIF($E165:Refsz_Verbräuche[[#This Row],[2024]],"&lt;&gt;"""), ""),IF($B$43=(Refsz_Verbräuche[[#Headers],[2025]]-1),Refsz_Verbräuche[[#This Row],[2024]],IF($B$43&lt;Refsz_Verbräuche[[#Headers],[2025]],Refsz_Verbräuche[[#This Row],[2024]],"")))</f>
        <v/>
      </c>
      <c r="P165" s="124" t="str">
        <f>IF(Refsz_Verbräuche[[#Headers],[2026]]=$B$43,IF(OR(SUMIF($E165:Refsz_Verbräuche[[#This Row],[2025]],"&gt;0")&gt;0,), AVERAGEIF($E165:Refsz_Verbräuche[[#This Row],[2025]],"&lt;&gt;"""), ""),IF($B$43=(Refsz_Verbräuche[[#Headers],[2026]]-1),Refsz_Verbräuche[[#This Row],[2025]],IF($B$43&lt;Refsz_Verbräuche[[#Headers],[2026]],Refsz_Verbräuche[[#This Row],[2025]],"")))</f>
        <v/>
      </c>
      <c r="Q165" s="124" t="str">
        <f>IF(Refsz_Verbräuche[[#Headers],[2027]]=$B$43,IF(OR(SUMIF($E165:Refsz_Verbräuche[[#This Row],[2026]],"&gt;0")&gt;0,), AVERAGEIF($E165:Refsz_Verbräuche[[#This Row],[2026]],"&lt;&gt;"""), ""),IF($B$43=(Refsz_Verbräuche[[#Headers],[2027]]-1),Refsz_Verbräuche[[#This Row],[2026]],IF($B$43&lt;Refsz_Verbräuche[[#Headers],[2027]],Refsz_Verbräuche[[#This Row],[2026]],"")))</f>
        <v/>
      </c>
      <c r="R165" s="124" t="str">
        <f>IF(Refsz_Verbräuche[[#Headers],[2028]]=$B$43,IF(OR(SUMIF($E165:Refsz_Verbräuche[[#This Row],[2027]],"&gt;0")&gt;0,), AVERAGEIF($E165:Refsz_Verbräuche[[#This Row],[2027]],"&lt;&gt;"""), ""),IF($B$43=(Refsz_Verbräuche[[#Headers],[2028]]-1),Refsz_Verbräuche[[#This Row],[2027]],IF($B$43&lt;Refsz_Verbräuche[[#Headers],[2028]],Refsz_Verbräuche[[#This Row],[2027]],"")))</f>
        <v/>
      </c>
      <c r="S165" s="124" t="str">
        <f>IF(Refsz_Verbräuche[[#Headers],[2029]]=$B$43,IF(OR(SUMIF($E165:Refsz_Verbräuche[[#This Row],[2028]],"&gt;0")&gt;0,), AVERAGEIF($E165:Refsz_Verbräuche[[#This Row],[2028]],"&lt;&gt;"""), ""),IF($B$43=(Refsz_Verbräuche[[#Headers],[2029]]-1),Refsz_Verbräuche[[#This Row],[2028]],IF($B$43&lt;Refsz_Verbräuche[[#Headers],[2029]],Refsz_Verbräuche[[#This Row],[2028]],"")))</f>
        <v/>
      </c>
      <c r="T165" s="124" t="str">
        <f>IF(Refsz_Verbräuche[[#Headers],[2030]]=$B$43,IF(OR(SUMIF($E165:Refsz_Verbräuche[[#This Row],[2029]],"&gt;0")&gt;0,), AVERAGEIF($E165:Refsz_Verbräuche[[#This Row],[2029]],"&lt;&gt;"""), ""),IF($B$43=(Refsz_Verbräuche[[#Headers],[2030]]-1),Refsz_Verbräuche[[#This Row],[2029]],IF($B$43&lt;Refsz_Verbräuche[[#Headers],[2030]],Refsz_Verbräuche[[#This Row],[2029]],"")))</f>
        <v/>
      </c>
      <c r="U165" s="124" t="str">
        <f>IF(Refsz_Verbräuche[[#Headers],[2035]]=$B$43,IF(OR(SUMIF($E165:Refsz_Verbräuche[[#This Row],[2030]],"&gt;0")&gt;0,), AVERAGEIF($E165:Refsz_Verbräuche[[#This Row],[2030]],"&lt;&gt;"""), ""),IF($B$43=(Refsz_Verbräuche[[#Headers],[2035]]-1),Refsz_Verbräuche[[#This Row],[2030]],IF($B$43&lt;Refsz_Verbräuche[[#Headers],[2035]],Refsz_Verbräuche[[#This Row],[2030]],"")))</f>
        <v/>
      </c>
      <c r="V165" s="124" t="str">
        <f>IF(Refsz_Verbräuche[[#Headers],[2040]]=$B$43,IF(OR(SUMIF($E165:Refsz_Verbräuche[[#This Row],[2035]],"&gt;0")&gt;0,), AVERAGEIF($E165:Refsz_Verbräuche[[#This Row],[2035]],"&lt;&gt;"""), ""),IF($B$43=(Refsz_Verbräuche[[#Headers],[2040]]-1),Refsz_Verbräuche[[#This Row],[2035]],IF($B$43&lt;Refsz_Verbräuche[[#Headers],[2040]],Refsz_Verbräuche[[#This Row],[2035]],"")))</f>
        <v/>
      </c>
      <c r="W165" s="124" t="str">
        <f>IF(Refsz_Verbräuche[[#Headers],[2045]]=$B$43,IF(OR(SUMIF($E165:Refsz_Verbräuche[[#This Row],[2040]],"&gt;0")&gt;0,), AVERAGEIF($E165:Refsz_Verbräuche[[#This Row],[2040]],"&lt;&gt;"""), ""),IF($B$43=(Refsz_Verbräuche[[#Headers],[2045]]-1),Refsz_Verbräuche[[#This Row],[2040]],IF($B$43&lt;Refsz_Verbräuche[[#Headers],[2045]],Refsz_Verbräuche[[#This Row],[2040]],"")))</f>
        <v/>
      </c>
      <c r="X165" s="124" t="str">
        <f>IF(Refsz_Verbräuche[[#Headers],[2050]]=$B$43,IF(OR(SUMIF($E165:Refsz_Verbräuche[[#This Row],[2045]],"&gt;0")&gt;0,), AVERAGEIF($E165:Refsz_Verbräuche[[#This Row],[2045]],"&lt;&gt;"""), ""),IF($B$43=(Refsz_Verbräuche[[#Headers],[2050]]-1),Refsz_Verbräuche[[#This Row],[2045]],IF($B$43&lt;Refsz_Verbräuche[[#Headers],[2050]],Refsz_Verbräuche[[#This Row],[2045]],"")))</f>
        <v/>
      </c>
      <c r="Z165" s="15"/>
    </row>
    <row r="166" spans="2:26" x14ac:dyDescent="0.35">
      <c r="B166" s="15">
        <v>106</v>
      </c>
      <c r="C166" s="9" t="s">
        <v>60</v>
      </c>
      <c r="D166" t="s">
        <v>191</v>
      </c>
      <c r="E166" s="124"/>
      <c r="F166" s="124"/>
      <c r="G166" s="124"/>
      <c r="H166" s="124"/>
      <c r="I166" s="124"/>
      <c r="J166" s="124"/>
      <c r="K166" s="124"/>
      <c r="L166" s="124" t="str">
        <f>IF(Refsz_Verbräuche[[#Headers],[2022]]=$B$43,IF(OR(SUMIF($E166:Refsz_Verbräuche[[#This Row],[2021]],"&gt;0")&gt;0,), AVERAGEIF($E166:Refsz_Verbräuche[[#This Row],[2021]],"&lt;&gt;"""), ""),IF($B$43=(Refsz_Verbräuche[[#Headers],[2022]]-1),Refsz_Verbräuche[[#This Row],[2021]],IF($B$43&lt;Refsz_Verbräuche[[#Headers],[2022]],Refsz_Verbräuche[[#This Row],[2021]],"")))</f>
        <v/>
      </c>
      <c r="M166" s="124" t="str">
        <f>IF(Refsz_Verbräuche[[#Headers],[2023]]=$B$43,IF(OR(SUMIF($E166:Refsz_Verbräuche[[#This Row],[2022]],"&gt;0")&gt;0,), AVERAGEIF($E166:Refsz_Verbräuche[[#This Row],[2022]],"&lt;&gt;"""), ""),IF($B$43=(Refsz_Verbräuche[[#Headers],[2023]]-1),Refsz_Verbräuche[[#This Row],[2022]],IF($B$43&lt;Refsz_Verbräuche[[#Headers],[2023]],Refsz_Verbräuche[[#This Row],[2022]],"")))</f>
        <v/>
      </c>
      <c r="N166" s="124" t="str">
        <f>IF(Refsz_Verbräuche[[#Headers],[2024]]=$B$43,IF(OR(SUMIF($E166:Refsz_Verbräuche[[#This Row],[2023]],"&gt;0")&gt;0,), AVERAGEIF($E166:Refsz_Verbräuche[[#This Row],[2023]],"&lt;&gt;"""), ""),IF($B$43=(Refsz_Verbräuche[[#Headers],[2024]]-1),Refsz_Verbräuche[[#This Row],[2023]],IF($B$43&lt;Refsz_Verbräuche[[#Headers],[2024]],Refsz_Verbräuche[[#This Row],[2023]],"")))</f>
        <v/>
      </c>
      <c r="O166" s="124" t="str">
        <f>IF(Refsz_Verbräuche[[#Headers],[2025]]=$B$43,IF(OR(SUMIF($E166:Refsz_Verbräuche[[#This Row],[2024]],"&gt;0")&gt;0,), AVERAGEIF($E166:Refsz_Verbräuche[[#This Row],[2024]],"&lt;&gt;"""), ""),IF($B$43=(Refsz_Verbräuche[[#Headers],[2025]]-1),Refsz_Verbräuche[[#This Row],[2024]],IF($B$43&lt;Refsz_Verbräuche[[#Headers],[2025]],Refsz_Verbräuche[[#This Row],[2024]],"")))</f>
        <v/>
      </c>
      <c r="P166" s="124" t="str">
        <f>IF(Refsz_Verbräuche[[#Headers],[2026]]=$B$43,IF(OR(SUMIF($E166:Refsz_Verbräuche[[#This Row],[2025]],"&gt;0")&gt;0,), AVERAGEIF($E166:Refsz_Verbräuche[[#This Row],[2025]],"&lt;&gt;"""), ""),IF($B$43=(Refsz_Verbräuche[[#Headers],[2026]]-1),Refsz_Verbräuche[[#This Row],[2025]],IF($B$43&lt;Refsz_Verbräuche[[#Headers],[2026]],Refsz_Verbräuche[[#This Row],[2025]],"")))</f>
        <v/>
      </c>
      <c r="Q166" s="124" t="str">
        <f>IF(Refsz_Verbräuche[[#Headers],[2027]]=$B$43,IF(OR(SUMIF($E166:Refsz_Verbräuche[[#This Row],[2026]],"&gt;0")&gt;0,), AVERAGEIF($E166:Refsz_Verbräuche[[#This Row],[2026]],"&lt;&gt;"""), ""),IF($B$43=(Refsz_Verbräuche[[#Headers],[2027]]-1),Refsz_Verbräuche[[#This Row],[2026]],IF($B$43&lt;Refsz_Verbräuche[[#Headers],[2027]],Refsz_Verbräuche[[#This Row],[2026]],"")))</f>
        <v/>
      </c>
      <c r="R166" s="124" t="str">
        <f>IF(Refsz_Verbräuche[[#Headers],[2028]]=$B$43,IF(OR(SUMIF($E166:Refsz_Verbräuche[[#This Row],[2027]],"&gt;0")&gt;0,), AVERAGEIF($E166:Refsz_Verbräuche[[#This Row],[2027]],"&lt;&gt;"""), ""),IF($B$43=(Refsz_Verbräuche[[#Headers],[2028]]-1),Refsz_Verbräuche[[#This Row],[2027]],IF($B$43&lt;Refsz_Verbräuche[[#Headers],[2028]],Refsz_Verbräuche[[#This Row],[2027]],"")))</f>
        <v/>
      </c>
      <c r="S166" s="124" t="str">
        <f>IF(Refsz_Verbräuche[[#Headers],[2029]]=$B$43,IF(OR(SUMIF($E166:Refsz_Verbräuche[[#This Row],[2028]],"&gt;0")&gt;0,), AVERAGEIF($E166:Refsz_Verbräuche[[#This Row],[2028]],"&lt;&gt;"""), ""),IF($B$43=(Refsz_Verbräuche[[#Headers],[2029]]-1),Refsz_Verbräuche[[#This Row],[2028]],IF($B$43&lt;Refsz_Verbräuche[[#Headers],[2029]],Refsz_Verbräuche[[#This Row],[2028]],"")))</f>
        <v/>
      </c>
      <c r="T166" s="124" t="str">
        <f>IF(Refsz_Verbräuche[[#Headers],[2030]]=$B$43,IF(OR(SUMIF($E166:Refsz_Verbräuche[[#This Row],[2029]],"&gt;0")&gt;0,), AVERAGEIF($E166:Refsz_Verbräuche[[#This Row],[2029]],"&lt;&gt;"""), ""),IF($B$43=(Refsz_Verbräuche[[#Headers],[2030]]-1),Refsz_Verbräuche[[#This Row],[2029]],IF($B$43&lt;Refsz_Verbräuche[[#Headers],[2030]],Refsz_Verbräuche[[#This Row],[2029]],"")))</f>
        <v/>
      </c>
      <c r="U166" s="124" t="str">
        <f>IF(Refsz_Verbräuche[[#Headers],[2035]]=$B$43,IF(OR(SUMIF($E166:Refsz_Verbräuche[[#This Row],[2030]],"&gt;0")&gt;0,), AVERAGEIF($E166:Refsz_Verbräuche[[#This Row],[2030]],"&lt;&gt;"""), ""),IF($B$43=(Refsz_Verbräuche[[#Headers],[2035]]-1),Refsz_Verbräuche[[#This Row],[2030]],IF($B$43&lt;Refsz_Verbräuche[[#Headers],[2035]],Refsz_Verbräuche[[#This Row],[2030]],"")))</f>
        <v/>
      </c>
      <c r="V166" s="124" t="str">
        <f>IF(Refsz_Verbräuche[[#Headers],[2040]]=$B$43,IF(OR(SUMIF($E166:Refsz_Verbräuche[[#This Row],[2035]],"&gt;0")&gt;0,), AVERAGEIF($E166:Refsz_Verbräuche[[#This Row],[2035]],"&lt;&gt;"""), ""),IF($B$43=(Refsz_Verbräuche[[#Headers],[2040]]-1),Refsz_Verbräuche[[#This Row],[2035]],IF($B$43&lt;Refsz_Verbräuche[[#Headers],[2040]],Refsz_Verbräuche[[#This Row],[2035]],"")))</f>
        <v/>
      </c>
      <c r="W166" s="124" t="str">
        <f>IF(Refsz_Verbräuche[[#Headers],[2045]]=$B$43,IF(OR(SUMIF($E166:Refsz_Verbräuche[[#This Row],[2040]],"&gt;0")&gt;0,), AVERAGEIF($E166:Refsz_Verbräuche[[#This Row],[2040]],"&lt;&gt;"""), ""),IF($B$43=(Refsz_Verbräuche[[#Headers],[2045]]-1),Refsz_Verbräuche[[#This Row],[2040]],IF($B$43&lt;Refsz_Verbräuche[[#Headers],[2045]],Refsz_Verbräuche[[#This Row],[2040]],"")))</f>
        <v/>
      </c>
      <c r="X166" s="124" t="str">
        <f>IF(Refsz_Verbräuche[[#Headers],[2050]]=$B$43,IF(OR(SUMIF($E166:Refsz_Verbräuche[[#This Row],[2045]],"&gt;0")&gt;0,), AVERAGEIF($E166:Refsz_Verbräuche[[#This Row],[2045]],"&lt;&gt;"""), ""),IF($B$43=(Refsz_Verbräuche[[#Headers],[2050]]-1),Refsz_Verbräuche[[#This Row],[2045]],IF($B$43&lt;Refsz_Verbräuche[[#Headers],[2050]],Refsz_Verbräuche[[#This Row],[2045]],"")))</f>
        <v/>
      </c>
      <c r="Z166" s="15"/>
    </row>
    <row r="167" spans="2:26" x14ac:dyDescent="0.35">
      <c r="B167" s="15">
        <v>107</v>
      </c>
      <c r="C167" s="9" t="s">
        <v>121</v>
      </c>
      <c r="D167" t="s">
        <v>191</v>
      </c>
      <c r="E167" s="124"/>
      <c r="F167" s="124"/>
      <c r="G167" s="124"/>
      <c r="H167" s="124"/>
      <c r="I167" s="124"/>
      <c r="J167" s="124"/>
      <c r="K167" s="124"/>
      <c r="L167" s="124" t="str">
        <f>IF(Refsz_Verbräuche[[#Headers],[2022]]=$B$43,IF(OR(SUMIF($E167:Refsz_Verbräuche[[#This Row],[2021]],"&gt;0")&gt;0,), AVERAGEIF($E167:Refsz_Verbräuche[[#This Row],[2021]],"&lt;&gt;"""), ""),IF($B$43=(Refsz_Verbräuche[[#Headers],[2022]]-1),Refsz_Verbräuche[[#This Row],[2021]],IF($B$43&lt;Refsz_Verbräuche[[#Headers],[2022]],Refsz_Verbräuche[[#This Row],[2021]],"")))</f>
        <v/>
      </c>
      <c r="M167" s="124" t="str">
        <f>IF(Refsz_Verbräuche[[#Headers],[2023]]=$B$43,IF(OR(SUMIF($E167:Refsz_Verbräuche[[#This Row],[2022]],"&gt;0")&gt;0,), AVERAGEIF($E167:Refsz_Verbräuche[[#This Row],[2022]],"&lt;&gt;"""), ""),IF($B$43=(Refsz_Verbräuche[[#Headers],[2023]]-1),Refsz_Verbräuche[[#This Row],[2022]],IF($B$43&lt;Refsz_Verbräuche[[#Headers],[2023]],Refsz_Verbräuche[[#This Row],[2022]],"")))</f>
        <v/>
      </c>
      <c r="N167" s="124" t="str">
        <f>IF(Refsz_Verbräuche[[#Headers],[2024]]=$B$43,IF(OR(SUMIF($E167:Refsz_Verbräuche[[#This Row],[2023]],"&gt;0")&gt;0,), AVERAGEIF($E167:Refsz_Verbräuche[[#This Row],[2023]],"&lt;&gt;"""), ""),IF($B$43=(Refsz_Verbräuche[[#Headers],[2024]]-1),Refsz_Verbräuche[[#This Row],[2023]],IF($B$43&lt;Refsz_Verbräuche[[#Headers],[2024]],Refsz_Verbräuche[[#This Row],[2023]],"")))</f>
        <v/>
      </c>
      <c r="O167" s="124" t="str">
        <f>IF(Refsz_Verbräuche[[#Headers],[2025]]=$B$43,IF(OR(SUMIF($E167:Refsz_Verbräuche[[#This Row],[2024]],"&gt;0")&gt;0,), AVERAGEIF($E167:Refsz_Verbräuche[[#This Row],[2024]],"&lt;&gt;"""), ""),IF($B$43=(Refsz_Verbräuche[[#Headers],[2025]]-1),Refsz_Verbräuche[[#This Row],[2024]],IF($B$43&lt;Refsz_Verbräuche[[#Headers],[2025]],Refsz_Verbräuche[[#This Row],[2024]],"")))</f>
        <v/>
      </c>
      <c r="P167" s="124" t="str">
        <f>IF(Refsz_Verbräuche[[#Headers],[2026]]=$B$43,IF(OR(SUMIF($E167:Refsz_Verbräuche[[#This Row],[2025]],"&gt;0")&gt;0,), AVERAGEIF($E167:Refsz_Verbräuche[[#This Row],[2025]],"&lt;&gt;"""), ""),IF($B$43=(Refsz_Verbräuche[[#Headers],[2026]]-1),Refsz_Verbräuche[[#This Row],[2025]],IF($B$43&lt;Refsz_Verbräuche[[#Headers],[2026]],Refsz_Verbräuche[[#This Row],[2025]],"")))</f>
        <v/>
      </c>
      <c r="Q167" s="124" t="str">
        <f>IF(Refsz_Verbräuche[[#Headers],[2027]]=$B$43,IF(OR(SUMIF($E167:Refsz_Verbräuche[[#This Row],[2026]],"&gt;0")&gt;0,), AVERAGEIF($E167:Refsz_Verbräuche[[#This Row],[2026]],"&lt;&gt;"""), ""),IF($B$43=(Refsz_Verbräuche[[#Headers],[2027]]-1),Refsz_Verbräuche[[#This Row],[2026]],IF($B$43&lt;Refsz_Verbräuche[[#Headers],[2027]],Refsz_Verbräuche[[#This Row],[2026]],"")))</f>
        <v/>
      </c>
      <c r="R167" s="124" t="str">
        <f>IF(Refsz_Verbräuche[[#Headers],[2028]]=$B$43,IF(OR(SUMIF($E167:Refsz_Verbräuche[[#This Row],[2027]],"&gt;0")&gt;0,), AVERAGEIF($E167:Refsz_Verbräuche[[#This Row],[2027]],"&lt;&gt;"""), ""),IF($B$43=(Refsz_Verbräuche[[#Headers],[2028]]-1),Refsz_Verbräuche[[#This Row],[2027]],IF($B$43&lt;Refsz_Verbräuche[[#Headers],[2028]],Refsz_Verbräuche[[#This Row],[2027]],"")))</f>
        <v/>
      </c>
      <c r="S167" s="124" t="str">
        <f>IF(Refsz_Verbräuche[[#Headers],[2029]]=$B$43,IF(OR(SUMIF($E167:Refsz_Verbräuche[[#This Row],[2028]],"&gt;0")&gt;0,), AVERAGEIF($E167:Refsz_Verbräuche[[#This Row],[2028]],"&lt;&gt;"""), ""),IF($B$43=(Refsz_Verbräuche[[#Headers],[2029]]-1),Refsz_Verbräuche[[#This Row],[2028]],IF($B$43&lt;Refsz_Verbräuche[[#Headers],[2029]],Refsz_Verbräuche[[#This Row],[2028]],"")))</f>
        <v/>
      </c>
      <c r="T167" s="124" t="str">
        <f>IF(Refsz_Verbräuche[[#Headers],[2030]]=$B$43,IF(OR(SUMIF($E167:Refsz_Verbräuche[[#This Row],[2029]],"&gt;0")&gt;0,), AVERAGEIF($E167:Refsz_Verbräuche[[#This Row],[2029]],"&lt;&gt;"""), ""),IF($B$43=(Refsz_Verbräuche[[#Headers],[2030]]-1),Refsz_Verbräuche[[#This Row],[2029]],IF($B$43&lt;Refsz_Verbräuche[[#Headers],[2030]],Refsz_Verbräuche[[#This Row],[2029]],"")))</f>
        <v/>
      </c>
      <c r="U167" s="124" t="str">
        <f>IF(Refsz_Verbräuche[[#Headers],[2035]]=$B$43,IF(OR(SUMIF($E167:Refsz_Verbräuche[[#This Row],[2030]],"&gt;0")&gt;0,), AVERAGEIF($E167:Refsz_Verbräuche[[#This Row],[2030]],"&lt;&gt;"""), ""),IF($B$43=(Refsz_Verbräuche[[#Headers],[2035]]-1),Refsz_Verbräuche[[#This Row],[2030]],IF($B$43&lt;Refsz_Verbräuche[[#Headers],[2035]],Refsz_Verbräuche[[#This Row],[2030]],"")))</f>
        <v/>
      </c>
      <c r="V167" s="124" t="str">
        <f>IF(Refsz_Verbräuche[[#Headers],[2040]]=$B$43,IF(OR(SUMIF($E167:Refsz_Verbräuche[[#This Row],[2035]],"&gt;0")&gt;0,), AVERAGEIF($E167:Refsz_Verbräuche[[#This Row],[2035]],"&lt;&gt;"""), ""),IF($B$43=(Refsz_Verbräuche[[#Headers],[2040]]-1),Refsz_Verbräuche[[#This Row],[2035]],IF($B$43&lt;Refsz_Verbräuche[[#Headers],[2040]],Refsz_Verbräuche[[#This Row],[2035]],"")))</f>
        <v/>
      </c>
      <c r="W167" s="124" t="str">
        <f>IF(Refsz_Verbräuche[[#Headers],[2045]]=$B$43,IF(OR(SUMIF($E167:Refsz_Verbräuche[[#This Row],[2040]],"&gt;0")&gt;0,), AVERAGEIF($E167:Refsz_Verbräuche[[#This Row],[2040]],"&lt;&gt;"""), ""),IF($B$43=(Refsz_Verbräuche[[#Headers],[2045]]-1),Refsz_Verbräuche[[#This Row],[2040]],IF($B$43&lt;Refsz_Verbräuche[[#Headers],[2045]],Refsz_Verbräuche[[#This Row],[2040]],"")))</f>
        <v/>
      </c>
      <c r="X167" s="124" t="str">
        <f>IF(Refsz_Verbräuche[[#Headers],[2050]]=$B$43,IF(OR(SUMIF($E167:Refsz_Verbräuche[[#This Row],[2045]],"&gt;0")&gt;0,), AVERAGEIF($E167:Refsz_Verbräuche[[#This Row],[2045]],"&lt;&gt;"""), ""),IF($B$43=(Refsz_Verbräuche[[#Headers],[2050]]-1),Refsz_Verbräuche[[#This Row],[2045]],IF($B$43&lt;Refsz_Verbräuche[[#Headers],[2050]],Refsz_Verbräuche[[#This Row],[2045]],"")))</f>
        <v/>
      </c>
      <c r="Z167" s="15"/>
    </row>
    <row r="168" spans="2:26" x14ac:dyDescent="0.35">
      <c r="B168" s="15">
        <v>108</v>
      </c>
      <c r="C168" s="9" t="s">
        <v>120</v>
      </c>
      <c r="D168" t="s">
        <v>191</v>
      </c>
      <c r="E168" s="124"/>
      <c r="F168" s="124"/>
      <c r="G168" s="124"/>
      <c r="H168" s="124"/>
      <c r="I168" s="124"/>
      <c r="J168" s="124"/>
      <c r="K168" s="124"/>
      <c r="L168" s="124" t="str">
        <f>IF(Refsz_Verbräuche[[#Headers],[2022]]=$B$43,IF(OR(SUMIF($E168:Refsz_Verbräuche[[#This Row],[2021]],"&gt;0")&gt;0,), AVERAGEIF($E168:Refsz_Verbräuche[[#This Row],[2021]],"&lt;&gt;"""), ""),IF($B$43=(Refsz_Verbräuche[[#Headers],[2022]]-1),Refsz_Verbräuche[[#This Row],[2021]],IF($B$43&lt;Refsz_Verbräuche[[#Headers],[2022]],Refsz_Verbräuche[[#This Row],[2021]],"")))</f>
        <v/>
      </c>
      <c r="M168" s="124" t="str">
        <f>IF(Refsz_Verbräuche[[#Headers],[2023]]=$B$43,IF(OR(SUMIF($E168:Refsz_Verbräuche[[#This Row],[2022]],"&gt;0")&gt;0,), AVERAGEIF($E168:Refsz_Verbräuche[[#This Row],[2022]],"&lt;&gt;"""), ""),IF($B$43=(Refsz_Verbräuche[[#Headers],[2023]]-1),Refsz_Verbräuche[[#This Row],[2022]],IF($B$43&lt;Refsz_Verbräuche[[#Headers],[2023]],Refsz_Verbräuche[[#This Row],[2022]],"")))</f>
        <v/>
      </c>
      <c r="N168" s="124" t="str">
        <f>IF(Refsz_Verbräuche[[#Headers],[2024]]=$B$43,IF(OR(SUMIF($E168:Refsz_Verbräuche[[#This Row],[2023]],"&gt;0")&gt;0,), AVERAGEIF($E168:Refsz_Verbräuche[[#This Row],[2023]],"&lt;&gt;"""), ""),IF($B$43=(Refsz_Verbräuche[[#Headers],[2024]]-1),Refsz_Verbräuche[[#This Row],[2023]],IF($B$43&lt;Refsz_Verbräuche[[#Headers],[2024]],Refsz_Verbräuche[[#This Row],[2023]],"")))</f>
        <v/>
      </c>
      <c r="O168" s="124" t="str">
        <f>IF(Refsz_Verbräuche[[#Headers],[2025]]=$B$43,IF(OR(SUMIF($E168:Refsz_Verbräuche[[#This Row],[2024]],"&gt;0")&gt;0,), AVERAGEIF($E168:Refsz_Verbräuche[[#This Row],[2024]],"&lt;&gt;"""), ""),IF($B$43=(Refsz_Verbräuche[[#Headers],[2025]]-1),Refsz_Verbräuche[[#This Row],[2024]],IF($B$43&lt;Refsz_Verbräuche[[#Headers],[2025]],Refsz_Verbräuche[[#This Row],[2024]],"")))</f>
        <v/>
      </c>
      <c r="P168" s="124" t="str">
        <f>IF(Refsz_Verbräuche[[#Headers],[2026]]=$B$43,IF(OR(SUMIF($E168:Refsz_Verbräuche[[#This Row],[2025]],"&gt;0")&gt;0,), AVERAGEIF($E168:Refsz_Verbräuche[[#This Row],[2025]],"&lt;&gt;"""), ""),IF($B$43=(Refsz_Verbräuche[[#Headers],[2026]]-1),Refsz_Verbräuche[[#This Row],[2025]],IF($B$43&lt;Refsz_Verbräuche[[#Headers],[2026]],Refsz_Verbräuche[[#This Row],[2025]],"")))</f>
        <v/>
      </c>
      <c r="Q168" s="124" t="str">
        <f>IF(Refsz_Verbräuche[[#Headers],[2027]]=$B$43,IF(OR(SUMIF($E168:Refsz_Verbräuche[[#This Row],[2026]],"&gt;0")&gt;0,), AVERAGEIF($E168:Refsz_Verbräuche[[#This Row],[2026]],"&lt;&gt;"""), ""),IF($B$43=(Refsz_Verbräuche[[#Headers],[2027]]-1),Refsz_Verbräuche[[#This Row],[2026]],IF($B$43&lt;Refsz_Verbräuche[[#Headers],[2027]],Refsz_Verbräuche[[#This Row],[2026]],"")))</f>
        <v/>
      </c>
      <c r="R168" s="124" t="str">
        <f>IF(Refsz_Verbräuche[[#Headers],[2028]]=$B$43,IF(OR(SUMIF($E168:Refsz_Verbräuche[[#This Row],[2027]],"&gt;0")&gt;0,), AVERAGEIF($E168:Refsz_Verbräuche[[#This Row],[2027]],"&lt;&gt;"""), ""),IF($B$43=(Refsz_Verbräuche[[#Headers],[2028]]-1),Refsz_Verbräuche[[#This Row],[2027]],IF($B$43&lt;Refsz_Verbräuche[[#Headers],[2028]],Refsz_Verbräuche[[#This Row],[2027]],"")))</f>
        <v/>
      </c>
      <c r="S168" s="124" t="str">
        <f>IF(Refsz_Verbräuche[[#Headers],[2029]]=$B$43,IF(OR(SUMIF($E168:Refsz_Verbräuche[[#This Row],[2028]],"&gt;0")&gt;0,), AVERAGEIF($E168:Refsz_Verbräuche[[#This Row],[2028]],"&lt;&gt;"""), ""),IF($B$43=(Refsz_Verbräuche[[#Headers],[2029]]-1),Refsz_Verbräuche[[#This Row],[2028]],IF($B$43&lt;Refsz_Verbräuche[[#Headers],[2029]],Refsz_Verbräuche[[#This Row],[2028]],"")))</f>
        <v/>
      </c>
      <c r="T168" s="124" t="str">
        <f>IF(Refsz_Verbräuche[[#Headers],[2030]]=$B$43,IF(OR(SUMIF($E168:Refsz_Verbräuche[[#This Row],[2029]],"&gt;0")&gt;0,), AVERAGEIF($E168:Refsz_Verbräuche[[#This Row],[2029]],"&lt;&gt;"""), ""),IF($B$43=(Refsz_Verbräuche[[#Headers],[2030]]-1),Refsz_Verbräuche[[#This Row],[2029]],IF($B$43&lt;Refsz_Verbräuche[[#Headers],[2030]],Refsz_Verbräuche[[#This Row],[2029]],"")))</f>
        <v/>
      </c>
      <c r="U168" s="124" t="str">
        <f>IF(Refsz_Verbräuche[[#Headers],[2035]]=$B$43,IF(OR(SUMIF($E168:Refsz_Verbräuche[[#This Row],[2030]],"&gt;0")&gt;0,), AVERAGEIF($E168:Refsz_Verbräuche[[#This Row],[2030]],"&lt;&gt;"""), ""),IF($B$43=(Refsz_Verbräuche[[#Headers],[2035]]-1),Refsz_Verbräuche[[#This Row],[2030]],IF($B$43&lt;Refsz_Verbräuche[[#Headers],[2035]],Refsz_Verbräuche[[#This Row],[2030]],"")))</f>
        <v/>
      </c>
      <c r="V168" s="124" t="str">
        <f>IF(Refsz_Verbräuche[[#Headers],[2040]]=$B$43,IF(OR(SUMIF($E168:Refsz_Verbräuche[[#This Row],[2035]],"&gt;0")&gt;0,), AVERAGEIF($E168:Refsz_Verbräuche[[#This Row],[2035]],"&lt;&gt;"""), ""),IF($B$43=(Refsz_Verbräuche[[#Headers],[2040]]-1),Refsz_Verbräuche[[#This Row],[2035]],IF($B$43&lt;Refsz_Verbräuche[[#Headers],[2040]],Refsz_Verbräuche[[#This Row],[2035]],"")))</f>
        <v/>
      </c>
      <c r="W168" s="124" t="str">
        <f>IF(Refsz_Verbräuche[[#Headers],[2045]]=$B$43,IF(OR(SUMIF($E168:Refsz_Verbräuche[[#This Row],[2040]],"&gt;0")&gt;0,), AVERAGEIF($E168:Refsz_Verbräuche[[#This Row],[2040]],"&lt;&gt;"""), ""),IF($B$43=(Refsz_Verbräuche[[#Headers],[2045]]-1),Refsz_Verbräuche[[#This Row],[2040]],IF($B$43&lt;Refsz_Verbräuche[[#Headers],[2045]],Refsz_Verbräuche[[#This Row],[2040]],"")))</f>
        <v/>
      </c>
      <c r="X168" s="124" t="str">
        <f>IF(Refsz_Verbräuche[[#Headers],[2050]]=$B$43,IF(OR(SUMIF($E168:Refsz_Verbräuche[[#This Row],[2045]],"&gt;0")&gt;0,), AVERAGEIF($E168:Refsz_Verbräuche[[#This Row],[2045]],"&lt;&gt;"""), ""),IF($B$43=(Refsz_Verbräuche[[#Headers],[2050]]-1),Refsz_Verbräuche[[#This Row],[2045]],IF($B$43&lt;Refsz_Verbräuche[[#Headers],[2050]],Refsz_Verbräuche[[#This Row],[2045]],"")))</f>
        <v/>
      </c>
      <c r="Z168" s="15"/>
    </row>
    <row r="169" spans="2:26" x14ac:dyDescent="0.35">
      <c r="B169" s="15">
        <v>109</v>
      </c>
      <c r="C169" s="9" t="s">
        <v>58</v>
      </c>
      <c r="D169" t="s">
        <v>191</v>
      </c>
      <c r="E169" s="124"/>
      <c r="F169" s="124"/>
      <c r="G169" s="124"/>
      <c r="H169" s="124"/>
      <c r="I169" s="124"/>
      <c r="J169" s="124"/>
      <c r="K169" s="124"/>
      <c r="L169" s="124" t="str">
        <f>IF(Refsz_Verbräuche[[#Headers],[2022]]=$B$43,IF(OR(SUMIF($E169:Refsz_Verbräuche[[#This Row],[2021]],"&gt;0")&gt;0,), AVERAGEIF($E169:Refsz_Verbräuche[[#This Row],[2021]],"&lt;&gt;"""), ""),IF($B$43=(Refsz_Verbräuche[[#Headers],[2022]]-1),Refsz_Verbräuche[[#This Row],[2021]],IF($B$43&lt;Refsz_Verbräuche[[#Headers],[2022]],Refsz_Verbräuche[[#This Row],[2021]],"")))</f>
        <v/>
      </c>
      <c r="M169" s="124" t="str">
        <f>IF(Refsz_Verbräuche[[#Headers],[2023]]=$B$43,IF(OR(SUMIF($E169:Refsz_Verbräuche[[#This Row],[2022]],"&gt;0")&gt;0,), AVERAGEIF($E169:Refsz_Verbräuche[[#This Row],[2022]],"&lt;&gt;"""), ""),IF($B$43=(Refsz_Verbräuche[[#Headers],[2023]]-1),Refsz_Verbräuche[[#This Row],[2022]],IF($B$43&lt;Refsz_Verbräuche[[#Headers],[2023]],Refsz_Verbräuche[[#This Row],[2022]],"")))</f>
        <v/>
      </c>
      <c r="N169" s="124" t="str">
        <f>IF(Refsz_Verbräuche[[#Headers],[2024]]=$B$43,IF(OR(SUMIF($E169:Refsz_Verbräuche[[#This Row],[2023]],"&gt;0")&gt;0,), AVERAGEIF($E169:Refsz_Verbräuche[[#This Row],[2023]],"&lt;&gt;"""), ""),IF($B$43=(Refsz_Verbräuche[[#Headers],[2024]]-1),Refsz_Verbräuche[[#This Row],[2023]],IF($B$43&lt;Refsz_Verbräuche[[#Headers],[2024]],Refsz_Verbräuche[[#This Row],[2023]],"")))</f>
        <v/>
      </c>
      <c r="O169" s="124" t="str">
        <f>IF(Refsz_Verbräuche[[#Headers],[2025]]=$B$43,IF(OR(SUMIF($E169:Refsz_Verbräuche[[#This Row],[2024]],"&gt;0")&gt;0,), AVERAGEIF($E169:Refsz_Verbräuche[[#This Row],[2024]],"&lt;&gt;"""), ""),IF($B$43=(Refsz_Verbräuche[[#Headers],[2025]]-1),Refsz_Verbräuche[[#This Row],[2024]],IF($B$43&lt;Refsz_Verbräuche[[#Headers],[2025]],Refsz_Verbräuche[[#This Row],[2024]],"")))</f>
        <v/>
      </c>
      <c r="P169" s="124" t="str">
        <f>IF(Refsz_Verbräuche[[#Headers],[2026]]=$B$43,IF(OR(SUMIF($E169:Refsz_Verbräuche[[#This Row],[2025]],"&gt;0")&gt;0,), AVERAGEIF($E169:Refsz_Verbräuche[[#This Row],[2025]],"&lt;&gt;"""), ""),IF($B$43=(Refsz_Verbräuche[[#Headers],[2026]]-1),Refsz_Verbräuche[[#This Row],[2025]],IF($B$43&lt;Refsz_Verbräuche[[#Headers],[2026]],Refsz_Verbräuche[[#This Row],[2025]],"")))</f>
        <v/>
      </c>
      <c r="Q169" s="124" t="str">
        <f>IF(Refsz_Verbräuche[[#Headers],[2027]]=$B$43,IF(OR(SUMIF($E169:Refsz_Verbräuche[[#This Row],[2026]],"&gt;0")&gt;0,), AVERAGEIF($E169:Refsz_Verbräuche[[#This Row],[2026]],"&lt;&gt;"""), ""),IF($B$43=(Refsz_Verbräuche[[#Headers],[2027]]-1),Refsz_Verbräuche[[#This Row],[2026]],IF($B$43&lt;Refsz_Verbräuche[[#Headers],[2027]],Refsz_Verbräuche[[#This Row],[2026]],"")))</f>
        <v/>
      </c>
      <c r="R169" s="124" t="str">
        <f>IF(Refsz_Verbräuche[[#Headers],[2028]]=$B$43,IF(OR(SUMIF($E169:Refsz_Verbräuche[[#This Row],[2027]],"&gt;0")&gt;0,), AVERAGEIF($E169:Refsz_Verbräuche[[#This Row],[2027]],"&lt;&gt;"""), ""),IF($B$43=(Refsz_Verbräuche[[#Headers],[2028]]-1),Refsz_Verbräuche[[#This Row],[2027]],IF($B$43&lt;Refsz_Verbräuche[[#Headers],[2028]],Refsz_Verbräuche[[#This Row],[2027]],"")))</f>
        <v/>
      </c>
      <c r="S169" s="124" t="str">
        <f>IF(Refsz_Verbräuche[[#Headers],[2029]]=$B$43,IF(OR(SUMIF($E169:Refsz_Verbräuche[[#This Row],[2028]],"&gt;0")&gt;0,), AVERAGEIF($E169:Refsz_Verbräuche[[#This Row],[2028]],"&lt;&gt;"""), ""),IF($B$43=(Refsz_Verbräuche[[#Headers],[2029]]-1),Refsz_Verbräuche[[#This Row],[2028]],IF($B$43&lt;Refsz_Verbräuche[[#Headers],[2029]],Refsz_Verbräuche[[#This Row],[2028]],"")))</f>
        <v/>
      </c>
      <c r="T169" s="124" t="str">
        <f>IF(Refsz_Verbräuche[[#Headers],[2030]]=$B$43,IF(OR(SUMIF($E169:Refsz_Verbräuche[[#This Row],[2029]],"&gt;0")&gt;0,), AVERAGEIF($E169:Refsz_Verbräuche[[#This Row],[2029]],"&lt;&gt;"""), ""),IF($B$43=(Refsz_Verbräuche[[#Headers],[2030]]-1),Refsz_Verbräuche[[#This Row],[2029]],IF($B$43&lt;Refsz_Verbräuche[[#Headers],[2030]],Refsz_Verbräuche[[#This Row],[2029]],"")))</f>
        <v/>
      </c>
      <c r="U169" s="124" t="str">
        <f>IF(Refsz_Verbräuche[[#Headers],[2035]]=$B$43,IF(OR(SUMIF($E169:Refsz_Verbräuche[[#This Row],[2030]],"&gt;0")&gt;0,), AVERAGEIF($E169:Refsz_Verbräuche[[#This Row],[2030]],"&lt;&gt;"""), ""),IF($B$43=(Refsz_Verbräuche[[#Headers],[2035]]-1),Refsz_Verbräuche[[#This Row],[2030]],IF($B$43&lt;Refsz_Verbräuche[[#Headers],[2035]],Refsz_Verbräuche[[#This Row],[2030]],"")))</f>
        <v/>
      </c>
      <c r="V169" s="124" t="str">
        <f>IF(Refsz_Verbräuche[[#Headers],[2040]]=$B$43,IF(OR(SUMIF($E169:Refsz_Verbräuche[[#This Row],[2035]],"&gt;0")&gt;0,), AVERAGEIF($E169:Refsz_Verbräuche[[#This Row],[2035]],"&lt;&gt;"""), ""),IF($B$43=(Refsz_Verbräuche[[#Headers],[2040]]-1),Refsz_Verbräuche[[#This Row],[2035]],IF($B$43&lt;Refsz_Verbräuche[[#Headers],[2040]],Refsz_Verbräuche[[#This Row],[2035]],"")))</f>
        <v/>
      </c>
      <c r="W169" s="124" t="str">
        <f>IF(Refsz_Verbräuche[[#Headers],[2045]]=$B$43,IF(OR(SUMIF($E169:Refsz_Verbräuche[[#This Row],[2040]],"&gt;0")&gt;0,), AVERAGEIF($E169:Refsz_Verbräuche[[#This Row],[2040]],"&lt;&gt;"""), ""),IF($B$43=(Refsz_Verbräuche[[#Headers],[2045]]-1),Refsz_Verbräuche[[#This Row],[2040]],IF($B$43&lt;Refsz_Verbräuche[[#Headers],[2045]],Refsz_Verbräuche[[#This Row],[2040]],"")))</f>
        <v/>
      </c>
      <c r="X169" s="124" t="str">
        <f>IF(Refsz_Verbräuche[[#Headers],[2050]]=$B$43,IF(OR(SUMIF($E169:Refsz_Verbräuche[[#This Row],[2045]],"&gt;0")&gt;0,), AVERAGEIF($E169:Refsz_Verbräuche[[#This Row],[2045]],"&lt;&gt;"""), ""),IF($B$43=(Refsz_Verbräuche[[#Headers],[2050]]-1),Refsz_Verbräuche[[#This Row],[2045]],IF($B$43&lt;Refsz_Verbräuche[[#Headers],[2050]],Refsz_Verbräuche[[#This Row],[2045]],"")))</f>
        <v/>
      </c>
      <c r="Z169" s="15"/>
    </row>
    <row r="170" spans="2:26" x14ac:dyDescent="0.35">
      <c r="B170" s="15">
        <v>110</v>
      </c>
      <c r="C170" t="s">
        <v>59</v>
      </c>
      <c r="D170" t="s">
        <v>191</v>
      </c>
      <c r="E170" s="124"/>
      <c r="F170" s="124"/>
      <c r="G170" s="124"/>
      <c r="H170" s="124"/>
      <c r="I170" s="124"/>
      <c r="J170" s="124"/>
      <c r="K170" s="124"/>
      <c r="L170" s="124" t="str">
        <f>IF(Refsz_Verbräuche[[#Headers],[2022]]=$B$43,IF(OR(SUMIF($E170:Refsz_Verbräuche[[#This Row],[2021]],"&gt;0")&gt;0,), AVERAGEIF($E170:Refsz_Verbräuche[[#This Row],[2021]],"&lt;&gt;"""), ""),IF($B$43=(Refsz_Verbräuche[[#Headers],[2022]]-1),Refsz_Verbräuche[[#This Row],[2021]],IF($B$43&lt;Refsz_Verbräuche[[#Headers],[2022]],Refsz_Verbräuche[[#This Row],[2021]],"")))</f>
        <v/>
      </c>
      <c r="M170" s="124" t="str">
        <f>IF(Refsz_Verbräuche[[#Headers],[2023]]=$B$43,IF(OR(SUMIF($E170:Refsz_Verbräuche[[#This Row],[2022]],"&gt;0")&gt;0,), AVERAGEIF($E170:Refsz_Verbräuche[[#This Row],[2022]],"&lt;&gt;"""), ""),IF($B$43=(Refsz_Verbräuche[[#Headers],[2023]]-1),Refsz_Verbräuche[[#This Row],[2022]],IF($B$43&lt;Refsz_Verbräuche[[#Headers],[2023]],Refsz_Verbräuche[[#This Row],[2022]],"")))</f>
        <v/>
      </c>
      <c r="N170" s="124" t="str">
        <f>IF(Refsz_Verbräuche[[#Headers],[2024]]=$B$43,IF(OR(SUMIF($E170:Refsz_Verbräuche[[#This Row],[2023]],"&gt;0")&gt;0,), AVERAGEIF($E170:Refsz_Verbräuche[[#This Row],[2023]],"&lt;&gt;"""), ""),IF($B$43=(Refsz_Verbräuche[[#Headers],[2024]]-1),Refsz_Verbräuche[[#This Row],[2023]],IF($B$43&lt;Refsz_Verbräuche[[#Headers],[2024]],Refsz_Verbräuche[[#This Row],[2023]],"")))</f>
        <v/>
      </c>
      <c r="O170" s="124" t="str">
        <f>IF(Refsz_Verbräuche[[#Headers],[2025]]=$B$43,IF(OR(SUMIF($E170:Refsz_Verbräuche[[#This Row],[2024]],"&gt;0")&gt;0,), AVERAGEIF($E170:Refsz_Verbräuche[[#This Row],[2024]],"&lt;&gt;"""), ""),IF($B$43=(Refsz_Verbräuche[[#Headers],[2025]]-1),Refsz_Verbräuche[[#This Row],[2024]],IF($B$43&lt;Refsz_Verbräuche[[#Headers],[2025]],Refsz_Verbräuche[[#This Row],[2024]],"")))</f>
        <v/>
      </c>
      <c r="P170" s="124" t="str">
        <f>IF(Refsz_Verbräuche[[#Headers],[2026]]=$B$43,IF(OR(SUMIF($E170:Refsz_Verbräuche[[#This Row],[2025]],"&gt;0")&gt;0,), AVERAGEIF($E170:Refsz_Verbräuche[[#This Row],[2025]],"&lt;&gt;"""), ""),IF($B$43=(Refsz_Verbräuche[[#Headers],[2026]]-1),Refsz_Verbräuche[[#This Row],[2025]],IF($B$43&lt;Refsz_Verbräuche[[#Headers],[2026]],Refsz_Verbräuche[[#This Row],[2025]],"")))</f>
        <v/>
      </c>
      <c r="Q170" s="124" t="str">
        <f>IF(Refsz_Verbräuche[[#Headers],[2027]]=$B$43,IF(OR(SUMIF($E170:Refsz_Verbräuche[[#This Row],[2026]],"&gt;0")&gt;0,), AVERAGEIF($E170:Refsz_Verbräuche[[#This Row],[2026]],"&lt;&gt;"""), ""),IF($B$43=(Refsz_Verbräuche[[#Headers],[2027]]-1),Refsz_Verbräuche[[#This Row],[2026]],IF($B$43&lt;Refsz_Verbräuche[[#Headers],[2027]],Refsz_Verbräuche[[#This Row],[2026]],"")))</f>
        <v/>
      </c>
      <c r="R170" s="124" t="str">
        <f>IF(Refsz_Verbräuche[[#Headers],[2028]]=$B$43,IF(OR(SUMIF($E170:Refsz_Verbräuche[[#This Row],[2027]],"&gt;0")&gt;0,), AVERAGEIF($E170:Refsz_Verbräuche[[#This Row],[2027]],"&lt;&gt;"""), ""),IF($B$43=(Refsz_Verbräuche[[#Headers],[2028]]-1),Refsz_Verbräuche[[#This Row],[2027]],IF($B$43&lt;Refsz_Verbräuche[[#Headers],[2028]],Refsz_Verbräuche[[#This Row],[2027]],"")))</f>
        <v/>
      </c>
      <c r="S170" s="124" t="str">
        <f>IF(Refsz_Verbräuche[[#Headers],[2029]]=$B$43,IF(OR(SUMIF($E170:Refsz_Verbräuche[[#This Row],[2028]],"&gt;0")&gt;0,), AVERAGEIF($E170:Refsz_Verbräuche[[#This Row],[2028]],"&lt;&gt;"""), ""),IF($B$43=(Refsz_Verbräuche[[#Headers],[2029]]-1),Refsz_Verbräuche[[#This Row],[2028]],IF($B$43&lt;Refsz_Verbräuche[[#Headers],[2029]],Refsz_Verbräuche[[#This Row],[2028]],"")))</f>
        <v/>
      </c>
      <c r="T170" s="124" t="str">
        <f>IF(Refsz_Verbräuche[[#Headers],[2030]]=$B$43,IF(OR(SUMIF($E170:Refsz_Verbräuche[[#This Row],[2029]],"&gt;0")&gt;0,), AVERAGEIF($E170:Refsz_Verbräuche[[#This Row],[2029]],"&lt;&gt;"""), ""),IF($B$43=(Refsz_Verbräuche[[#Headers],[2030]]-1),Refsz_Verbräuche[[#This Row],[2029]],IF($B$43&lt;Refsz_Verbräuche[[#Headers],[2030]],Refsz_Verbräuche[[#This Row],[2029]],"")))</f>
        <v/>
      </c>
      <c r="U170" s="124" t="str">
        <f>IF(Refsz_Verbräuche[[#Headers],[2035]]=$B$43,IF(OR(SUMIF($E170:Refsz_Verbräuche[[#This Row],[2030]],"&gt;0")&gt;0,), AVERAGEIF($E170:Refsz_Verbräuche[[#This Row],[2030]],"&lt;&gt;"""), ""),IF($B$43=(Refsz_Verbräuche[[#Headers],[2035]]-1),Refsz_Verbräuche[[#This Row],[2030]],IF($B$43&lt;Refsz_Verbräuche[[#Headers],[2035]],Refsz_Verbräuche[[#This Row],[2030]],"")))</f>
        <v/>
      </c>
      <c r="V170" s="124" t="str">
        <f>IF(Refsz_Verbräuche[[#Headers],[2040]]=$B$43,IF(OR(SUMIF($E170:Refsz_Verbräuche[[#This Row],[2035]],"&gt;0")&gt;0,), AVERAGEIF($E170:Refsz_Verbräuche[[#This Row],[2035]],"&lt;&gt;"""), ""),IF($B$43=(Refsz_Verbräuche[[#Headers],[2040]]-1),Refsz_Verbräuche[[#This Row],[2035]],IF($B$43&lt;Refsz_Verbräuche[[#Headers],[2040]],Refsz_Verbräuche[[#This Row],[2035]],"")))</f>
        <v/>
      </c>
      <c r="W170" s="124" t="str">
        <f>IF(Refsz_Verbräuche[[#Headers],[2045]]=$B$43,IF(OR(SUMIF($E170:Refsz_Verbräuche[[#This Row],[2040]],"&gt;0")&gt;0,), AVERAGEIF($E170:Refsz_Verbräuche[[#This Row],[2040]],"&lt;&gt;"""), ""),IF($B$43=(Refsz_Verbräuche[[#Headers],[2045]]-1),Refsz_Verbräuche[[#This Row],[2040]],IF($B$43&lt;Refsz_Verbräuche[[#Headers],[2045]],Refsz_Verbräuche[[#This Row],[2040]],"")))</f>
        <v/>
      </c>
      <c r="X170" s="124" t="str">
        <f>IF(Refsz_Verbräuche[[#Headers],[2050]]=$B$43,IF(OR(SUMIF($E170:Refsz_Verbräuche[[#This Row],[2045]],"&gt;0")&gt;0,), AVERAGEIF($E170:Refsz_Verbräuche[[#This Row],[2045]],"&lt;&gt;"""), ""),IF($B$43=(Refsz_Verbräuche[[#Headers],[2050]]-1),Refsz_Verbräuche[[#This Row],[2045]],IF($B$43&lt;Refsz_Verbräuche[[#Headers],[2050]],Refsz_Verbräuche[[#This Row],[2045]],"")))</f>
        <v/>
      </c>
      <c r="Z170" s="15"/>
    </row>
    <row r="171" spans="2:26" x14ac:dyDescent="0.35">
      <c r="B171" s="15">
        <v>111</v>
      </c>
      <c r="C171" t="s">
        <v>56</v>
      </c>
      <c r="D171" t="s">
        <v>191</v>
      </c>
      <c r="E171" s="124"/>
      <c r="F171" s="124"/>
      <c r="G171" s="124"/>
      <c r="H171" s="124"/>
      <c r="I171" s="124"/>
      <c r="J171" s="124"/>
      <c r="K171" s="124"/>
      <c r="L171" s="124" t="str">
        <f>IF(Refsz_Verbräuche[[#Headers],[2022]]=$B$43,IF(OR(SUMIF($E171:Refsz_Verbräuche[[#This Row],[2021]],"&gt;0")&gt;0,), AVERAGEIF($E171:Refsz_Verbräuche[[#This Row],[2021]],"&lt;&gt;"""), ""),IF($B$43=(Refsz_Verbräuche[[#Headers],[2022]]-1),Refsz_Verbräuche[[#This Row],[2021]],IF($B$43&lt;Refsz_Verbräuche[[#Headers],[2022]],Refsz_Verbräuche[[#This Row],[2021]],"")))</f>
        <v/>
      </c>
      <c r="M171" s="124" t="str">
        <f>IF(Refsz_Verbräuche[[#Headers],[2023]]=$B$43,IF(OR(SUMIF($E171:Refsz_Verbräuche[[#This Row],[2022]],"&gt;0")&gt;0,), AVERAGEIF($E171:Refsz_Verbräuche[[#This Row],[2022]],"&lt;&gt;"""), ""),IF($B$43=(Refsz_Verbräuche[[#Headers],[2023]]-1),Refsz_Verbräuche[[#This Row],[2022]],IF($B$43&lt;Refsz_Verbräuche[[#Headers],[2023]],Refsz_Verbräuche[[#This Row],[2022]],"")))</f>
        <v/>
      </c>
      <c r="N171" s="124" t="str">
        <f>IF(Refsz_Verbräuche[[#Headers],[2024]]=$B$43,IF(OR(SUMIF($E171:Refsz_Verbräuche[[#This Row],[2023]],"&gt;0")&gt;0,), AVERAGEIF($E171:Refsz_Verbräuche[[#This Row],[2023]],"&lt;&gt;"""), ""),IF($B$43=(Refsz_Verbräuche[[#Headers],[2024]]-1),Refsz_Verbräuche[[#This Row],[2023]],IF($B$43&lt;Refsz_Verbräuche[[#Headers],[2024]],Refsz_Verbräuche[[#This Row],[2023]],"")))</f>
        <v/>
      </c>
      <c r="O171" s="124" t="str">
        <f>IF(Refsz_Verbräuche[[#Headers],[2025]]=$B$43,IF(OR(SUMIF($E171:Refsz_Verbräuche[[#This Row],[2024]],"&gt;0")&gt;0,), AVERAGEIF($E171:Refsz_Verbräuche[[#This Row],[2024]],"&lt;&gt;"""), ""),IF($B$43=(Refsz_Verbräuche[[#Headers],[2025]]-1),Refsz_Verbräuche[[#This Row],[2024]],IF($B$43&lt;Refsz_Verbräuche[[#Headers],[2025]],Refsz_Verbräuche[[#This Row],[2024]],"")))</f>
        <v/>
      </c>
      <c r="P171" s="124" t="str">
        <f>IF(Refsz_Verbräuche[[#Headers],[2026]]=$B$43,IF(OR(SUMIF($E171:Refsz_Verbräuche[[#This Row],[2025]],"&gt;0")&gt;0,), AVERAGEIF($E171:Refsz_Verbräuche[[#This Row],[2025]],"&lt;&gt;"""), ""),IF($B$43=(Refsz_Verbräuche[[#Headers],[2026]]-1),Refsz_Verbräuche[[#This Row],[2025]],IF($B$43&lt;Refsz_Verbräuche[[#Headers],[2026]],Refsz_Verbräuche[[#This Row],[2025]],"")))</f>
        <v/>
      </c>
      <c r="Q171" s="124" t="str">
        <f>IF(Refsz_Verbräuche[[#Headers],[2027]]=$B$43,IF(OR(SUMIF($E171:Refsz_Verbräuche[[#This Row],[2026]],"&gt;0")&gt;0,), AVERAGEIF($E171:Refsz_Verbräuche[[#This Row],[2026]],"&lt;&gt;"""), ""),IF($B$43=(Refsz_Verbräuche[[#Headers],[2027]]-1),Refsz_Verbräuche[[#This Row],[2026]],IF($B$43&lt;Refsz_Verbräuche[[#Headers],[2027]],Refsz_Verbräuche[[#This Row],[2026]],"")))</f>
        <v/>
      </c>
      <c r="R171" s="124" t="str">
        <f>IF(Refsz_Verbräuche[[#Headers],[2028]]=$B$43,IF(OR(SUMIF($E171:Refsz_Verbräuche[[#This Row],[2027]],"&gt;0")&gt;0,), AVERAGEIF($E171:Refsz_Verbräuche[[#This Row],[2027]],"&lt;&gt;"""), ""),IF($B$43=(Refsz_Verbräuche[[#Headers],[2028]]-1),Refsz_Verbräuche[[#This Row],[2027]],IF($B$43&lt;Refsz_Verbräuche[[#Headers],[2028]],Refsz_Verbräuche[[#This Row],[2027]],"")))</f>
        <v/>
      </c>
      <c r="S171" s="124" t="str">
        <f>IF(Refsz_Verbräuche[[#Headers],[2029]]=$B$43,IF(OR(SUMIF($E171:Refsz_Verbräuche[[#This Row],[2028]],"&gt;0")&gt;0,), AVERAGEIF($E171:Refsz_Verbräuche[[#This Row],[2028]],"&lt;&gt;"""), ""),IF($B$43=(Refsz_Verbräuche[[#Headers],[2029]]-1),Refsz_Verbräuche[[#This Row],[2028]],IF($B$43&lt;Refsz_Verbräuche[[#Headers],[2029]],Refsz_Verbräuche[[#This Row],[2028]],"")))</f>
        <v/>
      </c>
      <c r="T171" s="124" t="str">
        <f>IF(Refsz_Verbräuche[[#Headers],[2030]]=$B$43,IF(OR(SUMIF($E171:Refsz_Verbräuche[[#This Row],[2029]],"&gt;0")&gt;0,), AVERAGEIF($E171:Refsz_Verbräuche[[#This Row],[2029]],"&lt;&gt;"""), ""),IF($B$43=(Refsz_Verbräuche[[#Headers],[2030]]-1),Refsz_Verbräuche[[#This Row],[2029]],IF($B$43&lt;Refsz_Verbräuche[[#Headers],[2030]],Refsz_Verbräuche[[#This Row],[2029]],"")))</f>
        <v/>
      </c>
      <c r="U171" s="124" t="str">
        <f>IF(Refsz_Verbräuche[[#Headers],[2035]]=$B$43,IF(OR(SUMIF($E171:Refsz_Verbräuche[[#This Row],[2030]],"&gt;0")&gt;0,), AVERAGEIF($E171:Refsz_Verbräuche[[#This Row],[2030]],"&lt;&gt;"""), ""),IF($B$43=(Refsz_Verbräuche[[#Headers],[2035]]-1),Refsz_Verbräuche[[#This Row],[2030]],IF($B$43&lt;Refsz_Verbräuche[[#Headers],[2035]],Refsz_Verbräuche[[#This Row],[2030]],"")))</f>
        <v/>
      </c>
      <c r="V171" s="124" t="str">
        <f>IF(Refsz_Verbräuche[[#Headers],[2040]]=$B$43,IF(OR(SUMIF($E171:Refsz_Verbräuche[[#This Row],[2035]],"&gt;0")&gt;0,), AVERAGEIF($E171:Refsz_Verbräuche[[#This Row],[2035]],"&lt;&gt;"""), ""),IF($B$43=(Refsz_Verbräuche[[#Headers],[2040]]-1),Refsz_Verbräuche[[#This Row],[2035]],IF($B$43&lt;Refsz_Verbräuche[[#Headers],[2040]],Refsz_Verbräuche[[#This Row],[2035]],"")))</f>
        <v/>
      </c>
      <c r="W171" s="124" t="str">
        <f>IF(Refsz_Verbräuche[[#Headers],[2045]]=$B$43,IF(OR(SUMIF($E171:Refsz_Verbräuche[[#This Row],[2040]],"&gt;0")&gt;0,), AVERAGEIF($E171:Refsz_Verbräuche[[#This Row],[2040]],"&lt;&gt;"""), ""),IF($B$43=(Refsz_Verbräuche[[#Headers],[2045]]-1),Refsz_Verbräuche[[#This Row],[2040]],IF($B$43&lt;Refsz_Verbräuche[[#Headers],[2045]],Refsz_Verbräuche[[#This Row],[2040]],"")))</f>
        <v/>
      </c>
      <c r="X171" s="124" t="str">
        <f>IF(Refsz_Verbräuche[[#Headers],[2050]]=$B$43,IF(OR(SUMIF($E171:Refsz_Verbräuche[[#This Row],[2045]],"&gt;0")&gt;0,), AVERAGEIF($E171:Refsz_Verbräuche[[#This Row],[2045]],"&lt;&gt;"""), ""),IF($B$43=(Refsz_Verbräuche[[#Headers],[2050]]-1),Refsz_Verbräuche[[#This Row],[2045]],IF($B$43&lt;Refsz_Verbräuche[[#Headers],[2050]],Refsz_Verbräuche[[#This Row],[2045]],"")))</f>
        <v/>
      </c>
      <c r="Z171" s="15"/>
    </row>
    <row r="172" spans="2:26" x14ac:dyDescent="0.35">
      <c r="B172" s="15">
        <v>112</v>
      </c>
      <c r="C172" t="s">
        <v>57</v>
      </c>
      <c r="D172" t="s">
        <v>191</v>
      </c>
      <c r="E172" s="124"/>
      <c r="F172" s="124"/>
      <c r="G172" s="124"/>
      <c r="H172" s="124"/>
      <c r="I172" s="124"/>
      <c r="J172" s="124"/>
      <c r="K172" s="124"/>
      <c r="L172" s="124" t="str">
        <f>IF(Refsz_Verbräuche[[#Headers],[2022]]=$B$43,IF(OR(SUMIF($E172:Refsz_Verbräuche[[#This Row],[2021]],"&gt;0")&gt;0,), AVERAGEIF($E172:Refsz_Verbräuche[[#This Row],[2021]],"&lt;&gt;"""), ""),IF($B$43=(Refsz_Verbräuche[[#Headers],[2022]]-1),Refsz_Verbräuche[[#This Row],[2021]],IF($B$43&lt;Refsz_Verbräuche[[#Headers],[2022]],Refsz_Verbräuche[[#This Row],[2021]],"")))</f>
        <v/>
      </c>
      <c r="M172" s="124" t="str">
        <f>IF(Refsz_Verbräuche[[#Headers],[2023]]=$B$43,IF(OR(SUMIF($E172:Refsz_Verbräuche[[#This Row],[2022]],"&gt;0")&gt;0,), AVERAGEIF($E172:Refsz_Verbräuche[[#This Row],[2022]],"&lt;&gt;"""), ""),IF($B$43=(Refsz_Verbräuche[[#Headers],[2023]]-1),Refsz_Verbräuche[[#This Row],[2022]],IF($B$43&lt;Refsz_Verbräuche[[#Headers],[2023]],Refsz_Verbräuche[[#This Row],[2022]],"")))</f>
        <v/>
      </c>
      <c r="N172" s="124" t="str">
        <f>IF(Refsz_Verbräuche[[#Headers],[2024]]=$B$43,IF(OR(SUMIF($E172:Refsz_Verbräuche[[#This Row],[2023]],"&gt;0")&gt;0,), AVERAGEIF($E172:Refsz_Verbräuche[[#This Row],[2023]],"&lt;&gt;"""), ""),IF($B$43=(Refsz_Verbräuche[[#Headers],[2024]]-1),Refsz_Verbräuche[[#This Row],[2023]],IF($B$43&lt;Refsz_Verbräuche[[#Headers],[2024]],Refsz_Verbräuche[[#This Row],[2023]],"")))</f>
        <v/>
      </c>
      <c r="O172" s="124" t="str">
        <f>IF(Refsz_Verbräuche[[#Headers],[2025]]=$B$43,IF(OR(SUMIF($E172:Refsz_Verbräuche[[#This Row],[2024]],"&gt;0")&gt;0,), AVERAGEIF($E172:Refsz_Verbräuche[[#This Row],[2024]],"&lt;&gt;"""), ""),IF($B$43=(Refsz_Verbräuche[[#Headers],[2025]]-1),Refsz_Verbräuche[[#This Row],[2024]],IF($B$43&lt;Refsz_Verbräuche[[#Headers],[2025]],Refsz_Verbräuche[[#This Row],[2024]],"")))</f>
        <v/>
      </c>
      <c r="P172" s="124" t="str">
        <f>IF(Refsz_Verbräuche[[#Headers],[2026]]=$B$43,IF(OR(SUMIF($E172:Refsz_Verbräuche[[#This Row],[2025]],"&gt;0")&gt;0,), AVERAGEIF($E172:Refsz_Verbräuche[[#This Row],[2025]],"&lt;&gt;"""), ""),IF($B$43=(Refsz_Verbräuche[[#Headers],[2026]]-1),Refsz_Verbräuche[[#This Row],[2025]],IF($B$43&lt;Refsz_Verbräuche[[#Headers],[2026]],Refsz_Verbräuche[[#This Row],[2025]],"")))</f>
        <v/>
      </c>
      <c r="Q172" s="124" t="str">
        <f>IF(Refsz_Verbräuche[[#Headers],[2027]]=$B$43,IF(OR(SUMIF($E172:Refsz_Verbräuche[[#This Row],[2026]],"&gt;0")&gt;0,), AVERAGEIF($E172:Refsz_Verbräuche[[#This Row],[2026]],"&lt;&gt;"""), ""),IF($B$43=(Refsz_Verbräuche[[#Headers],[2027]]-1),Refsz_Verbräuche[[#This Row],[2026]],IF($B$43&lt;Refsz_Verbräuche[[#Headers],[2027]],Refsz_Verbräuche[[#This Row],[2026]],"")))</f>
        <v/>
      </c>
      <c r="R172" s="124" t="str">
        <f>IF(Refsz_Verbräuche[[#Headers],[2028]]=$B$43,IF(OR(SUMIF($E172:Refsz_Verbräuche[[#This Row],[2027]],"&gt;0")&gt;0,), AVERAGEIF($E172:Refsz_Verbräuche[[#This Row],[2027]],"&lt;&gt;"""), ""),IF($B$43=(Refsz_Verbräuche[[#Headers],[2028]]-1),Refsz_Verbräuche[[#This Row],[2027]],IF($B$43&lt;Refsz_Verbräuche[[#Headers],[2028]],Refsz_Verbräuche[[#This Row],[2027]],"")))</f>
        <v/>
      </c>
      <c r="S172" s="124" t="str">
        <f>IF(Refsz_Verbräuche[[#Headers],[2029]]=$B$43,IF(OR(SUMIF($E172:Refsz_Verbräuche[[#This Row],[2028]],"&gt;0")&gt;0,), AVERAGEIF($E172:Refsz_Verbräuche[[#This Row],[2028]],"&lt;&gt;"""), ""),IF($B$43=(Refsz_Verbräuche[[#Headers],[2029]]-1),Refsz_Verbräuche[[#This Row],[2028]],IF($B$43&lt;Refsz_Verbräuche[[#Headers],[2029]],Refsz_Verbräuche[[#This Row],[2028]],"")))</f>
        <v/>
      </c>
      <c r="T172" s="124" t="str">
        <f>IF(Refsz_Verbräuche[[#Headers],[2030]]=$B$43,IF(OR(SUMIF($E172:Refsz_Verbräuche[[#This Row],[2029]],"&gt;0")&gt;0,), AVERAGEIF($E172:Refsz_Verbräuche[[#This Row],[2029]],"&lt;&gt;"""), ""),IF($B$43=(Refsz_Verbräuche[[#Headers],[2030]]-1),Refsz_Verbräuche[[#This Row],[2029]],IF($B$43&lt;Refsz_Verbräuche[[#Headers],[2030]],Refsz_Verbräuche[[#This Row],[2029]],"")))</f>
        <v/>
      </c>
      <c r="U172" s="124" t="str">
        <f>IF(Refsz_Verbräuche[[#Headers],[2035]]=$B$43,IF(OR(SUMIF($E172:Refsz_Verbräuche[[#This Row],[2030]],"&gt;0")&gt;0,), AVERAGEIF($E172:Refsz_Verbräuche[[#This Row],[2030]],"&lt;&gt;"""), ""),IF($B$43=(Refsz_Verbräuche[[#Headers],[2035]]-1),Refsz_Verbräuche[[#This Row],[2030]],IF($B$43&lt;Refsz_Verbräuche[[#Headers],[2035]],Refsz_Verbräuche[[#This Row],[2030]],"")))</f>
        <v/>
      </c>
      <c r="V172" s="124" t="str">
        <f>IF(Refsz_Verbräuche[[#Headers],[2040]]=$B$43,IF(OR(SUMIF($E172:Refsz_Verbräuche[[#This Row],[2035]],"&gt;0")&gt;0,), AVERAGEIF($E172:Refsz_Verbräuche[[#This Row],[2035]],"&lt;&gt;"""), ""),IF($B$43=(Refsz_Verbräuche[[#Headers],[2040]]-1),Refsz_Verbräuche[[#This Row],[2035]],IF($B$43&lt;Refsz_Verbräuche[[#Headers],[2040]],Refsz_Verbräuche[[#This Row],[2035]],"")))</f>
        <v/>
      </c>
      <c r="W172" s="124" t="str">
        <f>IF(Refsz_Verbräuche[[#Headers],[2045]]=$B$43,IF(OR(SUMIF($E172:Refsz_Verbräuche[[#This Row],[2040]],"&gt;0")&gt;0,), AVERAGEIF($E172:Refsz_Verbräuche[[#This Row],[2040]],"&lt;&gt;"""), ""),IF($B$43=(Refsz_Verbräuche[[#Headers],[2045]]-1),Refsz_Verbräuche[[#This Row],[2040]],IF($B$43&lt;Refsz_Verbräuche[[#Headers],[2045]],Refsz_Verbräuche[[#This Row],[2040]],"")))</f>
        <v/>
      </c>
      <c r="X172" s="124" t="str">
        <f>IF(Refsz_Verbräuche[[#Headers],[2050]]=$B$43,IF(OR(SUMIF($E172:Refsz_Verbräuche[[#This Row],[2045]],"&gt;0")&gt;0,), AVERAGEIF($E172:Refsz_Verbräuche[[#This Row],[2045]],"&lt;&gt;"""), ""),IF($B$43=(Refsz_Verbräuche[[#Headers],[2050]]-1),Refsz_Verbräuche[[#This Row],[2045]],IF($B$43&lt;Refsz_Verbräuche[[#Headers],[2050]],Refsz_Verbräuche[[#This Row],[2045]],"")))</f>
        <v/>
      </c>
      <c r="Z172" s="15"/>
    </row>
    <row r="173" spans="2:26" x14ac:dyDescent="0.35">
      <c r="B173" s="15">
        <v>113</v>
      </c>
      <c r="C173" t="s">
        <v>122</v>
      </c>
      <c r="D173" t="s">
        <v>191</v>
      </c>
      <c r="E173" s="124"/>
      <c r="F173" s="124"/>
      <c r="G173" s="124"/>
      <c r="H173" s="124"/>
      <c r="I173" s="124"/>
      <c r="J173" s="124"/>
      <c r="K173" s="124"/>
      <c r="L173" s="124" t="str">
        <f>IF(Refsz_Verbräuche[[#Headers],[2022]]=$B$43,IF(OR(SUMIF($E173:Refsz_Verbräuche[[#This Row],[2021]],"&gt;0")&gt;0,), AVERAGEIF($E173:Refsz_Verbräuche[[#This Row],[2021]],"&lt;&gt;"""), ""),IF($B$43=(Refsz_Verbräuche[[#Headers],[2022]]-1),Refsz_Verbräuche[[#This Row],[2021]],IF($B$43&lt;Refsz_Verbräuche[[#Headers],[2022]],Refsz_Verbräuche[[#This Row],[2021]],"")))</f>
        <v/>
      </c>
      <c r="M173" s="124" t="str">
        <f>IF(Refsz_Verbräuche[[#Headers],[2023]]=$B$43,IF(OR(SUMIF($E173:Refsz_Verbräuche[[#This Row],[2022]],"&gt;0")&gt;0,), AVERAGEIF($E173:Refsz_Verbräuche[[#This Row],[2022]],"&lt;&gt;"""), ""),IF($B$43=(Refsz_Verbräuche[[#Headers],[2023]]-1),Refsz_Verbräuche[[#This Row],[2022]],IF($B$43&lt;Refsz_Verbräuche[[#Headers],[2023]],Refsz_Verbräuche[[#This Row],[2022]],"")))</f>
        <v/>
      </c>
      <c r="N173" s="124" t="str">
        <f>IF(Refsz_Verbräuche[[#Headers],[2024]]=$B$43,IF(OR(SUMIF($E173:Refsz_Verbräuche[[#This Row],[2023]],"&gt;0")&gt;0,), AVERAGEIF($E173:Refsz_Verbräuche[[#This Row],[2023]],"&lt;&gt;"""), ""),IF($B$43=(Refsz_Verbräuche[[#Headers],[2024]]-1),Refsz_Verbräuche[[#This Row],[2023]],IF($B$43&lt;Refsz_Verbräuche[[#Headers],[2024]],Refsz_Verbräuche[[#This Row],[2023]],"")))</f>
        <v/>
      </c>
      <c r="O173" s="124" t="str">
        <f>IF(Refsz_Verbräuche[[#Headers],[2025]]=$B$43,IF(OR(SUMIF($E173:Refsz_Verbräuche[[#This Row],[2024]],"&gt;0")&gt;0,), AVERAGEIF($E173:Refsz_Verbräuche[[#This Row],[2024]],"&lt;&gt;"""), ""),IF($B$43=(Refsz_Verbräuche[[#Headers],[2025]]-1),Refsz_Verbräuche[[#This Row],[2024]],IF($B$43&lt;Refsz_Verbräuche[[#Headers],[2025]],Refsz_Verbräuche[[#This Row],[2024]],"")))</f>
        <v/>
      </c>
      <c r="P173" s="124" t="str">
        <f>IF(Refsz_Verbräuche[[#Headers],[2026]]=$B$43,IF(OR(SUMIF($E173:Refsz_Verbräuche[[#This Row],[2025]],"&gt;0")&gt;0,), AVERAGEIF($E173:Refsz_Verbräuche[[#This Row],[2025]],"&lt;&gt;"""), ""),IF($B$43=(Refsz_Verbräuche[[#Headers],[2026]]-1),Refsz_Verbräuche[[#This Row],[2025]],IF($B$43&lt;Refsz_Verbräuche[[#Headers],[2026]],Refsz_Verbräuche[[#This Row],[2025]],"")))</f>
        <v/>
      </c>
      <c r="Q173" s="124" t="str">
        <f>IF(Refsz_Verbräuche[[#Headers],[2027]]=$B$43,IF(OR(SUMIF($E173:Refsz_Verbräuche[[#This Row],[2026]],"&gt;0")&gt;0,), AVERAGEIF($E173:Refsz_Verbräuche[[#This Row],[2026]],"&lt;&gt;"""), ""),IF($B$43=(Refsz_Verbräuche[[#Headers],[2027]]-1),Refsz_Verbräuche[[#This Row],[2026]],IF($B$43&lt;Refsz_Verbräuche[[#Headers],[2027]],Refsz_Verbräuche[[#This Row],[2026]],"")))</f>
        <v/>
      </c>
      <c r="R173" s="124" t="str">
        <f>IF(Refsz_Verbräuche[[#Headers],[2028]]=$B$43,IF(OR(SUMIF($E173:Refsz_Verbräuche[[#This Row],[2027]],"&gt;0")&gt;0,), AVERAGEIF($E173:Refsz_Verbräuche[[#This Row],[2027]],"&lt;&gt;"""), ""),IF($B$43=(Refsz_Verbräuche[[#Headers],[2028]]-1),Refsz_Verbräuche[[#This Row],[2027]],IF($B$43&lt;Refsz_Verbräuche[[#Headers],[2028]],Refsz_Verbräuche[[#This Row],[2027]],"")))</f>
        <v/>
      </c>
      <c r="S173" s="124" t="str">
        <f>IF(Refsz_Verbräuche[[#Headers],[2029]]=$B$43,IF(OR(SUMIF($E173:Refsz_Verbräuche[[#This Row],[2028]],"&gt;0")&gt;0,), AVERAGEIF($E173:Refsz_Verbräuche[[#This Row],[2028]],"&lt;&gt;"""), ""),IF($B$43=(Refsz_Verbräuche[[#Headers],[2029]]-1),Refsz_Verbräuche[[#This Row],[2028]],IF($B$43&lt;Refsz_Verbräuche[[#Headers],[2029]],Refsz_Verbräuche[[#This Row],[2028]],"")))</f>
        <v/>
      </c>
      <c r="T173" s="124" t="str">
        <f>IF(Refsz_Verbräuche[[#Headers],[2030]]=$B$43,IF(OR(SUMIF($E173:Refsz_Verbräuche[[#This Row],[2029]],"&gt;0")&gt;0,), AVERAGEIF($E173:Refsz_Verbräuche[[#This Row],[2029]],"&lt;&gt;"""), ""),IF($B$43=(Refsz_Verbräuche[[#Headers],[2030]]-1),Refsz_Verbräuche[[#This Row],[2029]],IF($B$43&lt;Refsz_Verbräuche[[#Headers],[2030]],Refsz_Verbräuche[[#This Row],[2029]],"")))</f>
        <v/>
      </c>
      <c r="U173" s="124" t="str">
        <f>IF(Refsz_Verbräuche[[#Headers],[2035]]=$B$43,IF(OR(SUMIF($E173:Refsz_Verbräuche[[#This Row],[2030]],"&gt;0")&gt;0,), AVERAGEIF($E173:Refsz_Verbräuche[[#This Row],[2030]],"&lt;&gt;"""), ""),IF($B$43=(Refsz_Verbräuche[[#Headers],[2035]]-1),Refsz_Verbräuche[[#This Row],[2030]],IF($B$43&lt;Refsz_Verbräuche[[#Headers],[2035]],Refsz_Verbräuche[[#This Row],[2030]],"")))</f>
        <v/>
      </c>
      <c r="V173" s="124" t="str">
        <f>IF(Refsz_Verbräuche[[#Headers],[2040]]=$B$43,IF(OR(SUMIF($E173:Refsz_Verbräuche[[#This Row],[2035]],"&gt;0")&gt;0,), AVERAGEIF($E173:Refsz_Verbräuche[[#This Row],[2035]],"&lt;&gt;"""), ""),IF($B$43=(Refsz_Verbräuche[[#Headers],[2040]]-1),Refsz_Verbräuche[[#This Row],[2035]],IF($B$43&lt;Refsz_Verbräuche[[#Headers],[2040]],Refsz_Verbräuche[[#This Row],[2035]],"")))</f>
        <v/>
      </c>
      <c r="W173" s="124" t="str">
        <f>IF(Refsz_Verbräuche[[#Headers],[2045]]=$B$43,IF(OR(SUMIF($E173:Refsz_Verbräuche[[#This Row],[2040]],"&gt;0")&gt;0,), AVERAGEIF($E173:Refsz_Verbräuche[[#This Row],[2040]],"&lt;&gt;"""), ""),IF($B$43=(Refsz_Verbräuche[[#Headers],[2045]]-1),Refsz_Verbräuche[[#This Row],[2040]],IF($B$43&lt;Refsz_Verbräuche[[#Headers],[2045]],Refsz_Verbräuche[[#This Row],[2040]],"")))</f>
        <v/>
      </c>
      <c r="X173" s="124" t="str">
        <f>IF(Refsz_Verbräuche[[#Headers],[2050]]=$B$43,IF(OR(SUMIF($E173:Refsz_Verbräuche[[#This Row],[2045]],"&gt;0")&gt;0,), AVERAGEIF($E173:Refsz_Verbräuche[[#This Row],[2045]],"&lt;&gt;"""), ""),IF($B$43=(Refsz_Verbräuche[[#Headers],[2050]]-1),Refsz_Verbräuche[[#This Row],[2045]],IF($B$43&lt;Refsz_Verbräuche[[#Headers],[2050]],Refsz_Verbräuche[[#This Row],[2045]],"")))</f>
        <v/>
      </c>
      <c r="Z173" s="15"/>
    </row>
    <row r="174" spans="2:26" x14ac:dyDescent="0.35">
      <c r="B174" s="15">
        <v>114</v>
      </c>
      <c r="C174" t="s">
        <v>123</v>
      </c>
      <c r="D174" t="s">
        <v>191</v>
      </c>
      <c r="E174" s="124"/>
      <c r="F174" s="124"/>
      <c r="G174" s="124"/>
      <c r="H174" s="124"/>
      <c r="I174" s="124"/>
      <c r="J174" s="124"/>
      <c r="K174" s="124"/>
      <c r="L174" s="124" t="str">
        <f>IF(Refsz_Verbräuche[[#Headers],[2022]]=$B$43,IF(OR(SUMIF($E174:Refsz_Verbräuche[[#This Row],[2021]],"&gt;0")&gt;0,), AVERAGEIF($E174:Refsz_Verbräuche[[#This Row],[2021]],"&lt;&gt;"""), ""),IF($B$43=(Refsz_Verbräuche[[#Headers],[2022]]-1),Refsz_Verbräuche[[#This Row],[2021]],IF($B$43&lt;Refsz_Verbräuche[[#Headers],[2022]],Refsz_Verbräuche[[#This Row],[2021]],"")))</f>
        <v/>
      </c>
      <c r="M174" s="124" t="str">
        <f>IF(Refsz_Verbräuche[[#Headers],[2023]]=$B$43,IF(OR(SUMIF($E174:Refsz_Verbräuche[[#This Row],[2022]],"&gt;0")&gt;0,), AVERAGEIF($E174:Refsz_Verbräuche[[#This Row],[2022]],"&lt;&gt;"""), ""),IF($B$43=(Refsz_Verbräuche[[#Headers],[2023]]-1),Refsz_Verbräuche[[#This Row],[2022]],IF($B$43&lt;Refsz_Verbräuche[[#Headers],[2023]],Refsz_Verbräuche[[#This Row],[2022]],"")))</f>
        <v/>
      </c>
      <c r="N174" s="124" t="str">
        <f>IF(Refsz_Verbräuche[[#Headers],[2024]]=$B$43,IF(OR(SUMIF($E174:Refsz_Verbräuche[[#This Row],[2023]],"&gt;0")&gt;0,), AVERAGEIF($E174:Refsz_Verbräuche[[#This Row],[2023]],"&lt;&gt;"""), ""),IF($B$43=(Refsz_Verbräuche[[#Headers],[2024]]-1),Refsz_Verbräuche[[#This Row],[2023]],IF($B$43&lt;Refsz_Verbräuche[[#Headers],[2024]],Refsz_Verbräuche[[#This Row],[2023]],"")))</f>
        <v/>
      </c>
      <c r="O174" s="124" t="str">
        <f>IF(Refsz_Verbräuche[[#Headers],[2025]]=$B$43,IF(OR(SUMIF($E174:Refsz_Verbräuche[[#This Row],[2024]],"&gt;0")&gt;0,), AVERAGEIF($E174:Refsz_Verbräuche[[#This Row],[2024]],"&lt;&gt;"""), ""),IF($B$43=(Refsz_Verbräuche[[#Headers],[2025]]-1),Refsz_Verbräuche[[#This Row],[2024]],IF($B$43&lt;Refsz_Verbräuche[[#Headers],[2025]],Refsz_Verbräuche[[#This Row],[2024]],"")))</f>
        <v/>
      </c>
      <c r="P174" s="124" t="str">
        <f>IF(Refsz_Verbräuche[[#Headers],[2026]]=$B$43,IF(OR(SUMIF($E174:Refsz_Verbräuche[[#This Row],[2025]],"&gt;0")&gt;0,), AVERAGEIF($E174:Refsz_Verbräuche[[#This Row],[2025]],"&lt;&gt;"""), ""),IF($B$43=(Refsz_Verbräuche[[#Headers],[2026]]-1),Refsz_Verbräuche[[#This Row],[2025]],IF($B$43&lt;Refsz_Verbräuche[[#Headers],[2026]],Refsz_Verbräuche[[#This Row],[2025]],"")))</f>
        <v/>
      </c>
      <c r="Q174" s="124" t="str">
        <f>IF(Refsz_Verbräuche[[#Headers],[2027]]=$B$43,IF(OR(SUMIF($E174:Refsz_Verbräuche[[#This Row],[2026]],"&gt;0")&gt;0,), AVERAGEIF($E174:Refsz_Verbräuche[[#This Row],[2026]],"&lt;&gt;"""), ""),IF($B$43=(Refsz_Verbräuche[[#Headers],[2027]]-1),Refsz_Verbräuche[[#This Row],[2026]],IF($B$43&lt;Refsz_Verbräuche[[#Headers],[2027]],Refsz_Verbräuche[[#This Row],[2026]],"")))</f>
        <v/>
      </c>
      <c r="R174" s="124" t="str">
        <f>IF(Refsz_Verbräuche[[#Headers],[2028]]=$B$43,IF(OR(SUMIF($E174:Refsz_Verbräuche[[#This Row],[2027]],"&gt;0")&gt;0,), AVERAGEIF($E174:Refsz_Verbräuche[[#This Row],[2027]],"&lt;&gt;"""), ""),IF($B$43=(Refsz_Verbräuche[[#Headers],[2028]]-1),Refsz_Verbräuche[[#This Row],[2027]],IF($B$43&lt;Refsz_Verbräuche[[#Headers],[2028]],Refsz_Verbräuche[[#This Row],[2027]],"")))</f>
        <v/>
      </c>
      <c r="S174" s="124" t="str">
        <f>IF(Refsz_Verbräuche[[#Headers],[2029]]=$B$43,IF(OR(SUMIF($E174:Refsz_Verbräuche[[#This Row],[2028]],"&gt;0")&gt;0,), AVERAGEIF($E174:Refsz_Verbräuche[[#This Row],[2028]],"&lt;&gt;"""), ""),IF($B$43=(Refsz_Verbräuche[[#Headers],[2029]]-1),Refsz_Verbräuche[[#This Row],[2028]],IF($B$43&lt;Refsz_Verbräuche[[#Headers],[2029]],Refsz_Verbräuche[[#This Row],[2028]],"")))</f>
        <v/>
      </c>
      <c r="T174" s="124" t="str">
        <f>IF(Refsz_Verbräuche[[#Headers],[2030]]=$B$43,IF(OR(SUMIF($E174:Refsz_Verbräuche[[#This Row],[2029]],"&gt;0")&gt;0,), AVERAGEIF($E174:Refsz_Verbräuche[[#This Row],[2029]],"&lt;&gt;"""), ""),IF($B$43=(Refsz_Verbräuche[[#Headers],[2030]]-1),Refsz_Verbräuche[[#This Row],[2029]],IF($B$43&lt;Refsz_Verbräuche[[#Headers],[2030]],Refsz_Verbräuche[[#This Row],[2029]],"")))</f>
        <v/>
      </c>
      <c r="U174" s="124" t="str">
        <f>IF(Refsz_Verbräuche[[#Headers],[2035]]=$B$43,IF(OR(SUMIF($E174:Refsz_Verbräuche[[#This Row],[2030]],"&gt;0")&gt;0,), AVERAGEIF($E174:Refsz_Verbräuche[[#This Row],[2030]],"&lt;&gt;"""), ""),IF($B$43=(Refsz_Verbräuche[[#Headers],[2035]]-1),Refsz_Verbräuche[[#This Row],[2030]],IF($B$43&lt;Refsz_Verbräuche[[#Headers],[2035]],Refsz_Verbräuche[[#This Row],[2030]],"")))</f>
        <v/>
      </c>
      <c r="V174" s="124" t="str">
        <f>IF(Refsz_Verbräuche[[#Headers],[2040]]=$B$43,IF(OR(SUMIF($E174:Refsz_Verbräuche[[#This Row],[2035]],"&gt;0")&gt;0,), AVERAGEIF($E174:Refsz_Verbräuche[[#This Row],[2035]],"&lt;&gt;"""), ""),IF($B$43=(Refsz_Verbräuche[[#Headers],[2040]]-1),Refsz_Verbräuche[[#This Row],[2035]],IF($B$43&lt;Refsz_Verbräuche[[#Headers],[2040]],Refsz_Verbräuche[[#This Row],[2035]],"")))</f>
        <v/>
      </c>
      <c r="W174" s="124" t="str">
        <f>IF(Refsz_Verbräuche[[#Headers],[2045]]=$B$43,IF(OR(SUMIF($E174:Refsz_Verbräuche[[#This Row],[2040]],"&gt;0")&gt;0,), AVERAGEIF($E174:Refsz_Verbräuche[[#This Row],[2040]],"&lt;&gt;"""), ""),IF($B$43=(Refsz_Verbräuche[[#Headers],[2045]]-1),Refsz_Verbräuche[[#This Row],[2040]],IF($B$43&lt;Refsz_Verbräuche[[#Headers],[2045]],Refsz_Verbräuche[[#This Row],[2040]],"")))</f>
        <v/>
      </c>
      <c r="X174" s="124" t="str">
        <f>IF(Refsz_Verbräuche[[#Headers],[2050]]=$B$43,IF(OR(SUMIF($E174:Refsz_Verbräuche[[#This Row],[2045]],"&gt;0")&gt;0,), AVERAGEIF($E174:Refsz_Verbräuche[[#This Row],[2045]],"&lt;&gt;"""), ""),IF($B$43=(Refsz_Verbräuche[[#Headers],[2050]]-1),Refsz_Verbräuche[[#This Row],[2045]],IF($B$43&lt;Refsz_Verbräuche[[#Headers],[2050]],Refsz_Verbräuche[[#This Row],[2045]],"")))</f>
        <v/>
      </c>
      <c r="Z174" s="15"/>
    </row>
    <row r="175" spans="2:26" x14ac:dyDescent="0.35">
      <c r="B175" s="15">
        <v>115</v>
      </c>
      <c r="C175" s="9" t="s">
        <v>157</v>
      </c>
      <c r="D175" t="s">
        <v>191</v>
      </c>
      <c r="E175" s="124"/>
      <c r="F175" s="124"/>
      <c r="G175" s="124"/>
      <c r="H175" s="124"/>
      <c r="I175" s="124"/>
      <c r="J175" s="124"/>
      <c r="K175" s="124"/>
      <c r="L175" s="124" t="str">
        <f>IF(Refsz_Verbräuche[[#Headers],[2022]]=$B$43,IF(OR(SUMIF($E175:Refsz_Verbräuche[[#This Row],[2021]],"&gt;0")&gt;0,), AVERAGEIF($E175:Refsz_Verbräuche[[#This Row],[2021]],"&lt;&gt;"""), ""),IF($B$43=(Refsz_Verbräuche[[#Headers],[2022]]-1),Refsz_Verbräuche[[#This Row],[2021]],IF($B$43&lt;Refsz_Verbräuche[[#Headers],[2022]],Refsz_Verbräuche[[#This Row],[2021]],"")))</f>
        <v/>
      </c>
      <c r="M175" s="124" t="str">
        <f>IF(Refsz_Verbräuche[[#Headers],[2023]]=$B$43,IF(OR(SUMIF($E175:Refsz_Verbräuche[[#This Row],[2022]],"&gt;0")&gt;0,), AVERAGEIF($E175:Refsz_Verbräuche[[#This Row],[2022]],"&lt;&gt;"""), ""),IF($B$43=(Refsz_Verbräuche[[#Headers],[2023]]-1),Refsz_Verbräuche[[#This Row],[2022]],IF($B$43&lt;Refsz_Verbräuche[[#Headers],[2023]],Refsz_Verbräuche[[#This Row],[2022]],"")))</f>
        <v/>
      </c>
      <c r="N175" s="124" t="str">
        <f>IF(Refsz_Verbräuche[[#Headers],[2024]]=$B$43,IF(OR(SUMIF($E175:Refsz_Verbräuche[[#This Row],[2023]],"&gt;0")&gt;0,), AVERAGEIF($E175:Refsz_Verbräuche[[#This Row],[2023]],"&lt;&gt;"""), ""),IF($B$43=(Refsz_Verbräuche[[#Headers],[2024]]-1),Refsz_Verbräuche[[#This Row],[2023]],IF($B$43&lt;Refsz_Verbräuche[[#Headers],[2024]],Refsz_Verbräuche[[#This Row],[2023]],"")))</f>
        <v/>
      </c>
      <c r="O175" s="124" t="str">
        <f>IF(Refsz_Verbräuche[[#Headers],[2025]]=$B$43,IF(OR(SUMIF($E175:Refsz_Verbräuche[[#This Row],[2024]],"&gt;0")&gt;0,), AVERAGEIF($E175:Refsz_Verbräuche[[#This Row],[2024]],"&lt;&gt;"""), ""),IF($B$43=(Refsz_Verbräuche[[#Headers],[2025]]-1),Refsz_Verbräuche[[#This Row],[2024]],IF($B$43&lt;Refsz_Verbräuche[[#Headers],[2025]],Refsz_Verbräuche[[#This Row],[2024]],"")))</f>
        <v/>
      </c>
      <c r="P175" s="124" t="str">
        <f>IF(Refsz_Verbräuche[[#Headers],[2026]]=$B$43,IF(OR(SUMIF($E175:Refsz_Verbräuche[[#This Row],[2025]],"&gt;0")&gt;0,), AVERAGEIF($E175:Refsz_Verbräuche[[#This Row],[2025]],"&lt;&gt;"""), ""),IF($B$43=(Refsz_Verbräuche[[#Headers],[2026]]-1),Refsz_Verbräuche[[#This Row],[2025]],IF($B$43&lt;Refsz_Verbräuche[[#Headers],[2026]],Refsz_Verbräuche[[#This Row],[2025]],"")))</f>
        <v/>
      </c>
      <c r="Q175" s="124" t="str">
        <f>IF(Refsz_Verbräuche[[#Headers],[2027]]=$B$43,IF(OR(SUMIF($E175:Refsz_Verbräuche[[#This Row],[2026]],"&gt;0")&gt;0,), AVERAGEIF($E175:Refsz_Verbräuche[[#This Row],[2026]],"&lt;&gt;"""), ""),IF($B$43=(Refsz_Verbräuche[[#Headers],[2027]]-1),Refsz_Verbräuche[[#This Row],[2026]],IF($B$43&lt;Refsz_Verbräuche[[#Headers],[2027]],Refsz_Verbräuche[[#This Row],[2026]],"")))</f>
        <v/>
      </c>
      <c r="R175" s="124" t="str">
        <f>IF(Refsz_Verbräuche[[#Headers],[2028]]=$B$43,IF(OR(SUMIF($E175:Refsz_Verbräuche[[#This Row],[2027]],"&gt;0")&gt;0,), AVERAGEIF($E175:Refsz_Verbräuche[[#This Row],[2027]],"&lt;&gt;"""), ""),IF($B$43=(Refsz_Verbräuche[[#Headers],[2028]]-1),Refsz_Verbräuche[[#This Row],[2027]],IF($B$43&lt;Refsz_Verbräuche[[#Headers],[2028]],Refsz_Verbräuche[[#This Row],[2027]],"")))</f>
        <v/>
      </c>
      <c r="S175" s="124" t="str">
        <f>IF(Refsz_Verbräuche[[#Headers],[2029]]=$B$43,IF(OR(SUMIF($E175:Refsz_Verbräuche[[#This Row],[2028]],"&gt;0")&gt;0,), AVERAGEIF($E175:Refsz_Verbräuche[[#This Row],[2028]],"&lt;&gt;"""), ""),IF($B$43=(Refsz_Verbräuche[[#Headers],[2029]]-1),Refsz_Verbräuche[[#This Row],[2028]],IF($B$43&lt;Refsz_Verbräuche[[#Headers],[2029]],Refsz_Verbräuche[[#This Row],[2028]],"")))</f>
        <v/>
      </c>
      <c r="T175" s="124" t="str">
        <f>IF(Refsz_Verbräuche[[#Headers],[2030]]=$B$43,IF(OR(SUMIF($E175:Refsz_Verbräuche[[#This Row],[2029]],"&gt;0")&gt;0,), AVERAGEIF($E175:Refsz_Verbräuche[[#This Row],[2029]],"&lt;&gt;"""), ""),IF($B$43=(Refsz_Verbräuche[[#Headers],[2030]]-1),Refsz_Verbräuche[[#This Row],[2029]],IF($B$43&lt;Refsz_Verbräuche[[#Headers],[2030]],Refsz_Verbräuche[[#This Row],[2029]],"")))</f>
        <v/>
      </c>
      <c r="U175" s="124" t="str">
        <f>IF(Refsz_Verbräuche[[#Headers],[2035]]=$B$43,IF(OR(SUMIF($E175:Refsz_Verbräuche[[#This Row],[2030]],"&gt;0")&gt;0,), AVERAGEIF($E175:Refsz_Verbräuche[[#This Row],[2030]],"&lt;&gt;"""), ""),IF($B$43=(Refsz_Verbräuche[[#Headers],[2035]]-1),Refsz_Verbräuche[[#This Row],[2030]],IF($B$43&lt;Refsz_Verbräuche[[#Headers],[2035]],Refsz_Verbräuche[[#This Row],[2030]],"")))</f>
        <v/>
      </c>
      <c r="V175" s="124" t="str">
        <f>IF(Refsz_Verbräuche[[#Headers],[2040]]=$B$43,IF(OR(SUMIF($E175:Refsz_Verbräuche[[#This Row],[2035]],"&gt;0")&gt;0,), AVERAGEIF($E175:Refsz_Verbräuche[[#This Row],[2035]],"&lt;&gt;"""), ""),IF($B$43=(Refsz_Verbräuche[[#Headers],[2040]]-1),Refsz_Verbräuche[[#This Row],[2035]],IF($B$43&lt;Refsz_Verbräuche[[#Headers],[2040]],Refsz_Verbräuche[[#This Row],[2035]],"")))</f>
        <v/>
      </c>
      <c r="W175" s="124" t="str">
        <f>IF(Refsz_Verbräuche[[#Headers],[2045]]=$B$43,IF(OR(SUMIF($E175:Refsz_Verbräuche[[#This Row],[2040]],"&gt;0")&gt;0,), AVERAGEIF($E175:Refsz_Verbräuche[[#This Row],[2040]],"&lt;&gt;"""), ""),IF($B$43=(Refsz_Verbräuche[[#Headers],[2045]]-1),Refsz_Verbräuche[[#This Row],[2040]],IF($B$43&lt;Refsz_Verbräuche[[#Headers],[2045]],Refsz_Verbräuche[[#This Row],[2040]],"")))</f>
        <v/>
      </c>
      <c r="X175" s="124" t="str">
        <f>IF(Refsz_Verbräuche[[#Headers],[2050]]=$B$43,IF(OR(SUMIF($E175:Refsz_Verbräuche[[#This Row],[2045]],"&gt;0")&gt;0,), AVERAGEIF($E175:Refsz_Verbräuche[[#This Row],[2045]],"&lt;&gt;"""), ""),IF($B$43=(Refsz_Verbräuche[[#Headers],[2050]]-1),Refsz_Verbräuche[[#This Row],[2045]],IF($B$43&lt;Refsz_Verbräuche[[#Headers],[2050]],Refsz_Verbräuche[[#This Row],[2045]],"")))</f>
        <v/>
      </c>
      <c r="Z175" s="15"/>
    </row>
    <row r="176" spans="2:26" x14ac:dyDescent="0.35">
      <c r="B176" s="15">
        <v>116</v>
      </c>
      <c r="C176" s="9"/>
      <c r="D176" s="9"/>
      <c r="E176" s="124"/>
      <c r="F176" s="124"/>
      <c r="G176" s="124"/>
      <c r="H176" s="124"/>
      <c r="I176" s="124"/>
      <c r="J176" s="124"/>
      <c r="K176" s="124"/>
      <c r="L176" s="124" t="str">
        <f>IF(Refsz_Verbräuche[[#Headers],[2022]]=$B$43,IF(OR(SUMIF($E176:Refsz_Verbräuche[[#This Row],[2021]],"&gt;0")&gt;0,), AVERAGEIF($E176:Refsz_Verbräuche[[#This Row],[2021]],"&lt;&gt;"""), ""),IF($B$43=(Refsz_Verbräuche[[#Headers],[2022]]-1),Refsz_Verbräuche[[#This Row],[2021]],IF($B$43&lt;Refsz_Verbräuche[[#Headers],[2022]],Refsz_Verbräuche[[#This Row],[2021]],"")))</f>
        <v/>
      </c>
      <c r="M176" s="124" t="str">
        <f>IF(Refsz_Verbräuche[[#Headers],[2023]]=$B$43,IF(OR(SUMIF($E176:Refsz_Verbräuche[[#This Row],[2022]],"&gt;0")&gt;0,), AVERAGEIF($E176:Refsz_Verbräuche[[#This Row],[2022]],"&lt;&gt;"""), ""),IF($B$43=(Refsz_Verbräuche[[#Headers],[2023]]-1),Refsz_Verbräuche[[#This Row],[2022]],IF($B$43&lt;Refsz_Verbräuche[[#Headers],[2023]],Refsz_Verbräuche[[#This Row],[2022]],"")))</f>
        <v/>
      </c>
      <c r="N176" s="124" t="str">
        <f>IF(Refsz_Verbräuche[[#Headers],[2024]]=$B$43,IF(OR(SUMIF($E176:Refsz_Verbräuche[[#This Row],[2023]],"&gt;0")&gt;0,), AVERAGEIF($E176:Refsz_Verbräuche[[#This Row],[2023]],"&lt;&gt;"""), ""),IF($B$43=(Refsz_Verbräuche[[#Headers],[2024]]-1),Refsz_Verbräuche[[#This Row],[2023]],IF($B$43&lt;Refsz_Verbräuche[[#Headers],[2024]],Refsz_Verbräuche[[#This Row],[2023]],"")))</f>
        <v/>
      </c>
      <c r="O176" s="124" t="str">
        <f>IF(Refsz_Verbräuche[[#Headers],[2025]]=$B$43,IF(OR(SUMIF($E176:Refsz_Verbräuche[[#This Row],[2024]],"&gt;0")&gt;0,), AVERAGEIF($E176:Refsz_Verbräuche[[#This Row],[2024]],"&lt;&gt;"""), ""),IF($B$43=(Refsz_Verbräuche[[#Headers],[2025]]-1),Refsz_Verbräuche[[#This Row],[2024]],IF($B$43&lt;Refsz_Verbräuche[[#Headers],[2025]],Refsz_Verbräuche[[#This Row],[2024]],"")))</f>
        <v/>
      </c>
      <c r="P176" s="124" t="str">
        <f>IF(Refsz_Verbräuche[[#Headers],[2026]]=$B$43,IF(OR(SUMIF($E176:Refsz_Verbräuche[[#This Row],[2025]],"&gt;0")&gt;0,), AVERAGEIF($E176:Refsz_Verbräuche[[#This Row],[2025]],"&lt;&gt;"""), ""),IF($B$43=(Refsz_Verbräuche[[#Headers],[2026]]-1),Refsz_Verbräuche[[#This Row],[2025]],IF($B$43&lt;Refsz_Verbräuche[[#Headers],[2026]],Refsz_Verbräuche[[#This Row],[2025]],"")))</f>
        <v/>
      </c>
      <c r="Q176" s="124" t="str">
        <f>IF(Refsz_Verbräuche[[#Headers],[2027]]=$B$43,IF(OR(SUMIF($E176:Refsz_Verbräuche[[#This Row],[2026]],"&gt;0")&gt;0,), AVERAGEIF($E176:Refsz_Verbräuche[[#This Row],[2026]],"&lt;&gt;"""), ""),IF($B$43=(Refsz_Verbräuche[[#Headers],[2027]]-1),Refsz_Verbräuche[[#This Row],[2026]],IF($B$43&lt;Refsz_Verbräuche[[#Headers],[2027]],Refsz_Verbräuche[[#This Row],[2026]],"")))</f>
        <v/>
      </c>
      <c r="R176" s="124" t="str">
        <f>IF(Refsz_Verbräuche[[#Headers],[2028]]=$B$43,IF(OR(SUMIF($E176:Refsz_Verbräuche[[#This Row],[2027]],"&gt;0")&gt;0,), AVERAGEIF($E176:Refsz_Verbräuche[[#This Row],[2027]],"&lt;&gt;"""), ""),IF($B$43=(Refsz_Verbräuche[[#Headers],[2028]]-1),Refsz_Verbräuche[[#This Row],[2027]],IF($B$43&lt;Refsz_Verbräuche[[#Headers],[2028]],Refsz_Verbräuche[[#This Row],[2027]],"")))</f>
        <v/>
      </c>
      <c r="S176" s="124" t="str">
        <f>IF(Refsz_Verbräuche[[#Headers],[2029]]=$B$43,IF(OR(SUMIF($E176:Refsz_Verbräuche[[#This Row],[2028]],"&gt;0")&gt;0,), AVERAGEIF($E176:Refsz_Verbräuche[[#This Row],[2028]],"&lt;&gt;"""), ""),IF($B$43=(Refsz_Verbräuche[[#Headers],[2029]]-1),Refsz_Verbräuche[[#This Row],[2028]],IF($B$43&lt;Refsz_Verbräuche[[#Headers],[2029]],Refsz_Verbräuche[[#This Row],[2028]],"")))</f>
        <v/>
      </c>
      <c r="T176" s="124" t="str">
        <f>IF(Refsz_Verbräuche[[#Headers],[2030]]=$B$43,IF(OR(SUMIF($E176:Refsz_Verbräuche[[#This Row],[2029]],"&gt;0")&gt;0,), AVERAGEIF($E176:Refsz_Verbräuche[[#This Row],[2029]],"&lt;&gt;"""), ""),IF($B$43=(Refsz_Verbräuche[[#Headers],[2030]]-1),Refsz_Verbräuche[[#This Row],[2029]],IF($B$43&lt;Refsz_Verbräuche[[#Headers],[2030]],Refsz_Verbräuche[[#This Row],[2029]],"")))</f>
        <v/>
      </c>
      <c r="U176" s="124" t="str">
        <f>IF(Refsz_Verbräuche[[#Headers],[2035]]=$B$43,IF(OR(SUMIF($E176:Refsz_Verbräuche[[#This Row],[2030]],"&gt;0")&gt;0,), AVERAGEIF($E176:Refsz_Verbräuche[[#This Row],[2030]],"&lt;&gt;"""), ""),IF($B$43=(Refsz_Verbräuche[[#Headers],[2035]]-1),Refsz_Verbräuche[[#This Row],[2030]],IF($B$43&lt;Refsz_Verbräuche[[#Headers],[2035]],Refsz_Verbräuche[[#This Row],[2030]],"")))</f>
        <v/>
      </c>
      <c r="V176" s="124" t="str">
        <f>IF(Refsz_Verbräuche[[#Headers],[2040]]=$B$43,IF(OR(SUMIF($E176:Refsz_Verbräuche[[#This Row],[2035]],"&gt;0")&gt;0,), AVERAGEIF($E176:Refsz_Verbräuche[[#This Row],[2035]],"&lt;&gt;"""), ""),IF($B$43=(Refsz_Verbräuche[[#Headers],[2040]]-1),Refsz_Verbräuche[[#This Row],[2035]],IF($B$43&lt;Refsz_Verbräuche[[#Headers],[2040]],Refsz_Verbräuche[[#This Row],[2035]],"")))</f>
        <v/>
      </c>
      <c r="W176" s="124" t="str">
        <f>IF(Refsz_Verbräuche[[#Headers],[2045]]=$B$43,IF(OR(SUMIF($E176:Refsz_Verbräuche[[#This Row],[2040]],"&gt;0")&gt;0,), AVERAGEIF($E176:Refsz_Verbräuche[[#This Row],[2040]],"&lt;&gt;"""), ""),IF($B$43=(Refsz_Verbräuche[[#Headers],[2045]]-1),Refsz_Verbräuche[[#This Row],[2040]],IF($B$43&lt;Refsz_Verbräuche[[#Headers],[2045]],Refsz_Verbräuche[[#This Row],[2040]],"")))</f>
        <v/>
      </c>
      <c r="X176" s="124" t="str">
        <f>IF(Refsz_Verbräuche[[#Headers],[2050]]=$B$43,IF(OR(SUMIF($E176:Refsz_Verbräuche[[#This Row],[2045]],"&gt;0")&gt;0,), AVERAGEIF($E176:Refsz_Verbräuche[[#This Row],[2045]],"&lt;&gt;"""), ""),IF($B$43=(Refsz_Verbräuche[[#Headers],[2050]]-1),Refsz_Verbräuche[[#This Row],[2045]],IF($B$43&lt;Refsz_Verbräuche[[#Headers],[2050]],Refsz_Verbräuche[[#This Row],[2045]],"")))</f>
        <v/>
      </c>
      <c r="Z176" s="15"/>
    </row>
    <row r="177" spans="2:26" x14ac:dyDescent="0.35">
      <c r="B177" s="15">
        <v>117</v>
      </c>
      <c r="C177" s="9" t="s">
        <v>76</v>
      </c>
      <c r="D177" t="s">
        <v>48</v>
      </c>
      <c r="E177" s="124"/>
      <c r="F177" s="124"/>
      <c r="G177" s="124"/>
      <c r="H177" s="124"/>
      <c r="I177" s="124"/>
      <c r="J177" s="124"/>
      <c r="K177" s="124"/>
      <c r="L177" s="124" t="str">
        <f>IF(Refsz_Verbräuche[[#Headers],[2022]]=$B$43,IF(OR(SUMIF($E177:Refsz_Verbräuche[[#This Row],[2021]],"&gt;0")&gt;0,), AVERAGEIF($E177:Refsz_Verbräuche[[#This Row],[2021]],"&lt;&gt;"""), ""),IF($B$43=(Refsz_Verbräuche[[#Headers],[2022]]-1),Refsz_Verbräuche[[#This Row],[2021]],IF($B$43&lt;Refsz_Verbräuche[[#Headers],[2022]],Refsz_Verbräuche[[#This Row],[2021]],"")))</f>
        <v/>
      </c>
      <c r="M177" s="124" t="str">
        <f>IF(Refsz_Verbräuche[[#Headers],[2023]]=$B$43,IF(OR(SUMIF($E177:Refsz_Verbräuche[[#This Row],[2022]],"&gt;0")&gt;0,), AVERAGEIF($E177:Refsz_Verbräuche[[#This Row],[2022]],"&lt;&gt;"""), ""),IF($B$43=(Refsz_Verbräuche[[#Headers],[2023]]-1),Refsz_Verbräuche[[#This Row],[2022]],IF($B$43&lt;Refsz_Verbräuche[[#Headers],[2023]],Refsz_Verbräuche[[#This Row],[2022]],"")))</f>
        <v/>
      </c>
      <c r="N177" s="124" t="str">
        <f>IF(Refsz_Verbräuche[[#Headers],[2024]]=$B$43,IF(OR(SUMIF($E177:Refsz_Verbräuche[[#This Row],[2023]],"&gt;0")&gt;0,), AVERAGEIF($E177:Refsz_Verbräuche[[#This Row],[2023]],"&lt;&gt;"""), ""),IF($B$43=(Refsz_Verbräuche[[#Headers],[2024]]-1),Refsz_Verbräuche[[#This Row],[2023]],IF($B$43&lt;Refsz_Verbräuche[[#Headers],[2024]],Refsz_Verbräuche[[#This Row],[2023]],"")))</f>
        <v/>
      </c>
      <c r="O177" s="124" t="str">
        <f>IF(Refsz_Verbräuche[[#Headers],[2025]]=$B$43,IF(OR(SUMIF($E177:Refsz_Verbräuche[[#This Row],[2024]],"&gt;0")&gt;0,), AVERAGEIF($E177:Refsz_Verbräuche[[#This Row],[2024]],"&lt;&gt;"""), ""),IF($B$43=(Refsz_Verbräuche[[#Headers],[2025]]-1),Refsz_Verbräuche[[#This Row],[2024]],IF($B$43&lt;Refsz_Verbräuche[[#Headers],[2025]],Refsz_Verbräuche[[#This Row],[2024]],"")))</f>
        <v/>
      </c>
      <c r="P177" s="124" t="str">
        <f>IF(Refsz_Verbräuche[[#Headers],[2026]]=$B$43,IF(OR(SUMIF($E177:Refsz_Verbräuche[[#This Row],[2025]],"&gt;0")&gt;0,), AVERAGEIF($E177:Refsz_Verbräuche[[#This Row],[2025]],"&lt;&gt;"""), ""),IF($B$43=(Refsz_Verbräuche[[#Headers],[2026]]-1),Refsz_Verbräuche[[#This Row],[2025]],IF($B$43&lt;Refsz_Verbräuche[[#Headers],[2026]],Refsz_Verbräuche[[#This Row],[2025]],"")))</f>
        <v/>
      </c>
      <c r="Q177" s="124" t="str">
        <f>IF(Refsz_Verbräuche[[#Headers],[2027]]=$B$43,IF(OR(SUMIF($E177:Refsz_Verbräuche[[#This Row],[2026]],"&gt;0")&gt;0,), AVERAGEIF($E177:Refsz_Verbräuche[[#This Row],[2026]],"&lt;&gt;"""), ""),IF($B$43=(Refsz_Verbräuche[[#Headers],[2027]]-1),Refsz_Verbräuche[[#This Row],[2026]],IF($B$43&lt;Refsz_Verbräuche[[#Headers],[2027]],Refsz_Verbräuche[[#This Row],[2026]],"")))</f>
        <v/>
      </c>
      <c r="R177" s="124" t="str">
        <f>IF(Refsz_Verbräuche[[#Headers],[2028]]=$B$43,IF(OR(SUMIF($E177:Refsz_Verbräuche[[#This Row],[2027]],"&gt;0")&gt;0,), AVERAGEIF($E177:Refsz_Verbräuche[[#This Row],[2027]],"&lt;&gt;"""), ""),IF($B$43=(Refsz_Verbräuche[[#Headers],[2028]]-1),Refsz_Verbräuche[[#This Row],[2027]],IF($B$43&lt;Refsz_Verbräuche[[#Headers],[2028]],Refsz_Verbräuche[[#This Row],[2027]],"")))</f>
        <v/>
      </c>
      <c r="S177" s="124" t="str">
        <f>IF(Refsz_Verbräuche[[#Headers],[2029]]=$B$43,IF(OR(SUMIF($E177:Refsz_Verbräuche[[#This Row],[2028]],"&gt;0")&gt;0,), AVERAGEIF($E177:Refsz_Verbräuche[[#This Row],[2028]],"&lt;&gt;"""), ""),IF($B$43=(Refsz_Verbräuche[[#Headers],[2029]]-1),Refsz_Verbräuche[[#This Row],[2028]],IF($B$43&lt;Refsz_Verbräuche[[#Headers],[2029]],Refsz_Verbräuche[[#This Row],[2028]],"")))</f>
        <v/>
      </c>
      <c r="T177" s="124" t="str">
        <f>IF(Refsz_Verbräuche[[#Headers],[2030]]=$B$43,IF(OR(SUMIF($E177:Refsz_Verbräuche[[#This Row],[2029]],"&gt;0")&gt;0,), AVERAGEIF($E177:Refsz_Verbräuche[[#This Row],[2029]],"&lt;&gt;"""), ""),IF($B$43=(Refsz_Verbräuche[[#Headers],[2030]]-1),Refsz_Verbräuche[[#This Row],[2029]],IF($B$43&lt;Refsz_Verbräuche[[#Headers],[2030]],Refsz_Verbräuche[[#This Row],[2029]],"")))</f>
        <v/>
      </c>
      <c r="U177" s="124" t="str">
        <f>IF(Refsz_Verbräuche[[#Headers],[2035]]=$B$43,IF(OR(SUMIF($E177:Refsz_Verbräuche[[#This Row],[2030]],"&gt;0")&gt;0,), AVERAGEIF($E177:Refsz_Verbräuche[[#This Row],[2030]],"&lt;&gt;"""), ""),IF($B$43=(Refsz_Verbräuche[[#Headers],[2035]]-1),Refsz_Verbräuche[[#This Row],[2030]],IF($B$43&lt;Refsz_Verbräuche[[#Headers],[2035]],Refsz_Verbräuche[[#This Row],[2030]],"")))</f>
        <v/>
      </c>
      <c r="V177" s="124" t="str">
        <f>IF(Refsz_Verbräuche[[#Headers],[2040]]=$B$43,IF(OR(SUMIF($E177:Refsz_Verbräuche[[#This Row],[2035]],"&gt;0")&gt;0,), AVERAGEIF($E177:Refsz_Verbräuche[[#This Row],[2035]],"&lt;&gt;"""), ""),IF($B$43=(Refsz_Verbräuche[[#Headers],[2040]]-1),Refsz_Verbräuche[[#This Row],[2035]],IF($B$43&lt;Refsz_Verbräuche[[#Headers],[2040]],Refsz_Verbräuche[[#This Row],[2035]],"")))</f>
        <v/>
      </c>
      <c r="W177" s="124" t="str">
        <f>IF(Refsz_Verbräuche[[#Headers],[2045]]=$B$43,IF(OR(SUMIF($E177:Refsz_Verbräuche[[#This Row],[2040]],"&gt;0")&gt;0,), AVERAGEIF($E177:Refsz_Verbräuche[[#This Row],[2040]],"&lt;&gt;"""), ""),IF($B$43=(Refsz_Verbräuche[[#Headers],[2045]]-1),Refsz_Verbräuche[[#This Row],[2040]],IF($B$43&lt;Refsz_Verbräuche[[#Headers],[2045]],Refsz_Verbräuche[[#This Row],[2040]],"")))</f>
        <v/>
      </c>
      <c r="X177" s="124" t="str">
        <f>IF(Refsz_Verbräuche[[#Headers],[2050]]=$B$43,IF(OR(SUMIF($E177:Refsz_Verbräuche[[#This Row],[2045]],"&gt;0")&gt;0,), AVERAGEIF($E177:Refsz_Verbräuche[[#This Row],[2045]],"&lt;&gt;"""), ""),IF($B$43=(Refsz_Verbräuche[[#Headers],[2050]]-1),Refsz_Verbräuche[[#This Row],[2045]],IF($B$43&lt;Refsz_Verbräuche[[#Headers],[2050]],Refsz_Verbräuche[[#This Row],[2045]],"")))</f>
        <v/>
      </c>
      <c r="Z177" s="15"/>
    </row>
    <row r="178" spans="2:26" x14ac:dyDescent="0.35">
      <c r="B178" s="15">
        <v>118</v>
      </c>
      <c r="C178" s="9" t="s">
        <v>77</v>
      </c>
      <c r="D178" t="s">
        <v>48</v>
      </c>
      <c r="E178" s="124"/>
      <c r="F178" s="124"/>
      <c r="G178" s="124"/>
      <c r="H178" s="124"/>
      <c r="I178" s="124"/>
      <c r="J178" s="124"/>
      <c r="K178" s="124"/>
      <c r="L178" s="124" t="str">
        <f>IF(Refsz_Verbräuche[[#Headers],[2022]]=$B$43,IF(OR(SUMIF($E178:Refsz_Verbräuche[[#This Row],[2021]],"&gt;0")&gt;0,), AVERAGEIF($E178:Refsz_Verbräuche[[#This Row],[2021]],"&lt;&gt;"""), ""),IF($B$43=(Refsz_Verbräuche[[#Headers],[2022]]-1),Refsz_Verbräuche[[#This Row],[2021]],IF($B$43&lt;Refsz_Verbräuche[[#Headers],[2022]],Refsz_Verbräuche[[#This Row],[2021]],"")))</f>
        <v/>
      </c>
      <c r="M178" s="124" t="str">
        <f>IF(Refsz_Verbräuche[[#Headers],[2023]]=$B$43,IF(OR(SUMIF($E178:Refsz_Verbräuche[[#This Row],[2022]],"&gt;0")&gt;0,), AVERAGEIF($E178:Refsz_Verbräuche[[#This Row],[2022]],"&lt;&gt;"""), ""),IF($B$43=(Refsz_Verbräuche[[#Headers],[2023]]-1),Refsz_Verbräuche[[#This Row],[2022]],IF($B$43&lt;Refsz_Verbräuche[[#Headers],[2023]],Refsz_Verbräuche[[#This Row],[2022]],"")))</f>
        <v/>
      </c>
      <c r="N178" s="124" t="str">
        <f>IF(Refsz_Verbräuche[[#Headers],[2024]]=$B$43,IF(OR(SUMIF($E178:Refsz_Verbräuche[[#This Row],[2023]],"&gt;0")&gt;0,), AVERAGEIF($E178:Refsz_Verbräuche[[#This Row],[2023]],"&lt;&gt;"""), ""),IF($B$43=(Refsz_Verbräuche[[#Headers],[2024]]-1),Refsz_Verbräuche[[#This Row],[2023]],IF($B$43&lt;Refsz_Verbräuche[[#Headers],[2024]],Refsz_Verbräuche[[#This Row],[2023]],"")))</f>
        <v/>
      </c>
      <c r="O178" s="124" t="str">
        <f>IF(Refsz_Verbräuche[[#Headers],[2025]]=$B$43,IF(OR(SUMIF($E178:Refsz_Verbräuche[[#This Row],[2024]],"&gt;0")&gt;0,), AVERAGEIF($E178:Refsz_Verbräuche[[#This Row],[2024]],"&lt;&gt;"""), ""),IF($B$43=(Refsz_Verbräuche[[#Headers],[2025]]-1),Refsz_Verbräuche[[#This Row],[2024]],IF($B$43&lt;Refsz_Verbräuche[[#Headers],[2025]],Refsz_Verbräuche[[#This Row],[2024]],"")))</f>
        <v/>
      </c>
      <c r="P178" s="124" t="str">
        <f>IF(Refsz_Verbräuche[[#Headers],[2026]]=$B$43,IF(OR(SUMIF($E178:Refsz_Verbräuche[[#This Row],[2025]],"&gt;0")&gt;0,), AVERAGEIF($E178:Refsz_Verbräuche[[#This Row],[2025]],"&lt;&gt;"""), ""),IF($B$43=(Refsz_Verbräuche[[#Headers],[2026]]-1),Refsz_Verbräuche[[#This Row],[2025]],IF($B$43&lt;Refsz_Verbräuche[[#Headers],[2026]],Refsz_Verbräuche[[#This Row],[2025]],"")))</f>
        <v/>
      </c>
      <c r="Q178" s="124" t="str">
        <f>IF(Refsz_Verbräuche[[#Headers],[2027]]=$B$43,IF(OR(SUMIF($E178:Refsz_Verbräuche[[#This Row],[2026]],"&gt;0")&gt;0,), AVERAGEIF($E178:Refsz_Verbräuche[[#This Row],[2026]],"&lt;&gt;"""), ""),IF($B$43=(Refsz_Verbräuche[[#Headers],[2027]]-1),Refsz_Verbräuche[[#This Row],[2026]],IF($B$43&lt;Refsz_Verbräuche[[#Headers],[2027]],Refsz_Verbräuche[[#This Row],[2026]],"")))</f>
        <v/>
      </c>
      <c r="R178" s="124" t="str">
        <f>IF(Refsz_Verbräuche[[#Headers],[2028]]=$B$43,IF(OR(SUMIF($E178:Refsz_Verbräuche[[#This Row],[2027]],"&gt;0")&gt;0,), AVERAGEIF($E178:Refsz_Verbräuche[[#This Row],[2027]],"&lt;&gt;"""), ""),IF($B$43=(Refsz_Verbräuche[[#Headers],[2028]]-1),Refsz_Verbräuche[[#This Row],[2027]],IF($B$43&lt;Refsz_Verbräuche[[#Headers],[2028]],Refsz_Verbräuche[[#This Row],[2027]],"")))</f>
        <v/>
      </c>
      <c r="S178" s="124" t="str">
        <f>IF(Refsz_Verbräuche[[#Headers],[2029]]=$B$43,IF(OR(SUMIF($E178:Refsz_Verbräuche[[#This Row],[2028]],"&gt;0")&gt;0,), AVERAGEIF($E178:Refsz_Verbräuche[[#This Row],[2028]],"&lt;&gt;"""), ""),IF($B$43=(Refsz_Verbräuche[[#Headers],[2029]]-1),Refsz_Verbräuche[[#This Row],[2028]],IF($B$43&lt;Refsz_Verbräuche[[#Headers],[2029]],Refsz_Verbräuche[[#This Row],[2028]],"")))</f>
        <v/>
      </c>
      <c r="T178" s="124" t="str">
        <f>IF(Refsz_Verbräuche[[#Headers],[2030]]=$B$43,IF(OR(SUMIF($E178:Refsz_Verbräuche[[#This Row],[2029]],"&gt;0")&gt;0,), AVERAGEIF($E178:Refsz_Verbräuche[[#This Row],[2029]],"&lt;&gt;"""), ""),IF($B$43=(Refsz_Verbräuche[[#Headers],[2030]]-1),Refsz_Verbräuche[[#This Row],[2029]],IF($B$43&lt;Refsz_Verbräuche[[#Headers],[2030]],Refsz_Verbräuche[[#This Row],[2029]],"")))</f>
        <v/>
      </c>
      <c r="U178" s="124" t="str">
        <f>IF(Refsz_Verbräuche[[#Headers],[2035]]=$B$43,IF(OR(SUMIF($E178:Refsz_Verbräuche[[#This Row],[2030]],"&gt;0")&gt;0,), AVERAGEIF($E178:Refsz_Verbräuche[[#This Row],[2030]],"&lt;&gt;"""), ""),IF($B$43=(Refsz_Verbräuche[[#Headers],[2035]]-1),Refsz_Verbräuche[[#This Row],[2030]],IF($B$43&lt;Refsz_Verbräuche[[#Headers],[2035]],Refsz_Verbräuche[[#This Row],[2030]],"")))</f>
        <v/>
      </c>
      <c r="V178" s="124" t="str">
        <f>IF(Refsz_Verbräuche[[#Headers],[2040]]=$B$43,IF(OR(SUMIF($E178:Refsz_Verbräuche[[#This Row],[2035]],"&gt;0")&gt;0,), AVERAGEIF($E178:Refsz_Verbräuche[[#This Row],[2035]],"&lt;&gt;"""), ""),IF($B$43=(Refsz_Verbräuche[[#Headers],[2040]]-1),Refsz_Verbräuche[[#This Row],[2035]],IF($B$43&lt;Refsz_Verbräuche[[#Headers],[2040]],Refsz_Verbräuche[[#This Row],[2035]],"")))</f>
        <v/>
      </c>
      <c r="W178" s="124" t="str">
        <f>IF(Refsz_Verbräuche[[#Headers],[2045]]=$B$43,IF(OR(SUMIF($E178:Refsz_Verbräuche[[#This Row],[2040]],"&gt;0")&gt;0,), AVERAGEIF($E178:Refsz_Verbräuche[[#This Row],[2040]],"&lt;&gt;"""), ""),IF($B$43=(Refsz_Verbräuche[[#Headers],[2045]]-1),Refsz_Verbräuche[[#This Row],[2040]],IF($B$43&lt;Refsz_Verbräuche[[#Headers],[2045]],Refsz_Verbräuche[[#This Row],[2040]],"")))</f>
        <v/>
      </c>
      <c r="X178" s="124" t="str">
        <f>IF(Refsz_Verbräuche[[#Headers],[2050]]=$B$43,IF(OR(SUMIF($E178:Refsz_Verbräuche[[#This Row],[2045]],"&gt;0")&gt;0,), AVERAGEIF($E178:Refsz_Verbräuche[[#This Row],[2045]],"&lt;&gt;"""), ""),IF($B$43=(Refsz_Verbräuche[[#Headers],[2050]]-1),Refsz_Verbräuche[[#This Row],[2045]],IF($B$43&lt;Refsz_Verbräuche[[#Headers],[2050]],Refsz_Verbräuche[[#This Row],[2045]],"")))</f>
        <v/>
      </c>
      <c r="Z178" s="15"/>
    </row>
    <row r="179" spans="2:26" x14ac:dyDescent="0.35">
      <c r="B179" s="15">
        <v>119</v>
      </c>
      <c r="C179" s="9" t="s">
        <v>85</v>
      </c>
      <c r="D179" t="s">
        <v>48</v>
      </c>
      <c r="E179" s="124"/>
      <c r="F179" s="124"/>
      <c r="G179" s="124"/>
      <c r="H179" s="124"/>
      <c r="I179" s="124"/>
      <c r="J179" s="124"/>
      <c r="K179" s="124"/>
      <c r="L179" s="124" t="str">
        <f>IF(Refsz_Verbräuche[[#Headers],[2022]]=$B$43,IF(OR(SUMIF($E179:Refsz_Verbräuche[[#This Row],[2021]],"&gt;0")&gt;0,), AVERAGEIF($E179:Refsz_Verbräuche[[#This Row],[2021]],"&lt;&gt;"""), ""),IF($B$43=(Refsz_Verbräuche[[#Headers],[2022]]-1),Refsz_Verbräuche[[#This Row],[2021]],IF($B$43&lt;Refsz_Verbräuche[[#Headers],[2022]],Refsz_Verbräuche[[#This Row],[2021]],"")))</f>
        <v/>
      </c>
      <c r="M179" s="124" t="str">
        <f>IF(Refsz_Verbräuche[[#Headers],[2023]]=$B$43,IF(OR(SUMIF($E179:Refsz_Verbräuche[[#This Row],[2022]],"&gt;0")&gt;0,), AVERAGEIF($E179:Refsz_Verbräuche[[#This Row],[2022]],"&lt;&gt;"""), ""),IF($B$43=(Refsz_Verbräuche[[#Headers],[2023]]-1),Refsz_Verbräuche[[#This Row],[2022]],IF($B$43&lt;Refsz_Verbräuche[[#Headers],[2023]],Refsz_Verbräuche[[#This Row],[2022]],"")))</f>
        <v/>
      </c>
      <c r="N179" s="124" t="str">
        <f>IF(Refsz_Verbräuche[[#Headers],[2024]]=$B$43,IF(OR(SUMIF($E179:Refsz_Verbräuche[[#This Row],[2023]],"&gt;0")&gt;0,), AVERAGEIF($E179:Refsz_Verbräuche[[#This Row],[2023]],"&lt;&gt;"""), ""),IF($B$43=(Refsz_Verbräuche[[#Headers],[2024]]-1),Refsz_Verbräuche[[#This Row],[2023]],IF($B$43&lt;Refsz_Verbräuche[[#Headers],[2024]],Refsz_Verbräuche[[#This Row],[2023]],"")))</f>
        <v/>
      </c>
      <c r="O179" s="124" t="str">
        <f>IF(Refsz_Verbräuche[[#Headers],[2025]]=$B$43,IF(OR(SUMIF($E179:Refsz_Verbräuche[[#This Row],[2024]],"&gt;0")&gt;0,), AVERAGEIF($E179:Refsz_Verbräuche[[#This Row],[2024]],"&lt;&gt;"""), ""),IF($B$43=(Refsz_Verbräuche[[#Headers],[2025]]-1),Refsz_Verbräuche[[#This Row],[2024]],IF($B$43&lt;Refsz_Verbräuche[[#Headers],[2025]],Refsz_Verbräuche[[#This Row],[2024]],"")))</f>
        <v/>
      </c>
      <c r="P179" s="124" t="str">
        <f>IF(Refsz_Verbräuche[[#Headers],[2026]]=$B$43,IF(OR(SUMIF($E179:Refsz_Verbräuche[[#This Row],[2025]],"&gt;0")&gt;0,), AVERAGEIF($E179:Refsz_Verbräuche[[#This Row],[2025]],"&lt;&gt;"""), ""),IF($B$43=(Refsz_Verbräuche[[#Headers],[2026]]-1),Refsz_Verbräuche[[#This Row],[2025]],IF($B$43&lt;Refsz_Verbräuche[[#Headers],[2026]],Refsz_Verbräuche[[#This Row],[2025]],"")))</f>
        <v/>
      </c>
      <c r="Q179" s="124" t="str">
        <f>IF(Refsz_Verbräuche[[#Headers],[2027]]=$B$43,IF(OR(SUMIF($E179:Refsz_Verbräuche[[#This Row],[2026]],"&gt;0")&gt;0,), AVERAGEIF($E179:Refsz_Verbräuche[[#This Row],[2026]],"&lt;&gt;"""), ""),IF($B$43=(Refsz_Verbräuche[[#Headers],[2027]]-1),Refsz_Verbräuche[[#This Row],[2026]],IF($B$43&lt;Refsz_Verbräuche[[#Headers],[2027]],Refsz_Verbräuche[[#This Row],[2026]],"")))</f>
        <v/>
      </c>
      <c r="R179" s="124" t="str">
        <f>IF(Refsz_Verbräuche[[#Headers],[2028]]=$B$43,IF(OR(SUMIF($E179:Refsz_Verbräuche[[#This Row],[2027]],"&gt;0")&gt;0,), AVERAGEIF($E179:Refsz_Verbräuche[[#This Row],[2027]],"&lt;&gt;"""), ""),IF($B$43=(Refsz_Verbräuche[[#Headers],[2028]]-1),Refsz_Verbräuche[[#This Row],[2027]],IF($B$43&lt;Refsz_Verbräuche[[#Headers],[2028]],Refsz_Verbräuche[[#This Row],[2027]],"")))</f>
        <v/>
      </c>
      <c r="S179" s="124" t="str">
        <f>IF(Refsz_Verbräuche[[#Headers],[2029]]=$B$43,IF(OR(SUMIF($E179:Refsz_Verbräuche[[#This Row],[2028]],"&gt;0")&gt;0,), AVERAGEIF($E179:Refsz_Verbräuche[[#This Row],[2028]],"&lt;&gt;"""), ""),IF($B$43=(Refsz_Verbräuche[[#Headers],[2029]]-1),Refsz_Verbräuche[[#This Row],[2028]],IF($B$43&lt;Refsz_Verbräuche[[#Headers],[2029]],Refsz_Verbräuche[[#This Row],[2028]],"")))</f>
        <v/>
      </c>
      <c r="T179" s="124" t="str">
        <f>IF(Refsz_Verbräuche[[#Headers],[2030]]=$B$43,IF(OR(SUMIF($E179:Refsz_Verbräuche[[#This Row],[2029]],"&gt;0")&gt;0,), AVERAGEIF($E179:Refsz_Verbräuche[[#This Row],[2029]],"&lt;&gt;"""), ""),IF($B$43=(Refsz_Verbräuche[[#Headers],[2030]]-1),Refsz_Verbräuche[[#This Row],[2029]],IF($B$43&lt;Refsz_Verbräuche[[#Headers],[2030]],Refsz_Verbräuche[[#This Row],[2029]],"")))</f>
        <v/>
      </c>
      <c r="U179" s="124" t="str">
        <f>IF(Refsz_Verbräuche[[#Headers],[2035]]=$B$43,IF(OR(SUMIF($E179:Refsz_Verbräuche[[#This Row],[2030]],"&gt;0")&gt;0,), AVERAGEIF($E179:Refsz_Verbräuche[[#This Row],[2030]],"&lt;&gt;"""), ""),IF($B$43=(Refsz_Verbräuche[[#Headers],[2035]]-1),Refsz_Verbräuche[[#This Row],[2030]],IF($B$43&lt;Refsz_Verbräuche[[#Headers],[2035]],Refsz_Verbräuche[[#This Row],[2030]],"")))</f>
        <v/>
      </c>
      <c r="V179" s="124" t="str">
        <f>IF(Refsz_Verbräuche[[#Headers],[2040]]=$B$43,IF(OR(SUMIF($E179:Refsz_Verbräuche[[#This Row],[2035]],"&gt;0")&gt;0,), AVERAGEIF($E179:Refsz_Verbräuche[[#This Row],[2035]],"&lt;&gt;"""), ""),IF($B$43=(Refsz_Verbräuche[[#Headers],[2040]]-1),Refsz_Verbräuche[[#This Row],[2035]],IF($B$43&lt;Refsz_Verbräuche[[#Headers],[2040]],Refsz_Verbräuche[[#This Row],[2035]],"")))</f>
        <v/>
      </c>
      <c r="W179" s="124" t="str">
        <f>IF(Refsz_Verbräuche[[#Headers],[2045]]=$B$43,IF(OR(SUMIF($E179:Refsz_Verbräuche[[#This Row],[2040]],"&gt;0")&gt;0,), AVERAGEIF($E179:Refsz_Verbräuche[[#This Row],[2040]],"&lt;&gt;"""), ""),IF($B$43=(Refsz_Verbräuche[[#Headers],[2045]]-1),Refsz_Verbräuche[[#This Row],[2040]],IF($B$43&lt;Refsz_Verbräuche[[#Headers],[2045]],Refsz_Verbräuche[[#This Row],[2040]],"")))</f>
        <v/>
      </c>
      <c r="X179" s="124" t="str">
        <f>IF(Refsz_Verbräuche[[#Headers],[2050]]=$B$43,IF(OR(SUMIF($E179:Refsz_Verbräuche[[#This Row],[2045]],"&gt;0")&gt;0,), AVERAGEIF($E179:Refsz_Verbräuche[[#This Row],[2045]],"&lt;&gt;"""), ""),IF($B$43=(Refsz_Verbräuche[[#Headers],[2050]]-1),Refsz_Verbräuche[[#This Row],[2045]],IF($B$43&lt;Refsz_Verbräuche[[#Headers],[2050]],Refsz_Verbräuche[[#This Row],[2045]],"")))</f>
        <v/>
      </c>
      <c r="Z179" s="15"/>
    </row>
    <row r="180" spans="2:26" x14ac:dyDescent="0.35">
      <c r="B180" s="15">
        <v>120</v>
      </c>
      <c r="C180" s="9" t="s">
        <v>88</v>
      </c>
      <c r="D180" t="s">
        <v>48</v>
      </c>
      <c r="E180" s="124"/>
      <c r="F180" s="124"/>
      <c r="G180" s="124"/>
      <c r="H180" s="124"/>
      <c r="I180" s="124"/>
      <c r="J180" s="124"/>
      <c r="K180" s="124"/>
      <c r="L180" s="124" t="str">
        <f>IF(Refsz_Verbräuche[[#Headers],[2022]]=$B$43,IF(OR(SUMIF($E180:Refsz_Verbräuche[[#This Row],[2021]],"&gt;0")&gt;0,), AVERAGEIF($E180:Refsz_Verbräuche[[#This Row],[2021]],"&lt;&gt;"""), ""),IF($B$43=(Refsz_Verbräuche[[#Headers],[2022]]-1),Refsz_Verbräuche[[#This Row],[2021]],IF($B$43&lt;Refsz_Verbräuche[[#Headers],[2022]],Refsz_Verbräuche[[#This Row],[2021]],"")))</f>
        <v/>
      </c>
      <c r="M180" s="124" t="str">
        <f>IF(Refsz_Verbräuche[[#Headers],[2023]]=$B$43,IF(OR(SUMIF($E180:Refsz_Verbräuche[[#This Row],[2022]],"&gt;0")&gt;0,), AVERAGEIF($E180:Refsz_Verbräuche[[#This Row],[2022]],"&lt;&gt;"""), ""),IF($B$43=(Refsz_Verbräuche[[#Headers],[2023]]-1),Refsz_Verbräuche[[#This Row],[2022]],IF($B$43&lt;Refsz_Verbräuche[[#Headers],[2023]],Refsz_Verbräuche[[#This Row],[2022]],"")))</f>
        <v/>
      </c>
      <c r="N180" s="124" t="str">
        <f>IF(Refsz_Verbräuche[[#Headers],[2024]]=$B$43,IF(OR(SUMIF($E180:Refsz_Verbräuche[[#This Row],[2023]],"&gt;0")&gt;0,), AVERAGEIF($E180:Refsz_Verbräuche[[#This Row],[2023]],"&lt;&gt;"""), ""),IF($B$43=(Refsz_Verbräuche[[#Headers],[2024]]-1),Refsz_Verbräuche[[#This Row],[2023]],IF($B$43&lt;Refsz_Verbräuche[[#Headers],[2024]],Refsz_Verbräuche[[#This Row],[2023]],"")))</f>
        <v/>
      </c>
      <c r="O180" s="124" t="str">
        <f>IF(Refsz_Verbräuche[[#Headers],[2025]]=$B$43,IF(OR(SUMIF($E180:Refsz_Verbräuche[[#This Row],[2024]],"&gt;0")&gt;0,), AVERAGEIF($E180:Refsz_Verbräuche[[#This Row],[2024]],"&lt;&gt;"""), ""),IF($B$43=(Refsz_Verbräuche[[#Headers],[2025]]-1),Refsz_Verbräuche[[#This Row],[2024]],IF($B$43&lt;Refsz_Verbräuche[[#Headers],[2025]],Refsz_Verbräuche[[#This Row],[2024]],"")))</f>
        <v/>
      </c>
      <c r="P180" s="124" t="str">
        <f>IF(Refsz_Verbräuche[[#Headers],[2026]]=$B$43,IF(OR(SUMIF($E180:Refsz_Verbräuche[[#This Row],[2025]],"&gt;0")&gt;0,), AVERAGEIF($E180:Refsz_Verbräuche[[#This Row],[2025]],"&lt;&gt;"""), ""),IF($B$43=(Refsz_Verbräuche[[#Headers],[2026]]-1),Refsz_Verbräuche[[#This Row],[2025]],IF($B$43&lt;Refsz_Verbräuche[[#Headers],[2026]],Refsz_Verbräuche[[#This Row],[2025]],"")))</f>
        <v/>
      </c>
      <c r="Q180" s="124" t="str">
        <f>IF(Refsz_Verbräuche[[#Headers],[2027]]=$B$43,IF(OR(SUMIF($E180:Refsz_Verbräuche[[#This Row],[2026]],"&gt;0")&gt;0,), AVERAGEIF($E180:Refsz_Verbräuche[[#This Row],[2026]],"&lt;&gt;"""), ""),IF($B$43=(Refsz_Verbräuche[[#Headers],[2027]]-1),Refsz_Verbräuche[[#This Row],[2026]],IF($B$43&lt;Refsz_Verbräuche[[#Headers],[2027]],Refsz_Verbräuche[[#This Row],[2026]],"")))</f>
        <v/>
      </c>
      <c r="R180" s="124" t="str">
        <f>IF(Refsz_Verbräuche[[#Headers],[2028]]=$B$43,IF(OR(SUMIF($E180:Refsz_Verbräuche[[#This Row],[2027]],"&gt;0")&gt;0,), AVERAGEIF($E180:Refsz_Verbräuche[[#This Row],[2027]],"&lt;&gt;"""), ""),IF($B$43=(Refsz_Verbräuche[[#Headers],[2028]]-1),Refsz_Verbräuche[[#This Row],[2027]],IF($B$43&lt;Refsz_Verbräuche[[#Headers],[2028]],Refsz_Verbräuche[[#This Row],[2027]],"")))</f>
        <v/>
      </c>
      <c r="S180" s="124" t="str">
        <f>IF(Refsz_Verbräuche[[#Headers],[2029]]=$B$43,IF(OR(SUMIF($E180:Refsz_Verbräuche[[#This Row],[2028]],"&gt;0")&gt;0,), AVERAGEIF($E180:Refsz_Verbräuche[[#This Row],[2028]],"&lt;&gt;"""), ""),IF($B$43=(Refsz_Verbräuche[[#Headers],[2029]]-1),Refsz_Verbräuche[[#This Row],[2028]],IF($B$43&lt;Refsz_Verbräuche[[#Headers],[2029]],Refsz_Verbräuche[[#This Row],[2028]],"")))</f>
        <v/>
      </c>
      <c r="T180" s="124" t="str">
        <f>IF(Refsz_Verbräuche[[#Headers],[2030]]=$B$43,IF(OR(SUMIF($E180:Refsz_Verbräuche[[#This Row],[2029]],"&gt;0")&gt;0,), AVERAGEIF($E180:Refsz_Verbräuche[[#This Row],[2029]],"&lt;&gt;"""), ""),IF($B$43=(Refsz_Verbräuche[[#Headers],[2030]]-1),Refsz_Verbräuche[[#This Row],[2029]],IF($B$43&lt;Refsz_Verbräuche[[#Headers],[2030]],Refsz_Verbräuche[[#This Row],[2029]],"")))</f>
        <v/>
      </c>
      <c r="U180" s="124" t="str">
        <f>IF(Refsz_Verbräuche[[#Headers],[2035]]=$B$43,IF(OR(SUMIF($E180:Refsz_Verbräuche[[#This Row],[2030]],"&gt;0")&gt;0,), AVERAGEIF($E180:Refsz_Verbräuche[[#This Row],[2030]],"&lt;&gt;"""), ""),IF($B$43=(Refsz_Verbräuche[[#Headers],[2035]]-1),Refsz_Verbräuche[[#This Row],[2030]],IF($B$43&lt;Refsz_Verbräuche[[#Headers],[2035]],Refsz_Verbräuche[[#This Row],[2030]],"")))</f>
        <v/>
      </c>
      <c r="V180" s="124" t="str">
        <f>IF(Refsz_Verbräuche[[#Headers],[2040]]=$B$43,IF(OR(SUMIF($E180:Refsz_Verbräuche[[#This Row],[2035]],"&gt;0")&gt;0,), AVERAGEIF($E180:Refsz_Verbräuche[[#This Row],[2035]],"&lt;&gt;"""), ""),IF($B$43=(Refsz_Verbräuche[[#Headers],[2040]]-1),Refsz_Verbräuche[[#This Row],[2035]],IF($B$43&lt;Refsz_Verbräuche[[#Headers],[2040]],Refsz_Verbräuche[[#This Row],[2035]],"")))</f>
        <v/>
      </c>
      <c r="W180" s="124" t="str">
        <f>IF(Refsz_Verbräuche[[#Headers],[2045]]=$B$43,IF(OR(SUMIF($E180:Refsz_Verbräuche[[#This Row],[2040]],"&gt;0")&gt;0,), AVERAGEIF($E180:Refsz_Verbräuche[[#This Row],[2040]],"&lt;&gt;"""), ""),IF($B$43=(Refsz_Verbräuche[[#Headers],[2045]]-1),Refsz_Verbräuche[[#This Row],[2040]],IF($B$43&lt;Refsz_Verbräuche[[#Headers],[2045]],Refsz_Verbräuche[[#This Row],[2040]],"")))</f>
        <v/>
      </c>
      <c r="X180" s="124" t="str">
        <f>IF(Refsz_Verbräuche[[#Headers],[2050]]=$B$43,IF(OR(SUMIF($E180:Refsz_Verbräuche[[#This Row],[2045]],"&gt;0")&gt;0,), AVERAGEIF($E180:Refsz_Verbräuche[[#This Row],[2045]],"&lt;&gt;"""), ""),IF($B$43=(Refsz_Verbräuche[[#Headers],[2050]]-1),Refsz_Verbräuche[[#This Row],[2045]],IF($B$43&lt;Refsz_Verbräuche[[#Headers],[2050]],Refsz_Verbräuche[[#This Row],[2045]],"")))</f>
        <v/>
      </c>
      <c r="Z180" s="15"/>
    </row>
    <row r="181" spans="2:26" x14ac:dyDescent="0.35">
      <c r="B181" s="15">
        <v>121</v>
      </c>
      <c r="C181" s="9" t="s">
        <v>91</v>
      </c>
      <c r="D181" t="s">
        <v>48</v>
      </c>
      <c r="E181" s="124"/>
      <c r="F181" s="124"/>
      <c r="G181" s="124"/>
      <c r="H181" s="124"/>
      <c r="I181" s="124"/>
      <c r="J181" s="124"/>
      <c r="K181" s="124"/>
      <c r="L181" s="124" t="str">
        <f>IF(Refsz_Verbräuche[[#Headers],[2022]]=$B$43,IF(OR(SUMIF($E181:Refsz_Verbräuche[[#This Row],[2021]],"&gt;0")&gt;0,), AVERAGEIF($E181:Refsz_Verbräuche[[#This Row],[2021]],"&lt;&gt;"""), ""),IF($B$43=(Refsz_Verbräuche[[#Headers],[2022]]-1),Refsz_Verbräuche[[#This Row],[2021]],IF($B$43&lt;Refsz_Verbräuche[[#Headers],[2022]],Refsz_Verbräuche[[#This Row],[2021]],"")))</f>
        <v/>
      </c>
      <c r="M181" s="124" t="str">
        <f>IF(Refsz_Verbräuche[[#Headers],[2023]]=$B$43,IF(OR(SUMIF($E181:Refsz_Verbräuche[[#This Row],[2022]],"&gt;0")&gt;0,), AVERAGEIF($E181:Refsz_Verbräuche[[#This Row],[2022]],"&lt;&gt;"""), ""),IF($B$43=(Refsz_Verbräuche[[#Headers],[2023]]-1),Refsz_Verbräuche[[#This Row],[2022]],IF($B$43&lt;Refsz_Verbräuche[[#Headers],[2023]],Refsz_Verbräuche[[#This Row],[2022]],"")))</f>
        <v/>
      </c>
      <c r="N181" s="124" t="str">
        <f>IF(Refsz_Verbräuche[[#Headers],[2024]]=$B$43,IF(OR(SUMIF($E181:Refsz_Verbräuche[[#This Row],[2023]],"&gt;0")&gt;0,), AVERAGEIF($E181:Refsz_Verbräuche[[#This Row],[2023]],"&lt;&gt;"""), ""),IF($B$43=(Refsz_Verbräuche[[#Headers],[2024]]-1),Refsz_Verbräuche[[#This Row],[2023]],IF($B$43&lt;Refsz_Verbräuche[[#Headers],[2024]],Refsz_Verbräuche[[#This Row],[2023]],"")))</f>
        <v/>
      </c>
      <c r="O181" s="124" t="str">
        <f>IF(Refsz_Verbräuche[[#Headers],[2025]]=$B$43,IF(OR(SUMIF($E181:Refsz_Verbräuche[[#This Row],[2024]],"&gt;0")&gt;0,), AVERAGEIF($E181:Refsz_Verbräuche[[#This Row],[2024]],"&lt;&gt;"""), ""),IF($B$43=(Refsz_Verbräuche[[#Headers],[2025]]-1),Refsz_Verbräuche[[#This Row],[2024]],IF($B$43&lt;Refsz_Verbräuche[[#Headers],[2025]],Refsz_Verbräuche[[#This Row],[2024]],"")))</f>
        <v/>
      </c>
      <c r="P181" s="124" t="str">
        <f>IF(Refsz_Verbräuche[[#Headers],[2026]]=$B$43,IF(OR(SUMIF($E181:Refsz_Verbräuche[[#This Row],[2025]],"&gt;0")&gt;0,), AVERAGEIF($E181:Refsz_Verbräuche[[#This Row],[2025]],"&lt;&gt;"""), ""),IF($B$43=(Refsz_Verbräuche[[#Headers],[2026]]-1),Refsz_Verbräuche[[#This Row],[2025]],IF($B$43&lt;Refsz_Verbräuche[[#Headers],[2026]],Refsz_Verbräuche[[#This Row],[2025]],"")))</f>
        <v/>
      </c>
      <c r="Q181" s="124" t="str">
        <f>IF(Refsz_Verbräuche[[#Headers],[2027]]=$B$43,IF(OR(SUMIF($E181:Refsz_Verbräuche[[#This Row],[2026]],"&gt;0")&gt;0,), AVERAGEIF($E181:Refsz_Verbräuche[[#This Row],[2026]],"&lt;&gt;"""), ""),IF($B$43=(Refsz_Verbräuche[[#Headers],[2027]]-1),Refsz_Verbräuche[[#This Row],[2026]],IF($B$43&lt;Refsz_Verbräuche[[#Headers],[2027]],Refsz_Verbräuche[[#This Row],[2026]],"")))</f>
        <v/>
      </c>
      <c r="R181" s="124" t="str">
        <f>IF(Refsz_Verbräuche[[#Headers],[2028]]=$B$43,IF(OR(SUMIF($E181:Refsz_Verbräuche[[#This Row],[2027]],"&gt;0")&gt;0,), AVERAGEIF($E181:Refsz_Verbräuche[[#This Row],[2027]],"&lt;&gt;"""), ""),IF($B$43=(Refsz_Verbräuche[[#Headers],[2028]]-1),Refsz_Verbräuche[[#This Row],[2027]],IF($B$43&lt;Refsz_Verbräuche[[#Headers],[2028]],Refsz_Verbräuche[[#This Row],[2027]],"")))</f>
        <v/>
      </c>
      <c r="S181" s="124" t="str">
        <f>IF(Refsz_Verbräuche[[#Headers],[2029]]=$B$43,IF(OR(SUMIF($E181:Refsz_Verbräuche[[#This Row],[2028]],"&gt;0")&gt;0,), AVERAGEIF($E181:Refsz_Verbräuche[[#This Row],[2028]],"&lt;&gt;"""), ""),IF($B$43=(Refsz_Verbräuche[[#Headers],[2029]]-1),Refsz_Verbräuche[[#This Row],[2028]],IF($B$43&lt;Refsz_Verbräuche[[#Headers],[2029]],Refsz_Verbräuche[[#This Row],[2028]],"")))</f>
        <v/>
      </c>
      <c r="T181" s="124" t="str">
        <f>IF(Refsz_Verbräuche[[#Headers],[2030]]=$B$43,IF(OR(SUMIF($E181:Refsz_Verbräuche[[#This Row],[2029]],"&gt;0")&gt;0,), AVERAGEIF($E181:Refsz_Verbräuche[[#This Row],[2029]],"&lt;&gt;"""), ""),IF($B$43=(Refsz_Verbräuche[[#Headers],[2030]]-1),Refsz_Verbräuche[[#This Row],[2029]],IF($B$43&lt;Refsz_Verbräuche[[#Headers],[2030]],Refsz_Verbräuche[[#This Row],[2029]],"")))</f>
        <v/>
      </c>
      <c r="U181" s="124" t="str">
        <f>IF(Refsz_Verbräuche[[#Headers],[2035]]=$B$43,IF(OR(SUMIF($E181:Refsz_Verbräuche[[#This Row],[2030]],"&gt;0")&gt;0,), AVERAGEIF($E181:Refsz_Verbräuche[[#This Row],[2030]],"&lt;&gt;"""), ""),IF($B$43=(Refsz_Verbräuche[[#Headers],[2035]]-1),Refsz_Verbräuche[[#This Row],[2030]],IF($B$43&lt;Refsz_Verbräuche[[#Headers],[2035]],Refsz_Verbräuche[[#This Row],[2030]],"")))</f>
        <v/>
      </c>
      <c r="V181" s="124" t="str">
        <f>IF(Refsz_Verbräuche[[#Headers],[2040]]=$B$43,IF(OR(SUMIF($E181:Refsz_Verbräuche[[#This Row],[2035]],"&gt;0")&gt;0,), AVERAGEIF($E181:Refsz_Verbräuche[[#This Row],[2035]],"&lt;&gt;"""), ""),IF($B$43=(Refsz_Verbräuche[[#Headers],[2040]]-1),Refsz_Verbräuche[[#This Row],[2035]],IF($B$43&lt;Refsz_Verbräuche[[#Headers],[2040]],Refsz_Verbräuche[[#This Row],[2035]],"")))</f>
        <v/>
      </c>
      <c r="W181" s="124" t="str">
        <f>IF(Refsz_Verbräuche[[#Headers],[2045]]=$B$43,IF(OR(SUMIF($E181:Refsz_Verbräuche[[#This Row],[2040]],"&gt;0")&gt;0,), AVERAGEIF($E181:Refsz_Verbräuche[[#This Row],[2040]],"&lt;&gt;"""), ""),IF($B$43=(Refsz_Verbräuche[[#Headers],[2045]]-1),Refsz_Verbräuche[[#This Row],[2040]],IF($B$43&lt;Refsz_Verbräuche[[#Headers],[2045]],Refsz_Verbräuche[[#This Row],[2040]],"")))</f>
        <v/>
      </c>
      <c r="X181" s="124" t="str">
        <f>IF(Refsz_Verbräuche[[#Headers],[2050]]=$B$43,IF(OR(SUMIF($E181:Refsz_Verbräuche[[#This Row],[2045]],"&gt;0")&gt;0,), AVERAGEIF($E181:Refsz_Verbräuche[[#This Row],[2045]],"&lt;&gt;"""), ""),IF($B$43=(Refsz_Verbräuche[[#Headers],[2050]]-1),Refsz_Verbräuche[[#This Row],[2045]],IF($B$43&lt;Refsz_Verbräuche[[#Headers],[2050]],Refsz_Verbräuche[[#This Row],[2045]],"")))</f>
        <v/>
      </c>
      <c r="Z181" s="15"/>
    </row>
    <row r="182" spans="2:26" x14ac:dyDescent="0.35">
      <c r="B182" s="15">
        <v>122</v>
      </c>
      <c r="C182" s="9" t="s">
        <v>82</v>
      </c>
      <c r="D182" t="s">
        <v>48</v>
      </c>
      <c r="E182" s="124"/>
      <c r="F182" s="124"/>
      <c r="G182" s="124"/>
      <c r="H182" s="124"/>
      <c r="I182" s="124"/>
      <c r="J182" s="124"/>
      <c r="K182" s="124"/>
      <c r="L182" s="124" t="str">
        <f>IF(Refsz_Verbräuche[[#Headers],[2022]]=$B$43,IF(OR(SUMIF($E182:Refsz_Verbräuche[[#This Row],[2021]],"&gt;0")&gt;0,), AVERAGEIF($E182:Refsz_Verbräuche[[#This Row],[2021]],"&lt;&gt;"""), ""),IF($B$43=(Refsz_Verbräuche[[#Headers],[2022]]-1),Refsz_Verbräuche[[#This Row],[2021]],IF($B$43&lt;Refsz_Verbräuche[[#Headers],[2022]],Refsz_Verbräuche[[#This Row],[2021]],"")))</f>
        <v/>
      </c>
      <c r="M182" s="124" t="str">
        <f>IF(Refsz_Verbräuche[[#Headers],[2023]]=$B$43,IF(OR(SUMIF($E182:Refsz_Verbräuche[[#This Row],[2022]],"&gt;0")&gt;0,), AVERAGEIF($E182:Refsz_Verbräuche[[#This Row],[2022]],"&lt;&gt;"""), ""),IF($B$43=(Refsz_Verbräuche[[#Headers],[2023]]-1),Refsz_Verbräuche[[#This Row],[2022]],IF($B$43&lt;Refsz_Verbräuche[[#Headers],[2023]],Refsz_Verbräuche[[#This Row],[2022]],"")))</f>
        <v/>
      </c>
      <c r="N182" s="124" t="str">
        <f>IF(Refsz_Verbräuche[[#Headers],[2024]]=$B$43,IF(OR(SUMIF($E182:Refsz_Verbräuche[[#This Row],[2023]],"&gt;0")&gt;0,), AVERAGEIF($E182:Refsz_Verbräuche[[#This Row],[2023]],"&lt;&gt;"""), ""),IF($B$43=(Refsz_Verbräuche[[#Headers],[2024]]-1),Refsz_Verbräuche[[#This Row],[2023]],IF($B$43&lt;Refsz_Verbräuche[[#Headers],[2024]],Refsz_Verbräuche[[#This Row],[2023]],"")))</f>
        <v/>
      </c>
      <c r="O182" s="124" t="str">
        <f>IF(Refsz_Verbräuche[[#Headers],[2025]]=$B$43,IF(OR(SUMIF($E182:Refsz_Verbräuche[[#This Row],[2024]],"&gt;0")&gt;0,), AVERAGEIF($E182:Refsz_Verbräuche[[#This Row],[2024]],"&lt;&gt;"""), ""),IF($B$43=(Refsz_Verbräuche[[#Headers],[2025]]-1),Refsz_Verbräuche[[#This Row],[2024]],IF($B$43&lt;Refsz_Verbräuche[[#Headers],[2025]],Refsz_Verbräuche[[#This Row],[2024]],"")))</f>
        <v/>
      </c>
      <c r="P182" s="124" t="str">
        <f>IF(Refsz_Verbräuche[[#Headers],[2026]]=$B$43,IF(OR(SUMIF($E182:Refsz_Verbräuche[[#This Row],[2025]],"&gt;0")&gt;0,), AVERAGEIF($E182:Refsz_Verbräuche[[#This Row],[2025]],"&lt;&gt;"""), ""),IF($B$43=(Refsz_Verbräuche[[#Headers],[2026]]-1),Refsz_Verbräuche[[#This Row],[2025]],IF($B$43&lt;Refsz_Verbräuche[[#Headers],[2026]],Refsz_Verbräuche[[#This Row],[2025]],"")))</f>
        <v/>
      </c>
      <c r="Q182" s="124" t="str">
        <f>IF(Refsz_Verbräuche[[#Headers],[2027]]=$B$43,IF(OR(SUMIF($E182:Refsz_Verbräuche[[#This Row],[2026]],"&gt;0")&gt;0,), AVERAGEIF($E182:Refsz_Verbräuche[[#This Row],[2026]],"&lt;&gt;"""), ""),IF($B$43=(Refsz_Verbräuche[[#Headers],[2027]]-1),Refsz_Verbräuche[[#This Row],[2026]],IF($B$43&lt;Refsz_Verbräuche[[#Headers],[2027]],Refsz_Verbräuche[[#This Row],[2026]],"")))</f>
        <v/>
      </c>
      <c r="R182" s="124" t="str">
        <f>IF(Refsz_Verbräuche[[#Headers],[2028]]=$B$43,IF(OR(SUMIF($E182:Refsz_Verbräuche[[#This Row],[2027]],"&gt;0")&gt;0,), AVERAGEIF($E182:Refsz_Verbräuche[[#This Row],[2027]],"&lt;&gt;"""), ""),IF($B$43=(Refsz_Verbräuche[[#Headers],[2028]]-1),Refsz_Verbräuche[[#This Row],[2027]],IF($B$43&lt;Refsz_Verbräuche[[#Headers],[2028]],Refsz_Verbräuche[[#This Row],[2027]],"")))</f>
        <v/>
      </c>
      <c r="S182" s="124" t="str">
        <f>IF(Refsz_Verbräuche[[#Headers],[2029]]=$B$43,IF(OR(SUMIF($E182:Refsz_Verbräuche[[#This Row],[2028]],"&gt;0")&gt;0,), AVERAGEIF($E182:Refsz_Verbräuche[[#This Row],[2028]],"&lt;&gt;"""), ""),IF($B$43=(Refsz_Verbräuche[[#Headers],[2029]]-1),Refsz_Verbräuche[[#This Row],[2028]],IF($B$43&lt;Refsz_Verbräuche[[#Headers],[2029]],Refsz_Verbräuche[[#This Row],[2028]],"")))</f>
        <v/>
      </c>
      <c r="T182" s="124" t="str">
        <f>IF(Refsz_Verbräuche[[#Headers],[2030]]=$B$43,IF(OR(SUMIF($E182:Refsz_Verbräuche[[#This Row],[2029]],"&gt;0")&gt;0,), AVERAGEIF($E182:Refsz_Verbräuche[[#This Row],[2029]],"&lt;&gt;"""), ""),IF($B$43=(Refsz_Verbräuche[[#Headers],[2030]]-1),Refsz_Verbräuche[[#This Row],[2029]],IF($B$43&lt;Refsz_Verbräuche[[#Headers],[2030]],Refsz_Verbräuche[[#This Row],[2029]],"")))</f>
        <v/>
      </c>
      <c r="U182" s="124" t="str">
        <f>IF(Refsz_Verbräuche[[#Headers],[2035]]=$B$43,IF(OR(SUMIF($E182:Refsz_Verbräuche[[#This Row],[2030]],"&gt;0")&gt;0,), AVERAGEIF($E182:Refsz_Verbräuche[[#This Row],[2030]],"&lt;&gt;"""), ""),IF($B$43=(Refsz_Verbräuche[[#Headers],[2035]]-1),Refsz_Verbräuche[[#This Row],[2030]],IF($B$43&lt;Refsz_Verbräuche[[#Headers],[2035]],Refsz_Verbräuche[[#This Row],[2030]],"")))</f>
        <v/>
      </c>
      <c r="V182" s="124" t="str">
        <f>IF(Refsz_Verbräuche[[#Headers],[2040]]=$B$43,IF(OR(SUMIF($E182:Refsz_Verbräuche[[#This Row],[2035]],"&gt;0")&gt;0,), AVERAGEIF($E182:Refsz_Verbräuche[[#This Row],[2035]],"&lt;&gt;"""), ""),IF($B$43=(Refsz_Verbräuche[[#Headers],[2040]]-1),Refsz_Verbräuche[[#This Row],[2035]],IF($B$43&lt;Refsz_Verbräuche[[#Headers],[2040]],Refsz_Verbräuche[[#This Row],[2035]],"")))</f>
        <v/>
      </c>
      <c r="W182" s="124" t="str">
        <f>IF(Refsz_Verbräuche[[#Headers],[2045]]=$B$43,IF(OR(SUMIF($E182:Refsz_Verbräuche[[#This Row],[2040]],"&gt;0")&gt;0,), AVERAGEIF($E182:Refsz_Verbräuche[[#This Row],[2040]],"&lt;&gt;"""), ""),IF($B$43=(Refsz_Verbräuche[[#Headers],[2045]]-1),Refsz_Verbräuche[[#This Row],[2040]],IF($B$43&lt;Refsz_Verbräuche[[#Headers],[2045]],Refsz_Verbräuche[[#This Row],[2040]],"")))</f>
        <v/>
      </c>
      <c r="X182" s="124" t="str">
        <f>IF(Refsz_Verbräuche[[#Headers],[2050]]=$B$43,IF(OR(SUMIF($E182:Refsz_Verbräuche[[#This Row],[2045]],"&gt;0")&gt;0,), AVERAGEIF($E182:Refsz_Verbräuche[[#This Row],[2045]],"&lt;&gt;"""), ""),IF($B$43=(Refsz_Verbräuche[[#Headers],[2050]]-1),Refsz_Verbräuche[[#This Row],[2045]],IF($B$43&lt;Refsz_Verbräuche[[#Headers],[2050]],Refsz_Verbräuche[[#This Row],[2045]],"")))</f>
        <v/>
      </c>
      <c r="Z182" s="15"/>
    </row>
    <row r="183" spans="2:26" x14ac:dyDescent="0.35">
      <c r="B183" s="15">
        <v>123</v>
      </c>
      <c r="C183" s="9" t="s">
        <v>95</v>
      </c>
      <c r="D183" t="s">
        <v>48</v>
      </c>
      <c r="E183" s="124"/>
      <c r="F183" s="124"/>
      <c r="G183" s="124"/>
      <c r="H183" s="124"/>
      <c r="I183" s="124"/>
      <c r="J183" s="124"/>
      <c r="K183" s="124"/>
      <c r="L183" s="124" t="str">
        <f>IF(Refsz_Verbräuche[[#Headers],[2022]]=$B$43,IF(OR(SUMIF($E183:Refsz_Verbräuche[[#This Row],[2021]],"&gt;0")&gt;0,), AVERAGEIF($E183:Refsz_Verbräuche[[#This Row],[2021]],"&lt;&gt;"""), ""),IF($B$43=(Refsz_Verbräuche[[#Headers],[2022]]-1),Refsz_Verbräuche[[#This Row],[2021]],IF($B$43&lt;Refsz_Verbräuche[[#Headers],[2022]],Refsz_Verbräuche[[#This Row],[2021]],"")))</f>
        <v/>
      </c>
      <c r="M183" s="124" t="str">
        <f>IF(Refsz_Verbräuche[[#Headers],[2023]]=$B$43,IF(OR(SUMIF($E183:Refsz_Verbräuche[[#This Row],[2022]],"&gt;0")&gt;0,), AVERAGEIF($E183:Refsz_Verbräuche[[#This Row],[2022]],"&lt;&gt;"""), ""),IF($B$43=(Refsz_Verbräuche[[#Headers],[2023]]-1),Refsz_Verbräuche[[#This Row],[2022]],IF($B$43&lt;Refsz_Verbräuche[[#Headers],[2023]],Refsz_Verbräuche[[#This Row],[2022]],"")))</f>
        <v/>
      </c>
      <c r="N183" s="124" t="str">
        <f>IF(Refsz_Verbräuche[[#Headers],[2024]]=$B$43,IF(OR(SUMIF($E183:Refsz_Verbräuche[[#This Row],[2023]],"&gt;0")&gt;0,), AVERAGEIF($E183:Refsz_Verbräuche[[#This Row],[2023]],"&lt;&gt;"""), ""),IF($B$43=(Refsz_Verbräuche[[#Headers],[2024]]-1),Refsz_Verbräuche[[#This Row],[2023]],IF($B$43&lt;Refsz_Verbräuche[[#Headers],[2024]],Refsz_Verbräuche[[#This Row],[2023]],"")))</f>
        <v/>
      </c>
      <c r="O183" s="124" t="str">
        <f>IF(Refsz_Verbräuche[[#Headers],[2025]]=$B$43,IF(OR(SUMIF($E183:Refsz_Verbräuche[[#This Row],[2024]],"&gt;0")&gt;0,), AVERAGEIF($E183:Refsz_Verbräuche[[#This Row],[2024]],"&lt;&gt;"""), ""),IF($B$43=(Refsz_Verbräuche[[#Headers],[2025]]-1),Refsz_Verbräuche[[#This Row],[2024]],IF($B$43&lt;Refsz_Verbräuche[[#Headers],[2025]],Refsz_Verbräuche[[#This Row],[2024]],"")))</f>
        <v/>
      </c>
      <c r="P183" s="124" t="str">
        <f>IF(Refsz_Verbräuche[[#Headers],[2026]]=$B$43,IF(OR(SUMIF($E183:Refsz_Verbräuche[[#This Row],[2025]],"&gt;0")&gt;0,), AVERAGEIF($E183:Refsz_Verbräuche[[#This Row],[2025]],"&lt;&gt;"""), ""),IF($B$43=(Refsz_Verbräuche[[#Headers],[2026]]-1),Refsz_Verbräuche[[#This Row],[2025]],IF($B$43&lt;Refsz_Verbräuche[[#Headers],[2026]],Refsz_Verbräuche[[#This Row],[2025]],"")))</f>
        <v/>
      </c>
      <c r="Q183" s="124" t="str">
        <f>IF(Refsz_Verbräuche[[#Headers],[2027]]=$B$43,IF(OR(SUMIF($E183:Refsz_Verbräuche[[#This Row],[2026]],"&gt;0")&gt;0,), AVERAGEIF($E183:Refsz_Verbräuche[[#This Row],[2026]],"&lt;&gt;"""), ""),IF($B$43=(Refsz_Verbräuche[[#Headers],[2027]]-1),Refsz_Verbräuche[[#This Row],[2026]],IF($B$43&lt;Refsz_Verbräuche[[#Headers],[2027]],Refsz_Verbräuche[[#This Row],[2026]],"")))</f>
        <v/>
      </c>
      <c r="R183" s="124" t="str">
        <f>IF(Refsz_Verbräuche[[#Headers],[2028]]=$B$43,IF(OR(SUMIF($E183:Refsz_Verbräuche[[#This Row],[2027]],"&gt;0")&gt;0,), AVERAGEIF($E183:Refsz_Verbräuche[[#This Row],[2027]],"&lt;&gt;"""), ""),IF($B$43=(Refsz_Verbräuche[[#Headers],[2028]]-1),Refsz_Verbräuche[[#This Row],[2027]],IF($B$43&lt;Refsz_Verbräuche[[#Headers],[2028]],Refsz_Verbräuche[[#This Row],[2027]],"")))</f>
        <v/>
      </c>
      <c r="S183" s="124" t="str">
        <f>IF(Refsz_Verbräuche[[#Headers],[2029]]=$B$43,IF(OR(SUMIF($E183:Refsz_Verbräuche[[#This Row],[2028]],"&gt;0")&gt;0,), AVERAGEIF($E183:Refsz_Verbräuche[[#This Row],[2028]],"&lt;&gt;"""), ""),IF($B$43=(Refsz_Verbräuche[[#Headers],[2029]]-1),Refsz_Verbräuche[[#This Row],[2028]],IF($B$43&lt;Refsz_Verbräuche[[#Headers],[2029]],Refsz_Verbräuche[[#This Row],[2028]],"")))</f>
        <v/>
      </c>
      <c r="T183" s="124" t="str">
        <f>IF(Refsz_Verbräuche[[#Headers],[2030]]=$B$43,IF(OR(SUMIF($E183:Refsz_Verbräuche[[#This Row],[2029]],"&gt;0")&gt;0,), AVERAGEIF($E183:Refsz_Verbräuche[[#This Row],[2029]],"&lt;&gt;"""), ""),IF($B$43=(Refsz_Verbräuche[[#Headers],[2030]]-1),Refsz_Verbräuche[[#This Row],[2029]],IF($B$43&lt;Refsz_Verbräuche[[#Headers],[2030]],Refsz_Verbräuche[[#This Row],[2029]],"")))</f>
        <v/>
      </c>
      <c r="U183" s="124" t="str">
        <f>IF(Refsz_Verbräuche[[#Headers],[2035]]=$B$43,IF(OR(SUMIF($E183:Refsz_Verbräuche[[#This Row],[2030]],"&gt;0")&gt;0,), AVERAGEIF($E183:Refsz_Verbräuche[[#This Row],[2030]],"&lt;&gt;"""), ""),IF($B$43=(Refsz_Verbräuche[[#Headers],[2035]]-1),Refsz_Verbräuche[[#This Row],[2030]],IF($B$43&lt;Refsz_Verbräuche[[#Headers],[2035]],Refsz_Verbräuche[[#This Row],[2030]],"")))</f>
        <v/>
      </c>
      <c r="V183" s="124" t="str">
        <f>IF(Refsz_Verbräuche[[#Headers],[2040]]=$B$43,IF(OR(SUMIF($E183:Refsz_Verbräuche[[#This Row],[2035]],"&gt;0")&gt;0,), AVERAGEIF($E183:Refsz_Verbräuche[[#This Row],[2035]],"&lt;&gt;"""), ""),IF($B$43=(Refsz_Verbräuche[[#Headers],[2040]]-1),Refsz_Verbräuche[[#This Row],[2035]],IF($B$43&lt;Refsz_Verbräuche[[#Headers],[2040]],Refsz_Verbräuche[[#This Row],[2035]],"")))</f>
        <v/>
      </c>
      <c r="W183" s="124" t="str">
        <f>IF(Refsz_Verbräuche[[#Headers],[2045]]=$B$43,IF(OR(SUMIF($E183:Refsz_Verbräuche[[#This Row],[2040]],"&gt;0")&gt;0,), AVERAGEIF($E183:Refsz_Verbräuche[[#This Row],[2040]],"&lt;&gt;"""), ""),IF($B$43=(Refsz_Verbräuche[[#Headers],[2045]]-1),Refsz_Verbräuche[[#This Row],[2040]],IF($B$43&lt;Refsz_Verbräuche[[#Headers],[2045]],Refsz_Verbräuche[[#This Row],[2040]],"")))</f>
        <v/>
      </c>
      <c r="X183" s="124" t="str">
        <f>IF(Refsz_Verbräuche[[#Headers],[2050]]=$B$43,IF(OR(SUMIF($E183:Refsz_Verbräuche[[#This Row],[2045]],"&gt;0")&gt;0,), AVERAGEIF($E183:Refsz_Verbräuche[[#This Row],[2045]],"&lt;&gt;"""), ""),IF($B$43=(Refsz_Verbräuche[[#Headers],[2050]]-1),Refsz_Verbräuche[[#This Row],[2045]],IF($B$43&lt;Refsz_Verbräuche[[#Headers],[2050]],Refsz_Verbräuche[[#This Row],[2045]],"")))</f>
        <v/>
      </c>
      <c r="Z183" s="15"/>
    </row>
    <row r="184" spans="2:26" x14ac:dyDescent="0.35">
      <c r="B184" s="15">
        <v>124</v>
      </c>
      <c r="C184" s="9" t="s">
        <v>78</v>
      </c>
      <c r="D184" t="s">
        <v>48</v>
      </c>
      <c r="E184" s="124"/>
      <c r="F184" s="124"/>
      <c r="G184" s="124"/>
      <c r="H184" s="124"/>
      <c r="I184" s="124"/>
      <c r="J184" s="124"/>
      <c r="K184" s="124"/>
      <c r="L184" s="124" t="str">
        <f>IF(Refsz_Verbräuche[[#Headers],[2022]]=$B$43,IF(OR(SUMIF($E184:Refsz_Verbräuche[[#This Row],[2021]],"&gt;0")&gt;0,), AVERAGEIF($E184:Refsz_Verbräuche[[#This Row],[2021]],"&lt;&gt;"""), ""),IF($B$43=(Refsz_Verbräuche[[#Headers],[2022]]-1),Refsz_Verbräuche[[#This Row],[2021]],IF($B$43&lt;Refsz_Verbräuche[[#Headers],[2022]],Refsz_Verbräuche[[#This Row],[2021]],"")))</f>
        <v/>
      </c>
      <c r="M184" s="124" t="str">
        <f>IF(Refsz_Verbräuche[[#Headers],[2023]]=$B$43,IF(OR(SUMIF($E184:Refsz_Verbräuche[[#This Row],[2022]],"&gt;0")&gt;0,), AVERAGEIF($E184:Refsz_Verbräuche[[#This Row],[2022]],"&lt;&gt;"""), ""),IF($B$43=(Refsz_Verbräuche[[#Headers],[2023]]-1),Refsz_Verbräuche[[#This Row],[2022]],IF($B$43&lt;Refsz_Verbräuche[[#Headers],[2023]],Refsz_Verbräuche[[#This Row],[2022]],"")))</f>
        <v/>
      </c>
      <c r="N184" s="124" t="str">
        <f>IF(Refsz_Verbräuche[[#Headers],[2024]]=$B$43,IF(OR(SUMIF($E184:Refsz_Verbräuche[[#This Row],[2023]],"&gt;0")&gt;0,), AVERAGEIF($E184:Refsz_Verbräuche[[#This Row],[2023]],"&lt;&gt;"""), ""),IF($B$43=(Refsz_Verbräuche[[#Headers],[2024]]-1),Refsz_Verbräuche[[#This Row],[2023]],IF($B$43&lt;Refsz_Verbräuche[[#Headers],[2024]],Refsz_Verbräuche[[#This Row],[2023]],"")))</f>
        <v/>
      </c>
      <c r="O184" s="124" t="str">
        <f>IF(Refsz_Verbräuche[[#Headers],[2025]]=$B$43,IF(OR(SUMIF($E184:Refsz_Verbräuche[[#This Row],[2024]],"&gt;0")&gt;0,), AVERAGEIF($E184:Refsz_Verbräuche[[#This Row],[2024]],"&lt;&gt;"""), ""),IF($B$43=(Refsz_Verbräuche[[#Headers],[2025]]-1),Refsz_Verbräuche[[#This Row],[2024]],IF($B$43&lt;Refsz_Verbräuche[[#Headers],[2025]],Refsz_Verbräuche[[#This Row],[2024]],"")))</f>
        <v/>
      </c>
      <c r="P184" s="124" t="str">
        <f>IF(Refsz_Verbräuche[[#Headers],[2026]]=$B$43,IF(OR(SUMIF($E184:Refsz_Verbräuche[[#This Row],[2025]],"&gt;0")&gt;0,), AVERAGEIF($E184:Refsz_Verbräuche[[#This Row],[2025]],"&lt;&gt;"""), ""),IF($B$43=(Refsz_Verbräuche[[#Headers],[2026]]-1),Refsz_Verbräuche[[#This Row],[2025]],IF($B$43&lt;Refsz_Verbräuche[[#Headers],[2026]],Refsz_Verbräuche[[#This Row],[2025]],"")))</f>
        <v/>
      </c>
      <c r="Q184" s="124" t="str">
        <f>IF(Refsz_Verbräuche[[#Headers],[2027]]=$B$43,IF(OR(SUMIF($E184:Refsz_Verbräuche[[#This Row],[2026]],"&gt;0")&gt;0,), AVERAGEIF($E184:Refsz_Verbräuche[[#This Row],[2026]],"&lt;&gt;"""), ""),IF($B$43=(Refsz_Verbräuche[[#Headers],[2027]]-1),Refsz_Verbräuche[[#This Row],[2026]],IF($B$43&lt;Refsz_Verbräuche[[#Headers],[2027]],Refsz_Verbräuche[[#This Row],[2026]],"")))</f>
        <v/>
      </c>
      <c r="R184" s="124" t="str">
        <f>IF(Refsz_Verbräuche[[#Headers],[2028]]=$B$43,IF(OR(SUMIF($E184:Refsz_Verbräuche[[#This Row],[2027]],"&gt;0")&gt;0,), AVERAGEIF($E184:Refsz_Verbräuche[[#This Row],[2027]],"&lt;&gt;"""), ""),IF($B$43=(Refsz_Verbräuche[[#Headers],[2028]]-1),Refsz_Verbräuche[[#This Row],[2027]],IF($B$43&lt;Refsz_Verbräuche[[#Headers],[2028]],Refsz_Verbräuche[[#This Row],[2027]],"")))</f>
        <v/>
      </c>
      <c r="S184" s="124" t="str">
        <f>IF(Refsz_Verbräuche[[#Headers],[2029]]=$B$43,IF(OR(SUMIF($E184:Refsz_Verbräuche[[#This Row],[2028]],"&gt;0")&gt;0,), AVERAGEIF($E184:Refsz_Verbräuche[[#This Row],[2028]],"&lt;&gt;"""), ""),IF($B$43=(Refsz_Verbräuche[[#Headers],[2029]]-1),Refsz_Verbräuche[[#This Row],[2028]],IF($B$43&lt;Refsz_Verbräuche[[#Headers],[2029]],Refsz_Verbräuche[[#This Row],[2028]],"")))</f>
        <v/>
      </c>
      <c r="T184" s="124" t="str">
        <f>IF(Refsz_Verbräuche[[#Headers],[2030]]=$B$43,IF(OR(SUMIF($E184:Refsz_Verbräuche[[#This Row],[2029]],"&gt;0")&gt;0,), AVERAGEIF($E184:Refsz_Verbräuche[[#This Row],[2029]],"&lt;&gt;"""), ""),IF($B$43=(Refsz_Verbräuche[[#Headers],[2030]]-1),Refsz_Verbräuche[[#This Row],[2029]],IF($B$43&lt;Refsz_Verbräuche[[#Headers],[2030]],Refsz_Verbräuche[[#This Row],[2029]],"")))</f>
        <v/>
      </c>
      <c r="U184" s="124" t="str">
        <f>IF(Refsz_Verbräuche[[#Headers],[2035]]=$B$43,IF(OR(SUMIF($E184:Refsz_Verbräuche[[#This Row],[2030]],"&gt;0")&gt;0,), AVERAGEIF($E184:Refsz_Verbräuche[[#This Row],[2030]],"&lt;&gt;"""), ""),IF($B$43=(Refsz_Verbräuche[[#Headers],[2035]]-1),Refsz_Verbräuche[[#This Row],[2030]],IF($B$43&lt;Refsz_Verbräuche[[#Headers],[2035]],Refsz_Verbräuche[[#This Row],[2030]],"")))</f>
        <v/>
      </c>
      <c r="V184" s="124" t="str">
        <f>IF(Refsz_Verbräuche[[#Headers],[2040]]=$B$43,IF(OR(SUMIF($E184:Refsz_Verbräuche[[#This Row],[2035]],"&gt;0")&gt;0,), AVERAGEIF($E184:Refsz_Verbräuche[[#This Row],[2035]],"&lt;&gt;"""), ""),IF($B$43=(Refsz_Verbräuche[[#Headers],[2040]]-1),Refsz_Verbräuche[[#This Row],[2035]],IF($B$43&lt;Refsz_Verbräuche[[#Headers],[2040]],Refsz_Verbräuche[[#This Row],[2035]],"")))</f>
        <v/>
      </c>
      <c r="W184" s="124" t="str">
        <f>IF(Refsz_Verbräuche[[#Headers],[2045]]=$B$43,IF(OR(SUMIF($E184:Refsz_Verbräuche[[#This Row],[2040]],"&gt;0")&gt;0,), AVERAGEIF($E184:Refsz_Verbräuche[[#This Row],[2040]],"&lt;&gt;"""), ""),IF($B$43=(Refsz_Verbräuche[[#Headers],[2045]]-1),Refsz_Verbräuche[[#This Row],[2040]],IF($B$43&lt;Refsz_Verbräuche[[#Headers],[2045]],Refsz_Verbräuche[[#This Row],[2040]],"")))</f>
        <v/>
      </c>
      <c r="X184" s="124" t="str">
        <f>IF(Refsz_Verbräuche[[#Headers],[2050]]=$B$43,IF(OR(SUMIF($E184:Refsz_Verbräuche[[#This Row],[2045]],"&gt;0")&gt;0,), AVERAGEIF($E184:Refsz_Verbräuche[[#This Row],[2045]],"&lt;&gt;"""), ""),IF($B$43=(Refsz_Verbräuche[[#Headers],[2050]]-1),Refsz_Verbräuche[[#This Row],[2045]],IF($B$43&lt;Refsz_Verbräuche[[#Headers],[2050]],Refsz_Verbräuche[[#This Row],[2045]],"")))</f>
        <v/>
      </c>
      <c r="Z184" s="15"/>
    </row>
    <row r="185" spans="2:26" x14ac:dyDescent="0.35">
      <c r="B185" s="15">
        <v>125</v>
      </c>
      <c r="C185" s="9" t="s">
        <v>96</v>
      </c>
      <c r="D185" t="s">
        <v>48</v>
      </c>
      <c r="E185" s="124"/>
      <c r="F185" s="124"/>
      <c r="G185" s="124"/>
      <c r="H185" s="124"/>
      <c r="I185" s="124"/>
      <c r="J185" s="124"/>
      <c r="K185" s="124"/>
      <c r="L185" s="124" t="str">
        <f>IF(Refsz_Verbräuche[[#Headers],[2022]]=$B$43,IF(OR(SUMIF($E185:Refsz_Verbräuche[[#This Row],[2021]],"&gt;0")&gt;0,), AVERAGEIF($E185:Refsz_Verbräuche[[#This Row],[2021]],"&lt;&gt;"""), ""),IF($B$43=(Refsz_Verbräuche[[#Headers],[2022]]-1),Refsz_Verbräuche[[#This Row],[2021]],IF($B$43&lt;Refsz_Verbräuche[[#Headers],[2022]],Refsz_Verbräuche[[#This Row],[2021]],"")))</f>
        <v/>
      </c>
      <c r="M185" s="124" t="str">
        <f>IF(Refsz_Verbräuche[[#Headers],[2023]]=$B$43,IF(OR(SUMIF($E185:Refsz_Verbräuche[[#This Row],[2022]],"&gt;0")&gt;0,), AVERAGEIF($E185:Refsz_Verbräuche[[#This Row],[2022]],"&lt;&gt;"""), ""),IF($B$43=(Refsz_Verbräuche[[#Headers],[2023]]-1),Refsz_Verbräuche[[#This Row],[2022]],IF($B$43&lt;Refsz_Verbräuche[[#Headers],[2023]],Refsz_Verbräuche[[#This Row],[2022]],"")))</f>
        <v/>
      </c>
      <c r="N185" s="124" t="str">
        <f>IF(Refsz_Verbräuche[[#Headers],[2024]]=$B$43,IF(OR(SUMIF($E185:Refsz_Verbräuche[[#This Row],[2023]],"&gt;0")&gt;0,), AVERAGEIF($E185:Refsz_Verbräuche[[#This Row],[2023]],"&lt;&gt;"""), ""),IF($B$43=(Refsz_Verbräuche[[#Headers],[2024]]-1),Refsz_Verbräuche[[#This Row],[2023]],IF($B$43&lt;Refsz_Verbräuche[[#Headers],[2024]],Refsz_Verbräuche[[#This Row],[2023]],"")))</f>
        <v/>
      </c>
      <c r="O185" s="124" t="str">
        <f>IF(Refsz_Verbräuche[[#Headers],[2025]]=$B$43,IF(OR(SUMIF($E185:Refsz_Verbräuche[[#This Row],[2024]],"&gt;0")&gt;0,), AVERAGEIF($E185:Refsz_Verbräuche[[#This Row],[2024]],"&lt;&gt;"""), ""),IF($B$43=(Refsz_Verbräuche[[#Headers],[2025]]-1),Refsz_Verbräuche[[#This Row],[2024]],IF($B$43&lt;Refsz_Verbräuche[[#Headers],[2025]],Refsz_Verbräuche[[#This Row],[2024]],"")))</f>
        <v/>
      </c>
      <c r="P185" s="124" t="str">
        <f>IF(Refsz_Verbräuche[[#Headers],[2026]]=$B$43,IF(OR(SUMIF($E185:Refsz_Verbräuche[[#This Row],[2025]],"&gt;0")&gt;0,), AVERAGEIF($E185:Refsz_Verbräuche[[#This Row],[2025]],"&lt;&gt;"""), ""),IF($B$43=(Refsz_Verbräuche[[#Headers],[2026]]-1),Refsz_Verbräuche[[#This Row],[2025]],IF($B$43&lt;Refsz_Verbräuche[[#Headers],[2026]],Refsz_Verbräuche[[#This Row],[2025]],"")))</f>
        <v/>
      </c>
      <c r="Q185" s="124" t="str">
        <f>IF(Refsz_Verbräuche[[#Headers],[2027]]=$B$43,IF(OR(SUMIF($E185:Refsz_Verbräuche[[#This Row],[2026]],"&gt;0")&gt;0,), AVERAGEIF($E185:Refsz_Verbräuche[[#This Row],[2026]],"&lt;&gt;"""), ""),IF($B$43=(Refsz_Verbräuche[[#Headers],[2027]]-1),Refsz_Verbräuche[[#This Row],[2026]],IF($B$43&lt;Refsz_Verbräuche[[#Headers],[2027]],Refsz_Verbräuche[[#This Row],[2026]],"")))</f>
        <v/>
      </c>
      <c r="R185" s="124" t="str">
        <f>IF(Refsz_Verbräuche[[#Headers],[2028]]=$B$43,IF(OR(SUMIF($E185:Refsz_Verbräuche[[#This Row],[2027]],"&gt;0")&gt;0,), AVERAGEIF($E185:Refsz_Verbräuche[[#This Row],[2027]],"&lt;&gt;"""), ""),IF($B$43=(Refsz_Verbräuche[[#Headers],[2028]]-1),Refsz_Verbräuche[[#This Row],[2027]],IF($B$43&lt;Refsz_Verbräuche[[#Headers],[2028]],Refsz_Verbräuche[[#This Row],[2027]],"")))</f>
        <v/>
      </c>
      <c r="S185" s="124" t="str">
        <f>IF(Refsz_Verbräuche[[#Headers],[2029]]=$B$43,IF(OR(SUMIF($E185:Refsz_Verbräuche[[#This Row],[2028]],"&gt;0")&gt;0,), AVERAGEIF($E185:Refsz_Verbräuche[[#This Row],[2028]],"&lt;&gt;"""), ""),IF($B$43=(Refsz_Verbräuche[[#Headers],[2029]]-1),Refsz_Verbräuche[[#This Row],[2028]],IF($B$43&lt;Refsz_Verbräuche[[#Headers],[2029]],Refsz_Verbräuche[[#This Row],[2028]],"")))</f>
        <v/>
      </c>
      <c r="T185" s="124" t="str">
        <f>IF(Refsz_Verbräuche[[#Headers],[2030]]=$B$43,IF(OR(SUMIF($E185:Refsz_Verbräuche[[#This Row],[2029]],"&gt;0")&gt;0,), AVERAGEIF($E185:Refsz_Verbräuche[[#This Row],[2029]],"&lt;&gt;"""), ""),IF($B$43=(Refsz_Verbräuche[[#Headers],[2030]]-1),Refsz_Verbräuche[[#This Row],[2029]],IF($B$43&lt;Refsz_Verbräuche[[#Headers],[2030]],Refsz_Verbräuche[[#This Row],[2029]],"")))</f>
        <v/>
      </c>
      <c r="U185" s="124" t="str">
        <f>IF(Refsz_Verbräuche[[#Headers],[2035]]=$B$43,IF(OR(SUMIF($E185:Refsz_Verbräuche[[#This Row],[2030]],"&gt;0")&gt;0,), AVERAGEIF($E185:Refsz_Verbräuche[[#This Row],[2030]],"&lt;&gt;"""), ""),IF($B$43=(Refsz_Verbräuche[[#Headers],[2035]]-1),Refsz_Verbräuche[[#This Row],[2030]],IF($B$43&lt;Refsz_Verbräuche[[#Headers],[2035]],Refsz_Verbräuche[[#This Row],[2030]],"")))</f>
        <v/>
      </c>
      <c r="V185" s="124" t="str">
        <f>IF(Refsz_Verbräuche[[#Headers],[2040]]=$B$43,IF(OR(SUMIF($E185:Refsz_Verbräuche[[#This Row],[2035]],"&gt;0")&gt;0,), AVERAGEIF($E185:Refsz_Verbräuche[[#This Row],[2035]],"&lt;&gt;"""), ""),IF($B$43=(Refsz_Verbräuche[[#Headers],[2040]]-1),Refsz_Verbräuche[[#This Row],[2035]],IF($B$43&lt;Refsz_Verbräuche[[#Headers],[2040]],Refsz_Verbräuche[[#This Row],[2035]],"")))</f>
        <v/>
      </c>
      <c r="W185" s="124" t="str">
        <f>IF(Refsz_Verbräuche[[#Headers],[2045]]=$B$43,IF(OR(SUMIF($E185:Refsz_Verbräuche[[#This Row],[2040]],"&gt;0")&gt;0,), AVERAGEIF($E185:Refsz_Verbräuche[[#This Row],[2040]],"&lt;&gt;"""), ""),IF($B$43=(Refsz_Verbräuche[[#Headers],[2045]]-1),Refsz_Verbräuche[[#This Row],[2040]],IF($B$43&lt;Refsz_Verbräuche[[#Headers],[2045]],Refsz_Verbräuche[[#This Row],[2040]],"")))</f>
        <v/>
      </c>
      <c r="X185" s="124" t="str">
        <f>IF(Refsz_Verbräuche[[#Headers],[2050]]=$B$43,IF(OR(SUMIF($E185:Refsz_Verbräuche[[#This Row],[2045]],"&gt;0")&gt;0,), AVERAGEIF($E185:Refsz_Verbräuche[[#This Row],[2045]],"&lt;&gt;"""), ""),IF($B$43=(Refsz_Verbräuche[[#Headers],[2050]]-1),Refsz_Verbräuche[[#This Row],[2045]],IF($B$43&lt;Refsz_Verbräuche[[#Headers],[2050]],Refsz_Verbräuche[[#This Row],[2045]],"")))</f>
        <v/>
      </c>
      <c r="Z185" s="15"/>
    </row>
    <row r="186" spans="2:26" x14ac:dyDescent="0.35">
      <c r="B186" s="15">
        <v>126</v>
      </c>
      <c r="C186" s="9" t="s">
        <v>79</v>
      </c>
      <c r="D186" t="s">
        <v>48</v>
      </c>
      <c r="E186" s="124"/>
      <c r="F186" s="124"/>
      <c r="G186" s="124"/>
      <c r="H186" s="124"/>
      <c r="I186" s="124"/>
      <c r="J186" s="124"/>
      <c r="K186" s="124"/>
      <c r="L186" s="124" t="str">
        <f>IF(Refsz_Verbräuche[[#Headers],[2022]]=$B$43,IF(OR(SUMIF($E186:Refsz_Verbräuche[[#This Row],[2021]],"&gt;0")&gt;0,), AVERAGEIF($E186:Refsz_Verbräuche[[#This Row],[2021]],"&lt;&gt;"""), ""),IF($B$43=(Refsz_Verbräuche[[#Headers],[2022]]-1),Refsz_Verbräuche[[#This Row],[2021]],IF($B$43&lt;Refsz_Verbräuche[[#Headers],[2022]],Refsz_Verbräuche[[#This Row],[2021]],"")))</f>
        <v/>
      </c>
      <c r="M186" s="124" t="str">
        <f>IF(Refsz_Verbräuche[[#Headers],[2023]]=$B$43,IF(OR(SUMIF($E186:Refsz_Verbräuche[[#This Row],[2022]],"&gt;0")&gt;0,), AVERAGEIF($E186:Refsz_Verbräuche[[#This Row],[2022]],"&lt;&gt;"""), ""),IF($B$43=(Refsz_Verbräuche[[#Headers],[2023]]-1),Refsz_Verbräuche[[#This Row],[2022]],IF($B$43&lt;Refsz_Verbräuche[[#Headers],[2023]],Refsz_Verbräuche[[#This Row],[2022]],"")))</f>
        <v/>
      </c>
      <c r="N186" s="124" t="str">
        <f>IF(Refsz_Verbräuche[[#Headers],[2024]]=$B$43,IF(OR(SUMIF($E186:Refsz_Verbräuche[[#This Row],[2023]],"&gt;0")&gt;0,), AVERAGEIF($E186:Refsz_Verbräuche[[#This Row],[2023]],"&lt;&gt;"""), ""),IF($B$43=(Refsz_Verbräuche[[#Headers],[2024]]-1),Refsz_Verbräuche[[#This Row],[2023]],IF($B$43&lt;Refsz_Verbräuche[[#Headers],[2024]],Refsz_Verbräuche[[#This Row],[2023]],"")))</f>
        <v/>
      </c>
      <c r="O186" s="124" t="str">
        <f>IF(Refsz_Verbräuche[[#Headers],[2025]]=$B$43,IF(OR(SUMIF($E186:Refsz_Verbräuche[[#This Row],[2024]],"&gt;0")&gt;0,), AVERAGEIF($E186:Refsz_Verbräuche[[#This Row],[2024]],"&lt;&gt;"""), ""),IF($B$43=(Refsz_Verbräuche[[#Headers],[2025]]-1),Refsz_Verbräuche[[#This Row],[2024]],IF($B$43&lt;Refsz_Verbräuche[[#Headers],[2025]],Refsz_Verbräuche[[#This Row],[2024]],"")))</f>
        <v/>
      </c>
      <c r="P186" s="124" t="str">
        <f>IF(Refsz_Verbräuche[[#Headers],[2026]]=$B$43,IF(OR(SUMIF($E186:Refsz_Verbräuche[[#This Row],[2025]],"&gt;0")&gt;0,), AVERAGEIF($E186:Refsz_Verbräuche[[#This Row],[2025]],"&lt;&gt;"""), ""),IF($B$43=(Refsz_Verbräuche[[#Headers],[2026]]-1),Refsz_Verbräuche[[#This Row],[2025]],IF($B$43&lt;Refsz_Verbräuche[[#Headers],[2026]],Refsz_Verbräuche[[#This Row],[2025]],"")))</f>
        <v/>
      </c>
      <c r="Q186" s="124" t="str">
        <f>IF(Refsz_Verbräuche[[#Headers],[2027]]=$B$43,IF(OR(SUMIF($E186:Refsz_Verbräuche[[#This Row],[2026]],"&gt;0")&gt;0,), AVERAGEIF($E186:Refsz_Verbräuche[[#This Row],[2026]],"&lt;&gt;"""), ""),IF($B$43=(Refsz_Verbräuche[[#Headers],[2027]]-1),Refsz_Verbräuche[[#This Row],[2026]],IF($B$43&lt;Refsz_Verbräuche[[#Headers],[2027]],Refsz_Verbräuche[[#This Row],[2026]],"")))</f>
        <v/>
      </c>
      <c r="R186" s="124" t="str">
        <f>IF(Refsz_Verbräuche[[#Headers],[2028]]=$B$43,IF(OR(SUMIF($E186:Refsz_Verbräuche[[#This Row],[2027]],"&gt;0")&gt;0,), AVERAGEIF($E186:Refsz_Verbräuche[[#This Row],[2027]],"&lt;&gt;"""), ""),IF($B$43=(Refsz_Verbräuche[[#Headers],[2028]]-1),Refsz_Verbräuche[[#This Row],[2027]],IF($B$43&lt;Refsz_Verbräuche[[#Headers],[2028]],Refsz_Verbräuche[[#This Row],[2027]],"")))</f>
        <v/>
      </c>
      <c r="S186" s="124" t="str">
        <f>IF(Refsz_Verbräuche[[#Headers],[2029]]=$B$43,IF(OR(SUMIF($E186:Refsz_Verbräuche[[#This Row],[2028]],"&gt;0")&gt;0,), AVERAGEIF($E186:Refsz_Verbräuche[[#This Row],[2028]],"&lt;&gt;"""), ""),IF($B$43=(Refsz_Verbräuche[[#Headers],[2029]]-1),Refsz_Verbräuche[[#This Row],[2028]],IF($B$43&lt;Refsz_Verbräuche[[#Headers],[2029]],Refsz_Verbräuche[[#This Row],[2028]],"")))</f>
        <v/>
      </c>
      <c r="T186" s="124" t="str">
        <f>IF(Refsz_Verbräuche[[#Headers],[2030]]=$B$43,IF(OR(SUMIF($E186:Refsz_Verbräuche[[#This Row],[2029]],"&gt;0")&gt;0,), AVERAGEIF($E186:Refsz_Verbräuche[[#This Row],[2029]],"&lt;&gt;"""), ""),IF($B$43=(Refsz_Verbräuche[[#Headers],[2030]]-1),Refsz_Verbräuche[[#This Row],[2029]],IF($B$43&lt;Refsz_Verbräuche[[#Headers],[2030]],Refsz_Verbräuche[[#This Row],[2029]],"")))</f>
        <v/>
      </c>
      <c r="U186" s="124" t="str">
        <f>IF(Refsz_Verbräuche[[#Headers],[2035]]=$B$43,IF(OR(SUMIF($E186:Refsz_Verbräuche[[#This Row],[2030]],"&gt;0")&gt;0,), AVERAGEIF($E186:Refsz_Verbräuche[[#This Row],[2030]],"&lt;&gt;"""), ""),IF($B$43=(Refsz_Verbräuche[[#Headers],[2035]]-1),Refsz_Verbräuche[[#This Row],[2030]],IF($B$43&lt;Refsz_Verbräuche[[#Headers],[2035]],Refsz_Verbräuche[[#This Row],[2030]],"")))</f>
        <v/>
      </c>
      <c r="V186" s="124" t="str">
        <f>IF(Refsz_Verbräuche[[#Headers],[2040]]=$B$43,IF(OR(SUMIF($E186:Refsz_Verbräuche[[#This Row],[2035]],"&gt;0")&gt;0,), AVERAGEIF($E186:Refsz_Verbräuche[[#This Row],[2035]],"&lt;&gt;"""), ""),IF($B$43=(Refsz_Verbräuche[[#Headers],[2040]]-1),Refsz_Verbräuche[[#This Row],[2035]],IF($B$43&lt;Refsz_Verbräuche[[#Headers],[2040]],Refsz_Verbräuche[[#This Row],[2035]],"")))</f>
        <v/>
      </c>
      <c r="W186" s="124" t="str">
        <f>IF(Refsz_Verbräuche[[#Headers],[2045]]=$B$43,IF(OR(SUMIF($E186:Refsz_Verbräuche[[#This Row],[2040]],"&gt;0")&gt;0,), AVERAGEIF($E186:Refsz_Verbräuche[[#This Row],[2040]],"&lt;&gt;"""), ""),IF($B$43=(Refsz_Verbräuche[[#Headers],[2045]]-1),Refsz_Verbräuche[[#This Row],[2040]],IF($B$43&lt;Refsz_Verbräuche[[#Headers],[2045]],Refsz_Verbräuche[[#This Row],[2040]],"")))</f>
        <v/>
      </c>
      <c r="X186" s="124" t="str">
        <f>IF(Refsz_Verbräuche[[#Headers],[2050]]=$B$43,IF(OR(SUMIF($E186:Refsz_Verbräuche[[#This Row],[2045]],"&gt;0")&gt;0,), AVERAGEIF($E186:Refsz_Verbräuche[[#This Row],[2045]],"&lt;&gt;"""), ""),IF($B$43=(Refsz_Verbräuche[[#Headers],[2050]]-1),Refsz_Verbräuche[[#This Row],[2045]],IF($B$43&lt;Refsz_Verbräuche[[#Headers],[2050]],Refsz_Verbräuche[[#This Row],[2045]],"")))</f>
        <v/>
      </c>
      <c r="Z186" s="15"/>
    </row>
    <row r="187" spans="2:26" x14ac:dyDescent="0.35">
      <c r="B187" s="15">
        <v>127</v>
      </c>
      <c r="C187" s="9" t="s">
        <v>73</v>
      </c>
      <c r="D187" t="s">
        <v>48</v>
      </c>
      <c r="E187" s="124"/>
      <c r="F187" s="124"/>
      <c r="G187" s="124"/>
      <c r="H187" s="124"/>
      <c r="I187" s="124"/>
      <c r="J187" s="124"/>
      <c r="K187" s="124"/>
      <c r="L187" s="124" t="str">
        <f>IF(Refsz_Verbräuche[[#Headers],[2022]]=$B$43,IF(OR(SUMIF($E187:Refsz_Verbräuche[[#This Row],[2021]],"&gt;0")&gt;0,), AVERAGEIF($E187:Refsz_Verbräuche[[#This Row],[2021]],"&lt;&gt;"""), ""),IF($B$43=(Refsz_Verbräuche[[#Headers],[2022]]-1),Refsz_Verbräuche[[#This Row],[2021]],IF($B$43&lt;Refsz_Verbräuche[[#Headers],[2022]],Refsz_Verbräuche[[#This Row],[2021]],"")))</f>
        <v/>
      </c>
      <c r="M187" s="124" t="str">
        <f>IF(Refsz_Verbräuche[[#Headers],[2023]]=$B$43,IF(OR(SUMIF($E187:Refsz_Verbräuche[[#This Row],[2022]],"&gt;0")&gt;0,), AVERAGEIF($E187:Refsz_Verbräuche[[#This Row],[2022]],"&lt;&gt;"""), ""),IF($B$43=(Refsz_Verbräuche[[#Headers],[2023]]-1),Refsz_Verbräuche[[#This Row],[2022]],IF($B$43&lt;Refsz_Verbräuche[[#Headers],[2023]],Refsz_Verbräuche[[#This Row],[2022]],"")))</f>
        <v/>
      </c>
      <c r="N187" s="124" t="str">
        <f>IF(Refsz_Verbräuche[[#Headers],[2024]]=$B$43,IF(OR(SUMIF($E187:Refsz_Verbräuche[[#This Row],[2023]],"&gt;0")&gt;0,), AVERAGEIF($E187:Refsz_Verbräuche[[#This Row],[2023]],"&lt;&gt;"""), ""),IF($B$43=(Refsz_Verbräuche[[#Headers],[2024]]-1),Refsz_Verbräuche[[#This Row],[2023]],IF($B$43&lt;Refsz_Verbräuche[[#Headers],[2024]],Refsz_Verbräuche[[#This Row],[2023]],"")))</f>
        <v/>
      </c>
      <c r="O187" s="124" t="str">
        <f>IF(Refsz_Verbräuche[[#Headers],[2025]]=$B$43,IF(OR(SUMIF($E187:Refsz_Verbräuche[[#This Row],[2024]],"&gt;0")&gt;0,), AVERAGEIF($E187:Refsz_Verbräuche[[#This Row],[2024]],"&lt;&gt;"""), ""),IF($B$43=(Refsz_Verbräuche[[#Headers],[2025]]-1),Refsz_Verbräuche[[#This Row],[2024]],IF($B$43&lt;Refsz_Verbräuche[[#Headers],[2025]],Refsz_Verbräuche[[#This Row],[2024]],"")))</f>
        <v/>
      </c>
      <c r="P187" s="124" t="str">
        <f>IF(Refsz_Verbräuche[[#Headers],[2026]]=$B$43,IF(OR(SUMIF($E187:Refsz_Verbräuche[[#This Row],[2025]],"&gt;0")&gt;0,), AVERAGEIF($E187:Refsz_Verbräuche[[#This Row],[2025]],"&lt;&gt;"""), ""),IF($B$43=(Refsz_Verbräuche[[#Headers],[2026]]-1),Refsz_Verbräuche[[#This Row],[2025]],IF($B$43&lt;Refsz_Verbräuche[[#Headers],[2026]],Refsz_Verbräuche[[#This Row],[2025]],"")))</f>
        <v/>
      </c>
      <c r="Q187" s="124" t="str">
        <f>IF(Refsz_Verbräuche[[#Headers],[2027]]=$B$43,IF(OR(SUMIF($E187:Refsz_Verbräuche[[#This Row],[2026]],"&gt;0")&gt;0,), AVERAGEIF($E187:Refsz_Verbräuche[[#This Row],[2026]],"&lt;&gt;"""), ""),IF($B$43=(Refsz_Verbräuche[[#Headers],[2027]]-1),Refsz_Verbräuche[[#This Row],[2026]],IF($B$43&lt;Refsz_Verbräuche[[#Headers],[2027]],Refsz_Verbräuche[[#This Row],[2026]],"")))</f>
        <v/>
      </c>
      <c r="R187" s="124" t="str">
        <f>IF(Refsz_Verbräuche[[#Headers],[2028]]=$B$43,IF(OR(SUMIF($E187:Refsz_Verbräuche[[#This Row],[2027]],"&gt;0")&gt;0,), AVERAGEIF($E187:Refsz_Verbräuche[[#This Row],[2027]],"&lt;&gt;"""), ""),IF($B$43=(Refsz_Verbräuche[[#Headers],[2028]]-1),Refsz_Verbräuche[[#This Row],[2027]],IF($B$43&lt;Refsz_Verbräuche[[#Headers],[2028]],Refsz_Verbräuche[[#This Row],[2027]],"")))</f>
        <v/>
      </c>
      <c r="S187" s="124" t="str">
        <f>IF(Refsz_Verbräuche[[#Headers],[2029]]=$B$43,IF(OR(SUMIF($E187:Refsz_Verbräuche[[#This Row],[2028]],"&gt;0")&gt;0,), AVERAGEIF($E187:Refsz_Verbräuche[[#This Row],[2028]],"&lt;&gt;"""), ""),IF($B$43=(Refsz_Verbräuche[[#Headers],[2029]]-1),Refsz_Verbräuche[[#This Row],[2028]],IF($B$43&lt;Refsz_Verbräuche[[#Headers],[2029]],Refsz_Verbräuche[[#This Row],[2028]],"")))</f>
        <v/>
      </c>
      <c r="T187" s="124" t="str">
        <f>IF(Refsz_Verbräuche[[#Headers],[2030]]=$B$43,IF(OR(SUMIF($E187:Refsz_Verbräuche[[#This Row],[2029]],"&gt;0")&gt;0,), AVERAGEIF($E187:Refsz_Verbräuche[[#This Row],[2029]],"&lt;&gt;"""), ""),IF($B$43=(Refsz_Verbräuche[[#Headers],[2030]]-1),Refsz_Verbräuche[[#This Row],[2029]],IF($B$43&lt;Refsz_Verbräuche[[#Headers],[2030]],Refsz_Verbräuche[[#This Row],[2029]],"")))</f>
        <v/>
      </c>
      <c r="U187" s="124" t="str">
        <f>IF(Refsz_Verbräuche[[#Headers],[2035]]=$B$43,IF(OR(SUMIF($E187:Refsz_Verbräuche[[#This Row],[2030]],"&gt;0")&gt;0,), AVERAGEIF($E187:Refsz_Verbräuche[[#This Row],[2030]],"&lt;&gt;"""), ""),IF($B$43=(Refsz_Verbräuche[[#Headers],[2035]]-1),Refsz_Verbräuche[[#This Row],[2030]],IF($B$43&lt;Refsz_Verbräuche[[#Headers],[2035]],Refsz_Verbräuche[[#This Row],[2030]],"")))</f>
        <v/>
      </c>
      <c r="V187" s="124" t="str">
        <f>IF(Refsz_Verbräuche[[#Headers],[2040]]=$B$43,IF(OR(SUMIF($E187:Refsz_Verbräuche[[#This Row],[2035]],"&gt;0")&gt;0,), AVERAGEIF($E187:Refsz_Verbräuche[[#This Row],[2035]],"&lt;&gt;"""), ""),IF($B$43=(Refsz_Verbräuche[[#Headers],[2040]]-1),Refsz_Verbräuche[[#This Row],[2035]],IF($B$43&lt;Refsz_Verbräuche[[#Headers],[2040]],Refsz_Verbräuche[[#This Row],[2035]],"")))</f>
        <v/>
      </c>
      <c r="W187" s="124" t="str">
        <f>IF(Refsz_Verbräuche[[#Headers],[2045]]=$B$43,IF(OR(SUMIF($E187:Refsz_Verbräuche[[#This Row],[2040]],"&gt;0")&gt;0,), AVERAGEIF($E187:Refsz_Verbräuche[[#This Row],[2040]],"&lt;&gt;"""), ""),IF($B$43=(Refsz_Verbräuche[[#Headers],[2045]]-1),Refsz_Verbräuche[[#This Row],[2040]],IF($B$43&lt;Refsz_Verbräuche[[#Headers],[2045]],Refsz_Verbräuche[[#This Row],[2040]],"")))</f>
        <v/>
      </c>
      <c r="X187" s="124" t="str">
        <f>IF(Refsz_Verbräuche[[#Headers],[2050]]=$B$43,IF(OR(SUMIF($E187:Refsz_Verbräuche[[#This Row],[2045]],"&gt;0")&gt;0,), AVERAGEIF($E187:Refsz_Verbräuche[[#This Row],[2045]],"&lt;&gt;"""), ""),IF($B$43=(Refsz_Verbräuche[[#Headers],[2050]]-1),Refsz_Verbräuche[[#This Row],[2045]],IF($B$43&lt;Refsz_Verbräuche[[#Headers],[2050]],Refsz_Verbräuche[[#This Row],[2045]],"")))</f>
        <v/>
      </c>
      <c r="Z187" s="15"/>
    </row>
    <row r="188" spans="2:26" x14ac:dyDescent="0.35">
      <c r="B188" s="15">
        <v>128</v>
      </c>
      <c r="C188" s="9" t="s">
        <v>74</v>
      </c>
      <c r="D188" t="s">
        <v>48</v>
      </c>
      <c r="E188" s="124"/>
      <c r="F188" s="124"/>
      <c r="G188" s="124"/>
      <c r="H188" s="124"/>
      <c r="I188" s="124"/>
      <c r="J188" s="124"/>
      <c r="K188" s="124"/>
      <c r="L188" s="124" t="str">
        <f>IF(Refsz_Verbräuche[[#Headers],[2022]]=$B$43,IF(OR(SUMIF($E188:Refsz_Verbräuche[[#This Row],[2021]],"&gt;0")&gt;0,), AVERAGEIF($E188:Refsz_Verbräuche[[#This Row],[2021]],"&lt;&gt;"""), ""),IF($B$43=(Refsz_Verbräuche[[#Headers],[2022]]-1),Refsz_Verbräuche[[#This Row],[2021]],IF($B$43&lt;Refsz_Verbräuche[[#Headers],[2022]],Refsz_Verbräuche[[#This Row],[2021]],"")))</f>
        <v/>
      </c>
      <c r="M188" s="124" t="str">
        <f>IF(Refsz_Verbräuche[[#Headers],[2023]]=$B$43,IF(OR(SUMIF($E188:Refsz_Verbräuche[[#This Row],[2022]],"&gt;0")&gt;0,), AVERAGEIF($E188:Refsz_Verbräuche[[#This Row],[2022]],"&lt;&gt;"""), ""),IF($B$43=(Refsz_Verbräuche[[#Headers],[2023]]-1),Refsz_Verbräuche[[#This Row],[2022]],IF($B$43&lt;Refsz_Verbräuche[[#Headers],[2023]],Refsz_Verbräuche[[#This Row],[2022]],"")))</f>
        <v/>
      </c>
      <c r="N188" s="124" t="str">
        <f>IF(Refsz_Verbräuche[[#Headers],[2024]]=$B$43,IF(OR(SUMIF($E188:Refsz_Verbräuche[[#This Row],[2023]],"&gt;0")&gt;0,), AVERAGEIF($E188:Refsz_Verbräuche[[#This Row],[2023]],"&lt;&gt;"""), ""),IF($B$43=(Refsz_Verbräuche[[#Headers],[2024]]-1),Refsz_Verbräuche[[#This Row],[2023]],IF($B$43&lt;Refsz_Verbräuche[[#Headers],[2024]],Refsz_Verbräuche[[#This Row],[2023]],"")))</f>
        <v/>
      </c>
      <c r="O188" s="124" t="str">
        <f>IF(Refsz_Verbräuche[[#Headers],[2025]]=$B$43,IF(OR(SUMIF($E188:Refsz_Verbräuche[[#This Row],[2024]],"&gt;0")&gt;0,), AVERAGEIF($E188:Refsz_Verbräuche[[#This Row],[2024]],"&lt;&gt;"""), ""),IF($B$43=(Refsz_Verbräuche[[#Headers],[2025]]-1),Refsz_Verbräuche[[#This Row],[2024]],IF($B$43&lt;Refsz_Verbräuche[[#Headers],[2025]],Refsz_Verbräuche[[#This Row],[2024]],"")))</f>
        <v/>
      </c>
      <c r="P188" s="124" t="str">
        <f>IF(Refsz_Verbräuche[[#Headers],[2026]]=$B$43,IF(OR(SUMIF($E188:Refsz_Verbräuche[[#This Row],[2025]],"&gt;0")&gt;0,), AVERAGEIF($E188:Refsz_Verbräuche[[#This Row],[2025]],"&lt;&gt;"""), ""),IF($B$43=(Refsz_Verbräuche[[#Headers],[2026]]-1),Refsz_Verbräuche[[#This Row],[2025]],IF($B$43&lt;Refsz_Verbräuche[[#Headers],[2026]],Refsz_Verbräuche[[#This Row],[2025]],"")))</f>
        <v/>
      </c>
      <c r="Q188" s="124" t="str">
        <f>IF(Refsz_Verbräuche[[#Headers],[2027]]=$B$43,IF(OR(SUMIF($E188:Refsz_Verbräuche[[#This Row],[2026]],"&gt;0")&gt;0,), AVERAGEIF($E188:Refsz_Verbräuche[[#This Row],[2026]],"&lt;&gt;"""), ""),IF($B$43=(Refsz_Verbräuche[[#Headers],[2027]]-1),Refsz_Verbräuche[[#This Row],[2026]],IF($B$43&lt;Refsz_Verbräuche[[#Headers],[2027]],Refsz_Verbräuche[[#This Row],[2026]],"")))</f>
        <v/>
      </c>
      <c r="R188" s="124" t="str">
        <f>IF(Refsz_Verbräuche[[#Headers],[2028]]=$B$43,IF(OR(SUMIF($E188:Refsz_Verbräuche[[#This Row],[2027]],"&gt;0")&gt;0,), AVERAGEIF($E188:Refsz_Verbräuche[[#This Row],[2027]],"&lt;&gt;"""), ""),IF($B$43=(Refsz_Verbräuche[[#Headers],[2028]]-1),Refsz_Verbräuche[[#This Row],[2027]],IF($B$43&lt;Refsz_Verbräuche[[#Headers],[2028]],Refsz_Verbräuche[[#This Row],[2027]],"")))</f>
        <v/>
      </c>
      <c r="S188" s="124" t="str">
        <f>IF(Refsz_Verbräuche[[#Headers],[2029]]=$B$43,IF(OR(SUMIF($E188:Refsz_Verbräuche[[#This Row],[2028]],"&gt;0")&gt;0,), AVERAGEIF($E188:Refsz_Verbräuche[[#This Row],[2028]],"&lt;&gt;"""), ""),IF($B$43=(Refsz_Verbräuche[[#Headers],[2029]]-1),Refsz_Verbräuche[[#This Row],[2028]],IF($B$43&lt;Refsz_Verbräuche[[#Headers],[2029]],Refsz_Verbräuche[[#This Row],[2028]],"")))</f>
        <v/>
      </c>
      <c r="T188" s="124" t="str">
        <f>IF(Refsz_Verbräuche[[#Headers],[2030]]=$B$43,IF(OR(SUMIF($E188:Refsz_Verbräuche[[#This Row],[2029]],"&gt;0")&gt;0,), AVERAGEIF($E188:Refsz_Verbräuche[[#This Row],[2029]],"&lt;&gt;"""), ""),IF($B$43=(Refsz_Verbräuche[[#Headers],[2030]]-1),Refsz_Verbräuche[[#This Row],[2029]],IF($B$43&lt;Refsz_Verbräuche[[#Headers],[2030]],Refsz_Verbräuche[[#This Row],[2029]],"")))</f>
        <v/>
      </c>
      <c r="U188" s="124" t="str">
        <f>IF(Refsz_Verbräuche[[#Headers],[2035]]=$B$43,IF(OR(SUMIF($E188:Refsz_Verbräuche[[#This Row],[2030]],"&gt;0")&gt;0,), AVERAGEIF($E188:Refsz_Verbräuche[[#This Row],[2030]],"&lt;&gt;"""), ""),IF($B$43=(Refsz_Verbräuche[[#Headers],[2035]]-1),Refsz_Verbräuche[[#This Row],[2030]],IF($B$43&lt;Refsz_Verbräuche[[#Headers],[2035]],Refsz_Verbräuche[[#This Row],[2030]],"")))</f>
        <v/>
      </c>
      <c r="V188" s="124" t="str">
        <f>IF(Refsz_Verbräuche[[#Headers],[2040]]=$B$43,IF(OR(SUMIF($E188:Refsz_Verbräuche[[#This Row],[2035]],"&gt;0")&gt;0,), AVERAGEIF($E188:Refsz_Verbräuche[[#This Row],[2035]],"&lt;&gt;"""), ""),IF($B$43=(Refsz_Verbräuche[[#Headers],[2040]]-1),Refsz_Verbräuche[[#This Row],[2035]],IF($B$43&lt;Refsz_Verbräuche[[#Headers],[2040]],Refsz_Verbräuche[[#This Row],[2035]],"")))</f>
        <v/>
      </c>
      <c r="W188" s="124" t="str">
        <f>IF(Refsz_Verbräuche[[#Headers],[2045]]=$B$43,IF(OR(SUMIF($E188:Refsz_Verbräuche[[#This Row],[2040]],"&gt;0")&gt;0,), AVERAGEIF($E188:Refsz_Verbräuche[[#This Row],[2040]],"&lt;&gt;"""), ""),IF($B$43=(Refsz_Verbräuche[[#Headers],[2045]]-1),Refsz_Verbräuche[[#This Row],[2040]],IF($B$43&lt;Refsz_Verbräuche[[#Headers],[2045]],Refsz_Verbräuche[[#This Row],[2040]],"")))</f>
        <v/>
      </c>
      <c r="X188" s="124" t="str">
        <f>IF(Refsz_Verbräuche[[#Headers],[2050]]=$B$43,IF(OR(SUMIF($E188:Refsz_Verbräuche[[#This Row],[2045]],"&gt;0")&gt;0,), AVERAGEIF($E188:Refsz_Verbräuche[[#This Row],[2045]],"&lt;&gt;"""), ""),IF($B$43=(Refsz_Verbräuche[[#Headers],[2050]]-1),Refsz_Verbräuche[[#This Row],[2045]],IF($B$43&lt;Refsz_Verbräuche[[#Headers],[2050]],Refsz_Verbräuche[[#This Row],[2045]],"")))</f>
        <v/>
      </c>
      <c r="Z188" s="15"/>
    </row>
    <row r="189" spans="2:26" x14ac:dyDescent="0.35">
      <c r="B189" s="15">
        <v>129</v>
      </c>
      <c r="C189" s="9" t="s">
        <v>102</v>
      </c>
      <c r="D189" t="s">
        <v>48</v>
      </c>
      <c r="E189" s="124"/>
      <c r="F189" s="124"/>
      <c r="G189" s="124"/>
      <c r="H189" s="124"/>
      <c r="I189" s="124"/>
      <c r="J189" s="124"/>
      <c r="K189" s="124"/>
      <c r="L189" s="124" t="str">
        <f>IF(Refsz_Verbräuche[[#Headers],[2022]]=$B$43,IF(OR(SUMIF($E189:Refsz_Verbräuche[[#This Row],[2021]],"&gt;0")&gt;0,), AVERAGEIF($E189:Refsz_Verbräuche[[#This Row],[2021]],"&lt;&gt;"""), ""),IF($B$43=(Refsz_Verbräuche[[#Headers],[2022]]-1),Refsz_Verbräuche[[#This Row],[2021]],IF($B$43&lt;Refsz_Verbräuche[[#Headers],[2022]],Refsz_Verbräuche[[#This Row],[2021]],"")))</f>
        <v/>
      </c>
      <c r="M189" s="124" t="str">
        <f>IF(Refsz_Verbräuche[[#Headers],[2023]]=$B$43,IF(OR(SUMIF($E189:Refsz_Verbräuche[[#This Row],[2022]],"&gt;0")&gt;0,), AVERAGEIF($E189:Refsz_Verbräuche[[#This Row],[2022]],"&lt;&gt;"""), ""),IF($B$43=(Refsz_Verbräuche[[#Headers],[2023]]-1),Refsz_Verbräuche[[#This Row],[2022]],IF($B$43&lt;Refsz_Verbräuche[[#Headers],[2023]],Refsz_Verbräuche[[#This Row],[2022]],"")))</f>
        <v/>
      </c>
      <c r="N189" s="124" t="str">
        <f>IF(Refsz_Verbräuche[[#Headers],[2024]]=$B$43,IF(OR(SUMIF($E189:Refsz_Verbräuche[[#This Row],[2023]],"&gt;0")&gt;0,), AVERAGEIF($E189:Refsz_Verbräuche[[#This Row],[2023]],"&lt;&gt;"""), ""),IF($B$43=(Refsz_Verbräuche[[#Headers],[2024]]-1),Refsz_Verbräuche[[#This Row],[2023]],IF($B$43&lt;Refsz_Verbräuche[[#Headers],[2024]],Refsz_Verbräuche[[#This Row],[2023]],"")))</f>
        <v/>
      </c>
      <c r="O189" s="124" t="str">
        <f>IF(Refsz_Verbräuche[[#Headers],[2025]]=$B$43,IF(OR(SUMIF($E189:Refsz_Verbräuche[[#This Row],[2024]],"&gt;0")&gt;0,), AVERAGEIF($E189:Refsz_Verbräuche[[#This Row],[2024]],"&lt;&gt;"""), ""),IF($B$43=(Refsz_Verbräuche[[#Headers],[2025]]-1),Refsz_Verbräuche[[#This Row],[2024]],IF($B$43&lt;Refsz_Verbräuche[[#Headers],[2025]],Refsz_Verbräuche[[#This Row],[2024]],"")))</f>
        <v/>
      </c>
      <c r="P189" s="124" t="str">
        <f>IF(Refsz_Verbräuche[[#Headers],[2026]]=$B$43,IF(OR(SUMIF($E189:Refsz_Verbräuche[[#This Row],[2025]],"&gt;0")&gt;0,), AVERAGEIF($E189:Refsz_Verbräuche[[#This Row],[2025]],"&lt;&gt;"""), ""),IF($B$43=(Refsz_Verbräuche[[#Headers],[2026]]-1),Refsz_Verbräuche[[#This Row],[2025]],IF($B$43&lt;Refsz_Verbräuche[[#Headers],[2026]],Refsz_Verbräuche[[#This Row],[2025]],"")))</f>
        <v/>
      </c>
      <c r="Q189" s="124" t="str">
        <f>IF(Refsz_Verbräuche[[#Headers],[2027]]=$B$43,IF(OR(SUMIF($E189:Refsz_Verbräuche[[#This Row],[2026]],"&gt;0")&gt;0,), AVERAGEIF($E189:Refsz_Verbräuche[[#This Row],[2026]],"&lt;&gt;"""), ""),IF($B$43=(Refsz_Verbräuche[[#Headers],[2027]]-1),Refsz_Verbräuche[[#This Row],[2026]],IF($B$43&lt;Refsz_Verbräuche[[#Headers],[2027]],Refsz_Verbräuche[[#This Row],[2026]],"")))</f>
        <v/>
      </c>
      <c r="R189" s="124" t="str">
        <f>IF(Refsz_Verbräuche[[#Headers],[2028]]=$B$43,IF(OR(SUMIF($E189:Refsz_Verbräuche[[#This Row],[2027]],"&gt;0")&gt;0,), AVERAGEIF($E189:Refsz_Verbräuche[[#This Row],[2027]],"&lt;&gt;"""), ""),IF($B$43=(Refsz_Verbräuche[[#Headers],[2028]]-1),Refsz_Verbräuche[[#This Row],[2027]],IF($B$43&lt;Refsz_Verbräuche[[#Headers],[2028]],Refsz_Verbräuche[[#This Row],[2027]],"")))</f>
        <v/>
      </c>
      <c r="S189" s="124" t="str">
        <f>IF(Refsz_Verbräuche[[#Headers],[2029]]=$B$43,IF(OR(SUMIF($E189:Refsz_Verbräuche[[#This Row],[2028]],"&gt;0")&gt;0,), AVERAGEIF($E189:Refsz_Verbräuche[[#This Row],[2028]],"&lt;&gt;"""), ""),IF($B$43=(Refsz_Verbräuche[[#Headers],[2029]]-1),Refsz_Verbräuche[[#This Row],[2028]],IF($B$43&lt;Refsz_Verbräuche[[#Headers],[2029]],Refsz_Verbräuche[[#This Row],[2028]],"")))</f>
        <v/>
      </c>
      <c r="T189" s="124" t="str">
        <f>IF(Refsz_Verbräuche[[#Headers],[2030]]=$B$43,IF(OR(SUMIF($E189:Refsz_Verbräuche[[#This Row],[2029]],"&gt;0")&gt;0,), AVERAGEIF($E189:Refsz_Verbräuche[[#This Row],[2029]],"&lt;&gt;"""), ""),IF($B$43=(Refsz_Verbräuche[[#Headers],[2030]]-1),Refsz_Verbräuche[[#This Row],[2029]],IF($B$43&lt;Refsz_Verbräuche[[#Headers],[2030]],Refsz_Verbräuche[[#This Row],[2029]],"")))</f>
        <v/>
      </c>
      <c r="U189" s="124" t="str">
        <f>IF(Refsz_Verbräuche[[#Headers],[2035]]=$B$43,IF(OR(SUMIF($E189:Refsz_Verbräuche[[#This Row],[2030]],"&gt;0")&gt;0,), AVERAGEIF($E189:Refsz_Verbräuche[[#This Row],[2030]],"&lt;&gt;"""), ""),IF($B$43=(Refsz_Verbräuche[[#Headers],[2035]]-1),Refsz_Verbräuche[[#This Row],[2030]],IF($B$43&lt;Refsz_Verbräuche[[#Headers],[2035]],Refsz_Verbräuche[[#This Row],[2030]],"")))</f>
        <v/>
      </c>
      <c r="V189" s="124" t="str">
        <f>IF(Refsz_Verbräuche[[#Headers],[2040]]=$B$43,IF(OR(SUMIF($E189:Refsz_Verbräuche[[#This Row],[2035]],"&gt;0")&gt;0,), AVERAGEIF($E189:Refsz_Verbräuche[[#This Row],[2035]],"&lt;&gt;"""), ""),IF($B$43=(Refsz_Verbräuche[[#Headers],[2040]]-1),Refsz_Verbräuche[[#This Row],[2035]],IF($B$43&lt;Refsz_Verbräuche[[#Headers],[2040]],Refsz_Verbräuche[[#This Row],[2035]],"")))</f>
        <v/>
      </c>
      <c r="W189" s="124" t="str">
        <f>IF(Refsz_Verbräuche[[#Headers],[2045]]=$B$43,IF(OR(SUMIF($E189:Refsz_Verbräuche[[#This Row],[2040]],"&gt;0")&gt;0,), AVERAGEIF($E189:Refsz_Verbräuche[[#This Row],[2040]],"&lt;&gt;"""), ""),IF($B$43=(Refsz_Verbräuche[[#Headers],[2045]]-1),Refsz_Verbräuche[[#This Row],[2040]],IF($B$43&lt;Refsz_Verbräuche[[#Headers],[2045]],Refsz_Verbräuche[[#This Row],[2040]],"")))</f>
        <v/>
      </c>
      <c r="X189" s="124" t="str">
        <f>IF(Refsz_Verbräuche[[#Headers],[2050]]=$B$43,IF(OR(SUMIF($E189:Refsz_Verbräuche[[#This Row],[2045]],"&gt;0")&gt;0,), AVERAGEIF($E189:Refsz_Verbräuche[[#This Row],[2045]],"&lt;&gt;"""), ""),IF($B$43=(Refsz_Verbräuche[[#Headers],[2050]]-1),Refsz_Verbräuche[[#This Row],[2045]],IF($B$43&lt;Refsz_Verbräuche[[#Headers],[2050]],Refsz_Verbräuche[[#This Row],[2045]],"")))</f>
        <v/>
      </c>
      <c r="Z189" s="15"/>
    </row>
    <row r="190" spans="2:26" x14ac:dyDescent="0.35">
      <c r="B190" s="15">
        <v>130</v>
      </c>
      <c r="C190" s="9" t="s">
        <v>103</v>
      </c>
      <c r="D190" t="s">
        <v>48</v>
      </c>
      <c r="E190" s="124"/>
      <c r="F190" s="124"/>
      <c r="G190" s="124"/>
      <c r="H190" s="124"/>
      <c r="I190" s="124"/>
      <c r="J190" s="124"/>
      <c r="K190" s="124"/>
      <c r="L190" s="124" t="str">
        <f>IF(Refsz_Verbräuche[[#Headers],[2022]]=$B$43,IF(OR(SUMIF($E190:Refsz_Verbräuche[[#This Row],[2021]],"&gt;0")&gt;0,), AVERAGEIF($E190:Refsz_Verbräuche[[#This Row],[2021]],"&lt;&gt;"""), ""),IF($B$43=(Refsz_Verbräuche[[#Headers],[2022]]-1),Refsz_Verbräuche[[#This Row],[2021]],IF($B$43&lt;Refsz_Verbräuche[[#Headers],[2022]],Refsz_Verbräuche[[#This Row],[2021]],"")))</f>
        <v/>
      </c>
      <c r="M190" s="124" t="str">
        <f>IF(Refsz_Verbräuche[[#Headers],[2023]]=$B$43,IF(OR(SUMIF($E190:Refsz_Verbräuche[[#This Row],[2022]],"&gt;0")&gt;0,), AVERAGEIF($E190:Refsz_Verbräuche[[#This Row],[2022]],"&lt;&gt;"""), ""),IF($B$43=(Refsz_Verbräuche[[#Headers],[2023]]-1),Refsz_Verbräuche[[#This Row],[2022]],IF($B$43&lt;Refsz_Verbräuche[[#Headers],[2023]],Refsz_Verbräuche[[#This Row],[2022]],"")))</f>
        <v/>
      </c>
      <c r="N190" s="124" t="str">
        <f>IF(Refsz_Verbräuche[[#Headers],[2024]]=$B$43,IF(OR(SUMIF($E190:Refsz_Verbräuche[[#This Row],[2023]],"&gt;0")&gt;0,), AVERAGEIF($E190:Refsz_Verbräuche[[#This Row],[2023]],"&lt;&gt;"""), ""),IF($B$43=(Refsz_Verbräuche[[#Headers],[2024]]-1),Refsz_Verbräuche[[#This Row],[2023]],IF($B$43&lt;Refsz_Verbräuche[[#Headers],[2024]],Refsz_Verbräuche[[#This Row],[2023]],"")))</f>
        <v/>
      </c>
      <c r="O190" s="124" t="str">
        <f>IF(Refsz_Verbräuche[[#Headers],[2025]]=$B$43,IF(OR(SUMIF($E190:Refsz_Verbräuche[[#This Row],[2024]],"&gt;0")&gt;0,), AVERAGEIF($E190:Refsz_Verbräuche[[#This Row],[2024]],"&lt;&gt;"""), ""),IF($B$43=(Refsz_Verbräuche[[#Headers],[2025]]-1),Refsz_Verbräuche[[#This Row],[2024]],IF($B$43&lt;Refsz_Verbräuche[[#Headers],[2025]],Refsz_Verbräuche[[#This Row],[2024]],"")))</f>
        <v/>
      </c>
      <c r="P190" s="124" t="str">
        <f>IF(Refsz_Verbräuche[[#Headers],[2026]]=$B$43,IF(OR(SUMIF($E190:Refsz_Verbräuche[[#This Row],[2025]],"&gt;0")&gt;0,), AVERAGEIF($E190:Refsz_Verbräuche[[#This Row],[2025]],"&lt;&gt;"""), ""),IF($B$43=(Refsz_Verbräuche[[#Headers],[2026]]-1),Refsz_Verbräuche[[#This Row],[2025]],IF($B$43&lt;Refsz_Verbräuche[[#Headers],[2026]],Refsz_Verbräuche[[#This Row],[2025]],"")))</f>
        <v/>
      </c>
      <c r="Q190" s="124" t="str">
        <f>IF(Refsz_Verbräuche[[#Headers],[2027]]=$B$43,IF(OR(SUMIF($E190:Refsz_Verbräuche[[#This Row],[2026]],"&gt;0")&gt;0,), AVERAGEIF($E190:Refsz_Verbräuche[[#This Row],[2026]],"&lt;&gt;"""), ""),IF($B$43=(Refsz_Verbräuche[[#Headers],[2027]]-1),Refsz_Verbräuche[[#This Row],[2026]],IF($B$43&lt;Refsz_Verbräuche[[#Headers],[2027]],Refsz_Verbräuche[[#This Row],[2026]],"")))</f>
        <v/>
      </c>
      <c r="R190" s="124" t="str">
        <f>IF(Refsz_Verbräuche[[#Headers],[2028]]=$B$43,IF(OR(SUMIF($E190:Refsz_Verbräuche[[#This Row],[2027]],"&gt;0")&gt;0,), AVERAGEIF($E190:Refsz_Verbräuche[[#This Row],[2027]],"&lt;&gt;"""), ""),IF($B$43=(Refsz_Verbräuche[[#Headers],[2028]]-1),Refsz_Verbräuche[[#This Row],[2027]],IF($B$43&lt;Refsz_Verbräuche[[#Headers],[2028]],Refsz_Verbräuche[[#This Row],[2027]],"")))</f>
        <v/>
      </c>
      <c r="S190" s="124" t="str">
        <f>IF(Refsz_Verbräuche[[#Headers],[2029]]=$B$43,IF(OR(SUMIF($E190:Refsz_Verbräuche[[#This Row],[2028]],"&gt;0")&gt;0,), AVERAGEIF($E190:Refsz_Verbräuche[[#This Row],[2028]],"&lt;&gt;"""), ""),IF($B$43=(Refsz_Verbräuche[[#Headers],[2029]]-1),Refsz_Verbräuche[[#This Row],[2028]],IF($B$43&lt;Refsz_Verbräuche[[#Headers],[2029]],Refsz_Verbräuche[[#This Row],[2028]],"")))</f>
        <v/>
      </c>
      <c r="T190" s="124" t="str">
        <f>IF(Refsz_Verbräuche[[#Headers],[2030]]=$B$43,IF(OR(SUMIF($E190:Refsz_Verbräuche[[#This Row],[2029]],"&gt;0")&gt;0,), AVERAGEIF($E190:Refsz_Verbräuche[[#This Row],[2029]],"&lt;&gt;"""), ""),IF($B$43=(Refsz_Verbräuche[[#Headers],[2030]]-1),Refsz_Verbräuche[[#This Row],[2029]],IF($B$43&lt;Refsz_Verbräuche[[#Headers],[2030]],Refsz_Verbräuche[[#This Row],[2029]],"")))</f>
        <v/>
      </c>
      <c r="U190" s="124" t="str">
        <f>IF(Refsz_Verbräuche[[#Headers],[2035]]=$B$43,IF(OR(SUMIF($E190:Refsz_Verbräuche[[#This Row],[2030]],"&gt;0")&gt;0,), AVERAGEIF($E190:Refsz_Verbräuche[[#This Row],[2030]],"&lt;&gt;"""), ""),IF($B$43=(Refsz_Verbräuche[[#Headers],[2035]]-1),Refsz_Verbräuche[[#This Row],[2030]],IF($B$43&lt;Refsz_Verbräuche[[#Headers],[2035]],Refsz_Verbräuche[[#This Row],[2030]],"")))</f>
        <v/>
      </c>
      <c r="V190" s="124" t="str">
        <f>IF(Refsz_Verbräuche[[#Headers],[2040]]=$B$43,IF(OR(SUMIF($E190:Refsz_Verbräuche[[#This Row],[2035]],"&gt;0")&gt;0,), AVERAGEIF($E190:Refsz_Verbräuche[[#This Row],[2035]],"&lt;&gt;"""), ""),IF($B$43=(Refsz_Verbräuche[[#Headers],[2040]]-1),Refsz_Verbräuche[[#This Row],[2035]],IF($B$43&lt;Refsz_Verbräuche[[#Headers],[2040]],Refsz_Verbräuche[[#This Row],[2035]],"")))</f>
        <v/>
      </c>
      <c r="W190" s="124" t="str">
        <f>IF(Refsz_Verbräuche[[#Headers],[2045]]=$B$43,IF(OR(SUMIF($E190:Refsz_Verbräuche[[#This Row],[2040]],"&gt;0")&gt;0,), AVERAGEIF($E190:Refsz_Verbräuche[[#This Row],[2040]],"&lt;&gt;"""), ""),IF($B$43=(Refsz_Verbräuche[[#Headers],[2045]]-1),Refsz_Verbräuche[[#This Row],[2040]],IF($B$43&lt;Refsz_Verbräuche[[#Headers],[2045]],Refsz_Verbräuche[[#This Row],[2040]],"")))</f>
        <v/>
      </c>
      <c r="X190" s="124" t="str">
        <f>IF(Refsz_Verbräuche[[#Headers],[2050]]=$B$43,IF(OR(SUMIF($E190:Refsz_Verbräuche[[#This Row],[2045]],"&gt;0")&gt;0,), AVERAGEIF($E190:Refsz_Verbräuche[[#This Row],[2045]],"&lt;&gt;"""), ""),IF($B$43=(Refsz_Verbräuche[[#Headers],[2050]]-1),Refsz_Verbräuche[[#This Row],[2045]],IF($B$43&lt;Refsz_Verbräuche[[#Headers],[2050]],Refsz_Verbräuche[[#This Row],[2045]],"")))</f>
        <v/>
      </c>
      <c r="Z190" s="15"/>
    </row>
    <row r="191" spans="2:26" x14ac:dyDescent="0.35">
      <c r="B191" s="15">
        <v>131</v>
      </c>
      <c r="C191" s="9" t="s">
        <v>106</v>
      </c>
      <c r="D191" t="s">
        <v>48</v>
      </c>
      <c r="E191" s="124"/>
      <c r="F191" s="124"/>
      <c r="G191" s="124"/>
      <c r="H191" s="124"/>
      <c r="I191" s="124"/>
      <c r="J191" s="124"/>
      <c r="K191" s="124"/>
      <c r="L191" s="124" t="str">
        <f>IF(Refsz_Verbräuche[[#Headers],[2022]]=$B$43,IF(OR(SUMIF($E191:Refsz_Verbräuche[[#This Row],[2021]],"&gt;0")&gt;0,), AVERAGEIF($E191:Refsz_Verbräuche[[#This Row],[2021]],"&lt;&gt;"""), ""),IF($B$43=(Refsz_Verbräuche[[#Headers],[2022]]-1),Refsz_Verbräuche[[#This Row],[2021]],IF($B$43&lt;Refsz_Verbräuche[[#Headers],[2022]],Refsz_Verbräuche[[#This Row],[2021]],"")))</f>
        <v/>
      </c>
      <c r="M191" s="124" t="str">
        <f>IF(Refsz_Verbräuche[[#Headers],[2023]]=$B$43,IF(OR(SUMIF($E191:Refsz_Verbräuche[[#This Row],[2022]],"&gt;0")&gt;0,), AVERAGEIF($E191:Refsz_Verbräuche[[#This Row],[2022]],"&lt;&gt;"""), ""),IF($B$43=(Refsz_Verbräuche[[#Headers],[2023]]-1),Refsz_Verbräuche[[#This Row],[2022]],IF($B$43&lt;Refsz_Verbräuche[[#Headers],[2023]],Refsz_Verbräuche[[#This Row],[2022]],"")))</f>
        <v/>
      </c>
      <c r="N191" s="124" t="str">
        <f>IF(Refsz_Verbräuche[[#Headers],[2024]]=$B$43,IF(OR(SUMIF($E191:Refsz_Verbräuche[[#This Row],[2023]],"&gt;0")&gt;0,), AVERAGEIF($E191:Refsz_Verbräuche[[#This Row],[2023]],"&lt;&gt;"""), ""),IF($B$43=(Refsz_Verbräuche[[#Headers],[2024]]-1),Refsz_Verbräuche[[#This Row],[2023]],IF($B$43&lt;Refsz_Verbräuche[[#Headers],[2024]],Refsz_Verbräuche[[#This Row],[2023]],"")))</f>
        <v/>
      </c>
      <c r="O191" s="124" t="str">
        <f>IF(Refsz_Verbräuche[[#Headers],[2025]]=$B$43,IF(OR(SUMIF($E191:Refsz_Verbräuche[[#This Row],[2024]],"&gt;0")&gt;0,), AVERAGEIF($E191:Refsz_Verbräuche[[#This Row],[2024]],"&lt;&gt;"""), ""),IF($B$43=(Refsz_Verbräuche[[#Headers],[2025]]-1),Refsz_Verbräuche[[#This Row],[2024]],IF($B$43&lt;Refsz_Verbräuche[[#Headers],[2025]],Refsz_Verbräuche[[#This Row],[2024]],"")))</f>
        <v/>
      </c>
      <c r="P191" s="124" t="str">
        <f>IF(Refsz_Verbräuche[[#Headers],[2026]]=$B$43,IF(OR(SUMIF($E191:Refsz_Verbräuche[[#This Row],[2025]],"&gt;0")&gt;0,), AVERAGEIF($E191:Refsz_Verbräuche[[#This Row],[2025]],"&lt;&gt;"""), ""),IF($B$43=(Refsz_Verbräuche[[#Headers],[2026]]-1),Refsz_Verbräuche[[#This Row],[2025]],IF($B$43&lt;Refsz_Verbräuche[[#Headers],[2026]],Refsz_Verbräuche[[#This Row],[2025]],"")))</f>
        <v/>
      </c>
      <c r="Q191" s="124" t="str">
        <f>IF(Refsz_Verbräuche[[#Headers],[2027]]=$B$43,IF(OR(SUMIF($E191:Refsz_Verbräuche[[#This Row],[2026]],"&gt;0")&gt;0,), AVERAGEIF($E191:Refsz_Verbräuche[[#This Row],[2026]],"&lt;&gt;"""), ""),IF($B$43=(Refsz_Verbräuche[[#Headers],[2027]]-1),Refsz_Verbräuche[[#This Row],[2026]],IF($B$43&lt;Refsz_Verbräuche[[#Headers],[2027]],Refsz_Verbräuche[[#This Row],[2026]],"")))</f>
        <v/>
      </c>
      <c r="R191" s="124" t="str">
        <f>IF(Refsz_Verbräuche[[#Headers],[2028]]=$B$43,IF(OR(SUMIF($E191:Refsz_Verbräuche[[#This Row],[2027]],"&gt;0")&gt;0,), AVERAGEIF($E191:Refsz_Verbräuche[[#This Row],[2027]],"&lt;&gt;"""), ""),IF($B$43=(Refsz_Verbräuche[[#Headers],[2028]]-1),Refsz_Verbräuche[[#This Row],[2027]],IF($B$43&lt;Refsz_Verbräuche[[#Headers],[2028]],Refsz_Verbräuche[[#This Row],[2027]],"")))</f>
        <v/>
      </c>
      <c r="S191" s="124" t="str">
        <f>IF(Refsz_Verbräuche[[#Headers],[2029]]=$B$43,IF(OR(SUMIF($E191:Refsz_Verbräuche[[#This Row],[2028]],"&gt;0")&gt;0,), AVERAGEIF($E191:Refsz_Verbräuche[[#This Row],[2028]],"&lt;&gt;"""), ""),IF($B$43=(Refsz_Verbräuche[[#Headers],[2029]]-1),Refsz_Verbräuche[[#This Row],[2028]],IF($B$43&lt;Refsz_Verbräuche[[#Headers],[2029]],Refsz_Verbräuche[[#This Row],[2028]],"")))</f>
        <v/>
      </c>
      <c r="T191" s="124" t="str">
        <f>IF(Refsz_Verbräuche[[#Headers],[2030]]=$B$43,IF(OR(SUMIF($E191:Refsz_Verbräuche[[#This Row],[2029]],"&gt;0")&gt;0,), AVERAGEIF($E191:Refsz_Verbräuche[[#This Row],[2029]],"&lt;&gt;"""), ""),IF($B$43=(Refsz_Verbräuche[[#Headers],[2030]]-1),Refsz_Verbräuche[[#This Row],[2029]],IF($B$43&lt;Refsz_Verbräuche[[#Headers],[2030]],Refsz_Verbräuche[[#This Row],[2029]],"")))</f>
        <v/>
      </c>
      <c r="U191" s="124" t="str">
        <f>IF(Refsz_Verbräuche[[#Headers],[2035]]=$B$43,IF(OR(SUMIF($E191:Refsz_Verbräuche[[#This Row],[2030]],"&gt;0")&gt;0,), AVERAGEIF($E191:Refsz_Verbräuche[[#This Row],[2030]],"&lt;&gt;"""), ""),IF($B$43=(Refsz_Verbräuche[[#Headers],[2035]]-1),Refsz_Verbräuche[[#This Row],[2030]],IF($B$43&lt;Refsz_Verbräuche[[#Headers],[2035]],Refsz_Verbräuche[[#This Row],[2030]],"")))</f>
        <v/>
      </c>
      <c r="V191" s="124" t="str">
        <f>IF(Refsz_Verbräuche[[#Headers],[2040]]=$B$43,IF(OR(SUMIF($E191:Refsz_Verbräuche[[#This Row],[2035]],"&gt;0")&gt;0,), AVERAGEIF($E191:Refsz_Verbräuche[[#This Row],[2035]],"&lt;&gt;"""), ""),IF($B$43=(Refsz_Verbräuche[[#Headers],[2040]]-1),Refsz_Verbräuche[[#This Row],[2035]],IF($B$43&lt;Refsz_Verbräuche[[#Headers],[2040]],Refsz_Verbräuche[[#This Row],[2035]],"")))</f>
        <v/>
      </c>
      <c r="W191" s="124" t="str">
        <f>IF(Refsz_Verbräuche[[#Headers],[2045]]=$B$43,IF(OR(SUMIF($E191:Refsz_Verbräuche[[#This Row],[2040]],"&gt;0")&gt;0,), AVERAGEIF($E191:Refsz_Verbräuche[[#This Row],[2040]],"&lt;&gt;"""), ""),IF($B$43=(Refsz_Verbräuche[[#Headers],[2045]]-1),Refsz_Verbräuche[[#This Row],[2040]],IF($B$43&lt;Refsz_Verbräuche[[#Headers],[2045]],Refsz_Verbräuche[[#This Row],[2040]],"")))</f>
        <v/>
      </c>
      <c r="X191" s="124" t="str">
        <f>IF(Refsz_Verbräuche[[#Headers],[2050]]=$B$43,IF(OR(SUMIF($E191:Refsz_Verbräuche[[#This Row],[2045]],"&gt;0")&gt;0,), AVERAGEIF($E191:Refsz_Verbräuche[[#This Row],[2045]],"&lt;&gt;"""), ""),IF($B$43=(Refsz_Verbräuche[[#Headers],[2050]]-1),Refsz_Verbräuche[[#This Row],[2045]],IF($B$43&lt;Refsz_Verbräuche[[#Headers],[2050]],Refsz_Verbräuche[[#This Row],[2045]],"")))</f>
        <v/>
      </c>
      <c r="Z191" s="15"/>
    </row>
    <row r="192" spans="2:26" x14ac:dyDescent="0.35">
      <c r="B192" s="15">
        <v>132</v>
      </c>
      <c r="C192" s="9" t="s">
        <v>107</v>
      </c>
      <c r="D192" t="s">
        <v>48</v>
      </c>
      <c r="E192" s="124"/>
      <c r="F192" s="124"/>
      <c r="G192" s="124"/>
      <c r="H192" s="124"/>
      <c r="I192" s="124"/>
      <c r="J192" s="124"/>
      <c r="K192" s="124"/>
      <c r="L192" s="124" t="str">
        <f>IF(Refsz_Verbräuche[[#Headers],[2022]]=$B$43,IF(OR(SUMIF($E192:Refsz_Verbräuche[[#This Row],[2021]],"&gt;0")&gt;0,), AVERAGEIF($E192:Refsz_Verbräuche[[#This Row],[2021]],"&lt;&gt;"""), ""),IF($B$43=(Refsz_Verbräuche[[#Headers],[2022]]-1),Refsz_Verbräuche[[#This Row],[2021]],IF($B$43&lt;Refsz_Verbräuche[[#Headers],[2022]],Refsz_Verbräuche[[#This Row],[2021]],"")))</f>
        <v/>
      </c>
      <c r="M192" s="124" t="str">
        <f>IF(Refsz_Verbräuche[[#Headers],[2023]]=$B$43,IF(OR(SUMIF($E192:Refsz_Verbräuche[[#This Row],[2022]],"&gt;0")&gt;0,), AVERAGEIF($E192:Refsz_Verbräuche[[#This Row],[2022]],"&lt;&gt;"""), ""),IF($B$43=(Refsz_Verbräuche[[#Headers],[2023]]-1),Refsz_Verbräuche[[#This Row],[2022]],IF($B$43&lt;Refsz_Verbräuche[[#Headers],[2023]],Refsz_Verbräuche[[#This Row],[2022]],"")))</f>
        <v/>
      </c>
      <c r="N192" s="124" t="str">
        <f>IF(Refsz_Verbräuche[[#Headers],[2024]]=$B$43,IF(OR(SUMIF($E192:Refsz_Verbräuche[[#This Row],[2023]],"&gt;0")&gt;0,), AVERAGEIF($E192:Refsz_Verbräuche[[#This Row],[2023]],"&lt;&gt;"""), ""),IF($B$43=(Refsz_Verbräuche[[#Headers],[2024]]-1),Refsz_Verbräuche[[#This Row],[2023]],IF($B$43&lt;Refsz_Verbräuche[[#Headers],[2024]],Refsz_Verbräuche[[#This Row],[2023]],"")))</f>
        <v/>
      </c>
      <c r="O192" s="124" t="str">
        <f>IF(Refsz_Verbräuche[[#Headers],[2025]]=$B$43,IF(OR(SUMIF($E192:Refsz_Verbräuche[[#This Row],[2024]],"&gt;0")&gt;0,), AVERAGEIF($E192:Refsz_Verbräuche[[#This Row],[2024]],"&lt;&gt;"""), ""),IF($B$43=(Refsz_Verbräuche[[#Headers],[2025]]-1),Refsz_Verbräuche[[#This Row],[2024]],IF($B$43&lt;Refsz_Verbräuche[[#Headers],[2025]],Refsz_Verbräuche[[#This Row],[2024]],"")))</f>
        <v/>
      </c>
      <c r="P192" s="124" t="str">
        <f>IF(Refsz_Verbräuche[[#Headers],[2026]]=$B$43,IF(OR(SUMIF($E192:Refsz_Verbräuche[[#This Row],[2025]],"&gt;0")&gt;0,), AVERAGEIF($E192:Refsz_Verbräuche[[#This Row],[2025]],"&lt;&gt;"""), ""),IF($B$43=(Refsz_Verbräuche[[#Headers],[2026]]-1),Refsz_Verbräuche[[#This Row],[2025]],IF($B$43&lt;Refsz_Verbräuche[[#Headers],[2026]],Refsz_Verbräuche[[#This Row],[2025]],"")))</f>
        <v/>
      </c>
      <c r="Q192" s="124" t="str">
        <f>IF(Refsz_Verbräuche[[#Headers],[2027]]=$B$43,IF(OR(SUMIF($E192:Refsz_Verbräuche[[#This Row],[2026]],"&gt;0")&gt;0,), AVERAGEIF($E192:Refsz_Verbräuche[[#This Row],[2026]],"&lt;&gt;"""), ""),IF($B$43=(Refsz_Verbräuche[[#Headers],[2027]]-1),Refsz_Verbräuche[[#This Row],[2026]],IF($B$43&lt;Refsz_Verbräuche[[#Headers],[2027]],Refsz_Verbräuche[[#This Row],[2026]],"")))</f>
        <v/>
      </c>
      <c r="R192" s="124" t="str">
        <f>IF(Refsz_Verbräuche[[#Headers],[2028]]=$B$43,IF(OR(SUMIF($E192:Refsz_Verbräuche[[#This Row],[2027]],"&gt;0")&gt;0,), AVERAGEIF($E192:Refsz_Verbräuche[[#This Row],[2027]],"&lt;&gt;"""), ""),IF($B$43=(Refsz_Verbräuche[[#Headers],[2028]]-1),Refsz_Verbräuche[[#This Row],[2027]],IF($B$43&lt;Refsz_Verbräuche[[#Headers],[2028]],Refsz_Verbräuche[[#This Row],[2027]],"")))</f>
        <v/>
      </c>
      <c r="S192" s="124" t="str">
        <f>IF(Refsz_Verbräuche[[#Headers],[2029]]=$B$43,IF(OR(SUMIF($E192:Refsz_Verbräuche[[#This Row],[2028]],"&gt;0")&gt;0,), AVERAGEIF($E192:Refsz_Verbräuche[[#This Row],[2028]],"&lt;&gt;"""), ""),IF($B$43=(Refsz_Verbräuche[[#Headers],[2029]]-1),Refsz_Verbräuche[[#This Row],[2028]],IF($B$43&lt;Refsz_Verbräuche[[#Headers],[2029]],Refsz_Verbräuche[[#This Row],[2028]],"")))</f>
        <v/>
      </c>
      <c r="T192" s="124" t="str">
        <f>IF(Refsz_Verbräuche[[#Headers],[2030]]=$B$43,IF(OR(SUMIF($E192:Refsz_Verbräuche[[#This Row],[2029]],"&gt;0")&gt;0,), AVERAGEIF($E192:Refsz_Verbräuche[[#This Row],[2029]],"&lt;&gt;"""), ""),IF($B$43=(Refsz_Verbräuche[[#Headers],[2030]]-1),Refsz_Verbräuche[[#This Row],[2029]],IF($B$43&lt;Refsz_Verbräuche[[#Headers],[2030]],Refsz_Verbräuche[[#This Row],[2029]],"")))</f>
        <v/>
      </c>
      <c r="U192" s="124" t="str">
        <f>IF(Refsz_Verbräuche[[#Headers],[2035]]=$B$43,IF(OR(SUMIF($E192:Refsz_Verbräuche[[#This Row],[2030]],"&gt;0")&gt;0,), AVERAGEIF($E192:Refsz_Verbräuche[[#This Row],[2030]],"&lt;&gt;"""), ""),IF($B$43=(Refsz_Verbräuche[[#Headers],[2035]]-1),Refsz_Verbräuche[[#This Row],[2030]],IF($B$43&lt;Refsz_Verbräuche[[#Headers],[2035]],Refsz_Verbräuche[[#This Row],[2030]],"")))</f>
        <v/>
      </c>
      <c r="V192" s="124" t="str">
        <f>IF(Refsz_Verbräuche[[#Headers],[2040]]=$B$43,IF(OR(SUMIF($E192:Refsz_Verbräuche[[#This Row],[2035]],"&gt;0")&gt;0,), AVERAGEIF($E192:Refsz_Verbräuche[[#This Row],[2035]],"&lt;&gt;"""), ""),IF($B$43=(Refsz_Verbräuche[[#Headers],[2040]]-1),Refsz_Verbräuche[[#This Row],[2035]],IF($B$43&lt;Refsz_Verbräuche[[#Headers],[2040]],Refsz_Verbräuche[[#This Row],[2035]],"")))</f>
        <v/>
      </c>
      <c r="W192" s="124" t="str">
        <f>IF(Refsz_Verbräuche[[#Headers],[2045]]=$B$43,IF(OR(SUMIF($E192:Refsz_Verbräuche[[#This Row],[2040]],"&gt;0")&gt;0,), AVERAGEIF($E192:Refsz_Verbräuche[[#This Row],[2040]],"&lt;&gt;"""), ""),IF($B$43=(Refsz_Verbräuche[[#Headers],[2045]]-1),Refsz_Verbräuche[[#This Row],[2040]],IF($B$43&lt;Refsz_Verbräuche[[#Headers],[2045]],Refsz_Verbräuche[[#This Row],[2040]],"")))</f>
        <v/>
      </c>
      <c r="X192" s="124" t="str">
        <f>IF(Refsz_Verbräuche[[#Headers],[2050]]=$B$43,IF(OR(SUMIF($E192:Refsz_Verbräuche[[#This Row],[2045]],"&gt;0")&gt;0,), AVERAGEIF($E192:Refsz_Verbräuche[[#This Row],[2045]],"&lt;&gt;"""), ""),IF($B$43=(Refsz_Verbräuche[[#Headers],[2050]]-1),Refsz_Verbräuche[[#This Row],[2045]],IF($B$43&lt;Refsz_Verbräuche[[#Headers],[2050]],Refsz_Verbräuche[[#This Row],[2045]],"")))</f>
        <v/>
      </c>
      <c r="Z192" s="15"/>
    </row>
    <row r="193" spans="2:26" x14ac:dyDescent="0.35">
      <c r="B193" s="15">
        <v>133</v>
      </c>
      <c r="C193" s="9" t="s">
        <v>81</v>
      </c>
      <c r="D193" t="s">
        <v>48</v>
      </c>
      <c r="E193" s="124"/>
      <c r="F193" s="124"/>
      <c r="G193" s="124"/>
      <c r="H193" s="124"/>
      <c r="I193" s="124"/>
      <c r="J193" s="124"/>
      <c r="K193" s="124"/>
      <c r="L193" s="124" t="str">
        <f>IF(Refsz_Verbräuche[[#Headers],[2022]]=$B$43,IF(OR(SUMIF($E193:Refsz_Verbräuche[[#This Row],[2021]],"&gt;0")&gt;0,), AVERAGEIF($E193:Refsz_Verbräuche[[#This Row],[2021]],"&lt;&gt;"""), ""),IF($B$43=(Refsz_Verbräuche[[#Headers],[2022]]-1),Refsz_Verbräuche[[#This Row],[2021]],IF($B$43&lt;Refsz_Verbräuche[[#Headers],[2022]],Refsz_Verbräuche[[#This Row],[2021]],"")))</f>
        <v/>
      </c>
      <c r="M193" s="124" t="str">
        <f>IF(Refsz_Verbräuche[[#Headers],[2023]]=$B$43,IF(OR(SUMIF($E193:Refsz_Verbräuche[[#This Row],[2022]],"&gt;0")&gt;0,), AVERAGEIF($E193:Refsz_Verbräuche[[#This Row],[2022]],"&lt;&gt;"""), ""),IF($B$43=(Refsz_Verbräuche[[#Headers],[2023]]-1),Refsz_Verbräuche[[#This Row],[2022]],IF($B$43&lt;Refsz_Verbräuche[[#Headers],[2023]],Refsz_Verbräuche[[#This Row],[2022]],"")))</f>
        <v/>
      </c>
      <c r="N193" s="124" t="str">
        <f>IF(Refsz_Verbräuche[[#Headers],[2024]]=$B$43,IF(OR(SUMIF($E193:Refsz_Verbräuche[[#This Row],[2023]],"&gt;0")&gt;0,), AVERAGEIF($E193:Refsz_Verbräuche[[#This Row],[2023]],"&lt;&gt;"""), ""),IF($B$43=(Refsz_Verbräuche[[#Headers],[2024]]-1),Refsz_Verbräuche[[#This Row],[2023]],IF($B$43&lt;Refsz_Verbräuche[[#Headers],[2024]],Refsz_Verbräuche[[#This Row],[2023]],"")))</f>
        <v/>
      </c>
      <c r="O193" s="124" t="str">
        <f>IF(Refsz_Verbräuche[[#Headers],[2025]]=$B$43,IF(OR(SUMIF($E193:Refsz_Verbräuche[[#This Row],[2024]],"&gt;0")&gt;0,), AVERAGEIF($E193:Refsz_Verbräuche[[#This Row],[2024]],"&lt;&gt;"""), ""),IF($B$43=(Refsz_Verbräuche[[#Headers],[2025]]-1),Refsz_Verbräuche[[#This Row],[2024]],IF($B$43&lt;Refsz_Verbräuche[[#Headers],[2025]],Refsz_Verbräuche[[#This Row],[2024]],"")))</f>
        <v/>
      </c>
      <c r="P193" s="124" t="str">
        <f>IF(Refsz_Verbräuche[[#Headers],[2026]]=$B$43,IF(OR(SUMIF($E193:Refsz_Verbräuche[[#This Row],[2025]],"&gt;0")&gt;0,), AVERAGEIF($E193:Refsz_Verbräuche[[#This Row],[2025]],"&lt;&gt;"""), ""),IF($B$43=(Refsz_Verbräuche[[#Headers],[2026]]-1),Refsz_Verbräuche[[#This Row],[2025]],IF($B$43&lt;Refsz_Verbräuche[[#Headers],[2026]],Refsz_Verbräuche[[#This Row],[2025]],"")))</f>
        <v/>
      </c>
      <c r="Q193" s="124" t="str">
        <f>IF(Refsz_Verbräuche[[#Headers],[2027]]=$B$43,IF(OR(SUMIF($E193:Refsz_Verbräuche[[#This Row],[2026]],"&gt;0")&gt;0,), AVERAGEIF($E193:Refsz_Verbräuche[[#This Row],[2026]],"&lt;&gt;"""), ""),IF($B$43=(Refsz_Verbräuche[[#Headers],[2027]]-1),Refsz_Verbräuche[[#This Row],[2026]],IF($B$43&lt;Refsz_Verbräuche[[#Headers],[2027]],Refsz_Verbräuche[[#This Row],[2026]],"")))</f>
        <v/>
      </c>
      <c r="R193" s="124" t="str">
        <f>IF(Refsz_Verbräuche[[#Headers],[2028]]=$B$43,IF(OR(SUMIF($E193:Refsz_Verbräuche[[#This Row],[2027]],"&gt;0")&gt;0,), AVERAGEIF($E193:Refsz_Verbräuche[[#This Row],[2027]],"&lt;&gt;"""), ""),IF($B$43=(Refsz_Verbräuche[[#Headers],[2028]]-1),Refsz_Verbräuche[[#This Row],[2027]],IF($B$43&lt;Refsz_Verbräuche[[#Headers],[2028]],Refsz_Verbräuche[[#This Row],[2027]],"")))</f>
        <v/>
      </c>
      <c r="S193" s="124" t="str">
        <f>IF(Refsz_Verbräuche[[#Headers],[2029]]=$B$43,IF(OR(SUMIF($E193:Refsz_Verbräuche[[#This Row],[2028]],"&gt;0")&gt;0,), AVERAGEIF($E193:Refsz_Verbräuche[[#This Row],[2028]],"&lt;&gt;"""), ""),IF($B$43=(Refsz_Verbräuche[[#Headers],[2029]]-1),Refsz_Verbräuche[[#This Row],[2028]],IF($B$43&lt;Refsz_Verbräuche[[#Headers],[2029]],Refsz_Verbräuche[[#This Row],[2028]],"")))</f>
        <v/>
      </c>
      <c r="T193" s="124" t="str">
        <f>IF(Refsz_Verbräuche[[#Headers],[2030]]=$B$43,IF(OR(SUMIF($E193:Refsz_Verbräuche[[#This Row],[2029]],"&gt;0")&gt;0,), AVERAGEIF($E193:Refsz_Verbräuche[[#This Row],[2029]],"&lt;&gt;"""), ""),IF($B$43=(Refsz_Verbräuche[[#Headers],[2030]]-1),Refsz_Verbräuche[[#This Row],[2029]],IF($B$43&lt;Refsz_Verbräuche[[#Headers],[2030]],Refsz_Verbräuche[[#This Row],[2029]],"")))</f>
        <v/>
      </c>
      <c r="U193" s="124" t="str">
        <f>IF(Refsz_Verbräuche[[#Headers],[2035]]=$B$43,IF(OR(SUMIF($E193:Refsz_Verbräuche[[#This Row],[2030]],"&gt;0")&gt;0,), AVERAGEIF($E193:Refsz_Verbräuche[[#This Row],[2030]],"&lt;&gt;"""), ""),IF($B$43=(Refsz_Verbräuche[[#Headers],[2035]]-1),Refsz_Verbräuche[[#This Row],[2030]],IF($B$43&lt;Refsz_Verbräuche[[#Headers],[2035]],Refsz_Verbräuche[[#This Row],[2030]],"")))</f>
        <v/>
      </c>
      <c r="V193" s="124" t="str">
        <f>IF(Refsz_Verbräuche[[#Headers],[2040]]=$B$43,IF(OR(SUMIF($E193:Refsz_Verbräuche[[#This Row],[2035]],"&gt;0")&gt;0,), AVERAGEIF($E193:Refsz_Verbräuche[[#This Row],[2035]],"&lt;&gt;"""), ""),IF($B$43=(Refsz_Verbräuche[[#Headers],[2040]]-1),Refsz_Verbräuche[[#This Row],[2035]],IF($B$43&lt;Refsz_Verbräuche[[#Headers],[2040]],Refsz_Verbräuche[[#This Row],[2035]],"")))</f>
        <v/>
      </c>
      <c r="W193" s="124" t="str">
        <f>IF(Refsz_Verbräuche[[#Headers],[2045]]=$B$43,IF(OR(SUMIF($E193:Refsz_Verbräuche[[#This Row],[2040]],"&gt;0")&gt;0,), AVERAGEIF($E193:Refsz_Verbräuche[[#This Row],[2040]],"&lt;&gt;"""), ""),IF($B$43=(Refsz_Verbräuche[[#Headers],[2045]]-1),Refsz_Verbräuche[[#This Row],[2040]],IF($B$43&lt;Refsz_Verbräuche[[#Headers],[2045]],Refsz_Verbräuche[[#This Row],[2040]],"")))</f>
        <v/>
      </c>
      <c r="X193" s="124" t="str">
        <f>IF(Refsz_Verbräuche[[#Headers],[2050]]=$B$43,IF(OR(SUMIF($E193:Refsz_Verbräuche[[#This Row],[2045]],"&gt;0")&gt;0,), AVERAGEIF($E193:Refsz_Verbräuche[[#This Row],[2045]],"&lt;&gt;"""), ""),IF($B$43=(Refsz_Verbräuche[[#Headers],[2050]]-1),Refsz_Verbräuche[[#This Row],[2045]],IF($B$43&lt;Refsz_Verbräuche[[#Headers],[2050]],Refsz_Verbräuche[[#This Row],[2045]],"")))</f>
        <v/>
      </c>
      <c r="Z193" s="15"/>
    </row>
    <row r="194" spans="2:26" x14ac:dyDescent="0.35">
      <c r="B194" s="15">
        <v>134</v>
      </c>
      <c r="C194" s="9" t="s">
        <v>80</v>
      </c>
      <c r="D194" t="s">
        <v>48</v>
      </c>
      <c r="E194" s="124"/>
      <c r="F194" s="124"/>
      <c r="G194" s="124"/>
      <c r="H194" s="124"/>
      <c r="I194" s="124"/>
      <c r="J194" s="124"/>
      <c r="K194" s="124"/>
      <c r="L194" s="124" t="str">
        <f>IF(Refsz_Verbräuche[[#Headers],[2022]]=$B$43,IF(OR(SUMIF($E194:Refsz_Verbräuche[[#This Row],[2021]],"&gt;0")&gt;0,), AVERAGEIF($E194:Refsz_Verbräuche[[#This Row],[2021]],"&lt;&gt;"""), ""),IF($B$43=(Refsz_Verbräuche[[#Headers],[2022]]-1),Refsz_Verbräuche[[#This Row],[2021]],IF($B$43&lt;Refsz_Verbräuche[[#Headers],[2022]],Refsz_Verbräuche[[#This Row],[2021]],"")))</f>
        <v/>
      </c>
      <c r="M194" s="124" t="str">
        <f>IF(Refsz_Verbräuche[[#Headers],[2023]]=$B$43,IF(OR(SUMIF($E194:Refsz_Verbräuche[[#This Row],[2022]],"&gt;0")&gt;0,), AVERAGEIF($E194:Refsz_Verbräuche[[#This Row],[2022]],"&lt;&gt;"""), ""),IF($B$43=(Refsz_Verbräuche[[#Headers],[2023]]-1),Refsz_Verbräuche[[#This Row],[2022]],IF($B$43&lt;Refsz_Verbräuche[[#Headers],[2023]],Refsz_Verbräuche[[#This Row],[2022]],"")))</f>
        <v/>
      </c>
      <c r="N194" s="124" t="str">
        <f>IF(Refsz_Verbräuche[[#Headers],[2024]]=$B$43,IF(OR(SUMIF($E194:Refsz_Verbräuche[[#This Row],[2023]],"&gt;0")&gt;0,), AVERAGEIF($E194:Refsz_Verbräuche[[#This Row],[2023]],"&lt;&gt;"""), ""),IF($B$43=(Refsz_Verbräuche[[#Headers],[2024]]-1),Refsz_Verbräuche[[#This Row],[2023]],IF($B$43&lt;Refsz_Verbräuche[[#Headers],[2024]],Refsz_Verbräuche[[#This Row],[2023]],"")))</f>
        <v/>
      </c>
      <c r="O194" s="124" t="str">
        <f>IF(Refsz_Verbräuche[[#Headers],[2025]]=$B$43,IF(OR(SUMIF($E194:Refsz_Verbräuche[[#This Row],[2024]],"&gt;0")&gt;0,), AVERAGEIF($E194:Refsz_Verbräuche[[#This Row],[2024]],"&lt;&gt;"""), ""),IF($B$43=(Refsz_Verbräuche[[#Headers],[2025]]-1),Refsz_Verbräuche[[#This Row],[2024]],IF($B$43&lt;Refsz_Verbräuche[[#Headers],[2025]],Refsz_Verbräuche[[#This Row],[2024]],"")))</f>
        <v/>
      </c>
      <c r="P194" s="124" t="str">
        <f>IF(Refsz_Verbräuche[[#Headers],[2026]]=$B$43,IF(OR(SUMIF($E194:Refsz_Verbräuche[[#This Row],[2025]],"&gt;0")&gt;0,), AVERAGEIF($E194:Refsz_Verbräuche[[#This Row],[2025]],"&lt;&gt;"""), ""),IF($B$43=(Refsz_Verbräuche[[#Headers],[2026]]-1),Refsz_Verbräuche[[#This Row],[2025]],IF($B$43&lt;Refsz_Verbräuche[[#Headers],[2026]],Refsz_Verbräuche[[#This Row],[2025]],"")))</f>
        <v/>
      </c>
      <c r="Q194" s="124" t="str">
        <f>IF(Refsz_Verbräuche[[#Headers],[2027]]=$B$43,IF(OR(SUMIF($E194:Refsz_Verbräuche[[#This Row],[2026]],"&gt;0")&gt;0,), AVERAGEIF($E194:Refsz_Verbräuche[[#This Row],[2026]],"&lt;&gt;"""), ""),IF($B$43=(Refsz_Verbräuche[[#Headers],[2027]]-1),Refsz_Verbräuche[[#This Row],[2026]],IF($B$43&lt;Refsz_Verbräuche[[#Headers],[2027]],Refsz_Verbräuche[[#This Row],[2026]],"")))</f>
        <v/>
      </c>
      <c r="R194" s="124" t="str">
        <f>IF(Refsz_Verbräuche[[#Headers],[2028]]=$B$43,IF(OR(SUMIF($E194:Refsz_Verbräuche[[#This Row],[2027]],"&gt;0")&gt;0,), AVERAGEIF($E194:Refsz_Verbräuche[[#This Row],[2027]],"&lt;&gt;"""), ""),IF($B$43=(Refsz_Verbräuche[[#Headers],[2028]]-1),Refsz_Verbräuche[[#This Row],[2027]],IF($B$43&lt;Refsz_Verbräuche[[#Headers],[2028]],Refsz_Verbräuche[[#This Row],[2027]],"")))</f>
        <v/>
      </c>
      <c r="S194" s="124" t="str">
        <f>IF(Refsz_Verbräuche[[#Headers],[2029]]=$B$43,IF(OR(SUMIF($E194:Refsz_Verbräuche[[#This Row],[2028]],"&gt;0")&gt;0,), AVERAGEIF($E194:Refsz_Verbräuche[[#This Row],[2028]],"&lt;&gt;"""), ""),IF($B$43=(Refsz_Verbräuche[[#Headers],[2029]]-1),Refsz_Verbräuche[[#This Row],[2028]],IF($B$43&lt;Refsz_Verbräuche[[#Headers],[2029]],Refsz_Verbräuche[[#This Row],[2028]],"")))</f>
        <v/>
      </c>
      <c r="T194" s="124" t="str">
        <f>IF(Refsz_Verbräuche[[#Headers],[2030]]=$B$43,IF(OR(SUMIF($E194:Refsz_Verbräuche[[#This Row],[2029]],"&gt;0")&gt;0,), AVERAGEIF($E194:Refsz_Verbräuche[[#This Row],[2029]],"&lt;&gt;"""), ""),IF($B$43=(Refsz_Verbräuche[[#Headers],[2030]]-1),Refsz_Verbräuche[[#This Row],[2029]],IF($B$43&lt;Refsz_Verbräuche[[#Headers],[2030]],Refsz_Verbräuche[[#This Row],[2029]],"")))</f>
        <v/>
      </c>
      <c r="U194" s="124" t="str">
        <f>IF(Refsz_Verbräuche[[#Headers],[2035]]=$B$43,IF(OR(SUMIF($E194:Refsz_Verbräuche[[#This Row],[2030]],"&gt;0")&gt;0,), AVERAGEIF($E194:Refsz_Verbräuche[[#This Row],[2030]],"&lt;&gt;"""), ""),IF($B$43=(Refsz_Verbräuche[[#Headers],[2035]]-1),Refsz_Verbräuche[[#This Row],[2030]],IF($B$43&lt;Refsz_Verbräuche[[#Headers],[2035]],Refsz_Verbräuche[[#This Row],[2030]],"")))</f>
        <v/>
      </c>
      <c r="V194" s="124" t="str">
        <f>IF(Refsz_Verbräuche[[#Headers],[2040]]=$B$43,IF(OR(SUMIF($E194:Refsz_Verbräuche[[#This Row],[2035]],"&gt;0")&gt;0,), AVERAGEIF($E194:Refsz_Verbräuche[[#This Row],[2035]],"&lt;&gt;"""), ""),IF($B$43=(Refsz_Verbräuche[[#Headers],[2040]]-1),Refsz_Verbräuche[[#This Row],[2035]],IF($B$43&lt;Refsz_Verbräuche[[#Headers],[2040]],Refsz_Verbräuche[[#This Row],[2035]],"")))</f>
        <v/>
      </c>
      <c r="W194" s="124" t="str">
        <f>IF(Refsz_Verbräuche[[#Headers],[2045]]=$B$43,IF(OR(SUMIF($E194:Refsz_Verbräuche[[#This Row],[2040]],"&gt;0")&gt;0,), AVERAGEIF($E194:Refsz_Verbräuche[[#This Row],[2040]],"&lt;&gt;"""), ""),IF($B$43=(Refsz_Verbräuche[[#Headers],[2045]]-1),Refsz_Verbräuche[[#This Row],[2040]],IF($B$43&lt;Refsz_Verbräuche[[#Headers],[2045]],Refsz_Verbräuche[[#This Row],[2040]],"")))</f>
        <v/>
      </c>
      <c r="X194" s="124" t="str">
        <f>IF(Refsz_Verbräuche[[#Headers],[2050]]=$B$43,IF(OR(SUMIF($E194:Refsz_Verbräuche[[#This Row],[2045]],"&gt;0")&gt;0,), AVERAGEIF($E194:Refsz_Verbräuche[[#This Row],[2045]],"&lt;&gt;"""), ""),IF($B$43=(Refsz_Verbräuche[[#Headers],[2050]]-1),Refsz_Verbräuche[[#This Row],[2045]],IF($B$43&lt;Refsz_Verbräuche[[#Headers],[2050]],Refsz_Verbräuche[[#This Row],[2045]],"")))</f>
        <v/>
      </c>
      <c r="Z194" s="15"/>
    </row>
    <row r="195" spans="2:26" x14ac:dyDescent="0.35">
      <c r="B195" s="15">
        <v>135</v>
      </c>
      <c r="C195" s="9" t="s">
        <v>75</v>
      </c>
      <c r="D195" t="s">
        <v>48</v>
      </c>
      <c r="E195" s="124"/>
      <c r="F195" s="124"/>
      <c r="G195" s="124"/>
      <c r="H195" s="124"/>
      <c r="I195" s="124"/>
      <c r="J195" s="124"/>
      <c r="K195" s="124"/>
      <c r="L195" s="124" t="str">
        <f>IF(Refsz_Verbräuche[[#Headers],[2022]]=$B$43,IF(OR(SUMIF($E195:Refsz_Verbräuche[[#This Row],[2021]],"&gt;0")&gt;0,), AVERAGEIF($E195:Refsz_Verbräuche[[#This Row],[2021]],"&lt;&gt;"""), ""),IF($B$43=(Refsz_Verbräuche[[#Headers],[2022]]-1),Refsz_Verbräuche[[#This Row],[2021]],IF($B$43&lt;Refsz_Verbräuche[[#Headers],[2022]],Refsz_Verbräuche[[#This Row],[2021]],"")))</f>
        <v/>
      </c>
      <c r="M195" s="124" t="str">
        <f>IF(Refsz_Verbräuche[[#Headers],[2023]]=$B$43,IF(OR(SUMIF($E195:Refsz_Verbräuche[[#This Row],[2022]],"&gt;0")&gt;0,), AVERAGEIF($E195:Refsz_Verbräuche[[#This Row],[2022]],"&lt;&gt;"""), ""),IF($B$43=(Refsz_Verbräuche[[#Headers],[2023]]-1),Refsz_Verbräuche[[#This Row],[2022]],IF($B$43&lt;Refsz_Verbräuche[[#Headers],[2023]],Refsz_Verbräuche[[#This Row],[2022]],"")))</f>
        <v/>
      </c>
      <c r="N195" s="124" t="str">
        <f>IF(Refsz_Verbräuche[[#Headers],[2024]]=$B$43,IF(OR(SUMIF($E195:Refsz_Verbräuche[[#This Row],[2023]],"&gt;0")&gt;0,), AVERAGEIF($E195:Refsz_Verbräuche[[#This Row],[2023]],"&lt;&gt;"""), ""),IF($B$43=(Refsz_Verbräuche[[#Headers],[2024]]-1),Refsz_Verbräuche[[#This Row],[2023]],IF($B$43&lt;Refsz_Verbräuche[[#Headers],[2024]],Refsz_Verbräuche[[#This Row],[2023]],"")))</f>
        <v/>
      </c>
      <c r="O195" s="124" t="str">
        <f>IF(Refsz_Verbräuche[[#Headers],[2025]]=$B$43,IF(OR(SUMIF($E195:Refsz_Verbräuche[[#This Row],[2024]],"&gt;0")&gt;0,), AVERAGEIF($E195:Refsz_Verbräuche[[#This Row],[2024]],"&lt;&gt;"""), ""),IF($B$43=(Refsz_Verbräuche[[#Headers],[2025]]-1),Refsz_Verbräuche[[#This Row],[2024]],IF($B$43&lt;Refsz_Verbräuche[[#Headers],[2025]],Refsz_Verbräuche[[#This Row],[2024]],"")))</f>
        <v/>
      </c>
      <c r="P195" s="124" t="str">
        <f>IF(Refsz_Verbräuche[[#Headers],[2026]]=$B$43,IF(OR(SUMIF($E195:Refsz_Verbräuche[[#This Row],[2025]],"&gt;0")&gt;0,), AVERAGEIF($E195:Refsz_Verbräuche[[#This Row],[2025]],"&lt;&gt;"""), ""),IF($B$43=(Refsz_Verbräuche[[#Headers],[2026]]-1),Refsz_Verbräuche[[#This Row],[2025]],IF($B$43&lt;Refsz_Verbräuche[[#Headers],[2026]],Refsz_Verbräuche[[#This Row],[2025]],"")))</f>
        <v/>
      </c>
      <c r="Q195" s="124" t="str">
        <f>IF(Refsz_Verbräuche[[#Headers],[2027]]=$B$43,IF(OR(SUMIF($E195:Refsz_Verbräuche[[#This Row],[2026]],"&gt;0")&gt;0,), AVERAGEIF($E195:Refsz_Verbräuche[[#This Row],[2026]],"&lt;&gt;"""), ""),IF($B$43=(Refsz_Verbräuche[[#Headers],[2027]]-1),Refsz_Verbräuche[[#This Row],[2026]],IF($B$43&lt;Refsz_Verbräuche[[#Headers],[2027]],Refsz_Verbräuche[[#This Row],[2026]],"")))</f>
        <v/>
      </c>
      <c r="R195" s="124" t="str">
        <f>IF(Refsz_Verbräuche[[#Headers],[2028]]=$B$43,IF(OR(SUMIF($E195:Refsz_Verbräuche[[#This Row],[2027]],"&gt;0")&gt;0,), AVERAGEIF($E195:Refsz_Verbräuche[[#This Row],[2027]],"&lt;&gt;"""), ""),IF($B$43=(Refsz_Verbräuche[[#Headers],[2028]]-1),Refsz_Verbräuche[[#This Row],[2027]],IF($B$43&lt;Refsz_Verbräuche[[#Headers],[2028]],Refsz_Verbräuche[[#This Row],[2027]],"")))</f>
        <v/>
      </c>
      <c r="S195" s="124" t="str">
        <f>IF(Refsz_Verbräuche[[#Headers],[2029]]=$B$43,IF(OR(SUMIF($E195:Refsz_Verbräuche[[#This Row],[2028]],"&gt;0")&gt;0,), AVERAGEIF($E195:Refsz_Verbräuche[[#This Row],[2028]],"&lt;&gt;"""), ""),IF($B$43=(Refsz_Verbräuche[[#Headers],[2029]]-1),Refsz_Verbräuche[[#This Row],[2028]],IF($B$43&lt;Refsz_Verbräuche[[#Headers],[2029]],Refsz_Verbräuche[[#This Row],[2028]],"")))</f>
        <v/>
      </c>
      <c r="T195" s="124" t="str">
        <f>IF(Refsz_Verbräuche[[#Headers],[2030]]=$B$43,IF(OR(SUMIF($E195:Refsz_Verbräuche[[#This Row],[2029]],"&gt;0")&gt;0,), AVERAGEIF($E195:Refsz_Verbräuche[[#This Row],[2029]],"&lt;&gt;"""), ""),IF($B$43=(Refsz_Verbräuche[[#Headers],[2030]]-1),Refsz_Verbräuche[[#This Row],[2029]],IF($B$43&lt;Refsz_Verbräuche[[#Headers],[2030]],Refsz_Verbräuche[[#This Row],[2029]],"")))</f>
        <v/>
      </c>
      <c r="U195" s="124" t="str">
        <f>IF(Refsz_Verbräuche[[#Headers],[2035]]=$B$43,IF(OR(SUMIF($E195:Refsz_Verbräuche[[#This Row],[2030]],"&gt;0")&gt;0,), AVERAGEIF($E195:Refsz_Verbräuche[[#This Row],[2030]],"&lt;&gt;"""), ""),IF($B$43=(Refsz_Verbräuche[[#Headers],[2035]]-1),Refsz_Verbräuche[[#This Row],[2030]],IF($B$43&lt;Refsz_Verbräuche[[#Headers],[2035]],Refsz_Verbräuche[[#This Row],[2030]],"")))</f>
        <v/>
      </c>
      <c r="V195" s="124" t="str">
        <f>IF(Refsz_Verbräuche[[#Headers],[2040]]=$B$43,IF(OR(SUMIF($E195:Refsz_Verbräuche[[#This Row],[2035]],"&gt;0")&gt;0,), AVERAGEIF($E195:Refsz_Verbräuche[[#This Row],[2035]],"&lt;&gt;"""), ""),IF($B$43=(Refsz_Verbräuche[[#Headers],[2040]]-1),Refsz_Verbräuche[[#This Row],[2035]],IF($B$43&lt;Refsz_Verbräuche[[#Headers],[2040]],Refsz_Verbräuche[[#This Row],[2035]],"")))</f>
        <v/>
      </c>
      <c r="W195" s="124" t="str">
        <f>IF(Refsz_Verbräuche[[#Headers],[2045]]=$B$43,IF(OR(SUMIF($E195:Refsz_Verbräuche[[#This Row],[2040]],"&gt;0")&gt;0,), AVERAGEIF($E195:Refsz_Verbräuche[[#This Row],[2040]],"&lt;&gt;"""), ""),IF($B$43=(Refsz_Verbräuche[[#Headers],[2045]]-1),Refsz_Verbräuche[[#This Row],[2040]],IF($B$43&lt;Refsz_Verbräuche[[#Headers],[2045]],Refsz_Verbräuche[[#This Row],[2040]],"")))</f>
        <v/>
      </c>
      <c r="X195" s="124" t="str">
        <f>IF(Refsz_Verbräuche[[#Headers],[2050]]=$B$43,IF(OR(SUMIF($E195:Refsz_Verbräuche[[#This Row],[2045]],"&gt;0")&gt;0,), AVERAGEIF($E195:Refsz_Verbräuche[[#This Row],[2045]],"&lt;&gt;"""), ""),IF($B$43=(Refsz_Verbräuche[[#Headers],[2050]]-1),Refsz_Verbräuche[[#This Row],[2045]],IF($B$43&lt;Refsz_Verbräuche[[#Headers],[2050]],Refsz_Verbräuche[[#This Row],[2045]],"")))</f>
        <v/>
      </c>
      <c r="Z195" s="15"/>
    </row>
    <row r="196" spans="2:26" x14ac:dyDescent="0.35">
      <c r="B196" s="15">
        <v>136</v>
      </c>
      <c r="C196" s="9" t="s">
        <v>84</v>
      </c>
      <c r="D196" t="s">
        <v>48</v>
      </c>
      <c r="E196" s="124"/>
      <c r="F196" s="124"/>
      <c r="G196" s="124"/>
      <c r="H196" s="124"/>
      <c r="I196" s="124"/>
      <c r="J196" s="124"/>
      <c r="K196" s="124"/>
      <c r="L196" s="124" t="str">
        <f>IF(Refsz_Verbräuche[[#Headers],[2022]]=$B$43,IF(OR(SUMIF($E196:Refsz_Verbräuche[[#This Row],[2021]],"&gt;0")&gt;0,), AVERAGEIF($E196:Refsz_Verbräuche[[#This Row],[2021]],"&lt;&gt;"""), ""),IF($B$43=(Refsz_Verbräuche[[#Headers],[2022]]-1),Refsz_Verbräuche[[#This Row],[2021]],IF($B$43&lt;Refsz_Verbräuche[[#Headers],[2022]],Refsz_Verbräuche[[#This Row],[2021]],"")))</f>
        <v/>
      </c>
      <c r="M196" s="124" t="str">
        <f>IF(Refsz_Verbräuche[[#Headers],[2023]]=$B$43,IF(OR(SUMIF($E196:Refsz_Verbräuche[[#This Row],[2022]],"&gt;0")&gt;0,), AVERAGEIF($E196:Refsz_Verbräuche[[#This Row],[2022]],"&lt;&gt;"""), ""),IF($B$43=(Refsz_Verbräuche[[#Headers],[2023]]-1),Refsz_Verbräuche[[#This Row],[2022]],IF($B$43&lt;Refsz_Verbräuche[[#Headers],[2023]],Refsz_Verbräuche[[#This Row],[2022]],"")))</f>
        <v/>
      </c>
      <c r="N196" s="124" t="str">
        <f>IF(Refsz_Verbräuche[[#Headers],[2024]]=$B$43,IF(OR(SUMIF($E196:Refsz_Verbräuche[[#This Row],[2023]],"&gt;0")&gt;0,), AVERAGEIF($E196:Refsz_Verbräuche[[#This Row],[2023]],"&lt;&gt;"""), ""),IF($B$43=(Refsz_Verbräuche[[#Headers],[2024]]-1),Refsz_Verbräuche[[#This Row],[2023]],IF($B$43&lt;Refsz_Verbräuche[[#Headers],[2024]],Refsz_Verbräuche[[#This Row],[2023]],"")))</f>
        <v/>
      </c>
      <c r="O196" s="124" t="str">
        <f>IF(Refsz_Verbräuche[[#Headers],[2025]]=$B$43,IF(OR(SUMIF($E196:Refsz_Verbräuche[[#This Row],[2024]],"&gt;0")&gt;0,), AVERAGEIF($E196:Refsz_Verbräuche[[#This Row],[2024]],"&lt;&gt;"""), ""),IF($B$43=(Refsz_Verbräuche[[#Headers],[2025]]-1),Refsz_Verbräuche[[#This Row],[2024]],IF($B$43&lt;Refsz_Verbräuche[[#Headers],[2025]],Refsz_Verbräuche[[#This Row],[2024]],"")))</f>
        <v/>
      </c>
      <c r="P196" s="124" t="str">
        <f>IF(Refsz_Verbräuche[[#Headers],[2026]]=$B$43,IF(OR(SUMIF($E196:Refsz_Verbräuche[[#This Row],[2025]],"&gt;0")&gt;0,), AVERAGEIF($E196:Refsz_Verbräuche[[#This Row],[2025]],"&lt;&gt;"""), ""),IF($B$43=(Refsz_Verbräuche[[#Headers],[2026]]-1),Refsz_Verbräuche[[#This Row],[2025]],IF($B$43&lt;Refsz_Verbräuche[[#Headers],[2026]],Refsz_Verbräuche[[#This Row],[2025]],"")))</f>
        <v/>
      </c>
      <c r="Q196" s="124" t="str">
        <f>IF(Refsz_Verbräuche[[#Headers],[2027]]=$B$43,IF(OR(SUMIF($E196:Refsz_Verbräuche[[#This Row],[2026]],"&gt;0")&gt;0,), AVERAGEIF($E196:Refsz_Verbräuche[[#This Row],[2026]],"&lt;&gt;"""), ""),IF($B$43=(Refsz_Verbräuche[[#Headers],[2027]]-1),Refsz_Verbräuche[[#This Row],[2026]],IF($B$43&lt;Refsz_Verbräuche[[#Headers],[2027]],Refsz_Verbräuche[[#This Row],[2026]],"")))</f>
        <v/>
      </c>
      <c r="R196" s="124" t="str">
        <f>IF(Refsz_Verbräuche[[#Headers],[2028]]=$B$43,IF(OR(SUMIF($E196:Refsz_Verbräuche[[#This Row],[2027]],"&gt;0")&gt;0,), AVERAGEIF($E196:Refsz_Verbräuche[[#This Row],[2027]],"&lt;&gt;"""), ""),IF($B$43=(Refsz_Verbräuche[[#Headers],[2028]]-1),Refsz_Verbräuche[[#This Row],[2027]],IF($B$43&lt;Refsz_Verbräuche[[#Headers],[2028]],Refsz_Verbräuche[[#This Row],[2027]],"")))</f>
        <v/>
      </c>
      <c r="S196" s="124" t="str">
        <f>IF(Refsz_Verbräuche[[#Headers],[2029]]=$B$43,IF(OR(SUMIF($E196:Refsz_Verbräuche[[#This Row],[2028]],"&gt;0")&gt;0,), AVERAGEIF($E196:Refsz_Verbräuche[[#This Row],[2028]],"&lt;&gt;"""), ""),IF($B$43=(Refsz_Verbräuche[[#Headers],[2029]]-1),Refsz_Verbräuche[[#This Row],[2028]],IF($B$43&lt;Refsz_Verbräuche[[#Headers],[2029]],Refsz_Verbräuche[[#This Row],[2028]],"")))</f>
        <v/>
      </c>
      <c r="T196" s="124" t="str">
        <f>IF(Refsz_Verbräuche[[#Headers],[2030]]=$B$43,IF(OR(SUMIF($E196:Refsz_Verbräuche[[#This Row],[2029]],"&gt;0")&gt;0,), AVERAGEIF($E196:Refsz_Verbräuche[[#This Row],[2029]],"&lt;&gt;"""), ""),IF($B$43=(Refsz_Verbräuche[[#Headers],[2030]]-1),Refsz_Verbräuche[[#This Row],[2029]],IF($B$43&lt;Refsz_Verbräuche[[#Headers],[2030]],Refsz_Verbräuche[[#This Row],[2029]],"")))</f>
        <v/>
      </c>
      <c r="U196" s="124" t="str">
        <f>IF(Refsz_Verbräuche[[#Headers],[2035]]=$B$43,IF(OR(SUMIF($E196:Refsz_Verbräuche[[#This Row],[2030]],"&gt;0")&gt;0,), AVERAGEIF($E196:Refsz_Verbräuche[[#This Row],[2030]],"&lt;&gt;"""), ""),IF($B$43=(Refsz_Verbräuche[[#Headers],[2035]]-1),Refsz_Verbräuche[[#This Row],[2030]],IF($B$43&lt;Refsz_Verbräuche[[#Headers],[2035]],Refsz_Verbräuche[[#This Row],[2030]],"")))</f>
        <v/>
      </c>
      <c r="V196" s="124" t="str">
        <f>IF(Refsz_Verbräuche[[#Headers],[2040]]=$B$43,IF(OR(SUMIF($E196:Refsz_Verbräuche[[#This Row],[2035]],"&gt;0")&gt;0,), AVERAGEIF($E196:Refsz_Verbräuche[[#This Row],[2035]],"&lt;&gt;"""), ""),IF($B$43=(Refsz_Verbräuche[[#Headers],[2040]]-1),Refsz_Verbräuche[[#This Row],[2035]],IF($B$43&lt;Refsz_Verbräuche[[#Headers],[2040]],Refsz_Verbräuche[[#This Row],[2035]],"")))</f>
        <v/>
      </c>
      <c r="W196" s="124" t="str">
        <f>IF(Refsz_Verbräuche[[#Headers],[2045]]=$B$43,IF(OR(SUMIF($E196:Refsz_Verbräuche[[#This Row],[2040]],"&gt;0")&gt;0,), AVERAGEIF($E196:Refsz_Verbräuche[[#This Row],[2040]],"&lt;&gt;"""), ""),IF($B$43=(Refsz_Verbräuche[[#Headers],[2045]]-1),Refsz_Verbräuche[[#This Row],[2040]],IF($B$43&lt;Refsz_Verbräuche[[#Headers],[2045]],Refsz_Verbräuche[[#This Row],[2040]],"")))</f>
        <v/>
      </c>
      <c r="X196" s="124" t="str">
        <f>IF(Refsz_Verbräuche[[#Headers],[2050]]=$B$43,IF(OR(SUMIF($E196:Refsz_Verbräuche[[#This Row],[2045]],"&gt;0")&gt;0,), AVERAGEIF($E196:Refsz_Verbräuche[[#This Row],[2045]],"&lt;&gt;"""), ""),IF($B$43=(Refsz_Verbräuche[[#Headers],[2050]]-1),Refsz_Verbräuche[[#This Row],[2045]],IF($B$43&lt;Refsz_Verbräuche[[#Headers],[2050]],Refsz_Verbräuche[[#This Row],[2045]],"")))</f>
        <v/>
      </c>
      <c r="Z196" s="15"/>
    </row>
    <row r="197" spans="2:26" x14ac:dyDescent="0.35">
      <c r="B197" s="15">
        <v>137</v>
      </c>
      <c r="C197" s="9" t="s">
        <v>117</v>
      </c>
      <c r="D197" s="14" t="s">
        <v>194</v>
      </c>
      <c r="E197" s="124"/>
      <c r="F197" s="124"/>
      <c r="G197" s="124"/>
      <c r="H197" s="124"/>
      <c r="I197" s="124"/>
      <c r="J197" s="124"/>
      <c r="K197" s="124"/>
      <c r="L197" s="124" t="str">
        <f>IF(Refsz_Verbräuche[[#Headers],[2022]]=$B$43,IF(OR(SUMIF($E197:Refsz_Verbräuche[[#This Row],[2021]],"&gt;0")&gt;0,), AVERAGEIF($E197:Refsz_Verbräuche[[#This Row],[2021]],"&lt;&gt;"""), ""),IF($B$43=(Refsz_Verbräuche[[#Headers],[2022]]-1),Refsz_Verbräuche[[#This Row],[2021]],IF($B$43&lt;Refsz_Verbräuche[[#Headers],[2022]],Refsz_Verbräuche[[#This Row],[2021]],"")))</f>
        <v/>
      </c>
      <c r="M197" s="124" t="str">
        <f>IF(Refsz_Verbräuche[[#Headers],[2023]]=$B$43,IF(OR(SUMIF($E197:Refsz_Verbräuche[[#This Row],[2022]],"&gt;0")&gt;0,), AVERAGEIF($E197:Refsz_Verbräuche[[#This Row],[2022]],"&lt;&gt;"""), ""),IF($B$43=(Refsz_Verbräuche[[#Headers],[2023]]-1),Refsz_Verbräuche[[#This Row],[2022]],IF($B$43&lt;Refsz_Verbräuche[[#Headers],[2023]],Refsz_Verbräuche[[#This Row],[2022]],"")))</f>
        <v/>
      </c>
      <c r="N197" s="124" t="str">
        <f>IF(Refsz_Verbräuche[[#Headers],[2024]]=$B$43,IF(OR(SUMIF($E197:Refsz_Verbräuche[[#This Row],[2023]],"&gt;0")&gt;0,), AVERAGEIF($E197:Refsz_Verbräuche[[#This Row],[2023]],"&lt;&gt;"""), ""),IF($B$43=(Refsz_Verbräuche[[#Headers],[2024]]-1),Refsz_Verbräuche[[#This Row],[2023]],IF($B$43&lt;Refsz_Verbräuche[[#Headers],[2024]],Refsz_Verbräuche[[#This Row],[2023]],"")))</f>
        <v/>
      </c>
      <c r="O197" s="124" t="str">
        <f>IF(Refsz_Verbräuche[[#Headers],[2025]]=$B$43,IF(OR(SUMIF($E197:Refsz_Verbräuche[[#This Row],[2024]],"&gt;0")&gt;0,), AVERAGEIF($E197:Refsz_Verbräuche[[#This Row],[2024]],"&lt;&gt;"""), ""),IF($B$43=(Refsz_Verbräuche[[#Headers],[2025]]-1),Refsz_Verbräuche[[#This Row],[2024]],IF($B$43&lt;Refsz_Verbräuche[[#Headers],[2025]],Refsz_Verbräuche[[#This Row],[2024]],"")))</f>
        <v/>
      </c>
      <c r="P197" s="124" t="str">
        <f>IF(Refsz_Verbräuche[[#Headers],[2026]]=$B$43,IF(OR(SUMIF($E197:Refsz_Verbräuche[[#This Row],[2025]],"&gt;0")&gt;0,), AVERAGEIF($E197:Refsz_Verbräuche[[#This Row],[2025]],"&lt;&gt;"""), ""),IF($B$43=(Refsz_Verbräuche[[#Headers],[2026]]-1),Refsz_Verbräuche[[#This Row],[2025]],IF($B$43&lt;Refsz_Verbräuche[[#Headers],[2026]],Refsz_Verbräuche[[#This Row],[2025]],"")))</f>
        <v/>
      </c>
      <c r="Q197" s="124" t="str">
        <f>IF(Refsz_Verbräuche[[#Headers],[2027]]=$B$43,IF(OR(SUMIF($E197:Refsz_Verbräuche[[#This Row],[2026]],"&gt;0")&gt;0,), AVERAGEIF($E197:Refsz_Verbräuche[[#This Row],[2026]],"&lt;&gt;"""), ""),IF($B$43=(Refsz_Verbräuche[[#Headers],[2027]]-1),Refsz_Verbräuche[[#This Row],[2026]],IF($B$43&lt;Refsz_Verbräuche[[#Headers],[2027]],Refsz_Verbräuche[[#This Row],[2026]],"")))</f>
        <v/>
      </c>
      <c r="R197" s="124" t="str">
        <f>IF(Refsz_Verbräuche[[#Headers],[2028]]=$B$43,IF(OR(SUMIF($E197:Refsz_Verbräuche[[#This Row],[2027]],"&gt;0")&gt;0,), AVERAGEIF($E197:Refsz_Verbräuche[[#This Row],[2027]],"&lt;&gt;"""), ""),IF($B$43=(Refsz_Verbräuche[[#Headers],[2028]]-1),Refsz_Verbräuche[[#This Row],[2027]],IF($B$43&lt;Refsz_Verbräuche[[#Headers],[2028]],Refsz_Verbräuche[[#This Row],[2027]],"")))</f>
        <v/>
      </c>
      <c r="S197" s="124" t="str">
        <f>IF(Refsz_Verbräuche[[#Headers],[2029]]=$B$43,IF(OR(SUMIF($E197:Refsz_Verbräuche[[#This Row],[2028]],"&gt;0")&gt;0,), AVERAGEIF($E197:Refsz_Verbräuche[[#This Row],[2028]],"&lt;&gt;"""), ""),IF($B$43=(Refsz_Verbräuche[[#Headers],[2029]]-1),Refsz_Verbräuche[[#This Row],[2028]],IF($B$43&lt;Refsz_Verbräuche[[#Headers],[2029]],Refsz_Verbräuche[[#This Row],[2028]],"")))</f>
        <v/>
      </c>
      <c r="T197" s="124" t="str">
        <f>IF(Refsz_Verbräuche[[#Headers],[2030]]=$B$43,IF(OR(SUMIF($E197:Refsz_Verbräuche[[#This Row],[2029]],"&gt;0")&gt;0,), AVERAGEIF($E197:Refsz_Verbräuche[[#This Row],[2029]],"&lt;&gt;"""), ""),IF($B$43=(Refsz_Verbräuche[[#Headers],[2030]]-1),Refsz_Verbräuche[[#This Row],[2029]],IF($B$43&lt;Refsz_Verbräuche[[#Headers],[2030]],Refsz_Verbräuche[[#This Row],[2029]],"")))</f>
        <v/>
      </c>
      <c r="U197" s="124" t="str">
        <f>IF(Refsz_Verbräuche[[#Headers],[2035]]=$B$43,IF(OR(SUMIF($E197:Refsz_Verbräuche[[#This Row],[2030]],"&gt;0")&gt;0,), AVERAGEIF($E197:Refsz_Verbräuche[[#This Row],[2030]],"&lt;&gt;"""), ""),IF($B$43=(Refsz_Verbräuche[[#Headers],[2035]]-1),Refsz_Verbräuche[[#This Row],[2030]],IF($B$43&lt;Refsz_Verbräuche[[#Headers],[2035]],Refsz_Verbräuche[[#This Row],[2030]],"")))</f>
        <v/>
      </c>
      <c r="V197" s="124" t="str">
        <f>IF(Refsz_Verbräuche[[#Headers],[2040]]=$B$43,IF(OR(SUMIF($E197:Refsz_Verbräuche[[#This Row],[2035]],"&gt;0")&gt;0,), AVERAGEIF($E197:Refsz_Verbräuche[[#This Row],[2035]],"&lt;&gt;"""), ""),IF($B$43=(Refsz_Verbräuche[[#Headers],[2040]]-1),Refsz_Verbräuche[[#This Row],[2035]],IF($B$43&lt;Refsz_Verbräuche[[#Headers],[2040]],Refsz_Verbräuche[[#This Row],[2035]],"")))</f>
        <v/>
      </c>
      <c r="W197" s="124" t="str">
        <f>IF(Refsz_Verbräuche[[#Headers],[2045]]=$B$43,IF(OR(SUMIF($E197:Refsz_Verbräuche[[#This Row],[2040]],"&gt;0")&gt;0,), AVERAGEIF($E197:Refsz_Verbräuche[[#This Row],[2040]],"&lt;&gt;"""), ""),IF($B$43=(Refsz_Verbräuche[[#Headers],[2045]]-1),Refsz_Verbräuche[[#This Row],[2040]],IF($B$43&lt;Refsz_Verbräuche[[#Headers],[2045]],Refsz_Verbräuche[[#This Row],[2040]],"")))</f>
        <v/>
      </c>
      <c r="X197" s="124" t="str">
        <f>IF(Refsz_Verbräuche[[#Headers],[2050]]=$B$43,IF(OR(SUMIF($E197:Refsz_Verbräuche[[#This Row],[2045]],"&gt;0")&gt;0,), AVERAGEIF($E197:Refsz_Verbräuche[[#This Row],[2045]],"&lt;&gt;"""), ""),IF($B$43=(Refsz_Verbräuche[[#Headers],[2050]]-1),Refsz_Verbräuche[[#This Row],[2045]],IF($B$43&lt;Refsz_Verbräuche[[#Headers],[2050]],Refsz_Verbräuche[[#This Row],[2045]],"")))</f>
        <v/>
      </c>
      <c r="Z197" s="15"/>
    </row>
    <row r="198" spans="2:26" x14ac:dyDescent="0.35">
      <c r="B198" s="15">
        <v>138</v>
      </c>
      <c r="C198" s="9" t="s">
        <v>118</v>
      </c>
      <c r="D198" t="s">
        <v>48</v>
      </c>
      <c r="E198" s="124"/>
      <c r="F198" s="124"/>
      <c r="G198" s="124"/>
      <c r="H198" s="124"/>
      <c r="I198" s="124"/>
      <c r="J198" s="124"/>
      <c r="K198" s="124"/>
      <c r="L198" s="124" t="str">
        <f>IF(Refsz_Verbräuche[[#Headers],[2022]]=$B$43,IF(OR(SUMIF($E198:Refsz_Verbräuche[[#This Row],[2021]],"&gt;0")&gt;0,), AVERAGEIF($E198:Refsz_Verbräuche[[#This Row],[2021]],"&lt;&gt;"""), ""),IF($B$43=(Refsz_Verbräuche[[#Headers],[2022]]-1),Refsz_Verbräuche[[#This Row],[2021]],IF($B$43&lt;Refsz_Verbräuche[[#Headers],[2022]],Refsz_Verbräuche[[#This Row],[2021]],"")))</f>
        <v/>
      </c>
      <c r="M198" s="124" t="str">
        <f>IF(Refsz_Verbräuche[[#Headers],[2023]]=$B$43,IF(OR(SUMIF($E198:Refsz_Verbräuche[[#This Row],[2022]],"&gt;0")&gt;0,), AVERAGEIF($E198:Refsz_Verbräuche[[#This Row],[2022]],"&lt;&gt;"""), ""),IF($B$43=(Refsz_Verbräuche[[#Headers],[2023]]-1),Refsz_Verbräuche[[#This Row],[2022]],IF($B$43&lt;Refsz_Verbräuche[[#Headers],[2023]],Refsz_Verbräuche[[#This Row],[2022]],"")))</f>
        <v/>
      </c>
      <c r="N198" s="124" t="str">
        <f>IF(Refsz_Verbräuche[[#Headers],[2024]]=$B$43,IF(OR(SUMIF($E198:Refsz_Verbräuche[[#This Row],[2023]],"&gt;0")&gt;0,), AVERAGEIF($E198:Refsz_Verbräuche[[#This Row],[2023]],"&lt;&gt;"""), ""),IF($B$43=(Refsz_Verbräuche[[#Headers],[2024]]-1),Refsz_Verbräuche[[#This Row],[2023]],IF($B$43&lt;Refsz_Verbräuche[[#Headers],[2024]],Refsz_Verbräuche[[#This Row],[2023]],"")))</f>
        <v/>
      </c>
      <c r="O198" s="124" t="str">
        <f>IF(Refsz_Verbräuche[[#Headers],[2025]]=$B$43,IF(OR(SUMIF($E198:Refsz_Verbräuche[[#This Row],[2024]],"&gt;0")&gt;0,), AVERAGEIF($E198:Refsz_Verbräuche[[#This Row],[2024]],"&lt;&gt;"""), ""),IF($B$43=(Refsz_Verbräuche[[#Headers],[2025]]-1),Refsz_Verbräuche[[#This Row],[2024]],IF($B$43&lt;Refsz_Verbräuche[[#Headers],[2025]],Refsz_Verbräuche[[#This Row],[2024]],"")))</f>
        <v/>
      </c>
      <c r="P198" s="124" t="str">
        <f>IF(Refsz_Verbräuche[[#Headers],[2026]]=$B$43,IF(OR(SUMIF($E198:Refsz_Verbräuche[[#This Row],[2025]],"&gt;0")&gt;0,), AVERAGEIF($E198:Refsz_Verbräuche[[#This Row],[2025]],"&lt;&gt;"""), ""),IF($B$43=(Refsz_Verbräuche[[#Headers],[2026]]-1),Refsz_Verbräuche[[#This Row],[2025]],IF($B$43&lt;Refsz_Verbräuche[[#Headers],[2026]],Refsz_Verbräuche[[#This Row],[2025]],"")))</f>
        <v/>
      </c>
      <c r="Q198" s="124" t="str">
        <f>IF(Refsz_Verbräuche[[#Headers],[2027]]=$B$43,IF(OR(SUMIF($E198:Refsz_Verbräuche[[#This Row],[2026]],"&gt;0")&gt;0,), AVERAGEIF($E198:Refsz_Verbräuche[[#This Row],[2026]],"&lt;&gt;"""), ""),IF($B$43=(Refsz_Verbräuche[[#Headers],[2027]]-1),Refsz_Verbräuche[[#This Row],[2026]],IF($B$43&lt;Refsz_Verbräuche[[#Headers],[2027]],Refsz_Verbräuche[[#This Row],[2026]],"")))</f>
        <v/>
      </c>
      <c r="R198" s="124" t="str">
        <f>IF(Refsz_Verbräuche[[#Headers],[2028]]=$B$43,IF(OR(SUMIF($E198:Refsz_Verbräuche[[#This Row],[2027]],"&gt;0")&gt;0,), AVERAGEIF($E198:Refsz_Verbräuche[[#This Row],[2027]],"&lt;&gt;"""), ""),IF($B$43=(Refsz_Verbräuche[[#Headers],[2028]]-1),Refsz_Verbräuche[[#This Row],[2027]],IF($B$43&lt;Refsz_Verbräuche[[#Headers],[2028]],Refsz_Verbräuche[[#This Row],[2027]],"")))</f>
        <v/>
      </c>
      <c r="S198" s="124" t="str">
        <f>IF(Refsz_Verbräuche[[#Headers],[2029]]=$B$43,IF(OR(SUMIF($E198:Refsz_Verbräuche[[#This Row],[2028]],"&gt;0")&gt;0,), AVERAGEIF($E198:Refsz_Verbräuche[[#This Row],[2028]],"&lt;&gt;"""), ""),IF($B$43=(Refsz_Verbräuche[[#Headers],[2029]]-1),Refsz_Verbräuche[[#This Row],[2028]],IF($B$43&lt;Refsz_Verbräuche[[#Headers],[2029]],Refsz_Verbräuche[[#This Row],[2028]],"")))</f>
        <v/>
      </c>
      <c r="T198" s="124" t="str">
        <f>IF(Refsz_Verbräuche[[#Headers],[2030]]=$B$43,IF(OR(SUMIF($E198:Refsz_Verbräuche[[#This Row],[2029]],"&gt;0")&gt;0,), AVERAGEIF($E198:Refsz_Verbräuche[[#This Row],[2029]],"&lt;&gt;"""), ""),IF($B$43=(Refsz_Verbräuche[[#Headers],[2030]]-1),Refsz_Verbräuche[[#This Row],[2029]],IF($B$43&lt;Refsz_Verbräuche[[#Headers],[2030]],Refsz_Verbräuche[[#This Row],[2029]],"")))</f>
        <v/>
      </c>
      <c r="U198" s="124" t="str">
        <f>IF(Refsz_Verbräuche[[#Headers],[2035]]=$B$43,IF(OR(SUMIF($E198:Refsz_Verbräuche[[#This Row],[2030]],"&gt;0")&gt;0,), AVERAGEIF($E198:Refsz_Verbräuche[[#This Row],[2030]],"&lt;&gt;"""), ""),IF($B$43=(Refsz_Verbräuche[[#Headers],[2035]]-1),Refsz_Verbräuche[[#This Row],[2030]],IF($B$43&lt;Refsz_Verbräuche[[#Headers],[2035]],Refsz_Verbräuche[[#This Row],[2030]],"")))</f>
        <v/>
      </c>
      <c r="V198" s="124" t="str">
        <f>IF(Refsz_Verbräuche[[#Headers],[2040]]=$B$43,IF(OR(SUMIF($E198:Refsz_Verbräuche[[#This Row],[2035]],"&gt;0")&gt;0,), AVERAGEIF($E198:Refsz_Verbräuche[[#This Row],[2035]],"&lt;&gt;"""), ""),IF($B$43=(Refsz_Verbräuche[[#Headers],[2040]]-1),Refsz_Verbräuche[[#This Row],[2035]],IF($B$43&lt;Refsz_Verbräuche[[#Headers],[2040]],Refsz_Verbräuche[[#This Row],[2035]],"")))</f>
        <v/>
      </c>
      <c r="W198" s="124" t="str">
        <f>IF(Refsz_Verbräuche[[#Headers],[2045]]=$B$43,IF(OR(SUMIF($E198:Refsz_Verbräuche[[#This Row],[2040]],"&gt;0")&gt;0,), AVERAGEIF($E198:Refsz_Verbräuche[[#This Row],[2040]],"&lt;&gt;"""), ""),IF($B$43=(Refsz_Verbräuche[[#Headers],[2045]]-1),Refsz_Verbräuche[[#This Row],[2040]],IF($B$43&lt;Refsz_Verbräuche[[#Headers],[2045]],Refsz_Verbräuche[[#This Row],[2040]],"")))</f>
        <v/>
      </c>
      <c r="X198" s="124" t="str">
        <f>IF(Refsz_Verbräuche[[#Headers],[2050]]=$B$43,IF(OR(SUMIF($E198:Refsz_Verbräuche[[#This Row],[2045]],"&gt;0")&gt;0,), AVERAGEIF($E198:Refsz_Verbräuche[[#This Row],[2045]],"&lt;&gt;"""), ""),IF($B$43=(Refsz_Verbräuche[[#Headers],[2050]]-1),Refsz_Verbräuche[[#This Row],[2045]],IF($B$43&lt;Refsz_Verbräuche[[#Headers],[2050]],Refsz_Verbräuche[[#This Row],[2045]],"")))</f>
        <v/>
      </c>
      <c r="Z198" s="15"/>
    </row>
    <row r="199" spans="2:26" x14ac:dyDescent="0.35">
      <c r="B199" s="15">
        <v>139</v>
      </c>
      <c r="C199" s="9" t="s">
        <v>126</v>
      </c>
      <c r="D199" t="s">
        <v>48</v>
      </c>
      <c r="E199" s="124"/>
      <c r="F199" s="124"/>
      <c r="G199" s="124"/>
      <c r="H199" s="124"/>
      <c r="I199" s="124"/>
      <c r="J199" s="124"/>
      <c r="K199" s="124"/>
      <c r="L199" s="124" t="str">
        <f>IF(Refsz_Verbräuche[[#Headers],[2022]]=$B$43,IF(OR(SUMIF($E199:Refsz_Verbräuche[[#This Row],[2021]],"&gt;0")&gt;0,), AVERAGEIF($E199:Refsz_Verbräuche[[#This Row],[2021]],"&lt;&gt;"""), ""),IF($B$43=(Refsz_Verbräuche[[#Headers],[2022]]-1),Refsz_Verbräuche[[#This Row],[2021]],IF($B$43&lt;Refsz_Verbräuche[[#Headers],[2022]],Refsz_Verbräuche[[#This Row],[2021]],"")))</f>
        <v/>
      </c>
      <c r="M199" s="124" t="str">
        <f>IF(Refsz_Verbräuche[[#Headers],[2023]]=$B$43,IF(OR(SUMIF($E199:Refsz_Verbräuche[[#This Row],[2022]],"&gt;0")&gt;0,), AVERAGEIF($E199:Refsz_Verbräuche[[#This Row],[2022]],"&lt;&gt;"""), ""),IF($B$43=(Refsz_Verbräuche[[#Headers],[2023]]-1),Refsz_Verbräuche[[#This Row],[2022]],IF($B$43&lt;Refsz_Verbräuche[[#Headers],[2023]],Refsz_Verbräuche[[#This Row],[2022]],"")))</f>
        <v/>
      </c>
      <c r="N199" s="124" t="str">
        <f>IF(Refsz_Verbräuche[[#Headers],[2024]]=$B$43,IF(OR(SUMIF($E199:Refsz_Verbräuche[[#This Row],[2023]],"&gt;0")&gt;0,), AVERAGEIF($E199:Refsz_Verbräuche[[#This Row],[2023]],"&lt;&gt;"""), ""),IF($B$43=(Refsz_Verbräuche[[#Headers],[2024]]-1),Refsz_Verbräuche[[#This Row],[2023]],IF($B$43&lt;Refsz_Verbräuche[[#Headers],[2024]],Refsz_Verbräuche[[#This Row],[2023]],"")))</f>
        <v/>
      </c>
      <c r="O199" s="124" t="str">
        <f>IF(Refsz_Verbräuche[[#Headers],[2025]]=$B$43,IF(OR(SUMIF($E199:Refsz_Verbräuche[[#This Row],[2024]],"&gt;0")&gt;0,), AVERAGEIF($E199:Refsz_Verbräuche[[#This Row],[2024]],"&lt;&gt;"""), ""),IF($B$43=(Refsz_Verbräuche[[#Headers],[2025]]-1),Refsz_Verbräuche[[#This Row],[2024]],IF($B$43&lt;Refsz_Verbräuche[[#Headers],[2025]],Refsz_Verbräuche[[#This Row],[2024]],"")))</f>
        <v/>
      </c>
      <c r="P199" s="124" t="str">
        <f>IF(Refsz_Verbräuche[[#Headers],[2026]]=$B$43,IF(OR(SUMIF($E199:Refsz_Verbräuche[[#This Row],[2025]],"&gt;0")&gt;0,), AVERAGEIF($E199:Refsz_Verbräuche[[#This Row],[2025]],"&lt;&gt;"""), ""),IF($B$43=(Refsz_Verbräuche[[#Headers],[2026]]-1),Refsz_Verbräuche[[#This Row],[2025]],IF($B$43&lt;Refsz_Verbräuche[[#Headers],[2026]],Refsz_Verbräuche[[#This Row],[2025]],"")))</f>
        <v/>
      </c>
      <c r="Q199" s="124" t="str">
        <f>IF(Refsz_Verbräuche[[#Headers],[2027]]=$B$43,IF(OR(SUMIF($E199:Refsz_Verbräuche[[#This Row],[2026]],"&gt;0")&gt;0,), AVERAGEIF($E199:Refsz_Verbräuche[[#This Row],[2026]],"&lt;&gt;"""), ""),IF($B$43=(Refsz_Verbräuche[[#Headers],[2027]]-1),Refsz_Verbräuche[[#This Row],[2026]],IF($B$43&lt;Refsz_Verbräuche[[#Headers],[2027]],Refsz_Verbräuche[[#This Row],[2026]],"")))</f>
        <v/>
      </c>
      <c r="R199" s="124" t="str">
        <f>IF(Refsz_Verbräuche[[#Headers],[2028]]=$B$43,IF(OR(SUMIF($E199:Refsz_Verbräuche[[#This Row],[2027]],"&gt;0")&gt;0,), AVERAGEIF($E199:Refsz_Verbräuche[[#This Row],[2027]],"&lt;&gt;"""), ""),IF($B$43=(Refsz_Verbräuche[[#Headers],[2028]]-1),Refsz_Verbräuche[[#This Row],[2027]],IF($B$43&lt;Refsz_Verbräuche[[#Headers],[2028]],Refsz_Verbräuche[[#This Row],[2027]],"")))</f>
        <v/>
      </c>
      <c r="S199" s="124" t="str">
        <f>IF(Refsz_Verbräuche[[#Headers],[2029]]=$B$43,IF(OR(SUMIF($E199:Refsz_Verbräuche[[#This Row],[2028]],"&gt;0")&gt;0,), AVERAGEIF($E199:Refsz_Verbräuche[[#This Row],[2028]],"&lt;&gt;"""), ""),IF($B$43=(Refsz_Verbräuche[[#Headers],[2029]]-1),Refsz_Verbräuche[[#This Row],[2028]],IF($B$43&lt;Refsz_Verbräuche[[#Headers],[2029]],Refsz_Verbräuche[[#This Row],[2028]],"")))</f>
        <v/>
      </c>
      <c r="T199" s="124" t="str">
        <f>IF(Refsz_Verbräuche[[#Headers],[2030]]=$B$43,IF(OR(SUMIF($E199:Refsz_Verbräuche[[#This Row],[2029]],"&gt;0")&gt;0,), AVERAGEIF($E199:Refsz_Verbräuche[[#This Row],[2029]],"&lt;&gt;"""), ""),IF($B$43=(Refsz_Verbräuche[[#Headers],[2030]]-1),Refsz_Verbräuche[[#This Row],[2029]],IF($B$43&lt;Refsz_Verbräuche[[#Headers],[2030]],Refsz_Verbräuche[[#This Row],[2029]],"")))</f>
        <v/>
      </c>
      <c r="U199" s="124" t="str">
        <f>IF(Refsz_Verbräuche[[#Headers],[2035]]=$B$43,IF(OR(SUMIF($E199:Refsz_Verbräuche[[#This Row],[2030]],"&gt;0")&gt;0,), AVERAGEIF($E199:Refsz_Verbräuche[[#This Row],[2030]],"&lt;&gt;"""), ""),IF($B$43=(Refsz_Verbräuche[[#Headers],[2035]]-1),Refsz_Verbräuche[[#This Row],[2030]],IF($B$43&lt;Refsz_Verbräuche[[#Headers],[2035]],Refsz_Verbräuche[[#This Row],[2030]],"")))</f>
        <v/>
      </c>
      <c r="V199" s="124" t="str">
        <f>IF(Refsz_Verbräuche[[#Headers],[2040]]=$B$43,IF(OR(SUMIF($E199:Refsz_Verbräuche[[#This Row],[2035]],"&gt;0")&gt;0,), AVERAGEIF($E199:Refsz_Verbräuche[[#This Row],[2035]],"&lt;&gt;"""), ""),IF($B$43=(Refsz_Verbräuche[[#Headers],[2040]]-1),Refsz_Verbräuche[[#This Row],[2035]],IF($B$43&lt;Refsz_Verbräuche[[#Headers],[2040]],Refsz_Verbräuche[[#This Row],[2035]],"")))</f>
        <v/>
      </c>
      <c r="W199" s="124" t="str">
        <f>IF(Refsz_Verbräuche[[#Headers],[2045]]=$B$43,IF(OR(SUMIF($E199:Refsz_Verbräuche[[#This Row],[2040]],"&gt;0")&gt;0,), AVERAGEIF($E199:Refsz_Verbräuche[[#This Row],[2040]],"&lt;&gt;"""), ""),IF($B$43=(Refsz_Verbräuche[[#Headers],[2045]]-1),Refsz_Verbräuche[[#This Row],[2040]],IF($B$43&lt;Refsz_Verbräuche[[#Headers],[2045]],Refsz_Verbräuche[[#This Row],[2040]],"")))</f>
        <v/>
      </c>
      <c r="X199" s="124" t="str">
        <f>IF(Refsz_Verbräuche[[#Headers],[2050]]=$B$43,IF(OR(SUMIF($E199:Refsz_Verbräuche[[#This Row],[2045]],"&gt;0")&gt;0,), AVERAGEIF($E199:Refsz_Verbräuche[[#This Row],[2045]],"&lt;&gt;"""), ""),IF($B$43=(Refsz_Verbräuche[[#Headers],[2050]]-1),Refsz_Verbräuche[[#This Row],[2045]],IF($B$43&lt;Refsz_Verbräuche[[#Headers],[2050]],Refsz_Verbräuche[[#This Row],[2045]],"")))</f>
        <v/>
      </c>
      <c r="Z199" s="15"/>
    </row>
    <row r="200" spans="2:26" x14ac:dyDescent="0.35">
      <c r="B200" s="15">
        <v>140</v>
      </c>
      <c r="C200" s="9" t="s">
        <v>128</v>
      </c>
      <c r="D200" t="s">
        <v>195</v>
      </c>
      <c r="E200" s="124"/>
      <c r="F200" s="124"/>
      <c r="G200" s="124"/>
      <c r="H200" s="124"/>
      <c r="I200" s="124"/>
      <c r="J200" s="124"/>
      <c r="K200" s="124"/>
      <c r="L200" s="124" t="str">
        <f>IF(Refsz_Verbräuche[[#Headers],[2022]]=$B$43,IF(OR(SUMIF($E200:Refsz_Verbräuche[[#This Row],[2021]],"&gt;0")&gt;0,), AVERAGEIF($E200:Refsz_Verbräuche[[#This Row],[2021]],"&lt;&gt;"""), ""),IF($B$43=(Refsz_Verbräuche[[#Headers],[2022]]-1),Refsz_Verbräuche[[#This Row],[2021]],IF($B$43&lt;Refsz_Verbräuche[[#Headers],[2022]],Refsz_Verbräuche[[#This Row],[2021]],"")))</f>
        <v/>
      </c>
      <c r="M200" s="124" t="str">
        <f>IF(Refsz_Verbräuche[[#Headers],[2023]]=$B$43,IF(OR(SUMIF($E200:Refsz_Verbräuche[[#This Row],[2022]],"&gt;0")&gt;0,), AVERAGEIF($E200:Refsz_Verbräuche[[#This Row],[2022]],"&lt;&gt;"""), ""),IF($B$43=(Refsz_Verbräuche[[#Headers],[2023]]-1),Refsz_Verbräuche[[#This Row],[2022]],IF($B$43&lt;Refsz_Verbräuche[[#Headers],[2023]],Refsz_Verbräuche[[#This Row],[2022]],"")))</f>
        <v/>
      </c>
      <c r="N200" s="124" t="str">
        <f>IF(Refsz_Verbräuche[[#Headers],[2024]]=$B$43,IF(OR(SUMIF($E200:Refsz_Verbräuche[[#This Row],[2023]],"&gt;0")&gt;0,), AVERAGEIF($E200:Refsz_Verbräuche[[#This Row],[2023]],"&lt;&gt;"""), ""),IF($B$43=(Refsz_Verbräuche[[#Headers],[2024]]-1),Refsz_Verbräuche[[#This Row],[2023]],IF($B$43&lt;Refsz_Verbräuche[[#Headers],[2024]],Refsz_Verbräuche[[#This Row],[2023]],"")))</f>
        <v/>
      </c>
      <c r="O200" s="124" t="str">
        <f>IF(Refsz_Verbräuche[[#Headers],[2025]]=$B$43,IF(OR(SUMIF($E200:Refsz_Verbräuche[[#This Row],[2024]],"&gt;0")&gt;0,), AVERAGEIF($E200:Refsz_Verbräuche[[#This Row],[2024]],"&lt;&gt;"""), ""),IF($B$43=(Refsz_Verbräuche[[#Headers],[2025]]-1),Refsz_Verbräuche[[#This Row],[2024]],IF($B$43&lt;Refsz_Verbräuche[[#Headers],[2025]],Refsz_Verbräuche[[#This Row],[2024]],"")))</f>
        <v/>
      </c>
      <c r="P200" s="124" t="str">
        <f>IF(Refsz_Verbräuche[[#Headers],[2026]]=$B$43,IF(OR(SUMIF($E200:Refsz_Verbräuche[[#This Row],[2025]],"&gt;0")&gt;0,), AVERAGEIF($E200:Refsz_Verbräuche[[#This Row],[2025]],"&lt;&gt;"""), ""),IF($B$43=(Refsz_Verbräuche[[#Headers],[2026]]-1),Refsz_Verbräuche[[#This Row],[2025]],IF($B$43&lt;Refsz_Verbräuche[[#Headers],[2026]],Refsz_Verbräuche[[#This Row],[2025]],"")))</f>
        <v/>
      </c>
      <c r="Q200" s="124" t="str">
        <f>IF(Refsz_Verbräuche[[#Headers],[2027]]=$B$43,IF(OR(SUMIF($E200:Refsz_Verbräuche[[#This Row],[2026]],"&gt;0")&gt;0,), AVERAGEIF($E200:Refsz_Verbräuche[[#This Row],[2026]],"&lt;&gt;"""), ""),IF($B$43=(Refsz_Verbräuche[[#Headers],[2027]]-1),Refsz_Verbräuche[[#This Row],[2026]],IF($B$43&lt;Refsz_Verbräuche[[#Headers],[2027]],Refsz_Verbräuche[[#This Row],[2026]],"")))</f>
        <v/>
      </c>
      <c r="R200" s="124" t="str">
        <f>IF(Refsz_Verbräuche[[#Headers],[2028]]=$B$43,IF(OR(SUMIF($E200:Refsz_Verbräuche[[#This Row],[2027]],"&gt;0")&gt;0,), AVERAGEIF($E200:Refsz_Verbräuche[[#This Row],[2027]],"&lt;&gt;"""), ""),IF($B$43=(Refsz_Verbräuche[[#Headers],[2028]]-1),Refsz_Verbräuche[[#This Row],[2027]],IF($B$43&lt;Refsz_Verbräuche[[#Headers],[2028]],Refsz_Verbräuche[[#This Row],[2027]],"")))</f>
        <v/>
      </c>
      <c r="S200" s="124" t="str">
        <f>IF(Refsz_Verbräuche[[#Headers],[2029]]=$B$43,IF(OR(SUMIF($E200:Refsz_Verbräuche[[#This Row],[2028]],"&gt;0")&gt;0,), AVERAGEIF($E200:Refsz_Verbräuche[[#This Row],[2028]],"&lt;&gt;"""), ""),IF($B$43=(Refsz_Verbräuche[[#Headers],[2029]]-1),Refsz_Verbräuche[[#This Row],[2028]],IF($B$43&lt;Refsz_Verbräuche[[#Headers],[2029]],Refsz_Verbräuche[[#This Row],[2028]],"")))</f>
        <v/>
      </c>
      <c r="T200" s="124" t="str">
        <f>IF(Refsz_Verbräuche[[#Headers],[2030]]=$B$43,IF(OR(SUMIF($E200:Refsz_Verbräuche[[#This Row],[2029]],"&gt;0")&gt;0,), AVERAGEIF($E200:Refsz_Verbräuche[[#This Row],[2029]],"&lt;&gt;"""), ""),IF($B$43=(Refsz_Verbräuche[[#Headers],[2030]]-1),Refsz_Verbräuche[[#This Row],[2029]],IF($B$43&lt;Refsz_Verbräuche[[#Headers],[2030]],Refsz_Verbräuche[[#This Row],[2029]],"")))</f>
        <v/>
      </c>
      <c r="U200" s="124" t="str">
        <f>IF(Refsz_Verbräuche[[#Headers],[2035]]=$B$43,IF(OR(SUMIF($E200:Refsz_Verbräuche[[#This Row],[2030]],"&gt;0")&gt;0,), AVERAGEIF($E200:Refsz_Verbräuche[[#This Row],[2030]],"&lt;&gt;"""), ""),IF($B$43=(Refsz_Verbräuche[[#Headers],[2035]]-1),Refsz_Verbräuche[[#This Row],[2030]],IF($B$43&lt;Refsz_Verbräuche[[#Headers],[2035]],Refsz_Verbräuche[[#This Row],[2030]],"")))</f>
        <v/>
      </c>
      <c r="V200" s="124" t="str">
        <f>IF(Refsz_Verbräuche[[#Headers],[2040]]=$B$43,IF(OR(SUMIF($E200:Refsz_Verbräuche[[#This Row],[2035]],"&gt;0")&gt;0,), AVERAGEIF($E200:Refsz_Verbräuche[[#This Row],[2035]],"&lt;&gt;"""), ""),IF($B$43=(Refsz_Verbräuche[[#Headers],[2040]]-1),Refsz_Verbräuche[[#This Row],[2035]],IF($B$43&lt;Refsz_Verbräuche[[#Headers],[2040]],Refsz_Verbräuche[[#This Row],[2035]],"")))</f>
        <v/>
      </c>
      <c r="W200" s="124" t="str">
        <f>IF(Refsz_Verbräuche[[#Headers],[2045]]=$B$43,IF(OR(SUMIF($E200:Refsz_Verbräuche[[#This Row],[2040]],"&gt;0")&gt;0,), AVERAGEIF($E200:Refsz_Verbräuche[[#This Row],[2040]],"&lt;&gt;"""), ""),IF($B$43=(Refsz_Verbräuche[[#Headers],[2045]]-1),Refsz_Verbräuche[[#This Row],[2040]],IF($B$43&lt;Refsz_Verbräuche[[#Headers],[2045]],Refsz_Verbräuche[[#This Row],[2040]],"")))</f>
        <v/>
      </c>
      <c r="X200" s="124" t="str">
        <f>IF(Refsz_Verbräuche[[#Headers],[2050]]=$B$43,IF(OR(SUMIF($E200:Refsz_Verbräuche[[#This Row],[2045]],"&gt;0")&gt;0,), AVERAGEIF($E200:Refsz_Verbräuche[[#This Row],[2045]],"&lt;&gt;"""), ""),IF($B$43=(Refsz_Verbräuche[[#Headers],[2050]]-1),Refsz_Verbräuche[[#This Row],[2045]],IF($B$43&lt;Refsz_Verbräuche[[#Headers],[2050]],Refsz_Verbräuche[[#This Row],[2045]],"")))</f>
        <v/>
      </c>
      <c r="Z200" s="15"/>
    </row>
    <row r="201" spans="2:26" x14ac:dyDescent="0.35">
      <c r="B201" s="15">
        <v>141</v>
      </c>
      <c r="C201" s="9" t="s">
        <v>130</v>
      </c>
      <c r="D201" t="s">
        <v>195</v>
      </c>
      <c r="E201" s="124"/>
      <c r="F201" s="124"/>
      <c r="G201" s="124"/>
      <c r="H201" s="124"/>
      <c r="I201" s="124"/>
      <c r="J201" s="124"/>
      <c r="K201" s="124"/>
      <c r="L201" s="124" t="str">
        <f>IF(Refsz_Verbräuche[[#Headers],[2022]]=$B$43,IF(OR(SUMIF($E201:Refsz_Verbräuche[[#This Row],[2021]],"&gt;0")&gt;0,), AVERAGEIF($E201:Refsz_Verbräuche[[#This Row],[2021]],"&lt;&gt;"""), ""),IF($B$43=(Refsz_Verbräuche[[#Headers],[2022]]-1),Refsz_Verbräuche[[#This Row],[2021]],IF($B$43&lt;Refsz_Verbräuche[[#Headers],[2022]],Refsz_Verbräuche[[#This Row],[2021]],"")))</f>
        <v/>
      </c>
      <c r="M201" s="124" t="str">
        <f>IF(Refsz_Verbräuche[[#Headers],[2023]]=$B$43,IF(OR(SUMIF($E201:Refsz_Verbräuche[[#This Row],[2022]],"&gt;0")&gt;0,), AVERAGEIF($E201:Refsz_Verbräuche[[#This Row],[2022]],"&lt;&gt;"""), ""),IF($B$43=(Refsz_Verbräuche[[#Headers],[2023]]-1),Refsz_Verbräuche[[#This Row],[2022]],IF($B$43&lt;Refsz_Verbräuche[[#Headers],[2023]],Refsz_Verbräuche[[#This Row],[2022]],"")))</f>
        <v/>
      </c>
      <c r="N201" s="124" t="str">
        <f>IF(Refsz_Verbräuche[[#Headers],[2024]]=$B$43,IF(OR(SUMIF($E201:Refsz_Verbräuche[[#This Row],[2023]],"&gt;0")&gt;0,), AVERAGEIF($E201:Refsz_Verbräuche[[#This Row],[2023]],"&lt;&gt;"""), ""),IF($B$43=(Refsz_Verbräuche[[#Headers],[2024]]-1),Refsz_Verbräuche[[#This Row],[2023]],IF($B$43&lt;Refsz_Verbräuche[[#Headers],[2024]],Refsz_Verbräuche[[#This Row],[2023]],"")))</f>
        <v/>
      </c>
      <c r="O201" s="124" t="str">
        <f>IF(Refsz_Verbräuche[[#Headers],[2025]]=$B$43,IF(OR(SUMIF($E201:Refsz_Verbräuche[[#This Row],[2024]],"&gt;0")&gt;0,), AVERAGEIF($E201:Refsz_Verbräuche[[#This Row],[2024]],"&lt;&gt;"""), ""),IF($B$43=(Refsz_Verbräuche[[#Headers],[2025]]-1),Refsz_Verbräuche[[#This Row],[2024]],IF($B$43&lt;Refsz_Verbräuche[[#Headers],[2025]],Refsz_Verbräuche[[#This Row],[2024]],"")))</f>
        <v/>
      </c>
      <c r="P201" s="124" t="str">
        <f>IF(Refsz_Verbräuche[[#Headers],[2026]]=$B$43,IF(OR(SUMIF($E201:Refsz_Verbräuche[[#This Row],[2025]],"&gt;0")&gt;0,), AVERAGEIF($E201:Refsz_Verbräuche[[#This Row],[2025]],"&lt;&gt;"""), ""),IF($B$43=(Refsz_Verbräuche[[#Headers],[2026]]-1),Refsz_Verbräuche[[#This Row],[2025]],IF($B$43&lt;Refsz_Verbräuche[[#Headers],[2026]],Refsz_Verbräuche[[#This Row],[2025]],"")))</f>
        <v/>
      </c>
      <c r="Q201" s="124" t="str">
        <f>IF(Refsz_Verbräuche[[#Headers],[2027]]=$B$43,IF(OR(SUMIF($E201:Refsz_Verbräuche[[#This Row],[2026]],"&gt;0")&gt;0,), AVERAGEIF($E201:Refsz_Verbräuche[[#This Row],[2026]],"&lt;&gt;"""), ""),IF($B$43=(Refsz_Verbräuche[[#Headers],[2027]]-1),Refsz_Verbräuche[[#This Row],[2026]],IF($B$43&lt;Refsz_Verbräuche[[#Headers],[2027]],Refsz_Verbräuche[[#This Row],[2026]],"")))</f>
        <v/>
      </c>
      <c r="R201" s="124" t="str">
        <f>IF(Refsz_Verbräuche[[#Headers],[2028]]=$B$43,IF(OR(SUMIF($E201:Refsz_Verbräuche[[#This Row],[2027]],"&gt;0")&gt;0,), AVERAGEIF($E201:Refsz_Verbräuche[[#This Row],[2027]],"&lt;&gt;"""), ""),IF($B$43=(Refsz_Verbräuche[[#Headers],[2028]]-1),Refsz_Verbräuche[[#This Row],[2027]],IF($B$43&lt;Refsz_Verbräuche[[#Headers],[2028]],Refsz_Verbräuche[[#This Row],[2027]],"")))</f>
        <v/>
      </c>
      <c r="S201" s="124" t="str">
        <f>IF(Refsz_Verbräuche[[#Headers],[2029]]=$B$43,IF(OR(SUMIF($E201:Refsz_Verbräuche[[#This Row],[2028]],"&gt;0")&gt;0,), AVERAGEIF($E201:Refsz_Verbräuche[[#This Row],[2028]],"&lt;&gt;"""), ""),IF($B$43=(Refsz_Verbräuche[[#Headers],[2029]]-1),Refsz_Verbräuche[[#This Row],[2028]],IF($B$43&lt;Refsz_Verbräuche[[#Headers],[2029]],Refsz_Verbräuche[[#This Row],[2028]],"")))</f>
        <v/>
      </c>
      <c r="T201" s="124" t="str">
        <f>IF(Refsz_Verbräuche[[#Headers],[2030]]=$B$43,IF(OR(SUMIF($E201:Refsz_Verbräuche[[#This Row],[2029]],"&gt;0")&gt;0,), AVERAGEIF($E201:Refsz_Verbräuche[[#This Row],[2029]],"&lt;&gt;"""), ""),IF($B$43=(Refsz_Verbräuche[[#Headers],[2030]]-1),Refsz_Verbräuche[[#This Row],[2029]],IF($B$43&lt;Refsz_Verbräuche[[#Headers],[2030]],Refsz_Verbräuche[[#This Row],[2029]],"")))</f>
        <v/>
      </c>
      <c r="U201" s="124" t="str">
        <f>IF(Refsz_Verbräuche[[#Headers],[2035]]=$B$43,IF(OR(SUMIF($E201:Refsz_Verbräuche[[#This Row],[2030]],"&gt;0")&gt;0,), AVERAGEIF($E201:Refsz_Verbräuche[[#This Row],[2030]],"&lt;&gt;"""), ""),IF($B$43=(Refsz_Verbräuche[[#Headers],[2035]]-1),Refsz_Verbräuche[[#This Row],[2030]],IF($B$43&lt;Refsz_Verbräuche[[#Headers],[2035]],Refsz_Verbräuche[[#This Row],[2030]],"")))</f>
        <v/>
      </c>
      <c r="V201" s="124" t="str">
        <f>IF(Refsz_Verbräuche[[#Headers],[2040]]=$B$43,IF(OR(SUMIF($E201:Refsz_Verbräuche[[#This Row],[2035]],"&gt;0")&gt;0,), AVERAGEIF($E201:Refsz_Verbräuche[[#This Row],[2035]],"&lt;&gt;"""), ""),IF($B$43=(Refsz_Verbräuche[[#Headers],[2040]]-1),Refsz_Verbräuche[[#This Row],[2035]],IF($B$43&lt;Refsz_Verbräuche[[#Headers],[2040]],Refsz_Verbräuche[[#This Row],[2035]],"")))</f>
        <v/>
      </c>
      <c r="W201" s="124" t="str">
        <f>IF(Refsz_Verbräuche[[#Headers],[2045]]=$B$43,IF(OR(SUMIF($E201:Refsz_Verbräuche[[#This Row],[2040]],"&gt;0")&gt;0,), AVERAGEIF($E201:Refsz_Verbräuche[[#This Row],[2040]],"&lt;&gt;"""), ""),IF($B$43=(Refsz_Verbräuche[[#Headers],[2045]]-1),Refsz_Verbräuche[[#This Row],[2040]],IF($B$43&lt;Refsz_Verbräuche[[#Headers],[2045]],Refsz_Verbräuche[[#This Row],[2040]],"")))</f>
        <v/>
      </c>
      <c r="X201" s="124" t="str">
        <f>IF(Refsz_Verbräuche[[#Headers],[2050]]=$B$43,IF(OR(SUMIF($E201:Refsz_Verbräuche[[#This Row],[2045]],"&gt;0")&gt;0,), AVERAGEIF($E201:Refsz_Verbräuche[[#This Row],[2045]],"&lt;&gt;"""), ""),IF($B$43=(Refsz_Verbräuche[[#Headers],[2050]]-1),Refsz_Verbräuche[[#This Row],[2045]],IF($B$43&lt;Refsz_Verbräuche[[#Headers],[2050]],Refsz_Verbräuche[[#This Row],[2045]],"")))</f>
        <v/>
      </c>
      <c r="Z201" s="15"/>
    </row>
    <row r="202" spans="2:26" x14ac:dyDescent="0.35">
      <c r="B202" s="15">
        <v>142</v>
      </c>
      <c r="C202" s="9" t="s">
        <v>132</v>
      </c>
      <c r="D202" t="s">
        <v>193</v>
      </c>
      <c r="E202" s="124"/>
      <c r="F202" s="124"/>
      <c r="G202" s="124"/>
      <c r="H202" s="124"/>
      <c r="I202" s="124"/>
      <c r="J202" s="124"/>
      <c r="K202" s="124"/>
      <c r="L202" s="124" t="str">
        <f>IF(Refsz_Verbräuche[[#Headers],[2022]]=$B$43,IF(OR(SUMIF($E202:Refsz_Verbräuche[[#This Row],[2021]],"&gt;0")&gt;0,), AVERAGEIF($E202:Refsz_Verbräuche[[#This Row],[2021]],"&lt;&gt;"""), ""),IF($B$43=(Refsz_Verbräuche[[#Headers],[2022]]-1),Refsz_Verbräuche[[#This Row],[2021]],IF($B$43&lt;Refsz_Verbräuche[[#Headers],[2022]],Refsz_Verbräuche[[#This Row],[2021]],"")))</f>
        <v/>
      </c>
      <c r="M202" s="124" t="str">
        <f>IF(Refsz_Verbräuche[[#Headers],[2023]]=$B$43,IF(OR(SUMIF($E202:Refsz_Verbräuche[[#This Row],[2022]],"&gt;0")&gt;0,), AVERAGEIF($E202:Refsz_Verbräuche[[#This Row],[2022]],"&lt;&gt;"""), ""),IF($B$43=(Refsz_Verbräuche[[#Headers],[2023]]-1),Refsz_Verbräuche[[#This Row],[2022]],IF($B$43&lt;Refsz_Verbräuche[[#Headers],[2023]],Refsz_Verbräuche[[#This Row],[2022]],"")))</f>
        <v/>
      </c>
      <c r="N202" s="124" t="str">
        <f>IF(Refsz_Verbräuche[[#Headers],[2024]]=$B$43,IF(OR(SUMIF($E202:Refsz_Verbräuche[[#This Row],[2023]],"&gt;0")&gt;0,), AVERAGEIF($E202:Refsz_Verbräuche[[#This Row],[2023]],"&lt;&gt;"""), ""),IF($B$43=(Refsz_Verbräuche[[#Headers],[2024]]-1),Refsz_Verbräuche[[#This Row],[2023]],IF($B$43&lt;Refsz_Verbräuche[[#Headers],[2024]],Refsz_Verbräuche[[#This Row],[2023]],"")))</f>
        <v/>
      </c>
      <c r="O202" s="124" t="str">
        <f>IF(Refsz_Verbräuche[[#Headers],[2025]]=$B$43,IF(OR(SUMIF($E202:Refsz_Verbräuche[[#This Row],[2024]],"&gt;0")&gt;0,), AVERAGEIF($E202:Refsz_Verbräuche[[#This Row],[2024]],"&lt;&gt;"""), ""),IF($B$43=(Refsz_Verbräuche[[#Headers],[2025]]-1),Refsz_Verbräuche[[#This Row],[2024]],IF($B$43&lt;Refsz_Verbräuche[[#Headers],[2025]],Refsz_Verbräuche[[#This Row],[2024]],"")))</f>
        <v/>
      </c>
      <c r="P202" s="124" t="str">
        <f>IF(Refsz_Verbräuche[[#Headers],[2026]]=$B$43,IF(OR(SUMIF($E202:Refsz_Verbräuche[[#This Row],[2025]],"&gt;0")&gt;0,), AVERAGEIF($E202:Refsz_Verbräuche[[#This Row],[2025]],"&lt;&gt;"""), ""),IF($B$43=(Refsz_Verbräuche[[#Headers],[2026]]-1),Refsz_Verbräuche[[#This Row],[2025]],IF($B$43&lt;Refsz_Verbräuche[[#Headers],[2026]],Refsz_Verbräuche[[#This Row],[2025]],"")))</f>
        <v/>
      </c>
      <c r="Q202" s="124" t="str">
        <f>IF(Refsz_Verbräuche[[#Headers],[2027]]=$B$43,IF(OR(SUMIF($E202:Refsz_Verbräuche[[#This Row],[2026]],"&gt;0")&gt;0,), AVERAGEIF($E202:Refsz_Verbräuche[[#This Row],[2026]],"&lt;&gt;"""), ""),IF($B$43=(Refsz_Verbräuche[[#Headers],[2027]]-1),Refsz_Verbräuche[[#This Row],[2026]],IF($B$43&lt;Refsz_Verbräuche[[#Headers],[2027]],Refsz_Verbräuche[[#This Row],[2026]],"")))</f>
        <v/>
      </c>
      <c r="R202" s="124" t="str">
        <f>IF(Refsz_Verbräuche[[#Headers],[2028]]=$B$43,IF(OR(SUMIF($E202:Refsz_Verbräuche[[#This Row],[2027]],"&gt;0")&gt;0,), AVERAGEIF($E202:Refsz_Verbräuche[[#This Row],[2027]],"&lt;&gt;"""), ""),IF($B$43=(Refsz_Verbräuche[[#Headers],[2028]]-1),Refsz_Verbräuche[[#This Row],[2027]],IF($B$43&lt;Refsz_Verbräuche[[#Headers],[2028]],Refsz_Verbräuche[[#This Row],[2027]],"")))</f>
        <v/>
      </c>
      <c r="S202" s="124" t="str">
        <f>IF(Refsz_Verbräuche[[#Headers],[2029]]=$B$43,IF(OR(SUMIF($E202:Refsz_Verbräuche[[#This Row],[2028]],"&gt;0")&gt;0,), AVERAGEIF($E202:Refsz_Verbräuche[[#This Row],[2028]],"&lt;&gt;"""), ""),IF($B$43=(Refsz_Verbräuche[[#Headers],[2029]]-1),Refsz_Verbräuche[[#This Row],[2028]],IF($B$43&lt;Refsz_Verbräuche[[#Headers],[2029]],Refsz_Verbräuche[[#This Row],[2028]],"")))</f>
        <v/>
      </c>
      <c r="T202" s="124" t="str">
        <f>IF(Refsz_Verbräuche[[#Headers],[2030]]=$B$43,IF(OR(SUMIF($E202:Refsz_Verbräuche[[#This Row],[2029]],"&gt;0")&gt;0,), AVERAGEIF($E202:Refsz_Verbräuche[[#This Row],[2029]],"&lt;&gt;"""), ""),IF($B$43=(Refsz_Verbräuche[[#Headers],[2030]]-1),Refsz_Verbräuche[[#This Row],[2029]],IF($B$43&lt;Refsz_Verbräuche[[#Headers],[2030]],Refsz_Verbräuche[[#This Row],[2029]],"")))</f>
        <v/>
      </c>
      <c r="U202" s="124" t="str">
        <f>IF(Refsz_Verbräuche[[#Headers],[2035]]=$B$43,IF(OR(SUMIF($E202:Refsz_Verbräuche[[#This Row],[2030]],"&gt;0")&gt;0,), AVERAGEIF($E202:Refsz_Verbräuche[[#This Row],[2030]],"&lt;&gt;"""), ""),IF($B$43=(Refsz_Verbräuche[[#Headers],[2035]]-1),Refsz_Verbräuche[[#This Row],[2030]],IF($B$43&lt;Refsz_Verbräuche[[#Headers],[2035]],Refsz_Verbräuche[[#This Row],[2030]],"")))</f>
        <v/>
      </c>
      <c r="V202" s="124" t="str">
        <f>IF(Refsz_Verbräuche[[#Headers],[2040]]=$B$43,IF(OR(SUMIF($E202:Refsz_Verbräuche[[#This Row],[2035]],"&gt;0")&gt;0,), AVERAGEIF($E202:Refsz_Verbräuche[[#This Row],[2035]],"&lt;&gt;"""), ""),IF($B$43=(Refsz_Verbräuche[[#Headers],[2040]]-1),Refsz_Verbräuche[[#This Row],[2035]],IF($B$43&lt;Refsz_Verbräuche[[#Headers],[2040]],Refsz_Verbräuche[[#This Row],[2035]],"")))</f>
        <v/>
      </c>
      <c r="W202" s="124" t="str">
        <f>IF(Refsz_Verbräuche[[#Headers],[2045]]=$B$43,IF(OR(SUMIF($E202:Refsz_Verbräuche[[#This Row],[2040]],"&gt;0")&gt;0,), AVERAGEIF($E202:Refsz_Verbräuche[[#This Row],[2040]],"&lt;&gt;"""), ""),IF($B$43=(Refsz_Verbräuche[[#Headers],[2045]]-1),Refsz_Verbräuche[[#This Row],[2040]],IF($B$43&lt;Refsz_Verbräuche[[#Headers],[2045]],Refsz_Verbräuche[[#This Row],[2040]],"")))</f>
        <v/>
      </c>
      <c r="X202" s="124" t="str">
        <f>IF(Refsz_Verbräuche[[#Headers],[2050]]=$B$43,IF(OR(SUMIF($E202:Refsz_Verbräuche[[#This Row],[2045]],"&gt;0")&gt;0,), AVERAGEIF($E202:Refsz_Verbräuche[[#This Row],[2045]],"&lt;&gt;"""), ""),IF($B$43=(Refsz_Verbräuche[[#Headers],[2050]]-1),Refsz_Verbräuche[[#This Row],[2045]],IF($B$43&lt;Refsz_Verbräuche[[#Headers],[2050]],Refsz_Verbräuche[[#This Row],[2045]],"")))</f>
        <v/>
      </c>
      <c r="Z202" s="15"/>
    </row>
    <row r="203" spans="2:26" x14ac:dyDescent="0.35">
      <c r="B203" s="15">
        <v>143</v>
      </c>
      <c r="C203" s="9" t="s">
        <v>83</v>
      </c>
      <c r="D203" s="14" t="s">
        <v>194</v>
      </c>
      <c r="E203" s="124"/>
      <c r="F203" s="124"/>
      <c r="G203" s="124"/>
      <c r="H203" s="124"/>
      <c r="I203" s="124"/>
      <c r="J203" s="124"/>
      <c r="K203" s="124"/>
      <c r="L203" s="124" t="str">
        <f>IF(Refsz_Verbräuche[[#Headers],[2022]]=$B$43,IF(OR(SUMIF($E203:Refsz_Verbräuche[[#This Row],[2021]],"&gt;0")&gt;0,), AVERAGEIF($E203:Refsz_Verbräuche[[#This Row],[2021]],"&lt;&gt;"""), ""),IF($B$43=(Refsz_Verbräuche[[#Headers],[2022]]-1),Refsz_Verbräuche[[#This Row],[2021]],IF($B$43&lt;Refsz_Verbräuche[[#Headers],[2022]],Refsz_Verbräuche[[#This Row],[2021]],"")))</f>
        <v/>
      </c>
      <c r="M203" s="124" t="str">
        <f>IF(Refsz_Verbräuche[[#Headers],[2023]]=$B$43,IF(OR(SUMIF($E203:Refsz_Verbräuche[[#This Row],[2022]],"&gt;0")&gt;0,), AVERAGEIF($E203:Refsz_Verbräuche[[#This Row],[2022]],"&lt;&gt;"""), ""),IF($B$43=(Refsz_Verbräuche[[#Headers],[2023]]-1),Refsz_Verbräuche[[#This Row],[2022]],IF($B$43&lt;Refsz_Verbräuche[[#Headers],[2023]],Refsz_Verbräuche[[#This Row],[2022]],"")))</f>
        <v/>
      </c>
      <c r="N203" s="124" t="str">
        <f>IF(Refsz_Verbräuche[[#Headers],[2024]]=$B$43,IF(OR(SUMIF($E203:Refsz_Verbräuche[[#This Row],[2023]],"&gt;0")&gt;0,), AVERAGEIF($E203:Refsz_Verbräuche[[#This Row],[2023]],"&lt;&gt;"""), ""),IF($B$43=(Refsz_Verbräuche[[#Headers],[2024]]-1),Refsz_Verbräuche[[#This Row],[2023]],IF($B$43&lt;Refsz_Verbräuche[[#Headers],[2024]],Refsz_Verbräuche[[#This Row],[2023]],"")))</f>
        <v/>
      </c>
      <c r="O203" s="124" t="str">
        <f>IF(Refsz_Verbräuche[[#Headers],[2025]]=$B$43,IF(OR(SUMIF($E203:Refsz_Verbräuche[[#This Row],[2024]],"&gt;0")&gt;0,), AVERAGEIF($E203:Refsz_Verbräuche[[#This Row],[2024]],"&lt;&gt;"""), ""),IF($B$43=(Refsz_Verbräuche[[#Headers],[2025]]-1),Refsz_Verbräuche[[#This Row],[2024]],IF($B$43&lt;Refsz_Verbräuche[[#Headers],[2025]],Refsz_Verbräuche[[#This Row],[2024]],"")))</f>
        <v/>
      </c>
      <c r="P203" s="124" t="str">
        <f>IF(Refsz_Verbräuche[[#Headers],[2026]]=$B$43,IF(OR(SUMIF($E203:Refsz_Verbräuche[[#This Row],[2025]],"&gt;0")&gt;0,), AVERAGEIF($E203:Refsz_Verbräuche[[#This Row],[2025]],"&lt;&gt;"""), ""),IF($B$43=(Refsz_Verbräuche[[#Headers],[2026]]-1),Refsz_Verbräuche[[#This Row],[2025]],IF($B$43&lt;Refsz_Verbräuche[[#Headers],[2026]],Refsz_Verbräuche[[#This Row],[2025]],"")))</f>
        <v/>
      </c>
      <c r="Q203" s="124" t="str">
        <f>IF(Refsz_Verbräuche[[#Headers],[2027]]=$B$43,IF(OR(SUMIF($E203:Refsz_Verbräuche[[#This Row],[2026]],"&gt;0")&gt;0,), AVERAGEIF($E203:Refsz_Verbräuche[[#This Row],[2026]],"&lt;&gt;"""), ""),IF($B$43=(Refsz_Verbräuche[[#Headers],[2027]]-1),Refsz_Verbräuche[[#This Row],[2026]],IF($B$43&lt;Refsz_Verbräuche[[#Headers],[2027]],Refsz_Verbräuche[[#This Row],[2026]],"")))</f>
        <v/>
      </c>
      <c r="R203" s="124" t="str">
        <f>IF(Refsz_Verbräuche[[#Headers],[2028]]=$B$43,IF(OR(SUMIF($E203:Refsz_Verbräuche[[#This Row],[2027]],"&gt;0")&gt;0,), AVERAGEIF($E203:Refsz_Verbräuche[[#This Row],[2027]],"&lt;&gt;"""), ""),IF($B$43=(Refsz_Verbräuche[[#Headers],[2028]]-1),Refsz_Verbräuche[[#This Row],[2027]],IF($B$43&lt;Refsz_Verbräuche[[#Headers],[2028]],Refsz_Verbräuche[[#This Row],[2027]],"")))</f>
        <v/>
      </c>
      <c r="S203" s="124" t="str">
        <f>IF(Refsz_Verbräuche[[#Headers],[2029]]=$B$43,IF(OR(SUMIF($E203:Refsz_Verbräuche[[#This Row],[2028]],"&gt;0")&gt;0,), AVERAGEIF($E203:Refsz_Verbräuche[[#This Row],[2028]],"&lt;&gt;"""), ""),IF($B$43=(Refsz_Verbräuche[[#Headers],[2029]]-1),Refsz_Verbräuche[[#This Row],[2028]],IF($B$43&lt;Refsz_Verbräuche[[#Headers],[2029]],Refsz_Verbräuche[[#This Row],[2028]],"")))</f>
        <v/>
      </c>
      <c r="T203" s="124" t="str">
        <f>IF(Refsz_Verbräuche[[#Headers],[2030]]=$B$43,IF(OR(SUMIF($E203:Refsz_Verbräuche[[#This Row],[2029]],"&gt;0")&gt;0,), AVERAGEIF($E203:Refsz_Verbräuche[[#This Row],[2029]],"&lt;&gt;"""), ""),IF($B$43=(Refsz_Verbräuche[[#Headers],[2030]]-1),Refsz_Verbräuche[[#This Row],[2029]],IF($B$43&lt;Refsz_Verbräuche[[#Headers],[2030]],Refsz_Verbräuche[[#This Row],[2029]],"")))</f>
        <v/>
      </c>
      <c r="U203" s="124" t="str">
        <f>IF(Refsz_Verbräuche[[#Headers],[2035]]=$B$43,IF(OR(SUMIF($E203:Refsz_Verbräuche[[#This Row],[2030]],"&gt;0")&gt;0,), AVERAGEIF($E203:Refsz_Verbräuche[[#This Row],[2030]],"&lt;&gt;"""), ""),IF($B$43=(Refsz_Verbräuche[[#Headers],[2035]]-1),Refsz_Verbräuche[[#This Row],[2030]],IF($B$43&lt;Refsz_Verbräuche[[#Headers],[2035]],Refsz_Verbräuche[[#This Row],[2030]],"")))</f>
        <v/>
      </c>
      <c r="V203" s="124" t="str">
        <f>IF(Refsz_Verbräuche[[#Headers],[2040]]=$B$43,IF(OR(SUMIF($E203:Refsz_Verbräuche[[#This Row],[2035]],"&gt;0")&gt;0,), AVERAGEIF($E203:Refsz_Verbräuche[[#This Row],[2035]],"&lt;&gt;"""), ""),IF($B$43=(Refsz_Verbräuche[[#Headers],[2040]]-1),Refsz_Verbräuche[[#This Row],[2035]],IF($B$43&lt;Refsz_Verbräuche[[#Headers],[2040]],Refsz_Verbräuche[[#This Row],[2035]],"")))</f>
        <v/>
      </c>
      <c r="W203" s="124" t="str">
        <f>IF(Refsz_Verbräuche[[#Headers],[2045]]=$B$43,IF(OR(SUMIF($E203:Refsz_Verbräuche[[#This Row],[2040]],"&gt;0")&gt;0,), AVERAGEIF($E203:Refsz_Verbräuche[[#This Row],[2040]],"&lt;&gt;"""), ""),IF($B$43=(Refsz_Verbräuche[[#Headers],[2045]]-1),Refsz_Verbräuche[[#This Row],[2040]],IF($B$43&lt;Refsz_Verbräuche[[#Headers],[2045]],Refsz_Verbräuche[[#This Row],[2040]],"")))</f>
        <v/>
      </c>
      <c r="X203" s="124" t="str">
        <f>IF(Refsz_Verbräuche[[#Headers],[2050]]=$B$43,IF(OR(SUMIF($E203:Refsz_Verbräuche[[#This Row],[2045]],"&gt;0")&gt;0,), AVERAGEIF($E203:Refsz_Verbräuche[[#This Row],[2045]],"&lt;&gt;"""), ""),IF($B$43=(Refsz_Verbräuche[[#Headers],[2050]]-1),Refsz_Verbräuche[[#This Row],[2045]],IF($B$43&lt;Refsz_Verbräuche[[#Headers],[2050]],Refsz_Verbräuche[[#This Row],[2045]],"")))</f>
        <v/>
      </c>
      <c r="Z203" s="15"/>
    </row>
    <row r="204" spans="2:26" x14ac:dyDescent="0.35">
      <c r="B204" s="15">
        <v>144</v>
      </c>
      <c r="C204" s="9" t="s">
        <v>135</v>
      </c>
      <c r="D204" s="14" t="s">
        <v>194</v>
      </c>
      <c r="E204" s="124"/>
      <c r="F204" s="124"/>
      <c r="G204" s="124"/>
      <c r="H204" s="124"/>
      <c r="I204" s="124"/>
      <c r="J204" s="124"/>
      <c r="K204" s="124"/>
      <c r="L204" s="124" t="str">
        <f>IF(Refsz_Verbräuche[[#Headers],[2022]]=$B$43,IF(OR(SUMIF($E204:Refsz_Verbräuche[[#This Row],[2021]],"&gt;0")&gt;0,), AVERAGEIF($E204:Refsz_Verbräuche[[#This Row],[2021]],"&lt;&gt;"""), ""),IF($B$43=(Refsz_Verbräuche[[#Headers],[2022]]-1),Refsz_Verbräuche[[#This Row],[2021]],IF($B$43&lt;Refsz_Verbräuche[[#Headers],[2022]],Refsz_Verbräuche[[#This Row],[2021]],"")))</f>
        <v/>
      </c>
      <c r="M204" s="124" t="str">
        <f>IF(Refsz_Verbräuche[[#Headers],[2023]]=$B$43,IF(OR(SUMIF($E204:Refsz_Verbräuche[[#This Row],[2022]],"&gt;0")&gt;0,), AVERAGEIF($E204:Refsz_Verbräuche[[#This Row],[2022]],"&lt;&gt;"""), ""),IF($B$43=(Refsz_Verbräuche[[#Headers],[2023]]-1),Refsz_Verbräuche[[#This Row],[2022]],IF($B$43&lt;Refsz_Verbräuche[[#Headers],[2023]],Refsz_Verbräuche[[#This Row],[2022]],"")))</f>
        <v/>
      </c>
      <c r="N204" s="124" t="str">
        <f>IF(Refsz_Verbräuche[[#Headers],[2024]]=$B$43,IF(OR(SUMIF($E204:Refsz_Verbräuche[[#This Row],[2023]],"&gt;0")&gt;0,), AVERAGEIF($E204:Refsz_Verbräuche[[#This Row],[2023]],"&lt;&gt;"""), ""),IF($B$43=(Refsz_Verbräuche[[#Headers],[2024]]-1),Refsz_Verbräuche[[#This Row],[2023]],IF($B$43&lt;Refsz_Verbräuche[[#Headers],[2024]],Refsz_Verbräuche[[#This Row],[2023]],"")))</f>
        <v/>
      </c>
      <c r="O204" s="124" t="str">
        <f>IF(Refsz_Verbräuche[[#Headers],[2025]]=$B$43,IF(OR(SUMIF($E204:Refsz_Verbräuche[[#This Row],[2024]],"&gt;0")&gt;0,), AVERAGEIF($E204:Refsz_Verbräuche[[#This Row],[2024]],"&lt;&gt;"""), ""),IF($B$43=(Refsz_Verbräuche[[#Headers],[2025]]-1),Refsz_Verbräuche[[#This Row],[2024]],IF($B$43&lt;Refsz_Verbräuche[[#Headers],[2025]],Refsz_Verbräuche[[#This Row],[2024]],"")))</f>
        <v/>
      </c>
      <c r="P204" s="124" t="str">
        <f>IF(Refsz_Verbräuche[[#Headers],[2026]]=$B$43,IF(OR(SUMIF($E204:Refsz_Verbräuche[[#This Row],[2025]],"&gt;0")&gt;0,), AVERAGEIF($E204:Refsz_Verbräuche[[#This Row],[2025]],"&lt;&gt;"""), ""),IF($B$43=(Refsz_Verbräuche[[#Headers],[2026]]-1),Refsz_Verbräuche[[#This Row],[2025]],IF($B$43&lt;Refsz_Verbräuche[[#Headers],[2026]],Refsz_Verbräuche[[#This Row],[2025]],"")))</f>
        <v/>
      </c>
      <c r="Q204" s="124" t="str">
        <f>IF(Refsz_Verbräuche[[#Headers],[2027]]=$B$43,IF(OR(SUMIF($E204:Refsz_Verbräuche[[#This Row],[2026]],"&gt;0")&gt;0,), AVERAGEIF($E204:Refsz_Verbräuche[[#This Row],[2026]],"&lt;&gt;"""), ""),IF($B$43=(Refsz_Verbräuche[[#Headers],[2027]]-1),Refsz_Verbräuche[[#This Row],[2026]],IF($B$43&lt;Refsz_Verbräuche[[#Headers],[2027]],Refsz_Verbräuche[[#This Row],[2026]],"")))</f>
        <v/>
      </c>
      <c r="R204" s="124" t="str">
        <f>IF(Refsz_Verbräuche[[#Headers],[2028]]=$B$43,IF(OR(SUMIF($E204:Refsz_Verbräuche[[#This Row],[2027]],"&gt;0")&gt;0,), AVERAGEIF($E204:Refsz_Verbräuche[[#This Row],[2027]],"&lt;&gt;"""), ""),IF($B$43=(Refsz_Verbräuche[[#Headers],[2028]]-1),Refsz_Verbräuche[[#This Row],[2027]],IF($B$43&lt;Refsz_Verbräuche[[#Headers],[2028]],Refsz_Verbräuche[[#This Row],[2027]],"")))</f>
        <v/>
      </c>
      <c r="S204" s="124" t="str">
        <f>IF(Refsz_Verbräuche[[#Headers],[2029]]=$B$43,IF(OR(SUMIF($E204:Refsz_Verbräuche[[#This Row],[2028]],"&gt;0")&gt;0,), AVERAGEIF($E204:Refsz_Verbräuche[[#This Row],[2028]],"&lt;&gt;"""), ""),IF($B$43=(Refsz_Verbräuche[[#Headers],[2029]]-1),Refsz_Verbräuche[[#This Row],[2028]],IF($B$43&lt;Refsz_Verbräuche[[#Headers],[2029]],Refsz_Verbräuche[[#This Row],[2028]],"")))</f>
        <v/>
      </c>
      <c r="T204" s="124" t="str">
        <f>IF(Refsz_Verbräuche[[#Headers],[2030]]=$B$43,IF(OR(SUMIF($E204:Refsz_Verbräuche[[#This Row],[2029]],"&gt;0")&gt;0,), AVERAGEIF($E204:Refsz_Verbräuche[[#This Row],[2029]],"&lt;&gt;"""), ""),IF($B$43=(Refsz_Verbräuche[[#Headers],[2030]]-1),Refsz_Verbräuche[[#This Row],[2029]],IF($B$43&lt;Refsz_Verbräuche[[#Headers],[2030]],Refsz_Verbräuche[[#This Row],[2029]],"")))</f>
        <v/>
      </c>
      <c r="U204" s="124" t="str">
        <f>IF(Refsz_Verbräuche[[#Headers],[2035]]=$B$43,IF(OR(SUMIF($E204:Refsz_Verbräuche[[#This Row],[2030]],"&gt;0")&gt;0,), AVERAGEIF($E204:Refsz_Verbräuche[[#This Row],[2030]],"&lt;&gt;"""), ""),IF($B$43=(Refsz_Verbräuche[[#Headers],[2035]]-1),Refsz_Verbräuche[[#This Row],[2030]],IF($B$43&lt;Refsz_Verbräuche[[#Headers],[2035]],Refsz_Verbräuche[[#This Row],[2030]],"")))</f>
        <v/>
      </c>
      <c r="V204" s="124" t="str">
        <f>IF(Refsz_Verbräuche[[#Headers],[2040]]=$B$43,IF(OR(SUMIF($E204:Refsz_Verbräuche[[#This Row],[2035]],"&gt;0")&gt;0,), AVERAGEIF($E204:Refsz_Verbräuche[[#This Row],[2035]],"&lt;&gt;"""), ""),IF($B$43=(Refsz_Verbräuche[[#Headers],[2040]]-1),Refsz_Verbräuche[[#This Row],[2035]],IF($B$43&lt;Refsz_Verbräuche[[#Headers],[2040]],Refsz_Verbräuche[[#This Row],[2035]],"")))</f>
        <v/>
      </c>
      <c r="W204" s="124" t="str">
        <f>IF(Refsz_Verbräuche[[#Headers],[2045]]=$B$43,IF(OR(SUMIF($E204:Refsz_Verbräuche[[#This Row],[2040]],"&gt;0")&gt;0,), AVERAGEIF($E204:Refsz_Verbräuche[[#This Row],[2040]],"&lt;&gt;"""), ""),IF($B$43=(Refsz_Verbräuche[[#Headers],[2045]]-1),Refsz_Verbräuche[[#This Row],[2040]],IF($B$43&lt;Refsz_Verbräuche[[#Headers],[2045]],Refsz_Verbräuche[[#This Row],[2040]],"")))</f>
        <v/>
      </c>
      <c r="X204" s="124" t="str">
        <f>IF(Refsz_Verbräuche[[#Headers],[2050]]=$B$43,IF(OR(SUMIF($E204:Refsz_Verbräuche[[#This Row],[2045]],"&gt;0")&gt;0,), AVERAGEIF($E204:Refsz_Verbräuche[[#This Row],[2045]],"&lt;&gt;"""), ""),IF($B$43=(Refsz_Verbräuche[[#Headers],[2050]]-1),Refsz_Verbräuche[[#This Row],[2045]],IF($B$43&lt;Refsz_Verbräuche[[#Headers],[2050]],Refsz_Verbräuche[[#This Row],[2045]],"")))</f>
        <v/>
      </c>
      <c r="Z204" s="15"/>
    </row>
    <row r="205" spans="2:26" x14ac:dyDescent="0.35">
      <c r="B205" s="15">
        <v>145</v>
      </c>
      <c r="C205" s="9"/>
      <c r="E205" s="124"/>
      <c r="F205" s="124"/>
      <c r="G205" s="124"/>
      <c r="H205" s="124"/>
      <c r="I205" s="124"/>
      <c r="J205" s="124"/>
      <c r="K205" s="124"/>
      <c r="L205" s="124" t="str">
        <f>IF(Refsz_Verbräuche[[#Headers],[2022]]=$B$43,IF(OR(SUMIF($E205:Refsz_Verbräuche[[#This Row],[2021]],"&gt;0")&gt;0,), AVERAGEIF($E205:Refsz_Verbräuche[[#This Row],[2021]],"&lt;&gt;"""), ""),IF($B$43=(Refsz_Verbräuche[[#Headers],[2022]]-1),Refsz_Verbräuche[[#This Row],[2021]],IF($B$43&lt;Refsz_Verbräuche[[#Headers],[2022]],Refsz_Verbräuche[[#This Row],[2021]],"")))</f>
        <v/>
      </c>
      <c r="M205" s="124" t="str">
        <f>IF(Refsz_Verbräuche[[#Headers],[2023]]=$B$43,IF(OR(SUMIF($E205:Refsz_Verbräuche[[#This Row],[2022]],"&gt;0")&gt;0,), AVERAGEIF($E205:Refsz_Verbräuche[[#This Row],[2022]],"&lt;&gt;"""), ""),IF($B$43=(Refsz_Verbräuche[[#Headers],[2023]]-1),Refsz_Verbräuche[[#This Row],[2022]],IF($B$43&lt;Refsz_Verbräuche[[#Headers],[2023]],Refsz_Verbräuche[[#This Row],[2022]],"")))</f>
        <v/>
      </c>
      <c r="N205" s="124" t="str">
        <f>IF(Refsz_Verbräuche[[#Headers],[2024]]=$B$43,IF(OR(SUMIF($E205:Refsz_Verbräuche[[#This Row],[2023]],"&gt;0")&gt;0,), AVERAGEIF($E205:Refsz_Verbräuche[[#This Row],[2023]],"&lt;&gt;"""), ""),IF($B$43=(Refsz_Verbräuche[[#Headers],[2024]]-1),Refsz_Verbräuche[[#This Row],[2023]],IF($B$43&lt;Refsz_Verbräuche[[#Headers],[2024]],Refsz_Verbräuche[[#This Row],[2023]],"")))</f>
        <v/>
      </c>
      <c r="O205" s="124" t="str">
        <f>IF(Refsz_Verbräuche[[#Headers],[2025]]=$B$43,IF(OR(SUMIF($E205:Refsz_Verbräuche[[#This Row],[2024]],"&gt;0")&gt;0,), AVERAGEIF($E205:Refsz_Verbräuche[[#This Row],[2024]],"&lt;&gt;"""), ""),IF($B$43=(Refsz_Verbräuche[[#Headers],[2025]]-1),Refsz_Verbräuche[[#This Row],[2024]],IF($B$43&lt;Refsz_Verbräuche[[#Headers],[2025]],Refsz_Verbräuche[[#This Row],[2024]],"")))</f>
        <v/>
      </c>
      <c r="P205" s="124" t="str">
        <f>IF(Refsz_Verbräuche[[#Headers],[2026]]=$B$43,IF(OR(SUMIF($E205:Refsz_Verbräuche[[#This Row],[2025]],"&gt;0")&gt;0,), AVERAGEIF($E205:Refsz_Verbräuche[[#This Row],[2025]],"&lt;&gt;"""), ""),IF($B$43=(Refsz_Verbräuche[[#Headers],[2026]]-1),Refsz_Verbräuche[[#This Row],[2025]],IF($B$43&lt;Refsz_Verbräuche[[#Headers],[2026]],Refsz_Verbräuche[[#This Row],[2025]],"")))</f>
        <v/>
      </c>
      <c r="Q205" s="124" t="str">
        <f>IF(Refsz_Verbräuche[[#Headers],[2027]]=$B$43,IF(OR(SUMIF($E205:Refsz_Verbräuche[[#This Row],[2026]],"&gt;0")&gt;0,), AVERAGEIF($E205:Refsz_Verbräuche[[#This Row],[2026]],"&lt;&gt;"""), ""),IF($B$43=(Refsz_Verbräuche[[#Headers],[2027]]-1),Refsz_Verbräuche[[#This Row],[2026]],IF($B$43&lt;Refsz_Verbräuche[[#Headers],[2027]],Refsz_Verbräuche[[#This Row],[2026]],"")))</f>
        <v/>
      </c>
      <c r="R205" s="124" t="str">
        <f>IF(Refsz_Verbräuche[[#Headers],[2028]]=$B$43,IF(OR(SUMIF($E205:Refsz_Verbräuche[[#This Row],[2027]],"&gt;0")&gt;0,), AVERAGEIF($E205:Refsz_Verbräuche[[#This Row],[2027]],"&lt;&gt;"""), ""),IF($B$43=(Refsz_Verbräuche[[#Headers],[2028]]-1),Refsz_Verbräuche[[#This Row],[2027]],IF($B$43&lt;Refsz_Verbräuche[[#Headers],[2028]],Refsz_Verbräuche[[#This Row],[2027]],"")))</f>
        <v/>
      </c>
      <c r="S205" s="124" t="str">
        <f>IF(Refsz_Verbräuche[[#Headers],[2029]]=$B$43,IF(OR(SUMIF($E205:Refsz_Verbräuche[[#This Row],[2028]],"&gt;0")&gt;0,), AVERAGEIF($E205:Refsz_Verbräuche[[#This Row],[2028]],"&lt;&gt;"""), ""),IF($B$43=(Refsz_Verbräuche[[#Headers],[2029]]-1),Refsz_Verbräuche[[#This Row],[2028]],IF($B$43&lt;Refsz_Verbräuche[[#Headers],[2029]],Refsz_Verbräuche[[#This Row],[2028]],"")))</f>
        <v/>
      </c>
      <c r="T205" s="124" t="str">
        <f>IF(Refsz_Verbräuche[[#Headers],[2030]]=$B$43,IF(OR(SUMIF($E205:Refsz_Verbräuche[[#This Row],[2029]],"&gt;0")&gt;0,), AVERAGEIF($E205:Refsz_Verbräuche[[#This Row],[2029]],"&lt;&gt;"""), ""),IF($B$43=(Refsz_Verbräuche[[#Headers],[2030]]-1),Refsz_Verbräuche[[#This Row],[2029]],IF($B$43&lt;Refsz_Verbräuche[[#Headers],[2030]],Refsz_Verbräuche[[#This Row],[2029]],"")))</f>
        <v/>
      </c>
      <c r="U205" s="124" t="str">
        <f>IF(Refsz_Verbräuche[[#Headers],[2035]]=$B$43,IF(OR(SUMIF($E205:Refsz_Verbräuche[[#This Row],[2030]],"&gt;0")&gt;0,), AVERAGEIF($E205:Refsz_Verbräuche[[#This Row],[2030]],"&lt;&gt;"""), ""),IF($B$43=(Refsz_Verbräuche[[#Headers],[2035]]-1),Refsz_Verbräuche[[#This Row],[2030]],IF($B$43&lt;Refsz_Verbräuche[[#Headers],[2035]],Refsz_Verbräuche[[#This Row],[2030]],"")))</f>
        <v/>
      </c>
      <c r="V205" s="124" t="str">
        <f>IF(Refsz_Verbräuche[[#Headers],[2040]]=$B$43,IF(OR(SUMIF($E205:Refsz_Verbräuche[[#This Row],[2035]],"&gt;0")&gt;0,), AVERAGEIF($E205:Refsz_Verbräuche[[#This Row],[2035]],"&lt;&gt;"""), ""),IF($B$43=(Refsz_Verbräuche[[#Headers],[2040]]-1),Refsz_Verbräuche[[#This Row],[2035]],IF($B$43&lt;Refsz_Verbräuche[[#Headers],[2040]],Refsz_Verbräuche[[#This Row],[2035]],"")))</f>
        <v/>
      </c>
      <c r="W205" s="124" t="str">
        <f>IF(Refsz_Verbräuche[[#Headers],[2045]]=$B$43,IF(OR(SUMIF($E205:Refsz_Verbräuche[[#This Row],[2040]],"&gt;0")&gt;0,), AVERAGEIF($E205:Refsz_Verbräuche[[#This Row],[2040]],"&lt;&gt;"""), ""),IF($B$43=(Refsz_Verbräuche[[#Headers],[2045]]-1),Refsz_Verbräuche[[#This Row],[2040]],IF($B$43&lt;Refsz_Verbräuche[[#Headers],[2045]],Refsz_Verbräuche[[#This Row],[2040]],"")))</f>
        <v/>
      </c>
      <c r="X205" s="124" t="str">
        <f>IF(Refsz_Verbräuche[[#Headers],[2050]]=$B$43,IF(OR(SUMIF($E205:Refsz_Verbräuche[[#This Row],[2045]],"&gt;0")&gt;0,), AVERAGEIF($E205:Refsz_Verbräuche[[#This Row],[2045]],"&lt;&gt;"""), ""),IF($B$43=(Refsz_Verbräuche[[#Headers],[2050]]-1),Refsz_Verbräuche[[#This Row],[2045]],IF($B$43&lt;Refsz_Verbräuche[[#Headers],[2050]],Refsz_Verbräuche[[#This Row],[2045]],"")))</f>
        <v/>
      </c>
      <c r="Z205" s="15"/>
    </row>
    <row r="206" spans="2:26" x14ac:dyDescent="0.35">
      <c r="B206" s="15">
        <v>146</v>
      </c>
      <c r="C206" s="9" t="s">
        <v>114</v>
      </c>
      <c r="D206" s="14" t="s">
        <v>194</v>
      </c>
      <c r="E206" s="124"/>
      <c r="F206" s="124"/>
      <c r="G206" s="124"/>
      <c r="H206" s="124"/>
      <c r="I206" s="124"/>
      <c r="J206" s="124"/>
      <c r="K206" s="124"/>
      <c r="L206" s="124" t="str">
        <f>IF(Refsz_Verbräuche[[#Headers],[2022]]=$B$43,IF(OR(SUMIF($E206:Refsz_Verbräuche[[#This Row],[2021]],"&gt;0")&gt;0,), AVERAGEIF($E206:Refsz_Verbräuche[[#This Row],[2021]],"&lt;&gt;"""), ""),IF($B$43=(Refsz_Verbräuche[[#Headers],[2022]]-1),Refsz_Verbräuche[[#This Row],[2021]],IF($B$43&lt;Refsz_Verbräuche[[#Headers],[2022]],Refsz_Verbräuche[[#This Row],[2021]],"")))</f>
        <v/>
      </c>
      <c r="M206" s="124" t="str">
        <f>IF(Refsz_Verbräuche[[#Headers],[2023]]=$B$43,IF(OR(SUMIF($E206:Refsz_Verbräuche[[#This Row],[2022]],"&gt;0")&gt;0,), AVERAGEIF($E206:Refsz_Verbräuche[[#This Row],[2022]],"&lt;&gt;"""), ""),IF($B$43=(Refsz_Verbräuche[[#Headers],[2023]]-1),Refsz_Verbräuche[[#This Row],[2022]],IF($B$43&lt;Refsz_Verbräuche[[#Headers],[2023]],Refsz_Verbräuche[[#This Row],[2022]],"")))</f>
        <v/>
      </c>
      <c r="N206" s="124" t="str">
        <f>IF(Refsz_Verbräuche[[#Headers],[2024]]=$B$43,IF(OR(SUMIF($E206:Refsz_Verbräuche[[#This Row],[2023]],"&gt;0")&gt;0,), AVERAGEIF($E206:Refsz_Verbräuche[[#This Row],[2023]],"&lt;&gt;"""), ""),IF($B$43=(Refsz_Verbräuche[[#Headers],[2024]]-1),Refsz_Verbräuche[[#This Row],[2023]],IF($B$43&lt;Refsz_Verbräuche[[#Headers],[2024]],Refsz_Verbräuche[[#This Row],[2023]],"")))</f>
        <v/>
      </c>
      <c r="O206" s="124" t="str">
        <f>IF(Refsz_Verbräuche[[#Headers],[2025]]=$B$43,IF(OR(SUMIF($E206:Refsz_Verbräuche[[#This Row],[2024]],"&gt;0")&gt;0,), AVERAGEIF($E206:Refsz_Verbräuche[[#This Row],[2024]],"&lt;&gt;"""), ""),IF($B$43=(Refsz_Verbräuche[[#Headers],[2025]]-1),Refsz_Verbräuche[[#This Row],[2024]],IF($B$43&lt;Refsz_Verbräuche[[#Headers],[2025]],Refsz_Verbräuche[[#This Row],[2024]],"")))</f>
        <v/>
      </c>
      <c r="P206" s="124" t="str">
        <f>IF(Refsz_Verbräuche[[#Headers],[2026]]=$B$43,IF(OR(SUMIF($E206:Refsz_Verbräuche[[#This Row],[2025]],"&gt;0")&gt;0,), AVERAGEIF($E206:Refsz_Verbräuche[[#This Row],[2025]],"&lt;&gt;"""), ""),IF($B$43=(Refsz_Verbräuche[[#Headers],[2026]]-1),Refsz_Verbräuche[[#This Row],[2025]],IF($B$43&lt;Refsz_Verbräuche[[#Headers],[2026]],Refsz_Verbräuche[[#This Row],[2025]],"")))</f>
        <v/>
      </c>
      <c r="Q206" s="124" t="str">
        <f>IF(Refsz_Verbräuche[[#Headers],[2027]]=$B$43,IF(OR(SUMIF($E206:Refsz_Verbräuche[[#This Row],[2026]],"&gt;0")&gt;0,), AVERAGEIF($E206:Refsz_Verbräuche[[#This Row],[2026]],"&lt;&gt;"""), ""),IF($B$43=(Refsz_Verbräuche[[#Headers],[2027]]-1),Refsz_Verbräuche[[#This Row],[2026]],IF($B$43&lt;Refsz_Verbräuche[[#Headers],[2027]],Refsz_Verbräuche[[#This Row],[2026]],"")))</f>
        <v/>
      </c>
      <c r="R206" s="124" t="str">
        <f>IF(Refsz_Verbräuche[[#Headers],[2028]]=$B$43,IF(OR(SUMIF($E206:Refsz_Verbräuche[[#This Row],[2027]],"&gt;0")&gt;0,), AVERAGEIF($E206:Refsz_Verbräuche[[#This Row],[2027]],"&lt;&gt;"""), ""),IF($B$43=(Refsz_Verbräuche[[#Headers],[2028]]-1),Refsz_Verbräuche[[#This Row],[2027]],IF($B$43&lt;Refsz_Verbräuche[[#Headers],[2028]],Refsz_Verbräuche[[#This Row],[2027]],"")))</f>
        <v/>
      </c>
      <c r="S206" s="124" t="str">
        <f>IF(Refsz_Verbräuche[[#Headers],[2029]]=$B$43,IF(OR(SUMIF($E206:Refsz_Verbräuche[[#This Row],[2028]],"&gt;0")&gt;0,), AVERAGEIF($E206:Refsz_Verbräuche[[#This Row],[2028]],"&lt;&gt;"""), ""),IF($B$43=(Refsz_Verbräuche[[#Headers],[2029]]-1),Refsz_Verbräuche[[#This Row],[2028]],IF($B$43&lt;Refsz_Verbräuche[[#Headers],[2029]],Refsz_Verbräuche[[#This Row],[2028]],"")))</f>
        <v/>
      </c>
      <c r="T206" s="124" t="str">
        <f>IF(Refsz_Verbräuche[[#Headers],[2030]]=$B$43,IF(OR(SUMIF($E206:Refsz_Verbräuche[[#This Row],[2029]],"&gt;0")&gt;0,), AVERAGEIF($E206:Refsz_Verbräuche[[#This Row],[2029]],"&lt;&gt;"""), ""),IF($B$43=(Refsz_Verbräuche[[#Headers],[2030]]-1),Refsz_Verbräuche[[#This Row],[2029]],IF($B$43&lt;Refsz_Verbräuche[[#Headers],[2030]],Refsz_Verbräuche[[#This Row],[2029]],"")))</f>
        <v/>
      </c>
      <c r="U206" s="124" t="str">
        <f>IF(Refsz_Verbräuche[[#Headers],[2035]]=$B$43,IF(OR(SUMIF($E206:Refsz_Verbräuche[[#This Row],[2030]],"&gt;0")&gt;0,), AVERAGEIF($E206:Refsz_Verbräuche[[#This Row],[2030]],"&lt;&gt;"""), ""),IF($B$43=(Refsz_Verbräuche[[#Headers],[2035]]-1),Refsz_Verbräuche[[#This Row],[2030]],IF($B$43&lt;Refsz_Verbräuche[[#Headers],[2035]],Refsz_Verbräuche[[#This Row],[2030]],"")))</f>
        <v/>
      </c>
      <c r="V206" s="124" t="str">
        <f>IF(Refsz_Verbräuche[[#Headers],[2040]]=$B$43,IF(OR(SUMIF($E206:Refsz_Verbräuche[[#This Row],[2035]],"&gt;0")&gt;0,), AVERAGEIF($E206:Refsz_Verbräuche[[#This Row],[2035]],"&lt;&gt;"""), ""),IF($B$43=(Refsz_Verbräuche[[#Headers],[2040]]-1),Refsz_Verbräuche[[#This Row],[2035]],IF($B$43&lt;Refsz_Verbräuche[[#Headers],[2040]],Refsz_Verbräuche[[#This Row],[2035]],"")))</f>
        <v/>
      </c>
      <c r="W206" s="124" t="str">
        <f>IF(Refsz_Verbräuche[[#Headers],[2045]]=$B$43,IF(OR(SUMIF($E206:Refsz_Verbräuche[[#This Row],[2040]],"&gt;0")&gt;0,), AVERAGEIF($E206:Refsz_Verbräuche[[#This Row],[2040]],"&lt;&gt;"""), ""),IF($B$43=(Refsz_Verbräuche[[#Headers],[2045]]-1),Refsz_Verbräuche[[#This Row],[2040]],IF($B$43&lt;Refsz_Verbräuche[[#Headers],[2045]],Refsz_Verbräuche[[#This Row],[2040]],"")))</f>
        <v/>
      </c>
      <c r="X206" s="124" t="str">
        <f>IF(Refsz_Verbräuche[[#Headers],[2050]]=$B$43,IF(OR(SUMIF($E206:Refsz_Verbräuche[[#This Row],[2045]],"&gt;0")&gt;0,), AVERAGEIF($E206:Refsz_Verbräuche[[#This Row],[2045]],"&lt;&gt;"""), ""),IF($B$43=(Refsz_Verbräuche[[#Headers],[2050]]-1),Refsz_Verbräuche[[#This Row],[2045]],IF($B$43&lt;Refsz_Verbräuche[[#Headers],[2050]],Refsz_Verbräuche[[#This Row],[2045]],"")))</f>
        <v/>
      </c>
      <c r="Z206" s="15"/>
    </row>
    <row r="207" spans="2:26" x14ac:dyDescent="0.35">
      <c r="B207" s="15">
        <v>147</v>
      </c>
      <c r="C207" s="9"/>
      <c r="E207" s="124"/>
      <c r="F207" s="124"/>
      <c r="G207" s="124"/>
      <c r="H207" s="124"/>
      <c r="I207" s="124"/>
      <c r="J207" s="124"/>
      <c r="K207" s="124"/>
      <c r="L207" s="124" t="str">
        <f>IF(Refsz_Verbräuche[[#Headers],[2022]]=$B$43,IF(OR(SUMIF($E207:Refsz_Verbräuche[[#This Row],[2021]],"&gt;0")&gt;0,), AVERAGEIF($E207:Refsz_Verbräuche[[#This Row],[2021]],"&lt;&gt;"""), ""),IF($B$43=(Refsz_Verbräuche[[#Headers],[2022]]-1),Refsz_Verbräuche[[#This Row],[2021]],IF($B$43&lt;Refsz_Verbräuche[[#Headers],[2022]],Refsz_Verbräuche[[#This Row],[2021]],"")))</f>
        <v/>
      </c>
      <c r="M207" s="124" t="str">
        <f>IF(Refsz_Verbräuche[[#Headers],[2023]]=$B$43,IF(OR(SUMIF($E207:Refsz_Verbräuche[[#This Row],[2022]],"&gt;0")&gt;0,), AVERAGEIF($E207:Refsz_Verbräuche[[#This Row],[2022]],"&lt;&gt;"""), ""),IF($B$43=(Refsz_Verbräuche[[#Headers],[2023]]-1),Refsz_Verbräuche[[#This Row],[2022]],IF($B$43&lt;Refsz_Verbräuche[[#Headers],[2023]],Refsz_Verbräuche[[#This Row],[2022]],"")))</f>
        <v/>
      </c>
      <c r="N207" s="124" t="str">
        <f>IF(Refsz_Verbräuche[[#Headers],[2024]]=$B$43,IF(OR(SUMIF($E207:Refsz_Verbräuche[[#This Row],[2023]],"&gt;0")&gt;0,), AVERAGEIF($E207:Refsz_Verbräuche[[#This Row],[2023]],"&lt;&gt;"""), ""),IF($B$43=(Refsz_Verbräuche[[#Headers],[2024]]-1),Refsz_Verbräuche[[#This Row],[2023]],IF($B$43&lt;Refsz_Verbräuche[[#Headers],[2024]],Refsz_Verbräuche[[#This Row],[2023]],"")))</f>
        <v/>
      </c>
      <c r="O207" s="124" t="str">
        <f>IF(Refsz_Verbräuche[[#Headers],[2025]]=$B$43,IF(OR(SUMIF($E207:Refsz_Verbräuche[[#This Row],[2024]],"&gt;0")&gt;0,), AVERAGEIF($E207:Refsz_Verbräuche[[#This Row],[2024]],"&lt;&gt;"""), ""),IF($B$43=(Refsz_Verbräuche[[#Headers],[2025]]-1),Refsz_Verbräuche[[#This Row],[2024]],IF($B$43&lt;Refsz_Verbräuche[[#Headers],[2025]],Refsz_Verbräuche[[#This Row],[2024]],"")))</f>
        <v/>
      </c>
      <c r="P207" s="124" t="str">
        <f>IF(Refsz_Verbräuche[[#Headers],[2026]]=$B$43,IF(OR(SUMIF($E207:Refsz_Verbräuche[[#This Row],[2025]],"&gt;0")&gt;0,), AVERAGEIF($E207:Refsz_Verbräuche[[#This Row],[2025]],"&lt;&gt;"""), ""),IF($B$43=(Refsz_Verbräuche[[#Headers],[2026]]-1),Refsz_Verbräuche[[#This Row],[2025]],IF($B$43&lt;Refsz_Verbräuche[[#Headers],[2026]],Refsz_Verbräuche[[#This Row],[2025]],"")))</f>
        <v/>
      </c>
      <c r="Q207" s="124" t="str">
        <f>IF(Refsz_Verbräuche[[#Headers],[2027]]=$B$43,IF(OR(SUMIF($E207:Refsz_Verbräuche[[#This Row],[2026]],"&gt;0")&gt;0,), AVERAGEIF($E207:Refsz_Verbräuche[[#This Row],[2026]],"&lt;&gt;"""), ""),IF($B$43=(Refsz_Verbräuche[[#Headers],[2027]]-1),Refsz_Verbräuche[[#This Row],[2026]],IF($B$43&lt;Refsz_Verbräuche[[#Headers],[2027]],Refsz_Verbräuche[[#This Row],[2026]],"")))</f>
        <v/>
      </c>
      <c r="R207" s="124" t="str">
        <f>IF(Refsz_Verbräuche[[#Headers],[2028]]=$B$43,IF(OR(SUMIF($E207:Refsz_Verbräuche[[#This Row],[2027]],"&gt;0")&gt;0,), AVERAGEIF($E207:Refsz_Verbräuche[[#This Row],[2027]],"&lt;&gt;"""), ""),IF($B$43=(Refsz_Verbräuche[[#Headers],[2028]]-1),Refsz_Verbräuche[[#This Row],[2027]],IF($B$43&lt;Refsz_Verbräuche[[#Headers],[2028]],Refsz_Verbräuche[[#This Row],[2027]],"")))</f>
        <v/>
      </c>
      <c r="S207" s="124" t="str">
        <f>IF(Refsz_Verbräuche[[#Headers],[2029]]=$B$43,IF(OR(SUMIF($E207:Refsz_Verbräuche[[#This Row],[2028]],"&gt;0")&gt;0,), AVERAGEIF($E207:Refsz_Verbräuche[[#This Row],[2028]],"&lt;&gt;"""), ""),IF($B$43=(Refsz_Verbräuche[[#Headers],[2029]]-1),Refsz_Verbräuche[[#This Row],[2028]],IF($B$43&lt;Refsz_Verbräuche[[#Headers],[2029]],Refsz_Verbräuche[[#This Row],[2028]],"")))</f>
        <v/>
      </c>
      <c r="T207" s="124" t="str">
        <f>IF(Refsz_Verbräuche[[#Headers],[2030]]=$B$43,IF(OR(SUMIF($E207:Refsz_Verbräuche[[#This Row],[2029]],"&gt;0")&gt;0,), AVERAGEIF($E207:Refsz_Verbräuche[[#This Row],[2029]],"&lt;&gt;"""), ""),IF($B$43=(Refsz_Verbräuche[[#Headers],[2030]]-1),Refsz_Verbräuche[[#This Row],[2029]],IF($B$43&lt;Refsz_Verbräuche[[#Headers],[2030]],Refsz_Verbräuche[[#This Row],[2029]],"")))</f>
        <v/>
      </c>
      <c r="U207" s="124" t="str">
        <f>IF(Refsz_Verbräuche[[#Headers],[2035]]=$B$43,IF(OR(SUMIF($E207:Refsz_Verbräuche[[#This Row],[2030]],"&gt;0")&gt;0,), AVERAGEIF($E207:Refsz_Verbräuche[[#This Row],[2030]],"&lt;&gt;"""), ""),IF($B$43=(Refsz_Verbräuche[[#Headers],[2035]]-1),Refsz_Verbräuche[[#This Row],[2030]],IF($B$43&lt;Refsz_Verbräuche[[#Headers],[2035]],Refsz_Verbräuche[[#This Row],[2030]],"")))</f>
        <v/>
      </c>
      <c r="V207" s="124" t="str">
        <f>IF(Refsz_Verbräuche[[#Headers],[2040]]=$B$43,IF(OR(SUMIF($E207:Refsz_Verbräuche[[#This Row],[2035]],"&gt;0")&gt;0,), AVERAGEIF($E207:Refsz_Verbräuche[[#This Row],[2035]],"&lt;&gt;"""), ""),IF($B$43=(Refsz_Verbräuche[[#Headers],[2040]]-1),Refsz_Verbräuche[[#This Row],[2035]],IF($B$43&lt;Refsz_Verbräuche[[#Headers],[2040]],Refsz_Verbräuche[[#This Row],[2035]],"")))</f>
        <v/>
      </c>
      <c r="W207" s="124" t="str">
        <f>IF(Refsz_Verbräuche[[#Headers],[2045]]=$B$43,IF(OR(SUMIF($E207:Refsz_Verbräuche[[#This Row],[2040]],"&gt;0")&gt;0,), AVERAGEIF($E207:Refsz_Verbräuche[[#This Row],[2040]],"&lt;&gt;"""), ""),IF($B$43=(Refsz_Verbräuche[[#Headers],[2045]]-1),Refsz_Verbräuche[[#This Row],[2040]],IF($B$43&lt;Refsz_Verbräuche[[#Headers],[2045]],Refsz_Verbräuche[[#This Row],[2040]],"")))</f>
        <v/>
      </c>
      <c r="X207" s="124" t="str">
        <f>IF(Refsz_Verbräuche[[#Headers],[2050]]=$B$43,IF(OR(SUMIF($E207:Refsz_Verbräuche[[#This Row],[2045]],"&gt;0")&gt;0,), AVERAGEIF($E207:Refsz_Verbräuche[[#This Row],[2045]],"&lt;&gt;"""), ""),IF($B$43=(Refsz_Verbräuche[[#Headers],[2050]]-1),Refsz_Verbräuche[[#This Row],[2045]],IF($B$43&lt;Refsz_Verbräuche[[#Headers],[2050]],Refsz_Verbräuche[[#This Row],[2045]],"")))</f>
        <v/>
      </c>
      <c r="Z207" s="15"/>
    </row>
    <row r="208" spans="2:26" x14ac:dyDescent="0.35">
      <c r="B208" s="15">
        <v>148</v>
      </c>
      <c r="C208" s="9" t="s">
        <v>72</v>
      </c>
      <c r="D208" t="s">
        <v>191</v>
      </c>
      <c r="E208" s="124"/>
      <c r="F208" s="124"/>
      <c r="G208" s="124"/>
      <c r="H208" s="124"/>
      <c r="I208" s="124"/>
      <c r="J208" s="124"/>
      <c r="K208" s="124"/>
      <c r="L208" s="124" t="str">
        <f>IF(Refsz_Verbräuche[[#Headers],[2022]]=$B$43,IF(OR(SUMIF($E208:Refsz_Verbräuche[[#This Row],[2021]],"&gt;0")&gt;0,), AVERAGEIF($E208:Refsz_Verbräuche[[#This Row],[2021]],"&lt;&gt;"""), ""),IF($B$43=(Refsz_Verbräuche[[#Headers],[2022]]-1),Refsz_Verbräuche[[#This Row],[2021]],IF($B$43&lt;Refsz_Verbräuche[[#Headers],[2022]],Refsz_Verbräuche[[#This Row],[2021]],"")))</f>
        <v/>
      </c>
      <c r="M208" s="124" t="str">
        <f>IF(Refsz_Verbräuche[[#Headers],[2023]]=$B$43,IF(OR(SUMIF($E208:Refsz_Verbräuche[[#This Row],[2022]],"&gt;0")&gt;0,), AVERAGEIF($E208:Refsz_Verbräuche[[#This Row],[2022]],"&lt;&gt;"""), ""),IF($B$43=(Refsz_Verbräuche[[#Headers],[2023]]-1),Refsz_Verbräuche[[#This Row],[2022]],IF($B$43&lt;Refsz_Verbräuche[[#Headers],[2023]],Refsz_Verbräuche[[#This Row],[2022]],"")))</f>
        <v/>
      </c>
      <c r="N208" s="124" t="str">
        <f>IF(Refsz_Verbräuche[[#Headers],[2024]]=$B$43,IF(OR(SUMIF($E208:Refsz_Verbräuche[[#This Row],[2023]],"&gt;0")&gt;0,), AVERAGEIF($E208:Refsz_Verbräuche[[#This Row],[2023]],"&lt;&gt;"""), ""),IF($B$43=(Refsz_Verbräuche[[#Headers],[2024]]-1),Refsz_Verbräuche[[#This Row],[2023]],IF($B$43&lt;Refsz_Verbräuche[[#Headers],[2024]],Refsz_Verbräuche[[#This Row],[2023]],"")))</f>
        <v/>
      </c>
      <c r="O208" s="124" t="str">
        <f>IF(Refsz_Verbräuche[[#Headers],[2025]]=$B$43,IF(OR(SUMIF($E208:Refsz_Verbräuche[[#This Row],[2024]],"&gt;0")&gt;0,), AVERAGEIF($E208:Refsz_Verbräuche[[#This Row],[2024]],"&lt;&gt;"""), ""),IF($B$43=(Refsz_Verbräuche[[#Headers],[2025]]-1),Refsz_Verbräuche[[#This Row],[2024]],IF($B$43&lt;Refsz_Verbräuche[[#Headers],[2025]],Refsz_Verbräuche[[#This Row],[2024]],"")))</f>
        <v/>
      </c>
      <c r="P208" s="124" t="str">
        <f>IF(Refsz_Verbräuche[[#Headers],[2026]]=$B$43,IF(OR(SUMIF($E208:Refsz_Verbräuche[[#This Row],[2025]],"&gt;0")&gt;0,), AVERAGEIF($E208:Refsz_Verbräuche[[#This Row],[2025]],"&lt;&gt;"""), ""),IF($B$43=(Refsz_Verbräuche[[#Headers],[2026]]-1),Refsz_Verbräuche[[#This Row],[2025]],IF($B$43&lt;Refsz_Verbräuche[[#Headers],[2026]],Refsz_Verbräuche[[#This Row],[2025]],"")))</f>
        <v/>
      </c>
      <c r="Q208" s="124" t="str">
        <f>IF(Refsz_Verbräuche[[#Headers],[2027]]=$B$43,IF(OR(SUMIF($E208:Refsz_Verbräuche[[#This Row],[2026]],"&gt;0")&gt;0,), AVERAGEIF($E208:Refsz_Verbräuche[[#This Row],[2026]],"&lt;&gt;"""), ""),IF($B$43=(Refsz_Verbräuche[[#Headers],[2027]]-1),Refsz_Verbräuche[[#This Row],[2026]],IF($B$43&lt;Refsz_Verbräuche[[#Headers],[2027]],Refsz_Verbräuche[[#This Row],[2026]],"")))</f>
        <v/>
      </c>
      <c r="R208" s="124" t="str">
        <f>IF(Refsz_Verbräuche[[#Headers],[2028]]=$B$43,IF(OR(SUMIF($E208:Refsz_Verbräuche[[#This Row],[2027]],"&gt;0")&gt;0,), AVERAGEIF($E208:Refsz_Verbräuche[[#This Row],[2027]],"&lt;&gt;"""), ""),IF($B$43=(Refsz_Verbräuche[[#Headers],[2028]]-1),Refsz_Verbräuche[[#This Row],[2027]],IF($B$43&lt;Refsz_Verbräuche[[#Headers],[2028]],Refsz_Verbräuche[[#This Row],[2027]],"")))</f>
        <v/>
      </c>
      <c r="S208" s="124" t="str">
        <f>IF(Refsz_Verbräuche[[#Headers],[2029]]=$B$43,IF(OR(SUMIF($E208:Refsz_Verbräuche[[#This Row],[2028]],"&gt;0")&gt;0,), AVERAGEIF($E208:Refsz_Verbräuche[[#This Row],[2028]],"&lt;&gt;"""), ""),IF($B$43=(Refsz_Verbräuche[[#Headers],[2029]]-1),Refsz_Verbräuche[[#This Row],[2028]],IF($B$43&lt;Refsz_Verbräuche[[#Headers],[2029]],Refsz_Verbräuche[[#This Row],[2028]],"")))</f>
        <v/>
      </c>
      <c r="T208" s="124" t="str">
        <f>IF(Refsz_Verbräuche[[#Headers],[2030]]=$B$43,IF(OR(SUMIF($E208:Refsz_Verbräuche[[#This Row],[2029]],"&gt;0")&gt;0,), AVERAGEIF($E208:Refsz_Verbräuche[[#This Row],[2029]],"&lt;&gt;"""), ""),IF($B$43=(Refsz_Verbräuche[[#Headers],[2030]]-1),Refsz_Verbräuche[[#This Row],[2029]],IF($B$43&lt;Refsz_Verbräuche[[#Headers],[2030]],Refsz_Verbräuche[[#This Row],[2029]],"")))</f>
        <v/>
      </c>
      <c r="U208" s="124" t="str">
        <f>IF(Refsz_Verbräuche[[#Headers],[2035]]=$B$43,IF(OR(SUMIF($E208:Refsz_Verbräuche[[#This Row],[2030]],"&gt;0")&gt;0,), AVERAGEIF($E208:Refsz_Verbräuche[[#This Row],[2030]],"&lt;&gt;"""), ""),IF($B$43=(Refsz_Verbräuche[[#Headers],[2035]]-1),Refsz_Verbräuche[[#This Row],[2030]],IF($B$43&lt;Refsz_Verbräuche[[#Headers],[2035]],Refsz_Verbräuche[[#This Row],[2030]],"")))</f>
        <v/>
      </c>
      <c r="V208" s="124" t="str">
        <f>IF(Refsz_Verbräuche[[#Headers],[2040]]=$B$43,IF(OR(SUMIF($E208:Refsz_Verbräuche[[#This Row],[2035]],"&gt;0")&gt;0,), AVERAGEIF($E208:Refsz_Verbräuche[[#This Row],[2035]],"&lt;&gt;"""), ""),IF($B$43=(Refsz_Verbräuche[[#Headers],[2040]]-1),Refsz_Verbräuche[[#This Row],[2035]],IF($B$43&lt;Refsz_Verbräuche[[#Headers],[2040]],Refsz_Verbräuche[[#This Row],[2035]],"")))</f>
        <v/>
      </c>
      <c r="W208" s="124" t="str">
        <f>IF(Refsz_Verbräuche[[#Headers],[2045]]=$B$43,IF(OR(SUMIF($E208:Refsz_Verbräuche[[#This Row],[2040]],"&gt;0")&gt;0,), AVERAGEIF($E208:Refsz_Verbräuche[[#This Row],[2040]],"&lt;&gt;"""), ""),IF($B$43=(Refsz_Verbräuche[[#Headers],[2045]]-1),Refsz_Verbräuche[[#This Row],[2040]],IF($B$43&lt;Refsz_Verbräuche[[#Headers],[2045]],Refsz_Verbräuche[[#This Row],[2040]],"")))</f>
        <v/>
      </c>
      <c r="X208" s="124" t="str">
        <f>IF(Refsz_Verbräuche[[#Headers],[2050]]=$B$43,IF(OR(SUMIF($E208:Refsz_Verbräuche[[#This Row],[2045]],"&gt;0")&gt;0,), AVERAGEIF($E208:Refsz_Verbräuche[[#This Row],[2045]],"&lt;&gt;"""), ""),IF($B$43=(Refsz_Verbräuche[[#Headers],[2050]]-1),Refsz_Verbräuche[[#This Row],[2045]],IF($B$43&lt;Refsz_Verbräuche[[#Headers],[2050]],Refsz_Verbräuche[[#This Row],[2045]],"")))</f>
        <v/>
      </c>
      <c r="Z208" s="15"/>
    </row>
    <row r="209" spans="2:26" x14ac:dyDescent="0.35">
      <c r="B209" s="15">
        <v>149</v>
      </c>
      <c r="C209" s="9"/>
      <c r="E209" s="124"/>
      <c r="F209" s="124"/>
      <c r="G209" s="124"/>
      <c r="H209" s="124"/>
      <c r="I209" s="124"/>
      <c r="J209" s="124"/>
      <c r="K209" s="124"/>
      <c r="L209" s="124" t="str">
        <f>IF(Refsz_Verbräuche[[#Headers],[2022]]=$B$43,IF(OR(SUMIF($E209:Refsz_Verbräuche[[#This Row],[2021]],"&gt;0")&gt;0,), AVERAGEIF($E209:Refsz_Verbräuche[[#This Row],[2021]],"&lt;&gt;"""), ""),IF($B$43=(Refsz_Verbräuche[[#Headers],[2022]]-1),Refsz_Verbräuche[[#This Row],[2021]],IF($B$43&lt;Refsz_Verbräuche[[#Headers],[2022]],Refsz_Verbräuche[[#This Row],[2021]],"")))</f>
        <v/>
      </c>
      <c r="M209" s="124" t="str">
        <f>IF(Refsz_Verbräuche[[#Headers],[2023]]=$B$43,IF(OR(SUMIF($E209:Refsz_Verbräuche[[#This Row],[2022]],"&gt;0")&gt;0,), AVERAGEIF($E209:Refsz_Verbräuche[[#This Row],[2022]],"&lt;&gt;"""), ""),IF($B$43=(Refsz_Verbräuche[[#Headers],[2023]]-1),Refsz_Verbräuche[[#This Row],[2022]],IF($B$43&lt;Refsz_Verbräuche[[#Headers],[2023]],Refsz_Verbräuche[[#This Row],[2022]],"")))</f>
        <v/>
      </c>
      <c r="N209" s="124" t="str">
        <f>IF(Refsz_Verbräuche[[#Headers],[2024]]=$B$43,IF(OR(SUMIF($E209:Refsz_Verbräuche[[#This Row],[2023]],"&gt;0")&gt;0,), AVERAGEIF($E209:Refsz_Verbräuche[[#This Row],[2023]],"&lt;&gt;"""), ""),IF($B$43=(Refsz_Verbräuche[[#Headers],[2024]]-1),Refsz_Verbräuche[[#This Row],[2023]],IF($B$43&lt;Refsz_Verbräuche[[#Headers],[2024]],Refsz_Verbräuche[[#This Row],[2023]],"")))</f>
        <v/>
      </c>
      <c r="O209" s="124" t="str">
        <f>IF(Refsz_Verbräuche[[#Headers],[2025]]=$B$43,IF(OR(SUMIF($E209:Refsz_Verbräuche[[#This Row],[2024]],"&gt;0")&gt;0,), AVERAGEIF($E209:Refsz_Verbräuche[[#This Row],[2024]],"&lt;&gt;"""), ""),IF($B$43=(Refsz_Verbräuche[[#Headers],[2025]]-1),Refsz_Verbräuche[[#This Row],[2024]],IF($B$43&lt;Refsz_Verbräuche[[#Headers],[2025]],Refsz_Verbräuche[[#This Row],[2024]],"")))</f>
        <v/>
      </c>
      <c r="P209" s="124" t="str">
        <f>IF(Refsz_Verbräuche[[#Headers],[2026]]=$B$43,IF(OR(SUMIF($E209:Refsz_Verbräuche[[#This Row],[2025]],"&gt;0")&gt;0,), AVERAGEIF($E209:Refsz_Verbräuche[[#This Row],[2025]],"&lt;&gt;"""), ""),IF($B$43=(Refsz_Verbräuche[[#Headers],[2026]]-1),Refsz_Verbräuche[[#This Row],[2025]],IF($B$43&lt;Refsz_Verbräuche[[#Headers],[2026]],Refsz_Verbräuche[[#This Row],[2025]],"")))</f>
        <v/>
      </c>
      <c r="Q209" s="124" t="str">
        <f>IF(Refsz_Verbräuche[[#Headers],[2027]]=$B$43,IF(OR(SUMIF($E209:Refsz_Verbräuche[[#This Row],[2026]],"&gt;0")&gt;0,), AVERAGEIF($E209:Refsz_Verbräuche[[#This Row],[2026]],"&lt;&gt;"""), ""),IF($B$43=(Refsz_Verbräuche[[#Headers],[2027]]-1),Refsz_Verbräuche[[#This Row],[2026]],IF($B$43&lt;Refsz_Verbräuche[[#Headers],[2027]],Refsz_Verbräuche[[#This Row],[2026]],"")))</f>
        <v/>
      </c>
      <c r="R209" s="124" t="str">
        <f>IF(Refsz_Verbräuche[[#Headers],[2028]]=$B$43,IF(OR(SUMIF($E209:Refsz_Verbräuche[[#This Row],[2027]],"&gt;0")&gt;0,), AVERAGEIF($E209:Refsz_Verbräuche[[#This Row],[2027]],"&lt;&gt;"""), ""),IF($B$43=(Refsz_Verbräuche[[#Headers],[2028]]-1),Refsz_Verbräuche[[#This Row],[2027]],IF($B$43&lt;Refsz_Verbräuche[[#Headers],[2028]],Refsz_Verbräuche[[#This Row],[2027]],"")))</f>
        <v/>
      </c>
      <c r="S209" s="124" t="str">
        <f>IF(Refsz_Verbräuche[[#Headers],[2029]]=$B$43,IF(OR(SUMIF($E209:Refsz_Verbräuche[[#This Row],[2028]],"&gt;0")&gt;0,), AVERAGEIF($E209:Refsz_Verbräuche[[#This Row],[2028]],"&lt;&gt;"""), ""),IF($B$43=(Refsz_Verbräuche[[#Headers],[2029]]-1),Refsz_Verbräuche[[#This Row],[2028]],IF($B$43&lt;Refsz_Verbräuche[[#Headers],[2029]],Refsz_Verbräuche[[#This Row],[2028]],"")))</f>
        <v/>
      </c>
      <c r="T209" s="124" t="str">
        <f>IF(Refsz_Verbräuche[[#Headers],[2030]]=$B$43,IF(OR(SUMIF($E209:Refsz_Verbräuche[[#This Row],[2029]],"&gt;0")&gt;0,), AVERAGEIF($E209:Refsz_Verbräuche[[#This Row],[2029]],"&lt;&gt;"""), ""),IF($B$43=(Refsz_Verbräuche[[#Headers],[2030]]-1),Refsz_Verbräuche[[#This Row],[2029]],IF($B$43&lt;Refsz_Verbräuche[[#Headers],[2030]],Refsz_Verbräuche[[#This Row],[2029]],"")))</f>
        <v/>
      </c>
      <c r="U209" s="124" t="str">
        <f>IF(Refsz_Verbräuche[[#Headers],[2035]]=$B$43,IF(OR(SUMIF($E209:Refsz_Verbräuche[[#This Row],[2030]],"&gt;0")&gt;0,), AVERAGEIF($E209:Refsz_Verbräuche[[#This Row],[2030]],"&lt;&gt;"""), ""),IF($B$43=(Refsz_Verbräuche[[#Headers],[2035]]-1),Refsz_Verbräuche[[#This Row],[2030]],IF($B$43&lt;Refsz_Verbräuche[[#Headers],[2035]],Refsz_Verbräuche[[#This Row],[2030]],"")))</f>
        <v/>
      </c>
      <c r="V209" s="124" t="str">
        <f>IF(Refsz_Verbräuche[[#Headers],[2040]]=$B$43,IF(OR(SUMIF($E209:Refsz_Verbräuche[[#This Row],[2035]],"&gt;0")&gt;0,), AVERAGEIF($E209:Refsz_Verbräuche[[#This Row],[2035]],"&lt;&gt;"""), ""),IF($B$43=(Refsz_Verbräuche[[#Headers],[2040]]-1),Refsz_Verbräuche[[#This Row],[2035]],IF($B$43&lt;Refsz_Verbräuche[[#Headers],[2040]],Refsz_Verbräuche[[#This Row],[2035]],"")))</f>
        <v/>
      </c>
      <c r="W209" s="124" t="str">
        <f>IF(Refsz_Verbräuche[[#Headers],[2045]]=$B$43,IF(OR(SUMIF($E209:Refsz_Verbräuche[[#This Row],[2040]],"&gt;0")&gt;0,), AVERAGEIF($E209:Refsz_Verbräuche[[#This Row],[2040]],"&lt;&gt;"""), ""),IF($B$43=(Refsz_Verbräuche[[#Headers],[2045]]-1),Refsz_Verbräuche[[#This Row],[2040]],IF($B$43&lt;Refsz_Verbräuche[[#Headers],[2045]],Refsz_Verbräuche[[#This Row],[2040]],"")))</f>
        <v/>
      </c>
      <c r="X209" s="124" t="str">
        <f>IF(Refsz_Verbräuche[[#Headers],[2050]]=$B$43,IF(OR(SUMIF($E209:Refsz_Verbräuche[[#This Row],[2045]],"&gt;0")&gt;0,), AVERAGEIF($E209:Refsz_Verbräuche[[#This Row],[2045]],"&lt;&gt;"""), ""),IF($B$43=(Refsz_Verbräuche[[#Headers],[2050]]-1),Refsz_Verbräuche[[#This Row],[2045]],IF($B$43&lt;Refsz_Verbräuche[[#Headers],[2050]],Refsz_Verbräuche[[#This Row],[2045]],"")))</f>
        <v/>
      </c>
      <c r="Z209" s="15"/>
    </row>
    <row r="210" spans="2:26" x14ac:dyDescent="0.35">
      <c r="B210" s="15">
        <v>150</v>
      </c>
      <c r="C210" s="9"/>
      <c r="E210" s="124"/>
      <c r="F210" s="124"/>
      <c r="G210" s="124"/>
      <c r="H210" s="124"/>
      <c r="I210" s="124"/>
      <c r="J210" s="124"/>
      <c r="K210" s="124"/>
      <c r="L210" s="124" t="str">
        <f>IF(Refsz_Verbräuche[[#Headers],[2022]]=$B$43,IF(OR(SUMIF($E210:Refsz_Verbräuche[[#This Row],[2021]],"&gt;0")&gt;0,), AVERAGEIF($E210:Refsz_Verbräuche[[#This Row],[2021]],"&lt;&gt;"""), ""),IF($B$43=(Refsz_Verbräuche[[#Headers],[2022]]-1),Refsz_Verbräuche[[#This Row],[2021]],IF($B$43&lt;Refsz_Verbräuche[[#Headers],[2022]],Refsz_Verbräuche[[#This Row],[2021]],"")))</f>
        <v/>
      </c>
      <c r="M210" s="124" t="str">
        <f>IF(Refsz_Verbräuche[[#Headers],[2023]]=$B$43,IF(OR(SUMIF($E210:Refsz_Verbräuche[[#This Row],[2022]],"&gt;0")&gt;0,), AVERAGEIF($E210:Refsz_Verbräuche[[#This Row],[2022]],"&lt;&gt;"""), ""),IF($B$43=(Refsz_Verbräuche[[#Headers],[2023]]-1),Refsz_Verbräuche[[#This Row],[2022]],IF($B$43&lt;Refsz_Verbräuche[[#Headers],[2023]],Refsz_Verbräuche[[#This Row],[2022]],"")))</f>
        <v/>
      </c>
      <c r="N210" s="124" t="str">
        <f>IF(Refsz_Verbräuche[[#Headers],[2024]]=$B$43,IF(OR(SUMIF($E210:Refsz_Verbräuche[[#This Row],[2023]],"&gt;0")&gt;0,), AVERAGEIF($E210:Refsz_Verbräuche[[#This Row],[2023]],"&lt;&gt;"""), ""),IF($B$43=(Refsz_Verbräuche[[#Headers],[2024]]-1),Refsz_Verbräuche[[#This Row],[2023]],IF($B$43&lt;Refsz_Verbräuche[[#Headers],[2024]],Refsz_Verbräuche[[#This Row],[2023]],"")))</f>
        <v/>
      </c>
      <c r="O210" s="124" t="str">
        <f>IF(Refsz_Verbräuche[[#Headers],[2025]]=$B$43,IF(OR(SUMIF($E210:Refsz_Verbräuche[[#This Row],[2024]],"&gt;0")&gt;0,), AVERAGEIF($E210:Refsz_Verbräuche[[#This Row],[2024]],"&lt;&gt;"""), ""),IF($B$43=(Refsz_Verbräuche[[#Headers],[2025]]-1),Refsz_Verbräuche[[#This Row],[2024]],IF($B$43&lt;Refsz_Verbräuche[[#Headers],[2025]],Refsz_Verbräuche[[#This Row],[2024]],"")))</f>
        <v/>
      </c>
      <c r="P210" s="124" t="str">
        <f>IF(Refsz_Verbräuche[[#Headers],[2026]]=$B$43,IF(OR(SUMIF($E210:Refsz_Verbräuche[[#This Row],[2025]],"&gt;0")&gt;0,), AVERAGEIF($E210:Refsz_Verbräuche[[#This Row],[2025]],"&lt;&gt;"""), ""),IF($B$43=(Refsz_Verbräuche[[#Headers],[2026]]-1),Refsz_Verbräuche[[#This Row],[2025]],IF($B$43&lt;Refsz_Verbräuche[[#Headers],[2026]],Refsz_Verbräuche[[#This Row],[2025]],"")))</f>
        <v/>
      </c>
      <c r="Q210" s="124" t="str">
        <f>IF(Refsz_Verbräuche[[#Headers],[2027]]=$B$43,IF(OR(SUMIF($E210:Refsz_Verbräuche[[#This Row],[2026]],"&gt;0")&gt;0,), AVERAGEIF($E210:Refsz_Verbräuche[[#This Row],[2026]],"&lt;&gt;"""), ""),IF($B$43=(Refsz_Verbräuche[[#Headers],[2027]]-1),Refsz_Verbräuche[[#This Row],[2026]],IF($B$43&lt;Refsz_Verbräuche[[#Headers],[2027]],Refsz_Verbräuche[[#This Row],[2026]],"")))</f>
        <v/>
      </c>
      <c r="R210" s="124" t="str">
        <f>IF(Refsz_Verbräuche[[#Headers],[2028]]=$B$43,IF(OR(SUMIF($E210:Refsz_Verbräuche[[#This Row],[2027]],"&gt;0")&gt;0,), AVERAGEIF($E210:Refsz_Verbräuche[[#This Row],[2027]],"&lt;&gt;"""), ""),IF($B$43=(Refsz_Verbräuche[[#Headers],[2028]]-1),Refsz_Verbräuche[[#This Row],[2027]],IF($B$43&lt;Refsz_Verbräuche[[#Headers],[2028]],Refsz_Verbräuche[[#This Row],[2027]],"")))</f>
        <v/>
      </c>
      <c r="S210" s="124" t="str">
        <f>IF(Refsz_Verbräuche[[#Headers],[2029]]=$B$43,IF(OR(SUMIF($E210:Refsz_Verbräuche[[#This Row],[2028]],"&gt;0")&gt;0,), AVERAGEIF($E210:Refsz_Verbräuche[[#This Row],[2028]],"&lt;&gt;"""), ""),IF($B$43=(Refsz_Verbräuche[[#Headers],[2029]]-1),Refsz_Verbräuche[[#This Row],[2028]],IF($B$43&lt;Refsz_Verbräuche[[#Headers],[2029]],Refsz_Verbräuche[[#This Row],[2028]],"")))</f>
        <v/>
      </c>
      <c r="T210" s="124" t="str">
        <f>IF(Refsz_Verbräuche[[#Headers],[2030]]=$B$43,IF(OR(SUMIF($E210:Refsz_Verbräuche[[#This Row],[2029]],"&gt;0")&gt;0,), AVERAGEIF($E210:Refsz_Verbräuche[[#This Row],[2029]],"&lt;&gt;"""), ""),IF($B$43=(Refsz_Verbräuche[[#Headers],[2030]]-1),Refsz_Verbräuche[[#This Row],[2029]],IF($B$43&lt;Refsz_Verbräuche[[#Headers],[2030]],Refsz_Verbräuche[[#This Row],[2029]],"")))</f>
        <v/>
      </c>
      <c r="U210" s="124" t="str">
        <f>IF(Refsz_Verbräuche[[#Headers],[2035]]=$B$43,IF(OR(SUMIF($E210:Refsz_Verbräuche[[#This Row],[2030]],"&gt;0")&gt;0,), AVERAGEIF($E210:Refsz_Verbräuche[[#This Row],[2030]],"&lt;&gt;"""), ""),IF($B$43=(Refsz_Verbräuche[[#Headers],[2035]]-1),Refsz_Verbräuche[[#This Row],[2030]],IF($B$43&lt;Refsz_Verbräuche[[#Headers],[2035]],Refsz_Verbräuche[[#This Row],[2030]],"")))</f>
        <v/>
      </c>
      <c r="V210" s="124" t="str">
        <f>IF(Refsz_Verbräuche[[#Headers],[2040]]=$B$43,IF(OR(SUMIF($E210:Refsz_Verbräuche[[#This Row],[2035]],"&gt;0")&gt;0,), AVERAGEIF($E210:Refsz_Verbräuche[[#This Row],[2035]],"&lt;&gt;"""), ""),IF($B$43=(Refsz_Verbräuche[[#Headers],[2040]]-1),Refsz_Verbräuche[[#This Row],[2035]],IF($B$43&lt;Refsz_Verbräuche[[#Headers],[2040]],Refsz_Verbräuche[[#This Row],[2035]],"")))</f>
        <v/>
      </c>
      <c r="W210" s="124" t="str">
        <f>IF(Refsz_Verbräuche[[#Headers],[2045]]=$B$43,IF(OR(SUMIF($E210:Refsz_Verbräuche[[#This Row],[2040]],"&gt;0")&gt;0,), AVERAGEIF($E210:Refsz_Verbräuche[[#This Row],[2040]],"&lt;&gt;"""), ""),IF($B$43=(Refsz_Verbräuche[[#Headers],[2045]]-1),Refsz_Verbräuche[[#This Row],[2040]],IF($B$43&lt;Refsz_Verbräuche[[#Headers],[2045]],Refsz_Verbräuche[[#This Row],[2040]],"")))</f>
        <v/>
      </c>
      <c r="X210" s="124" t="str">
        <f>IF(Refsz_Verbräuche[[#Headers],[2050]]=$B$43,IF(OR(SUMIF($E210:Refsz_Verbräuche[[#This Row],[2045]],"&gt;0")&gt;0,), AVERAGEIF($E210:Refsz_Verbräuche[[#This Row],[2045]],"&lt;&gt;"""), ""),IF($B$43=(Refsz_Verbräuche[[#Headers],[2050]]-1),Refsz_Verbräuche[[#This Row],[2045]],IF($B$43&lt;Refsz_Verbräuche[[#Headers],[2050]],Refsz_Verbräuche[[#This Row],[2045]],"")))</f>
        <v/>
      </c>
      <c r="Z210" s="15"/>
    </row>
    <row r="211" spans="2:26" x14ac:dyDescent="0.35">
      <c r="B211" s="15">
        <v>151</v>
      </c>
      <c r="C211" s="9"/>
      <c r="E211" s="124"/>
      <c r="F211" s="124"/>
      <c r="G211" s="124"/>
      <c r="H211" s="124"/>
      <c r="I211" s="124"/>
      <c r="J211" s="124"/>
      <c r="K211" s="124"/>
      <c r="L211" s="124" t="str">
        <f>IF(Refsz_Verbräuche[[#Headers],[2022]]=$B$43,IF(OR(SUMIF($E211:Refsz_Verbräuche[[#This Row],[2021]],"&gt;0")&gt;0,), AVERAGEIF($E211:Refsz_Verbräuche[[#This Row],[2021]],"&lt;&gt;"""), ""),IF($B$43=(Refsz_Verbräuche[[#Headers],[2022]]-1),Refsz_Verbräuche[[#This Row],[2021]],IF($B$43&lt;Refsz_Verbräuche[[#Headers],[2022]],Refsz_Verbräuche[[#This Row],[2021]],"")))</f>
        <v/>
      </c>
      <c r="M211" s="124" t="str">
        <f>IF(Refsz_Verbräuche[[#Headers],[2023]]=$B$43,IF(OR(SUMIF($E211:Refsz_Verbräuche[[#This Row],[2022]],"&gt;0")&gt;0,), AVERAGEIF($E211:Refsz_Verbräuche[[#This Row],[2022]],"&lt;&gt;"""), ""),IF($B$43=(Refsz_Verbräuche[[#Headers],[2023]]-1),Refsz_Verbräuche[[#This Row],[2022]],IF($B$43&lt;Refsz_Verbräuche[[#Headers],[2023]],Refsz_Verbräuche[[#This Row],[2022]],"")))</f>
        <v/>
      </c>
      <c r="N211" s="124" t="str">
        <f>IF(Refsz_Verbräuche[[#Headers],[2024]]=$B$43,IF(OR(SUMIF($E211:Refsz_Verbräuche[[#This Row],[2023]],"&gt;0")&gt;0,), AVERAGEIF($E211:Refsz_Verbräuche[[#This Row],[2023]],"&lt;&gt;"""), ""),IF($B$43=(Refsz_Verbräuche[[#Headers],[2024]]-1),Refsz_Verbräuche[[#This Row],[2023]],IF($B$43&lt;Refsz_Verbräuche[[#Headers],[2024]],Refsz_Verbräuche[[#This Row],[2023]],"")))</f>
        <v/>
      </c>
      <c r="O211" s="124" t="str">
        <f>IF(Refsz_Verbräuche[[#Headers],[2025]]=$B$43,IF(OR(SUMIF($E211:Refsz_Verbräuche[[#This Row],[2024]],"&gt;0")&gt;0,), AVERAGEIF($E211:Refsz_Verbräuche[[#This Row],[2024]],"&lt;&gt;"""), ""),IF($B$43=(Refsz_Verbräuche[[#Headers],[2025]]-1),Refsz_Verbräuche[[#This Row],[2024]],IF($B$43&lt;Refsz_Verbräuche[[#Headers],[2025]],Refsz_Verbräuche[[#This Row],[2024]],"")))</f>
        <v/>
      </c>
      <c r="P211" s="124" t="str">
        <f>IF(Refsz_Verbräuche[[#Headers],[2026]]=$B$43,IF(OR(SUMIF($E211:Refsz_Verbräuche[[#This Row],[2025]],"&gt;0")&gt;0,), AVERAGEIF($E211:Refsz_Verbräuche[[#This Row],[2025]],"&lt;&gt;"""), ""),IF($B$43=(Refsz_Verbräuche[[#Headers],[2026]]-1),Refsz_Verbräuche[[#This Row],[2025]],IF($B$43&lt;Refsz_Verbräuche[[#Headers],[2026]],Refsz_Verbräuche[[#This Row],[2025]],"")))</f>
        <v/>
      </c>
      <c r="Q211" s="124" t="str">
        <f>IF(Refsz_Verbräuche[[#Headers],[2027]]=$B$43,IF(OR(SUMIF($E211:Refsz_Verbräuche[[#This Row],[2026]],"&gt;0")&gt;0,), AVERAGEIF($E211:Refsz_Verbräuche[[#This Row],[2026]],"&lt;&gt;"""), ""),IF($B$43=(Refsz_Verbräuche[[#Headers],[2027]]-1),Refsz_Verbräuche[[#This Row],[2026]],IF($B$43&lt;Refsz_Verbräuche[[#Headers],[2027]],Refsz_Verbräuche[[#This Row],[2026]],"")))</f>
        <v/>
      </c>
      <c r="R211" s="124" t="str">
        <f>IF(Refsz_Verbräuche[[#Headers],[2028]]=$B$43,IF(OR(SUMIF($E211:Refsz_Verbräuche[[#This Row],[2027]],"&gt;0")&gt;0,), AVERAGEIF($E211:Refsz_Verbräuche[[#This Row],[2027]],"&lt;&gt;"""), ""),IF($B$43=(Refsz_Verbräuche[[#Headers],[2028]]-1),Refsz_Verbräuche[[#This Row],[2027]],IF($B$43&lt;Refsz_Verbräuche[[#Headers],[2028]],Refsz_Verbräuche[[#This Row],[2027]],"")))</f>
        <v/>
      </c>
      <c r="S211" s="124" t="str">
        <f>IF(Refsz_Verbräuche[[#Headers],[2029]]=$B$43,IF(OR(SUMIF($E211:Refsz_Verbräuche[[#This Row],[2028]],"&gt;0")&gt;0,), AVERAGEIF($E211:Refsz_Verbräuche[[#This Row],[2028]],"&lt;&gt;"""), ""),IF($B$43=(Refsz_Verbräuche[[#Headers],[2029]]-1),Refsz_Verbräuche[[#This Row],[2028]],IF($B$43&lt;Refsz_Verbräuche[[#Headers],[2029]],Refsz_Verbräuche[[#This Row],[2028]],"")))</f>
        <v/>
      </c>
      <c r="T211" s="124" t="str">
        <f>IF(Refsz_Verbräuche[[#Headers],[2030]]=$B$43,IF(OR(SUMIF($E211:Refsz_Verbräuche[[#This Row],[2029]],"&gt;0")&gt;0,), AVERAGEIF($E211:Refsz_Verbräuche[[#This Row],[2029]],"&lt;&gt;"""), ""),IF($B$43=(Refsz_Verbräuche[[#Headers],[2030]]-1),Refsz_Verbräuche[[#This Row],[2029]],IF($B$43&lt;Refsz_Verbräuche[[#Headers],[2030]],Refsz_Verbräuche[[#This Row],[2029]],"")))</f>
        <v/>
      </c>
      <c r="U211" s="124" t="str">
        <f>IF(Refsz_Verbräuche[[#Headers],[2035]]=$B$43,IF(OR(SUMIF($E211:Refsz_Verbräuche[[#This Row],[2030]],"&gt;0")&gt;0,), AVERAGEIF($E211:Refsz_Verbräuche[[#This Row],[2030]],"&lt;&gt;"""), ""),IF($B$43=(Refsz_Verbräuche[[#Headers],[2035]]-1),Refsz_Verbräuche[[#This Row],[2030]],IF($B$43&lt;Refsz_Verbräuche[[#Headers],[2035]],Refsz_Verbräuche[[#This Row],[2030]],"")))</f>
        <v/>
      </c>
      <c r="V211" s="124" t="str">
        <f>IF(Refsz_Verbräuche[[#Headers],[2040]]=$B$43,IF(OR(SUMIF($E211:Refsz_Verbräuche[[#This Row],[2035]],"&gt;0")&gt;0,), AVERAGEIF($E211:Refsz_Verbräuche[[#This Row],[2035]],"&lt;&gt;"""), ""),IF($B$43=(Refsz_Verbräuche[[#Headers],[2040]]-1),Refsz_Verbräuche[[#This Row],[2035]],IF($B$43&lt;Refsz_Verbräuche[[#Headers],[2040]],Refsz_Verbräuche[[#This Row],[2035]],"")))</f>
        <v/>
      </c>
      <c r="W211" s="124" t="str">
        <f>IF(Refsz_Verbräuche[[#Headers],[2045]]=$B$43,IF(OR(SUMIF($E211:Refsz_Verbräuche[[#This Row],[2040]],"&gt;0")&gt;0,), AVERAGEIF($E211:Refsz_Verbräuche[[#This Row],[2040]],"&lt;&gt;"""), ""),IF($B$43=(Refsz_Verbräuche[[#Headers],[2045]]-1),Refsz_Verbräuche[[#This Row],[2040]],IF($B$43&lt;Refsz_Verbräuche[[#Headers],[2045]],Refsz_Verbräuche[[#This Row],[2040]],"")))</f>
        <v/>
      </c>
      <c r="X211" s="124" t="str">
        <f>IF(Refsz_Verbräuche[[#Headers],[2050]]=$B$43,IF(OR(SUMIF($E211:Refsz_Verbräuche[[#This Row],[2045]],"&gt;0")&gt;0,), AVERAGEIF($E211:Refsz_Verbräuche[[#This Row],[2045]],"&lt;&gt;"""), ""),IF($B$43=(Refsz_Verbräuche[[#Headers],[2050]]-1),Refsz_Verbräuche[[#This Row],[2045]],IF($B$43&lt;Refsz_Verbräuche[[#Headers],[2050]],Refsz_Verbräuche[[#This Row],[2045]],"")))</f>
        <v/>
      </c>
      <c r="Z211" s="15"/>
    </row>
    <row r="212" spans="2:26" x14ac:dyDescent="0.35">
      <c r="B212" s="15">
        <v>152</v>
      </c>
      <c r="C212" s="9"/>
      <c r="E212" s="124"/>
      <c r="F212" s="124"/>
      <c r="G212" s="124"/>
      <c r="H212" s="124"/>
      <c r="I212" s="124"/>
      <c r="J212" s="124"/>
      <c r="K212" s="124"/>
      <c r="L212" s="124" t="str">
        <f>IF(Refsz_Verbräuche[[#Headers],[2022]]=$B$43,IF(OR(SUMIF($E212:Refsz_Verbräuche[[#This Row],[2021]],"&gt;0")&gt;0,), AVERAGEIF($E212:Refsz_Verbräuche[[#This Row],[2021]],"&lt;&gt;"""), ""),IF($B$43=(Refsz_Verbräuche[[#Headers],[2022]]-1),Refsz_Verbräuche[[#This Row],[2021]],IF($B$43&lt;Refsz_Verbräuche[[#Headers],[2022]],Refsz_Verbräuche[[#This Row],[2021]],"")))</f>
        <v/>
      </c>
      <c r="M212" s="124" t="str">
        <f>IF(Refsz_Verbräuche[[#Headers],[2023]]=$B$43,IF(OR(SUMIF($E212:Refsz_Verbräuche[[#This Row],[2022]],"&gt;0")&gt;0,), AVERAGEIF($E212:Refsz_Verbräuche[[#This Row],[2022]],"&lt;&gt;"""), ""),IF($B$43=(Refsz_Verbräuche[[#Headers],[2023]]-1),Refsz_Verbräuche[[#This Row],[2022]],IF($B$43&lt;Refsz_Verbräuche[[#Headers],[2023]],Refsz_Verbräuche[[#This Row],[2022]],"")))</f>
        <v/>
      </c>
      <c r="N212" s="124" t="str">
        <f>IF(Refsz_Verbräuche[[#Headers],[2024]]=$B$43,IF(OR(SUMIF($E212:Refsz_Verbräuche[[#This Row],[2023]],"&gt;0")&gt;0,), AVERAGEIF($E212:Refsz_Verbräuche[[#This Row],[2023]],"&lt;&gt;"""), ""),IF($B$43=(Refsz_Verbräuche[[#Headers],[2024]]-1),Refsz_Verbräuche[[#This Row],[2023]],IF($B$43&lt;Refsz_Verbräuche[[#Headers],[2024]],Refsz_Verbräuche[[#This Row],[2023]],"")))</f>
        <v/>
      </c>
      <c r="O212" s="124" t="str">
        <f>IF(Refsz_Verbräuche[[#Headers],[2025]]=$B$43,IF(OR(SUMIF($E212:Refsz_Verbräuche[[#This Row],[2024]],"&gt;0")&gt;0,), AVERAGEIF($E212:Refsz_Verbräuche[[#This Row],[2024]],"&lt;&gt;"""), ""),IF($B$43=(Refsz_Verbräuche[[#Headers],[2025]]-1),Refsz_Verbräuche[[#This Row],[2024]],IF($B$43&lt;Refsz_Verbräuche[[#Headers],[2025]],Refsz_Verbräuche[[#This Row],[2024]],"")))</f>
        <v/>
      </c>
      <c r="P212" s="124" t="str">
        <f>IF(Refsz_Verbräuche[[#Headers],[2026]]=$B$43,IF(OR(SUMIF($E212:Refsz_Verbräuche[[#This Row],[2025]],"&gt;0")&gt;0,), AVERAGEIF($E212:Refsz_Verbräuche[[#This Row],[2025]],"&lt;&gt;"""), ""),IF($B$43=(Refsz_Verbräuche[[#Headers],[2026]]-1),Refsz_Verbräuche[[#This Row],[2025]],IF($B$43&lt;Refsz_Verbräuche[[#Headers],[2026]],Refsz_Verbräuche[[#This Row],[2025]],"")))</f>
        <v/>
      </c>
      <c r="Q212" s="124" t="str">
        <f>IF(Refsz_Verbräuche[[#Headers],[2027]]=$B$43,IF(OR(SUMIF($E212:Refsz_Verbräuche[[#This Row],[2026]],"&gt;0")&gt;0,), AVERAGEIF($E212:Refsz_Verbräuche[[#This Row],[2026]],"&lt;&gt;"""), ""),IF($B$43=(Refsz_Verbräuche[[#Headers],[2027]]-1),Refsz_Verbräuche[[#This Row],[2026]],IF($B$43&lt;Refsz_Verbräuche[[#Headers],[2027]],Refsz_Verbräuche[[#This Row],[2026]],"")))</f>
        <v/>
      </c>
      <c r="R212" s="124" t="str">
        <f>IF(Refsz_Verbräuche[[#Headers],[2028]]=$B$43,IF(OR(SUMIF($E212:Refsz_Verbräuche[[#This Row],[2027]],"&gt;0")&gt;0,), AVERAGEIF($E212:Refsz_Verbräuche[[#This Row],[2027]],"&lt;&gt;"""), ""),IF($B$43=(Refsz_Verbräuche[[#Headers],[2028]]-1),Refsz_Verbräuche[[#This Row],[2027]],IF($B$43&lt;Refsz_Verbräuche[[#Headers],[2028]],Refsz_Verbräuche[[#This Row],[2027]],"")))</f>
        <v/>
      </c>
      <c r="S212" s="124" t="str">
        <f>IF(Refsz_Verbräuche[[#Headers],[2029]]=$B$43,IF(OR(SUMIF($E212:Refsz_Verbräuche[[#This Row],[2028]],"&gt;0")&gt;0,), AVERAGEIF($E212:Refsz_Verbräuche[[#This Row],[2028]],"&lt;&gt;"""), ""),IF($B$43=(Refsz_Verbräuche[[#Headers],[2029]]-1),Refsz_Verbräuche[[#This Row],[2028]],IF($B$43&lt;Refsz_Verbräuche[[#Headers],[2029]],Refsz_Verbräuche[[#This Row],[2028]],"")))</f>
        <v/>
      </c>
      <c r="T212" s="124" t="str">
        <f>IF(Refsz_Verbräuche[[#Headers],[2030]]=$B$43,IF(OR(SUMIF($E212:Refsz_Verbräuche[[#This Row],[2029]],"&gt;0")&gt;0,), AVERAGEIF($E212:Refsz_Verbräuche[[#This Row],[2029]],"&lt;&gt;"""), ""),IF($B$43=(Refsz_Verbräuche[[#Headers],[2030]]-1),Refsz_Verbräuche[[#This Row],[2029]],IF($B$43&lt;Refsz_Verbräuche[[#Headers],[2030]],Refsz_Verbräuche[[#This Row],[2029]],"")))</f>
        <v/>
      </c>
      <c r="U212" s="124" t="str">
        <f>IF(Refsz_Verbräuche[[#Headers],[2035]]=$B$43,IF(OR(SUMIF($E212:Refsz_Verbräuche[[#This Row],[2030]],"&gt;0")&gt;0,), AVERAGEIF($E212:Refsz_Verbräuche[[#This Row],[2030]],"&lt;&gt;"""), ""),IF($B$43=(Refsz_Verbräuche[[#Headers],[2035]]-1),Refsz_Verbräuche[[#This Row],[2030]],IF($B$43&lt;Refsz_Verbräuche[[#Headers],[2035]],Refsz_Verbräuche[[#This Row],[2030]],"")))</f>
        <v/>
      </c>
      <c r="V212" s="124" t="str">
        <f>IF(Refsz_Verbräuche[[#Headers],[2040]]=$B$43,IF(OR(SUMIF($E212:Refsz_Verbräuche[[#This Row],[2035]],"&gt;0")&gt;0,), AVERAGEIF($E212:Refsz_Verbräuche[[#This Row],[2035]],"&lt;&gt;"""), ""),IF($B$43=(Refsz_Verbräuche[[#Headers],[2040]]-1),Refsz_Verbräuche[[#This Row],[2035]],IF($B$43&lt;Refsz_Verbräuche[[#Headers],[2040]],Refsz_Verbräuche[[#This Row],[2035]],"")))</f>
        <v/>
      </c>
      <c r="W212" s="124" t="str">
        <f>IF(Refsz_Verbräuche[[#Headers],[2045]]=$B$43,IF(OR(SUMIF($E212:Refsz_Verbräuche[[#This Row],[2040]],"&gt;0")&gt;0,), AVERAGEIF($E212:Refsz_Verbräuche[[#This Row],[2040]],"&lt;&gt;"""), ""),IF($B$43=(Refsz_Verbräuche[[#Headers],[2045]]-1),Refsz_Verbräuche[[#This Row],[2040]],IF($B$43&lt;Refsz_Verbräuche[[#Headers],[2045]],Refsz_Verbräuche[[#This Row],[2040]],"")))</f>
        <v/>
      </c>
      <c r="X212" s="124" t="str">
        <f>IF(Refsz_Verbräuche[[#Headers],[2050]]=$B$43,IF(OR(SUMIF($E212:Refsz_Verbräuche[[#This Row],[2045]],"&gt;0")&gt;0,), AVERAGEIF($E212:Refsz_Verbräuche[[#This Row],[2045]],"&lt;&gt;"""), ""),IF($B$43=(Refsz_Verbräuche[[#Headers],[2050]]-1),Refsz_Verbräuche[[#This Row],[2045]],IF($B$43&lt;Refsz_Verbräuche[[#Headers],[2050]],Refsz_Verbräuche[[#This Row],[2045]],"")))</f>
        <v/>
      </c>
      <c r="Z212" s="15"/>
    </row>
    <row r="213" spans="2:26" x14ac:dyDescent="0.35">
      <c r="B213" s="15">
        <v>153</v>
      </c>
      <c r="C213" s="9"/>
      <c r="E213" s="124"/>
      <c r="F213" s="124"/>
      <c r="G213" s="124"/>
      <c r="H213" s="124"/>
      <c r="I213" s="124"/>
      <c r="J213" s="124"/>
      <c r="K213" s="124"/>
      <c r="L213" s="124" t="str">
        <f>IF(Refsz_Verbräuche[[#Headers],[2022]]=$B$43,IF(OR(SUMIF($E213:Refsz_Verbräuche[[#This Row],[2021]],"&gt;0")&gt;0,), AVERAGEIF($E213:Refsz_Verbräuche[[#This Row],[2021]],"&lt;&gt;"""), ""),IF($B$43=(Refsz_Verbräuche[[#Headers],[2022]]-1),Refsz_Verbräuche[[#This Row],[2021]],IF($B$43&lt;Refsz_Verbräuche[[#Headers],[2022]],Refsz_Verbräuche[[#This Row],[2021]],"")))</f>
        <v/>
      </c>
      <c r="M213" s="124" t="str">
        <f>IF(Refsz_Verbräuche[[#Headers],[2023]]=$B$43,IF(OR(SUMIF($E213:Refsz_Verbräuche[[#This Row],[2022]],"&gt;0")&gt;0,), AVERAGEIF($E213:Refsz_Verbräuche[[#This Row],[2022]],"&lt;&gt;"""), ""),IF($B$43=(Refsz_Verbräuche[[#Headers],[2023]]-1),Refsz_Verbräuche[[#This Row],[2022]],IF($B$43&lt;Refsz_Verbräuche[[#Headers],[2023]],Refsz_Verbräuche[[#This Row],[2022]],"")))</f>
        <v/>
      </c>
      <c r="N213" s="124" t="str">
        <f>IF(Refsz_Verbräuche[[#Headers],[2024]]=$B$43,IF(OR(SUMIF($E213:Refsz_Verbräuche[[#This Row],[2023]],"&gt;0")&gt;0,), AVERAGEIF($E213:Refsz_Verbräuche[[#This Row],[2023]],"&lt;&gt;"""), ""),IF($B$43=(Refsz_Verbräuche[[#Headers],[2024]]-1),Refsz_Verbräuche[[#This Row],[2023]],IF($B$43&lt;Refsz_Verbräuche[[#Headers],[2024]],Refsz_Verbräuche[[#This Row],[2023]],"")))</f>
        <v/>
      </c>
      <c r="O213" s="124" t="str">
        <f>IF(Refsz_Verbräuche[[#Headers],[2025]]=$B$43,IF(OR(SUMIF($E213:Refsz_Verbräuche[[#This Row],[2024]],"&gt;0")&gt;0,), AVERAGEIF($E213:Refsz_Verbräuche[[#This Row],[2024]],"&lt;&gt;"""), ""),IF($B$43=(Refsz_Verbräuche[[#Headers],[2025]]-1),Refsz_Verbräuche[[#This Row],[2024]],IF($B$43&lt;Refsz_Verbräuche[[#Headers],[2025]],Refsz_Verbräuche[[#This Row],[2024]],"")))</f>
        <v/>
      </c>
      <c r="P213" s="124" t="str">
        <f>IF(Refsz_Verbräuche[[#Headers],[2026]]=$B$43,IF(OR(SUMIF($E213:Refsz_Verbräuche[[#This Row],[2025]],"&gt;0")&gt;0,), AVERAGEIF($E213:Refsz_Verbräuche[[#This Row],[2025]],"&lt;&gt;"""), ""),IF($B$43=(Refsz_Verbräuche[[#Headers],[2026]]-1),Refsz_Verbräuche[[#This Row],[2025]],IF($B$43&lt;Refsz_Verbräuche[[#Headers],[2026]],Refsz_Verbräuche[[#This Row],[2025]],"")))</f>
        <v/>
      </c>
      <c r="Q213" s="124" t="str">
        <f>IF(Refsz_Verbräuche[[#Headers],[2027]]=$B$43,IF(OR(SUMIF($E213:Refsz_Verbräuche[[#This Row],[2026]],"&gt;0")&gt;0,), AVERAGEIF($E213:Refsz_Verbräuche[[#This Row],[2026]],"&lt;&gt;"""), ""),IF($B$43=(Refsz_Verbräuche[[#Headers],[2027]]-1),Refsz_Verbräuche[[#This Row],[2026]],IF($B$43&lt;Refsz_Verbräuche[[#Headers],[2027]],Refsz_Verbräuche[[#This Row],[2026]],"")))</f>
        <v/>
      </c>
      <c r="R213" s="124" t="str">
        <f>IF(Refsz_Verbräuche[[#Headers],[2028]]=$B$43,IF(OR(SUMIF($E213:Refsz_Verbräuche[[#This Row],[2027]],"&gt;0")&gt;0,), AVERAGEIF($E213:Refsz_Verbräuche[[#This Row],[2027]],"&lt;&gt;"""), ""),IF($B$43=(Refsz_Verbräuche[[#Headers],[2028]]-1),Refsz_Verbräuche[[#This Row],[2027]],IF($B$43&lt;Refsz_Verbräuche[[#Headers],[2028]],Refsz_Verbräuche[[#This Row],[2027]],"")))</f>
        <v/>
      </c>
      <c r="S213" s="124" t="str">
        <f>IF(Refsz_Verbräuche[[#Headers],[2029]]=$B$43,IF(OR(SUMIF($E213:Refsz_Verbräuche[[#This Row],[2028]],"&gt;0")&gt;0,), AVERAGEIF($E213:Refsz_Verbräuche[[#This Row],[2028]],"&lt;&gt;"""), ""),IF($B$43=(Refsz_Verbräuche[[#Headers],[2029]]-1),Refsz_Verbräuche[[#This Row],[2028]],IF($B$43&lt;Refsz_Verbräuche[[#Headers],[2029]],Refsz_Verbräuche[[#This Row],[2028]],"")))</f>
        <v/>
      </c>
      <c r="T213" s="124" t="str">
        <f>IF(Refsz_Verbräuche[[#Headers],[2030]]=$B$43,IF(OR(SUMIF($E213:Refsz_Verbräuche[[#This Row],[2029]],"&gt;0")&gt;0,), AVERAGEIF($E213:Refsz_Verbräuche[[#This Row],[2029]],"&lt;&gt;"""), ""),IF($B$43=(Refsz_Verbräuche[[#Headers],[2030]]-1),Refsz_Verbräuche[[#This Row],[2029]],IF($B$43&lt;Refsz_Verbräuche[[#Headers],[2030]],Refsz_Verbräuche[[#This Row],[2029]],"")))</f>
        <v/>
      </c>
      <c r="U213" s="124" t="str">
        <f>IF(Refsz_Verbräuche[[#Headers],[2035]]=$B$43,IF(OR(SUMIF($E213:Refsz_Verbräuche[[#This Row],[2030]],"&gt;0")&gt;0,), AVERAGEIF($E213:Refsz_Verbräuche[[#This Row],[2030]],"&lt;&gt;"""), ""),IF($B$43=(Refsz_Verbräuche[[#Headers],[2035]]-1),Refsz_Verbräuche[[#This Row],[2030]],IF($B$43&lt;Refsz_Verbräuche[[#Headers],[2035]],Refsz_Verbräuche[[#This Row],[2030]],"")))</f>
        <v/>
      </c>
      <c r="V213" s="124" t="str">
        <f>IF(Refsz_Verbräuche[[#Headers],[2040]]=$B$43,IF(OR(SUMIF($E213:Refsz_Verbräuche[[#This Row],[2035]],"&gt;0")&gt;0,), AVERAGEIF($E213:Refsz_Verbräuche[[#This Row],[2035]],"&lt;&gt;"""), ""),IF($B$43=(Refsz_Verbräuche[[#Headers],[2040]]-1),Refsz_Verbräuche[[#This Row],[2035]],IF($B$43&lt;Refsz_Verbräuche[[#Headers],[2040]],Refsz_Verbräuche[[#This Row],[2035]],"")))</f>
        <v/>
      </c>
      <c r="W213" s="124" t="str">
        <f>IF(Refsz_Verbräuche[[#Headers],[2045]]=$B$43,IF(OR(SUMIF($E213:Refsz_Verbräuche[[#This Row],[2040]],"&gt;0")&gt;0,), AVERAGEIF($E213:Refsz_Verbräuche[[#This Row],[2040]],"&lt;&gt;"""), ""),IF($B$43=(Refsz_Verbräuche[[#Headers],[2045]]-1),Refsz_Verbräuche[[#This Row],[2040]],IF($B$43&lt;Refsz_Verbräuche[[#Headers],[2045]],Refsz_Verbräuche[[#This Row],[2040]],"")))</f>
        <v/>
      </c>
      <c r="X213" s="124" t="str">
        <f>IF(Refsz_Verbräuche[[#Headers],[2050]]=$B$43,IF(OR(SUMIF($E213:Refsz_Verbräuche[[#This Row],[2045]],"&gt;0")&gt;0,), AVERAGEIF($E213:Refsz_Verbräuche[[#This Row],[2045]],"&lt;&gt;"""), ""),IF($B$43=(Refsz_Verbräuche[[#Headers],[2050]]-1),Refsz_Verbräuche[[#This Row],[2045]],IF($B$43&lt;Refsz_Verbräuche[[#Headers],[2050]],Refsz_Verbräuche[[#This Row],[2045]],"")))</f>
        <v/>
      </c>
      <c r="Z213" s="15"/>
    </row>
    <row r="214" spans="2:26" x14ac:dyDescent="0.35">
      <c r="B214" s="15">
        <v>154</v>
      </c>
      <c r="C214" s="9"/>
      <c r="E214" s="124"/>
      <c r="F214" s="124"/>
      <c r="G214" s="124"/>
      <c r="H214" s="124"/>
      <c r="I214" s="124"/>
      <c r="J214" s="124"/>
      <c r="K214" s="124"/>
      <c r="L214" s="124" t="str">
        <f>IF(Refsz_Verbräuche[[#Headers],[2022]]=$B$43,IF(OR(SUMIF($E214:Refsz_Verbräuche[[#This Row],[2021]],"&gt;0")&gt;0,), AVERAGEIF($E214:Refsz_Verbräuche[[#This Row],[2021]],"&lt;&gt;"""), ""),IF($B$43=(Refsz_Verbräuche[[#Headers],[2022]]-1),Refsz_Verbräuche[[#This Row],[2021]],IF($B$43&lt;Refsz_Verbräuche[[#Headers],[2022]],Refsz_Verbräuche[[#This Row],[2021]],"")))</f>
        <v/>
      </c>
      <c r="M214" s="124" t="str">
        <f>IF(Refsz_Verbräuche[[#Headers],[2023]]=$B$43,IF(OR(SUMIF($E214:Refsz_Verbräuche[[#This Row],[2022]],"&gt;0")&gt;0,), AVERAGEIF($E214:Refsz_Verbräuche[[#This Row],[2022]],"&lt;&gt;"""), ""),IF($B$43=(Refsz_Verbräuche[[#Headers],[2023]]-1),Refsz_Verbräuche[[#This Row],[2022]],IF($B$43&lt;Refsz_Verbräuche[[#Headers],[2023]],Refsz_Verbräuche[[#This Row],[2022]],"")))</f>
        <v/>
      </c>
      <c r="N214" s="124" t="str">
        <f>IF(Refsz_Verbräuche[[#Headers],[2024]]=$B$43,IF(OR(SUMIF($E214:Refsz_Verbräuche[[#This Row],[2023]],"&gt;0")&gt;0,), AVERAGEIF($E214:Refsz_Verbräuche[[#This Row],[2023]],"&lt;&gt;"""), ""),IF($B$43=(Refsz_Verbräuche[[#Headers],[2024]]-1),Refsz_Verbräuche[[#This Row],[2023]],IF($B$43&lt;Refsz_Verbräuche[[#Headers],[2024]],Refsz_Verbräuche[[#This Row],[2023]],"")))</f>
        <v/>
      </c>
      <c r="O214" s="124" t="str">
        <f>IF(Refsz_Verbräuche[[#Headers],[2025]]=$B$43,IF(OR(SUMIF($E214:Refsz_Verbräuche[[#This Row],[2024]],"&gt;0")&gt;0,), AVERAGEIF($E214:Refsz_Verbräuche[[#This Row],[2024]],"&lt;&gt;"""), ""),IF($B$43=(Refsz_Verbräuche[[#Headers],[2025]]-1),Refsz_Verbräuche[[#This Row],[2024]],IF($B$43&lt;Refsz_Verbräuche[[#Headers],[2025]],Refsz_Verbräuche[[#This Row],[2024]],"")))</f>
        <v/>
      </c>
      <c r="P214" s="124" t="str">
        <f>IF(Refsz_Verbräuche[[#Headers],[2026]]=$B$43,IF(OR(SUMIF($E214:Refsz_Verbräuche[[#This Row],[2025]],"&gt;0")&gt;0,), AVERAGEIF($E214:Refsz_Verbräuche[[#This Row],[2025]],"&lt;&gt;"""), ""),IF($B$43=(Refsz_Verbräuche[[#Headers],[2026]]-1),Refsz_Verbräuche[[#This Row],[2025]],IF($B$43&lt;Refsz_Verbräuche[[#Headers],[2026]],Refsz_Verbräuche[[#This Row],[2025]],"")))</f>
        <v/>
      </c>
      <c r="Q214" s="124" t="str">
        <f>IF(Refsz_Verbräuche[[#Headers],[2027]]=$B$43,IF(OR(SUMIF($E214:Refsz_Verbräuche[[#This Row],[2026]],"&gt;0")&gt;0,), AVERAGEIF($E214:Refsz_Verbräuche[[#This Row],[2026]],"&lt;&gt;"""), ""),IF($B$43=(Refsz_Verbräuche[[#Headers],[2027]]-1),Refsz_Verbräuche[[#This Row],[2026]],IF($B$43&lt;Refsz_Verbräuche[[#Headers],[2027]],Refsz_Verbräuche[[#This Row],[2026]],"")))</f>
        <v/>
      </c>
      <c r="R214" s="124" t="str">
        <f>IF(Refsz_Verbräuche[[#Headers],[2028]]=$B$43,IF(OR(SUMIF($E214:Refsz_Verbräuche[[#This Row],[2027]],"&gt;0")&gt;0,), AVERAGEIF($E214:Refsz_Verbräuche[[#This Row],[2027]],"&lt;&gt;"""), ""),IF($B$43=(Refsz_Verbräuche[[#Headers],[2028]]-1),Refsz_Verbräuche[[#This Row],[2027]],IF($B$43&lt;Refsz_Verbräuche[[#Headers],[2028]],Refsz_Verbräuche[[#This Row],[2027]],"")))</f>
        <v/>
      </c>
      <c r="S214" s="124" t="str">
        <f>IF(Refsz_Verbräuche[[#Headers],[2029]]=$B$43,IF(OR(SUMIF($E214:Refsz_Verbräuche[[#This Row],[2028]],"&gt;0")&gt;0,), AVERAGEIF($E214:Refsz_Verbräuche[[#This Row],[2028]],"&lt;&gt;"""), ""),IF($B$43=(Refsz_Verbräuche[[#Headers],[2029]]-1),Refsz_Verbräuche[[#This Row],[2028]],IF($B$43&lt;Refsz_Verbräuche[[#Headers],[2029]],Refsz_Verbräuche[[#This Row],[2028]],"")))</f>
        <v/>
      </c>
      <c r="T214" s="124" t="str">
        <f>IF(Refsz_Verbräuche[[#Headers],[2030]]=$B$43,IF(OR(SUMIF($E214:Refsz_Verbräuche[[#This Row],[2029]],"&gt;0")&gt;0,), AVERAGEIF($E214:Refsz_Verbräuche[[#This Row],[2029]],"&lt;&gt;"""), ""),IF($B$43=(Refsz_Verbräuche[[#Headers],[2030]]-1),Refsz_Verbräuche[[#This Row],[2029]],IF($B$43&lt;Refsz_Verbräuche[[#Headers],[2030]],Refsz_Verbräuche[[#This Row],[2029]],"")))</f>
        <v/>
      </c>
      <c r="U214" s="124" t="str">
        <f>IF(Refsz_Verbräuche[[#Headers],[2035]]=$B$43,IF(OR(SUMIF($E214:Refsz_Verbräuche[[#This Row],[2030]],"&gt;0")&gt;0,), AVERAGEIF($E214:Refsz_Verbräuche[[#This Row],[2030]],"&lt;&gt;"""), ""),IF($B$43=(Refsz_Verbräuche[[#Headers],[2035]]-1),Refsz_Verbräuche[[#This Row],[2030]],IF($B$43&lt;Refsz_Verbräuche[[#Headers],[2035]],Refsz_Verbräuche[[#This Row],[2030]],"")))</f>
        <v/>
      </c>
      <c r="V214" s="124" t="str">
        <f>IF(Refsz_Verbräuche[[#Headers],[2040]]=$B$43,IF(OR(SUMIF($E214:Refsz_Verbräuche[[#This Row],[2035]],"&gt;0")&gt;0,), AVERAGEIF($E214:Refsz_Verbräuche[[#This Row],[2035]],"&lt;&gt;"""), ""),IF($B$43=(Refsz_Verbräuche[[#Headers],[2040]]-1),Refsz_Verbräuche[[#This Row],[2035]],IF($B$43&lt;Refsz_Verbräuche[[#Headers],[2040]],Refsz_Verbräuche[[#This Row],[2035]],"")))</f>
        <v/>
      </c>
      <c r="W214" s="124" t="str">
        <f>IF(Refsz_Verbräuche[[#Headers],[2045]]=$B$43,IF(OR(SUMIF($E214:Refsz_Verbräuche[[#This Row],[2040]],"&gt;0")&gt;0,), AVERAGEIF($E214:Refsz_Verbräuche[[#This Row],[2040]],"&lt;&gt;"""), ""),IF($B$43=(Refsz_Verbräuche[[#Headers],[2045]]-1),Refsz_Verbräuche[[#This Row],[2040]],IF($B$43&lt;Refsz_Verbräuche[[#Headers],[2045]],Refsz_Verbräuche[[#This Row],[2040]],"")))</f>
        <v/>
      </c>
      <c r="X214" s="124" t="str">
        <f>IF(Refsz_Verbräuche[[#Headers],[2050]]=$B$43,IF(OR(SUMIF($E214:Refsz_Verbräuche[[#This Row],[2045]],"&gt;0")&gt;0,), AVERAGEIF($E214:Refsz_Verbräuche[[#This Row],[2045]],"&lt;&gt;"""), ""),IF($B$43=(Refsz_Verbräuche[[#Headers],[2050]]-1),Refsz_Verbräuche[[#This Row],[2045]],IF($B$43&lt;Refsz_Verbräuche[[#Headers],[2050]],Refsz_Verbräuche[[#This Row],[2045]],"")))</f>
        <v/>
      </c>
      <c r="Z214" s="15"/>
    </row>
    <row r="215" spans="2:26" x14ac:dyDescent="0.35">
      <c r="B215" s="15">
        <v>155</v>
      </c>
      <c r="C215" s="9"/>
      <c r="E215" s="124"/>
      <c r="F215" s="124"/>
      <c r="G215" s="124"/>
      <c r="H215" s="124"/>
      <c r="I215" s="124"/>
      <c r="J215" s="124"/>
      <c r="K215" s="124"/>
      <c r="L215" s="124" t="str">
        <f>IF(Refsz_Verbräuche[[#Headers],[2022]]=$B$43,IF(OR(SUMIF($E215:Refsz_Verbräuche[[#This Row],[2021]],"&gt;0")&gt;0,), AVERAGEIF($E215:Refsz_Verbräuche[[#This Row],[2021]],"&lt;&gt;"""), ""),IF($B$43=(Refsz_Verbräuche[[#Headers],[2022]]-1),Refsz_Verbräuche[[#This Row],[2021]],IF($B$43&lt;Refsz_Verbräuche[[#Headers],[2022]],Refsz_Verbräuche[[#This Row],[2021]],"")))</f>
        <v/>
      </c>
      <c r="M215" s="124" t="str">
        <f>IF(Refsz_Verbräuche[[#Headers],[2023]]=$B$43,IF(OR(SUMIF($E215:Refsz_Verbräuche[[#This Row],[2022]],"&gt;0")&gt;0,), AVERAGEIF($E215:Refsz_Verbräuche[[#This Row],[2022]],"&lt;&gt;"""), ""),IF($B$43=(Refsz_Verbräuche[[#Headers],[2023]]-1),Refsz_Verbräuche[[#This Row],[2022]],IF($B$43&lt;Refsz_Verbräuche[[#Headers],[2023]],Refsz_Verbräuche[[#This Row],[2022]],"")))</f>
        <v/>
      </c>
      <c r="N215" s="124" t="str">
        <f>IF(Refsz_Verbräuche[[#Headers],[2024]]=$B$43,IF(OR(SUMIF($E215:Refsz_Verbräuche[[#This Row],[2023]],"&gt;0")&gt;0,), AVERAGEIF($E215:Refsz_Verbräuche[[#This Row],[2023]],"&lt;&gt;"""), ""),IF($B$43=(Refsz_Verbräuche[[#Headers],[2024]]-1),Refsz_Verbräuche[[#This Row],[2023]],IF($B$43&lt;Refsz_Verbräuche[[#Headers],[2024]],Refsz_Verbräuche[[#This Row],[2023]],"")))</f>
        <v/>
      </c>
      <c r="O215" s="124" t="str">
        <f>IF(Refsz_Verbräuche[[#Headers],[2025]]=$B$43,IF(OR(SUMIF($E215:Refsz_Verbräuche[[#This Row],[2024]],"&gt;0")&gt;0,), AVERAGEIF($E215:Refsz_Verbräuche[[#This Row],[2024]],"&lt;&gt;"""), ""),IF($B$43=(Refsz_Verbräuche[[#Headers],[2025]]-1),Refsz_Verbräuche[[#This Row],[2024]],IF($B$43&lt;Refsz_Verbräuche[[#Headers],[2025]],Refsz_Verbräuche[[#This Row],[2024]],"")))</f>
        <v/>
      </c>
      <c r="P215" s="124" t="str">
        <f>IF(Refsz_Verbräuche[[#Headers],[2026]]=$B$43,IF(OR(SUMIF($E215:Refsz_Verbräuche[[#This Row],[2025]],"&gt;0")&gt;0,), AVERAGEIF($E215:Refsz_Verbräuche[[#This Row],[2025]],"&lt;&gt;"""), ""),IF($B$43=(Refsz_Verbräuche[[#Headers],[2026]]-1),Refsz_Verbräuche[[#This Row],[2025]],IF($B$43&lt;Refsz_Verbräuche[[#Headers],[2026]],Refsz_Verbräuche[[#This Row],[2025]],"")))</f>
        <v/>
      </c>
      <c r="Q215" s="124" t="str">
        <f>IF(Refsz_Verbräuche[[#Headers],[2027]]=$B$43,IF(OR(SUMIF($E215:Refsz_Verbräuche[[#This Row],[2026]],"&gt;0")&gt;0,), AVERAGEIF($E215:Refsz_Verbräuche[[#This Row],[2026]],"&lt;&gt;"""), ""),IF($B$43=(Refsz_Verbräuche[[#Headers],[2027]]-1),Refsz_Verbräuche[[#This Row],[2026]],IF($B$43&lt;Refsz_Verbräuche[[#Headers],[2027]],Refsz_Verbräuche[[#This Row],[2026]],"")))</f>
        <v/>
      </c>
      <c r="R215" s="124" t="str">
        <f>IF(Refsz_Verbräuche[[#Headers],[2028]]=$B$43,IF(OR(SUMIF($E215:Refsz_Verbräuche[[#This Row],[2027]],"&gt;0")&gt;0,), AVERAGEIF($E215:Refsz_Verbräuche[[#This Row],[2027]],"&lt;&gt;"""), ""),IF($B$43=(Refsz_Verbräuche[[#Headers],[2028]]-1),Refsz_Verbräuche[[#This Row],[2027]],IF($B$43&lt;Refsz_Verbräuche[[#Headers],[2028]],Refsz_Verbräuche[[#This Row],[2027]],"")))</f>
        <v/>
      </c>
      <c r="S215" s="124" t="str">
        <f>IF(Refsz_Verbräuche[[#Headers],[2029]]=$B$43,IF(OR(SUMIF($E215:Refsz_Verbräuche[[#This Row],[2028]],"&gt;0")&gt;0,), AVERAGEIF($E215:Refsz_Verbräuche[[#This Row],[2028]],"&lt;&gt;"""), ""),IF($B$43=(Refsz_Verbräuche[[#Headers],[2029]]-1),Refsz_Verbräuche[[#This Row],[2028]],IF($B$43&lt;Refsz_Verbräuche[[#Headers],[2029]],Refsz_Verbräuche[[#This Row],[2028]],"")))</f>
        <v/>
      </c>
      <c r="T215" s="124" t="str">
        <f>IF(Refsz_Verbräuche[[#Headers],[2030]]=$B$43,IF(OR(SUMIF($E215:Refsz_Verbräuche[[#This Row],[2029]],"&gt;0")&gt;0,), AVERAGEIF($E215:Refsz_Verbräuche[[#This Row],[2029]],"&lt;&gt;"""), ""),IF($B$43=(Refsz_Verbräuche[[#Headers],[2030]]-1),Refsz_Verbräuche[[#This Row],[2029]],IF($B$43&lt;Refsz_Verbräuche[[#Headers],[2030]],Refsz_Verbräuche[[#This Row],[2029]],"")))</f>
        <v/>
      </c>
      <c r="U215" s="124" t="str">
        <f>IF(Refsz_Verbräuche[[#Headers],[2035]]=$B$43,IF(OR(SUMIF($E215:Refsz_Verbräuche[[#This Row],[2030]],"&gt;0")&gt;0,), AVERAGEIF($E215:Refsz_Verbräuche[[#This Row],[2030]],"&lt;&gt;"""), ""),IF($B$43=(Refsz_Verbräuche[[#Headers],[2035]]-1),Refsz_Verbräuche[[#This Row],[2030]],IF($B$43&lt;Refsz_Verbräuche[[#Headers],[2035]],Refsz_Verbräuche[[#This Row],[2030]],"")))</f>
        <v/>
      </c>
      <c r="V215" s="124" t="str">
        <f>IF(Refsz_Verbräuche[[#Headers],[2040]]=$B$43,IF(OR(SUMIF($E215:Refsz_Verbräuche[[#This Row],[2035]],"&gt;0")&gt;0,), AVERAGEIF($E215:Refsz_Verbräuche[[#This Row],[2035]],"&lt;&gt;"""), ""),IF($B$43=(Refsz_Verbräuche[[#Headers],[2040]]-1),Refsz_Verbräuche[[#This Row],[2035]],IF($B$43&lt;Refsz_Verbräuche[[#Headers],[2040]],Refsz_Verbräuche[[#This Row],[2035]],"")))</f>
        <v/>
      </c>
      <c r="W215" s="124" t="str">
        <f>IF(Refsz_Verbräuche[[#Headers],[2045]]=$B$43,IF(OR(SUMIF($E215:Refsz_Verbräuche[[#This Row],[2040]],"&gt;0")&gt;0,), AVERAGEIF($E215:Refsz_Verbräuche[[#This Row],[2040]],"&lt;&gt;"""), ""),IF($B$43=(Refsz_Verbräuche[[#Headers],[2045]]-1),Refsz_Verbräuche[[#This Row],[2040]],IF($B$43&lt;Refsz_Verbräuche[[#Headers],[2045]],Refsz_Verbräuche[[#This Row],[2040]],"")))</f>
        <v/>
      </c>
      <c r="X215" s="124" t="str">
        <f>IF(Refsz_Verbräuche[[#Headers],[2050]]=$B$43,IF(OR(SUMIF($E215:Refsz_Verbräuche[[#This Row],[2045]],"&gt;0")&gt;0,), AVERAGEIF($E215:Refsz_Verbräuche[[#This Row],[2045]],"&lt;&gt;"""), ""),IF($B$43=(Refsz_Verbräuche[[#Headers],[2050]]-1),Refsz_Verbräuche[[#This Row],[2045]],IF($B$43&lt;Refsz_Verbräuche[[#Headers],[2050]],Refsz_Verbräuche[[#This Row],[2045]],"")))</f>
        <v/>
      </c>
      <c r="Z215" s="15"/>
    </row>
    <row r="216" spans="2:26" x14ac:dyDescent="0.35">
      <c r="B216" s="15">
        <v>156</v>
      </c>
      <c r="C216" s="9"/>
      <c r="E216" s="124"/>
      <c r="F216" s="124"/>
      <c r="G216" s="124"/>
      <c r="H216" s="124"/>
      <c r="I216" s="124"/>
      <c r="J216" s="124"/>
      <c r="K216" s="124"/>
      <c r="L216" s="124" t="str">
        <f>IF(Refsz_Verbräuche[[#Headers],[2022]]=$B$43,IF(OR(SUMIF($E216:Refsz_Verbräuche[[#This Row],[2021]],"&gt;0")&gt;0,), AVERAGEIF($E216:Refsz_Verbräuche[[#This Row],[2021]],"&lt;&gt;"""), ""),IF($B$43=(Refsz_Verbräuche[[#Headers],[2022]]-1),Refsz_Verbräuche[[#This Row],[2021]],IF($B$43&lt;Refsz_Verbräuche[[#Headers],[2022]],Refsz_Verbräuche[[#This Row],[2021]],"")))</f>
        <v/>
      </c>
      <c r="M216" s="124" t="str">
        <f>IF(Refsz_Verbräuche[[#Headers],[2023]]=$B$43,IF(OR(SUMIF($E216:Refsz_Verbräuche[[#This Row],[2022]],"&gt;0")&gt;0,), AVERAGEIF($E216:Refsz_Verbräuche[[#This Row],[2022]],"&lt;&gt;"""), ""),IF($B$43=(Refsz_Verbräuche[[#Headers],[2023]]-1),Refsz_Verbräuche[[#This Row],[2022]],IF($B$43&lt;Refsz_Verbräuche[[#Headers],[2023]],Refsz_Verbräuche[[#This Row],[2022]],"")))</f>
        <v/>
      </c>
      <c r="N216" s="124" t="str">
        <f>IF(Refsz_Verbräuche[[#Headers],[2024]]=$B$43,IF(OR(SUMIF($E216:Refsz_Verbräuche[[#This Row],[2023]],"&gt;0")&gt;0,), AVERAGEIF($E216:Refsz_Verbräuche[[#This Row],[2023]],"&lt;&gt;"""), ""),IF($B$43=(Refsz_Verbräuche[[#Headers],[2024]]-1),Refsz_Verbräuche[[#This Row],[2023]],IF($B$43&lt;Refsz_Verbräuche[[#Headers],[2024]],Refsz_Verbräuche[[#This Row],[2023]],"")))</f>
        <v/>
      </c>
      <c r="O216" s="124" t="str">
        <f>IF(Refsz_Verbräuche[[#Headers],[2025]]=$B$43,IF(OR(SUMIF($E216:Refsz_Verbräuche[[#This Row],[2024]],"&gt;0")&gt;0,), AVERAGEIF($E216:Refsz_Verbräuche[[#This Row],[2024]],"&lt;&gt;"""), ""),IF($B$43=(Refsz_Verbräuche[[#Headers],[2025]]-1),Refsz_Verbräuche[[#This Row],[2024]],IF($B$43&lt;Refsz_Verbräuche[[#Headers],[2025]],Refsz_Verbräuche[[#This Row],[2024]],"")))</f>
        <v/>
      </c>
      <c r="P216" s="124" t="str">
        <f>IF(Refsz_Verbräuche[[#Headers],[2026]]=$B$43,IF(OR(SUMIF($E216:Refsz_Verbräuche[[#This Row],[2025]],"&gt;0")&gt;0,), AVERAGEIF($E216:Refsz_Verbräuche[[#This Row],[2025]],"&lt;&gt;"""), ""),IF($B$43=(Refsz_Verbräuche[[#Headers],[2026]]-1),Refsz_Verbräuche[[#This Row],[2025]],IF($B$43&lt;Refsz_Verbräuche[[#Headers],[2026]],Refsz_Verbräuche[[#This Row],[2025]],"")))</f>
        <v/>
      </c>
      <c r="Q216" s="124" t="str">
        <f>IF(Refsz_Verbräuche[[#Headers],[2027]]=$B$43,IF(OR(SUMIF($E216:Refsz_Verbräuche[[#This Row],[2026]],"&gt;0")&gt;0,), AVERAGEIF($E216:Refsz_Verbräuche[[#This Row],[2026]],"&lt;&gt;"""), ""),IF($B$43=(Refsz_Verbräuche[[#Headers],[2027]]-1),Refsz_Verbräuche[[#This Row],[2026]],IF($B$43&lt;Refsz_Verbräuche[[#Headers],[2027]],Refsz_Verbräuche[[#This Row],[2026]],"")))</f>
        <v/>
      </c>
      <c r="R216" s="124" t="str">
        <f>IF(Refsz_Verbräuche[[#Headers],[2028]]=$B$43,IF(OR(SUMIF($E216:Refsz_Verbräuche[[#This Row],[2027]],"&gt;0")&gt;0,), AVERAGEIF($E216:Refsz_Verbräuche[[#This Row],[2027]],"&lt;&gt;"""), ""),IF($B$43=(Refsz_Verbräuche[[#Headers],[2028]]-1),Refsz_Verbräuche[[#This Row],[2027]],IF($B$43&lt;Refsz_Verbräuche[[#Headers],[2028]],Refsz_Verbräuche[[#This Row],[2027]],"")))</f>
        <v/>
      </c>
      <c r="S216" s="124" t="str">
        <f>IF(Refsz_Verbräuche[[#Headers],[2029]]=$B$43,IF(OR(SUMIF($E216:Refsz_Verbräuche[[#This Row],[2028]],"&gt;0")&gt;0,), AVERAGEIF($E216:Refsz_Verbräuche[[#This Row],[2028]],"&lt;&gt;"""), ""),IF($B$43=(Refsz_Verbräuche[[#Headers],[2029]]-1),Refsz_Verbräuche[[#This Row],[2028]],IF($B$43&lt;Refsz_Verbräuche[[#Headers],[2029]],Refsz_Verbräuche[[#This Row],[2028]],"")))</f>
        <v/>
      </c>
      <c r="T216" s="124" t="str">
        <f>IF(Refsz_Verbräuche[[#Headers],[2030]]=$B$43,IF(OR(SUMIF($E216:Refsz_Verbräuche[[#This Row],[2029]],"&gt;0")&gt;0,), AVERAGEIF($E216:Refsz_Verbräuche[[#This Row],[2029]],"&lt;&gt;"""), ""),IF($B$43=(Refsz_Verbräuche[[#Headers],[2030]]-1),Refsz_Verbräuche[[#This Row],[2029]],IF($B$43&lt;Refsz_Verbräuche[[#Headers],[2030]],Refsz_Verbräuche[[#This Row],[2029]],"")))</f>
        <v/>
      </c>
      <c r="U216" s="124" t="str">
        <f>IF(Refsz_Verbräuche[[#Headers],[2035]]=$B$43,IF(OR(SUMIF($E216:Refsz_Verbräuche[[#This Row],[2030]],"&gt;0")&gt;0,), AVERAGEIF($E216:Refsz_Verbräuche[[#This Row],[2030]],"&lt;&gt;"""), ""),IF($B$43=(Refsz_Verbräuche[[#Headers],[2035]]-1),Refsz_Verbräuche[[#This Row],[2030]],IF($B$43&lt;Refsz_Verbräuche[[#Headers],[2035]],Refsz_Verbräuche[[#This Row],[2030]],"")))</f>
        <v/>
      </c>
      <c r="V216" s="124" t="str">
        <f>IF(Refsz_Verbräuche[[#Headers],[2040]]=$B$43,IF(OR(SUMIF($E216:Refsz_Verbräuche[[#This Row],[2035]],"&gt;0")&gt;0,), AVERAGEIF($E216:Refsz_Verbräuche[[#This Row],[2035]],"&lt;&gt;"""), ""),IF($B$43=(Refsz_Verbräuche[[#Headers],[2040]]-1),Refsz_Verbräuche[[#This Row],[2035]],IF($B$43&lt;Refsz_Verbräuche[[#Headers],[2040]],Refsz_Verbräuche[[#This Row],[2035]],"")))</f>
        <v/>
      </c>
      <c r="W216" s="124" t="str">
        <f>IF(Refsz_Verbräuche[[#Headers],[2045]]=$B$43,IF(OR(SUMIF($E216:Refsz_Verbräuche[[#This Row],[2040]],"&gt;0")&gt;0,), AVERAGEIF($E216:Refsz_Verbräuche[[#This Row],[2040]],"&lt;&gt;"""), ""),IF($B$43=(Refsz_Verbräuche[[#Headers],[2045]]-1),Refsz_Verbräuche[[#This Row],[2040]],IF($B$43&lt;Refsz_Verbräuche[[#Headers],[2045]],Refsz_Verbräuche[[#This Row],[2040]],"")))</f>
        <v/>
      </c>
      <c r="X216" s="124" t="str">
        <f>IF(Refsz_Verbräuche[[#Headers],[2050]]=$B$43,IF(OR(SUMIF($E216:Refsz_Verbräuche[[#This Row],[2045]],"&gt;0")&gt;0,), AVERAGEIF($E216:Refsz_Verbräuche[[#This Row],[2045]],"&lt;&gt;"""), ""),IF($B$43=(Refsz_Verbräuche[[#Headers],[2050]]-1),Refsz_Verbräuche[[#This Row],[2045]],IF($B$43&lt;Refsz_Verbräuche[[#Headers],[2050]],Refsz_Verbräuche[[#This Row],[2045]],"")))</f>
        <v/>
      </c>
      <c r="Z216" s="15"/>
    </row>
    <row r="217" spans="2:26" x14ac:dyDescent="0.35">
      <c r="B217" s="15">
        <v>157</v>
      </c>
      <c r="C217" s="9"/>
      <c r="E217" s="124"/>
      <c r="F217" s="124"/>
      <c r="G217" s="124"/>
      <c r="H217" s="124"/>
      <c r="I217" s="124"/>
      <c r="J217" s="124"/>
      <c r="K217" s="124"/>
      <c r="L217" s="124" t="str">
        <f>IF(Refsz_Verbräuche[[#Headers],[2022]]=$B$43,IF(OR(SUMIF($E217:Refsz_Verbräuche[[#This Row],[2021]],"&gt;0")&gt;0,), AVERAGEIF($E217:Refsz_Verbräuche[[#This Row],[2021]],"&lt;&gt;"""), ""),IF($B$43=(Refsz_Verbräuche[[#Headers],[2022]]-1),Refsz_Verbräuche[[#This Row],[2021]],IF($B$43&lt;Refsz_Verbräuche[[#Headers],[2022]],Refsz_Verbräuche[[#This Row],[2021]],"")))</f>
        <v/>
      </c>
      <c r="M217" s="124" t="str">
        <f>IF(Refsz_Verbräuche[[#Headers],[2023]]=$B$43,IF(OR(SUMIF($E217:Refsz_Verbräuche[[#This Row],[2022]],"&gt;0")&gt;0,), AVERAGEIF($E217:Refsz_Verbräuche[[#This Row],[2022]],"&lt;&gt;"""), ""),IF($B$43=(Refsz_Verbräuche[[#Headers],[2023]]-1),Refsz_Verbräuche[[#This Row],[2022]],IF($B$43&lt;Refsz_Verbräuche[[#Headers],[2023]],Refsz_Verbräuche[[#This Row],[2022]],"")))</f>
        <v/>
      </c>
      <c r="N217" s="124" t="str">
        <f>IF(Refsz_Verbräuche[[#Headers],[2024]]=$B$43,IF(OR(SUMIF($E217:Refsz_Verbräuche[[#This Row],[2023]],"&gt;0")&gt;0,), AVERAGEIF($E217:Refsz_Verbräuche[[#This Row],[2023]],"&lt;&gt;"""), ""),IF($B$43=(Refsz_Verbräuche[[#Headers],[2024]]-1),Refsz_Verbräuche[[#This Row],[2023]],IF($B$43&lt;Refsz_Verbräuche[[#Headers],[2024]],Refsz_Verbräuche[[#This Row],[2023]],"")))</f>
        <v/>
      </c>
      <c r="O217" s="124" t="str">
        <f>IF(Refsz_Verbräuche[[#Headers],[2025]]=$B$43,IF(OR(SUMIF($E217:Refsz_Verbräuche[[#This Row],[2024]],"&gt;0")&gt;0,), AVERAGEIF($E217:Refsz_Verbräuche[[#This Row],[2024]],"&lt;&gt;"""), ""),IF($B$43=(Refsz_Verbräuche[[#Headers],[2025]]-1),Refsz_Verbräuche[[#This Row],[2024]],IF($B$43&lt;Refsz_Verbräuche[[#Headers],[2025]],Refsz_Verbräuche[[#This Row],[2024]],"")))</f>
        <v/>
      </c>
      <c r="P217" s="124" t="str">
        <f>IF(Refsz_Verbräuche[[#Headers],[2026]]=$B$43,IF(OR(SUMIF($E217:Refsz_Verbräuche[[#This Row],[2025]],"&gt;0")&gt;0,), AVERAGEIF($E217:Refsz_Verbräuche[[#This Row],[2025]],"&lt;&gt;"""), ""),IF($B$43=(Refsz_Verbräuche[[#Headers],[2026]]-1),Refsz_Verbräuche[[#This Row],[2025]],IF($B$43&lt;Refsz_Verbräuche[[#Headers],[2026]],Refsz_Verbräuche[[#This Row],[2025]],"")))</f>
        <v/>
      </c>
      <c r="Q217" s="124" t="str">
        <f>IF(Refsz_Verbräuche[[#Headers],[2027]]=$B$43,IF(OR(SUMIF($E217:Refsz_Verbräuche[[#This Row],[2026]],"&gt;0")&gt;0,), AVERAGEIF($E217:Refsz_Verbräuche[[#This Row],[2026]],"&lt;&gt;"""), ""),IF($B$43=(Refsz_Verbräuche[[#Headers],[2027]]-1),Refsz_Verbräuche[[#This Row],[2026]],IF($B$43&lt;Refsz_Verbräuche[[#Headers],[2027]],Refsz_Verbräuche[[#This Row],[2026]],"")))</f>
        <v/>
      </c>
      <c r="R217" s="124" t="str">
        <f>IF(Refsz_Verbräuche[[#Headers],[2028]]=$B$43,IF(OR(SUMIF($E217:Refsz_Verbräuche[[#This Row],[2027]],"&gt;0")&gt;0,), AVERAGEIF($E217:Refsz_Verbräuche[[#This Row],[2027]],"&lt;&gt;"""), ""),IF($B$43=(Refsz_Verbräuche[[#Headers],[2028]]-1),Refsz_Verbräuche[[#This Row],[2027]],IF($B$43&lt;Refsz_Verbräuche[[#Headers],[2028]],Refsz_Verbräuche[[#This Row],[2027]],"")))</f>
        <v/>
      </c>
      <c r="S217" s="124" t="str">
        <f>IF(Refsz_Verbräuche[[#Headers],[2029]]=$B$43,IF(OR(SUMIF($E217:Refsz_Verbräuche[[#This Row],[2028]],"&gt;0")&gt;0,), AVERAGEIF($E217:Refsz_Verbräuche[[#This Row],[2028]],"&lt;&gt;"""), ""),IF($B$43=(Refsz_Verbräuche[[#Headers],[2029]]-1),Refsz_Verbräuche[[#This Row],[2028]],IF($B$43&lt;Refsz_Verbräuche[[#Headers],[2029]],Refsz_Verbräuche[[#This Row],[2028]],"")))</f>
        <v/>
      </c>
      <c r="T217" s="124" t="str">
        <f>IF(Refsz_Verbräuche[[#Headers],[2030]]=$B$43,IF(OR(SUMIF($E217:Refsz_Verbräuche[[#This Row],[2029]],"&gt;0")&gt;0,), AVERAGEIF($E217:Refsz_Verbräuche[[#This Row],[2029]],"&lt;&gt;"""), ""),IF($B$43=(Refsz_Verbräuche[[#Headers],[2030]]-1),Refsz_Verbräuche[[#This Row],[2029]],IF($B$43&lt;Refsz_Verbräuche[[#Headers],[2030]],Refsz_Verbräuche[[#This Row],[2029]],"")))</f>
        <v/>
      </c>
      <c r="U217" s="124" t="str">
        <f>IF(Refsz_Verbräuche[[#Headers],[2035]]=$B$43,IF(OR(SUMIF($E217:Refsz_Verbräuche[[#This Row],[2030]],"&gt;0")&gt;0,), AVERAGEIF($E217:Refsz_Verbräuche[[#This Row],[2030]],"&lt;&gt;"""), ""),IF($B$43=(Refsz_Verbräuche[[#Headers],[2035]]-1),Refsz_Verbräuche[[#This Row],[2030]],IF($B$43&lt;Refsz_Verbräuche[[#Headers],[2035]],Refsz_Verbräuche[[#This Row],[2030]],"")))</f>
        <v/>
      </c>
      <c r="V217" s="124" t="str">
        <f>IF(Refsz_Verbräuche[[#Headers],[2040]]=$B$43,IF(OR(SUMIF($E217:Refsz_Verbräuche[[#This Row],[2035]],"&gt;0")&gt;0,), AVERAGEIF($E217:Refsz_Verbräuche[[#This Row],[2035]],"&lt;&gt;"""), ""),IF($B$43=(Refsz_Verbräuche[[#Headers],[2040]]-1),Refsz_Verbräuche[[#This Row],[2035]],IF($B$43&lt;Refsz_Verbräuche[[#Headers],[2040]],Refsz_Verbräuche[[#This Row],[2035]],"")))</f>
        <v/>
      </c>
      <c r="W217" s="124" t="str">
        <f>IF(Refsz_Verbräuche[[#Headers],[2045]]=$B$43,IF(OR(SUMIF($E217:Refsz_Verbräuche[[#This Row],[2040]],"&gt;0")&gt;0,), AVERAGEIF($E217:Refsz_Verbräuche[[#This Row],[2040]],"&lt;&gt;"""), ""),IF($B$43=(Refsz_Verbräuche[[#Headers],[2045]]-1),Refsz_Verbräuche[[#This Row],[2040]],IF($B$43&lt;Refsz_Verbräuche[[#Headers],[2045]],Refsz_Verbräuche[[#This Row],[2040]],"")))</f>
        <v/>
      </c>
      <c r="X217" s="124" t="str">
        <f>IF(Refsz_Verbräuche[[#Headers],[2050]]=$B$43,IF(OR(SUMIF($E217:Refsz_Verbräuche[[#This Row],[2045]],"&gt;0")&gt;0,), AVERAGEIF($E217:Refsz_Verbräuche[[#This Row],[2045]],"&lt;&gt;"""), ""),IF($B$43=(Refsz_Verbräuche[[#Headers],[2050]]-1),Refsz_Verbräuche[[#This Row],[2045]],IF($B$43&lt;Refsz_Verbräuche[[#Headers],[2050]],Refsz_Verbräuche[[#This Row],[2045]],"")))</f>
        <v/>
      </c>
      <c r="Z217" s="15"/>
    </row>
    <row r="218" spans="2:26" x14ac:dyDescent="0.35">
      <c r="B218" s="15">
        <v>158</v>
      </c>
      <c r="C218" s="9"/>
      <c r="E218" s="124"/>
      <c r="F218" s="124"/>
      <c r="G218" s="124"/>
      <c r="H218" s="124"/>
      <c r="I218" s="124"/>
      <c r="J218" s="124"/>
      <c r="K218" s="124"/>
      <c r="L218" s="124" t="str">
        <f>IF(Refsz_Verbräuche[[#Headers],[2022]]=$B$43,IF(OR(SUMIF($E218:Refsz_Verbräuche[[#This Row],[2021]],"&gt;0")&gt;0,), AVERAGEIF($E218:Refsz_Verbräuche[[#This Row],[2021]],"&lt;&gt;"""), ""),IF($B$43=(Refsz_Verbräuche[[#Headers],[2022]]-1),Refsz_Verbräuche[[#This Row],[2021]],IF($B$43&lt;Refsz_Verbräuche[[#Headers],[2022]],Refsz_Verbräuche[[#This Row],[2021]],"")))</f>
        <v/>
      </c>
      <c r="M218" s="124" t="str">
        <f>IF(Refsz_Verbräuche[[#Headers],[2023]]=$B$43,IF(OR(SUMIF($E218:Refsz_Verbräuche[[#This Row],[2022]],"&gt;0")&gt;0,), AVERAGEIF($E218:Refsz_Verbräuche[[#This Row],[2022]],"&lt;&gt;"""), ""),IF($B$43=(Refsz_Verbräuche[[#Headers],[2023]]-1),Refsz_Verbräuche[[#This Row],[2022]],IF($B$43&lt;Refsz_Verbräuche[[#Headers],[2023]],Refsz_Verbräuche[[#This Row],[2022]],"")))</f>
        <v/>
      </c>
      <c r="N218" s="124" t="str">
        <f>IF(Refsz_Verbräuche[[#Headers],[2024]]=$B$43,IF(OR(SUMIF($E218:Refsz_Verbräuche[[#This Row],[2023]],"&gt;0")&gt;0,), AVERAGEIF($E218:Refsz_Verbräuche[[#This Row],[2023]],"&lt;&gt;"""), ""),IF($B$43=(Refsz_Verbräuche[[#Headers],[2024]]-1),Refsz_Verbräuche[[#This Row],[2023]],IF($B$43&lt;Refsz_Verbräuche[[#Headers],[2024]],Refsz_Verbräuche[[#This Row],[2023]],"")))</f>
        <v/>
      </c>
      <c r="O218" s="124" t="str">
        <f>IF(Refsz_Verbräuche[[#Headers],[2025]]=$B$43,IF(OR(SUMIF($E218:Refsz_Verbräuche[[#This Row],[2024]],"&gt;0")&gt;0,), AVERAGEIF($E218:Refsz_Verbräuche[[#This Row],[2024]],"&lt;&gt;"""), ""),IF($B$43=(Refsz_Verbräuche[[#Headers],[2025]]-1),Refsz_Verbräuche[[#This Row],[2024]],IF($B$43&lt;Refsz_Verbräuche[[#Headers],[2025]],Refsz_Verbräuche[[#This Row],[2024]],"")))</f>
        <v/>
      </c>
      <c r="P218" s="124" t="str">
        <f>IF(Refsz_Verbräuche[[#Headers],[2026]]=$B$43,IF(OR(SUMIF($E218:Refsz_Verbräuche[[#This Row],[2025]],"&gt;0")&gt;0,), AVERAGEIF($E218:Refsz_Verbräuche[[#This Row],[2025]],"&lt;&gt;"""), ""),IF($B$43=(Refsz_Verbräuche[[#Headers],[2026]]-1),Refsz_Verbräuche[[#This Row],[2025]],IF($B$43&lt;Refsz_Verbräuche[[#Headers],[2026]],Refsz_Verbräuche[[#This Row],[2025]],"")))</f>
        <v/>
      </c>
      <c r="Q218" s="124" t="str">
        <f>IF(Refsz_Verbräuche[[#Headers],[2027]]=$B$43,IF(OR(SUMIF($E218:Refsz_Verbräuche[[#This Row],[2026]],"&gt;0")&gt;0,), AVERAGEIF($E218:Refsz_Verbräuche[[#This Row],[2026]],"&lt;&gt;"""), ""),IF($B$43=(Refsz_Verbräuche[[#Headers],[2027]]-1),Refsz_Verbräuche[[#This Row],[2026]],IF($B$43&lt;Refsz_Verbräuche[[#Headers],[2027]],Refsz_Verbräuche[[#This Row],[2026]],"")))</f>
        <v/>
      </c>
      <c r="R218" s="124" t="str">
        <f>IF(Refsz_Verbräuche[[#Headers],[2028]]=$B$43,IF(OR(SUMIF($E218:Refsz_Verbräuche[[#This Row],[2027]],"&gt;0")&gt;0,), AVERAGEIF($E218:Refsz_Verbräuche[[#This Row],[2027]],"&lt;&gt;"""), ""),IF($B$43=(Refsz_Verbräuche[[#Headers],[2028]]-1),Refsz_Verbräuche[[#This Row],[2027]],IF($B$43&lt;Refsz_Verbräuche[[#Headers],[2028]],Refsz_Verbräuche[[#This Row],[2027]],"")))</f>
        <v/>
      </c>
      <c r="S218" s="124" t="str">
        <f>IF(Refsz_Verbräuche[[#Headers],[2029]]=$B$43,IF(OR(SUMIF($E218:Refsz_Verbräuche[[#This Row],[2028]],"&gt;0")&gt;0,), AVERAGEIF($E218:Refsz_Verbräuche[[#This Row],[2028]],"&lt;&gt;"""), ""),IF($B$43=(Refsz_Verbräuche[[#Headers],[2029]]-1),Refsz_Verbräuche[[#This Row],[2028]],IF($B$43&lt;Refsz_Verbräuche[[#Headers],[2029]],Refsz_Verbräuche[[#This Row],[2028]],"")))</f>
        <v/>
      </c>
      <c r="T218" s="124" t="str">
        <f>IF(Refsz_Verbräuche[[#Headers],[2030]]=$B$43,IF(OR(SUMIF($E218:Refsz_Verbräuche[[#This Row],[2029]],"&gt;0")&gt;0,), AVERAGEIF($E218:Refsz_Verbräuche[[#This Row],[2029]],"&lt;&gt;"""), ""),IF($B$43=(Refsz_Verbräuche[[#Headers],[2030]]-1),Refsz_Verbräuche[[#This Row],[2029]],IF($B$43&lt;Refsz_Verbräuche[[#Headers],[2030]],Refsz_Verbräuche[[#This Row],[2029]],"")))</f>
        <v/>
      </c>
      <c r="U218" s="124" t="str">
        <f>IF(Refsz_Verbräuche[[#Headers],[2035]]=$B$43,IF(OR(SUMIF($E218:Refsz_Verbräuche[[#This Row],[2030]],"&gt;0")&gt;0,), AVERAGEIF($E218:Refsz_Verbräuche[[#This Row],[2030]],"&lt;&gt;"""), ""),IF($B$43=(Refsz_Verbräuche[[#Headers],[2035]]-1),Refsz_Verbräuche[[#This Row],[2030]],IF($B$43&lt;Refsz_Verbräuche[[#Headers],[2035]],Refsz_Verbräuche[[#This Row],[2030]],"")))</f>
        <v/>
      </c>
      <c r="V218" s="124" t="str">
        <f>IF(Refsz_Verbräuche[[#Headers],[2040]]=$B$43,IF(OR(SUMIF($E218:Refsz_Verbräuche[[#This Row],[2035]],"&gt;0")&gt;0,), AVERAGEIF($E218:Refsz_Verbräuche[[#This Row],[2035]],"&lt;&gt;"""), ""),IF($B$43=(Refsz_Verbräuche[[#Headers],[2040]]-1),Refsz_Verbräuche[[#This Row],[2035]],IF($B$43&lt;Refsz_Verbräuche[[#Headers],[2040]],Refsz_Verbräuche[[#This Row],[2035]],"")))</f>
        <v/>
      </c>
      <c r="W218" s="124" t="str">
        <f>IF(Refsz_Verbräuche[[#Headers],[2045]]=$B$43,IF(OR(SUMIF($E218:Refsz_Verbräuche[[#This Row],[2040]],"&gt;0")&gt;0,), AVERAGEIF($E218:Refsz_Verbräuche[[#This Row],[2040]],"&lt;&gt;"""), ""),IF($B$43=(Refsz_Verbräuche[[#Headers],[2045]]-1),Refsz_Verbräuche[[#This Row],[2040]],IF($B$43&lt;Refsz_Verbräuche[[#Headers],[2045]],Refsz_Verbräuche[[#This Row],[2040]],"")))</f>
        <v/>
      </c>
      <c r="X218" s="124" t="str">
        <f>IF(Refsz_Verbräuche[[#Headers],[2050]]=$B$43,IF(OR(SUMIF($E218:Refsz_Verbräuche[[#This Row],[2045]],"&gt;0")&gt;0,), AVERAGEIF($E218:Refsz_Verbräuche[[#This Row],[2045]],"&lt;&gt;"""), ""),IF($B$43=(Refsz_Verbräuche[[#Headers],[2050]]-1),Refsz_Verbräuche[[#This Row],[2045]],IF($B$43&lt;Refsz_Verbräuche[[#Headers],[2050]],Refsz_Verbräuche[[#This Row],[2045]],"")))</f>
        <v/>
      </c>
      <c r="Z218" s="15"/>
    </row>
    <row r="219" spans="2:26" x14ac:dyDescent="0.35">
      <c r="B219" s="15">
        <v>159</v>
      </c>
      <c r="C219" s="9"/>
      <c r="E219" s="124"/>
      <c r="F219" s="124"/>
      <c r="G219" s="124"/>
      <c r="H219" s="124"/>
      <c r="I219" s="124"/>
      <c r="J219" s="124"/>
      <c r="K219" s="124"/>
      <c r="L219" s="124" t="str">
        <f>IF(Refsz_Verbräuche[[#Headers],[2022]]=$B$43,IF(OR(SUMIF($E219:Refsz_Verbräuche[[#This Row],[2021]],"&gt;0")&gt;0,), AVERAGEIF($E219:Refsz_Verbräuche[[#This Row],[2021]],"&lt;&gt;"""), ""),IF($B$43=(Refsz_Verbräuche[[#Headers],[2022]]-1),Refsz_Verbräuche[[#This Row],[2021]],IF($B$43&lt;Refsz_Verbräuche[[#Headers],[2022]],Refsz_Verbräuche[[#This Row],[2021]],"")))</f>
        <v/>
      </c>
      <c r="M219" s="124" t="str">
        <f>IF(Refsz_Verbräuche[[#Headers],[2023]]=$B$43,IF(OR(SUMIF($E219:Refsz_Verbräuche[[#This Row],[2022]],"&gt;0")&gt;0,), AVERAGEIF($E219:Refsz_Verbräuche[[#This Row],[2022]],"&lt;&gt;"""), ""),IF($B$43=(Refsz_Verbräuche[[#Headers],[2023]]-1),Refsz_Verbräuche[[#This Row],[2022]],IF($B$43&lt;Refsz_Verbräuche[[#Headers],[2023]],Refsz_Verbräuche[[#This Row],[2022]],"")))</f>
        <v/>
      </c>
      <c r="N219" s="124" t="str">
        <f>IF(Refsz_Verbräuche[[#Headers],[2024]]=$B$43,IF(OR(SUMIF($E219:Refsz_Verbräuche[[#This Row],[2023]],"&gt;0")&gt;0,), AVERAGEIF($E219:Refsz_Verbräuche[[#This Row],[2023]],"&lt;&gt;"""), ""),IF($B$43=(Refsz_Verbräuche[[#Headers],[2024]]-1),Refsz_Verbräuche[[#This Row],[2023]],IF($B$43&lt;Refsz_Verbräuche[[#Headers],[2024]],Refsz_Verbräuche[[#This Row],[2023]],"")))</f>
        <v/>
      </c>
      <c r="O219" s="124" t="str">
        <f>IF(Refsz_Verbräuche[[#Headers],[2025]]=$B$43,IF(OR(SUMIF($E219:Refsz_Verbräuche[[#This Row],[2024]],"&gt;0")&gt;0,), AVERAGEIF($E219:Refsz_Verbräuche[[#This Row],[2024]],"&lt;&gt;"""), ""),IF($B$43=(Refsz_Verbräuche[[#Headers],[2025]]-1),Refsz_Verbräuche[[#This Row],[2024]],IF($B$43&lt;Refsz_Verbräuche[[#Headers],[2025]],Refsz_Verbräuche[[#This Row],[2024]],"")))</f>
        <v/>
      </c>
      <c r="P219" s="124" t="str">
        <f>IF(Refsz_Verbräuche[[#Headers],[2026]]=$B$43,IF(OR(SUMIF($E219:Refsz_Verbräuche[[#This Row],[2025]],"&gt;0")&gt;0,), AVERAGEIF($E219:Refsz_Verbräuche[[#This Row],[2025]],"&lt;&gt;"""), ""),IF($B$43=(Refsz_Verbräuche[[#Headers],[2026]]-1),Refsz_Verbräuche[[#This Row],[2025]],IF($B$43&lt;Refsz_Verbräuche[[#Headers],[2026]],Refsz_Verbräuche[[#This Row],[2025]],"")))</f>
        <v/>
      </c>
      <c r="Q219" s="124" t="str">
        <f>IF(Refsz_Verbräuche[[#Headers],[2027]]=$B$43,IF(OR(SUMIF($E219:Refsz_Verbräuche[[#This Row],[2026]],"&gt;0")&gt;0,), AVERAGEIF($E219:Refsz_Verbräuche[[#This Row],[2026]],"&lt;&gt;"""), ""),IF($B$43=(Refsz_Verbräuche[[#Headers],[2027]]-1),Refsz_Verbräuche[[#This Row],[2026]],IF($B$43&lt;Refsz_Verbräuche[[#Headers],[2027]],Refsz_Verbräuche[[#This Row],[2026]],"")))</f>
        <v/>
      </c>
      <c r="R219" s="124" t="str">
        <f>IF(Refsz_Verbräuche[[#Headers],[2028]]=$B$43,IF(OR(SUMIF($E219:Refsz_Verbräuche[[#This Row],[2027]],"&gt;0")&gt;0,), AVERAGEIF($E219:Refsz_Verbräuche[[#This Row],[2027]],"&lt;&gt;"""), ""),IF($B$43=(Refsz_Verbräuche[[#Headers],[2028]]-1),Refsz_Verbräuche[[#This Row],[2027]],IF($B$43&lt;Refsz_Verbräuche[[#Headers],[2028]],Refsz_Verbräuche[[#This Row],[2027]],"")))</f>
        <v/>
      </c>
      <c r="S219" s="124" t="str">
        <f>IF(Refsz_Verbräuche[[#Headers],[2029]]=$B$43,IF(OR(SUMIF($E219:Refsz_Verbräuche[[#This Row],[2028]],"&gt;0")&gt;0,), AVERAGEIF($E219:Refsz_Verbräuche[[#This Row],[2028]],"&lt;&gt;"""), ""),IF($B$43=(Refsz_Verbräuche[[#Headers],[2029]]-1),Refsz_Verbräuche[[#This Row],[2028]],IF($B$43&lt;Refsz_Verbräuche[[#Headers],[2029]],Refsz_Verbräuche[[#This Row],[2028]],"")))</f>
        <v/>
      </c>
      <c r="T219" s="124" t="str">
        <f>IF(Refsz_Verbräuche[[#Headers],[2030]]=$B$43,IF(OR(SUMIF($E219:Refsz_Verbräuche[[#This Row],[2029]],"&gt;0")&gt;0,), AVERAGEIF($E219:Refsz_Verbräuche[[#This Row],[2029]],"&lt;&gt;"""), ""),IF($B$43=(Refsz_Verbräuche[[#Headers],[2030]]-1),Refsz_Verbräuche[[#This Row],[2029]],IF($B$43&lt;Refsz_Verbräuche[[#Headers],[2030]],Refsz_Verbräuche[[#This Row],[2029]],"")))</f>
        <v/>
      </c>
      <c r="U219" s="124" t="str">
        <f>IF(Refsz_Verbräuche[[#Headers],[2035]]=$B$43,IF(OR(SUMIF($E219:Refsz_Verbräuche[[#This Row],[2030]],"&gt;0")&gt;0,), AVERAGEIF($E219:Refsz_Verbräuche[[#This Row],[2030]],"&lt;&gt;"""), ""),IF($B$43=(Refsz_Verbräuche[[#Headers],[2035]]-1),Refsz_Verbräuche[[#This Row],[2030]],IF($B$43&lt;Refsz_Verbräuche[[#Headers],[2035]],Refsz_Verbräuche[[#This Row],[2030]],"")))</f>
        <v/>
      </c>
      <c r="V219" s="124" t="str">
        <f>IF(Refsz_Verbräuche[[#Headers],[2040]]=$B$43,IF(OR(SUMIF($E219:Refsz_Verbräuche[[#This Row],[2035]],"&gt;0")&gt;0,), AVERAGEIF($E219:Refsz_Verbräuche[[#This Row],[2035]],"&lt;&gt;"""), ""),IF($B$43=(Refsz_Verbräuche[[#Headers],[2040]]-1),Refsz_Verbräuche[[#This Row],[2035]],IF($B$43&lt;Refsz_Verbräuche[[#Headers],[2040]],Refsz_Verbräuche[[#This Row],[2035]],"")))</f>
        <v/>
      </c>
      <c r="W219" s="124" t="str">
        <f>IF(Refsz_Verbräuche[[#Headers],[2045]]=$B$43,IF(OR(SUMIF($E219:Refsz_Verbräuche[[#This Row],[2040]],"&gt;0")&gt;0,), AVERAGEIF($E219:Refsz_Verbräuche[[#This Row],[2040]],"&lt;&gt;"""), ""),IF($B$43=(Refsz_Verbräuche[[#Headers],[2045]]-1),Refsz_Verbräuche[[#This Row],[2040]],IF($B$43&lt;Refsz_Verbräuche[[#Headers],[2045]],Refsz_Verbräuche[[#This Row],[2040]],"")))</f>
        <v/>
      </c>
      <c r="X219" s="124" t="str">
        <f>IF(Refsz_Verbräuche[[#Headers],[2050]]=$B$43,IF(OR(SUMIF($E219:Refsz_Verbräuche[[#This Row],[2045]],"&gt;0")&gt;0,), AVERAGEIF($E219:Refsz_Verbräuche[[#This Row],[2045]],"&lt;&gt;"""), ""),IF($B$43=(Refsz_Verbräuche[[#Headers],[2050]]-1),Refsz_Verbräuche[[#This Row],[2045]],IF($B$43&lt;Refsz_Verbräuche[[#Headers],[2050]],Refsz_Verbräuche[[#This Row],[2045]],"")))</f>
        <v/>
      </c>
      <c r="Z219" s="15"/>
    </row>
    <row r="220" spans="2:26" x14ac:dyDescent="0.35">
      <c r="B220" s="15">
        <v>160</v>
      </c>
      <c r="C220" s="9"/>
      <c r="E220" s="124"/>
      <c r="F220" s="124"/>
      <c r="G220" s="124"/>
      <c r="H220" s="124"/>
      <c r="I220" s="124"/>
      <c r="J220" s="124"/>
      <c r="K220" s="124"/>
      <c r="L220" s="124" t="str">
        <f>IF(Refsz_Verbräuche[[#Headers],[2022]]=$B$43,IF(OR(SUMIF($E220:Refsz_Verbräuche[[#This Row],[2021]],"&gt;0")&gt;0,), AVERAGEIF($E220:Refsz_Verbräuche[[#This Row],[2021]],"&lt;&gt;"""), ""),IF($B$43=(Refsz_Verbräuche[[#Headers],[2022]]-1),Refsz_Verbräuche[[#This Row],[2021]],IF($B$43&lt;Refsz_Verbräuche[[#Headers],[2022]],Refsz_Verbräuche[[#This Row],[2021]],"")))</f>
        <v/>
      </c>
      <c r="M220" s="124" t="str">
        <f>IF(Refsz_Verbräuche[[#Headers],[2023]]=$B$43,IF(OR(SUMIF($E220:Refsz_Verbräuche[[#This Row],[2022]],"&gt;0")&gt;0,), AVERAGEIF($E220:Refsz_Verbräuche[[#This Row],[2022]],"&lt;&gt;"""), ""),IF($B$43=(Refsz_Verbräuche[[#Headers],[2023]]-1),Refsz_Verbräuche[[#This Row],[2022]],IF($B$43&lt;Refsz_Verbräuche[[#Headers],[2023]],Refsz_Verbräuche[[#This Row],[2022]],"")))</f>
        <v/>
      </c>
      <c r="N220" s="124" t="str">
        <f>IF(Refsz_Verbräuche[[#Headers],[2024]]=$B$43,IF(OR(SUMIF($E220:Refsz_Verbräuche[[#This Row],[2023]],"&gt;0")&gt;0,), AVERAGEIF($E220:Refsz_Verbräuche[[#This Row],[2023]],"&lt;&gt;"""), ""),IF($B$43=(Refsz_Verbräuche[[#Headers],[2024]]-1),Refsz_Verbräuche[[#This Row],[2023]],IF($B$43&lt;Refsz_Verbräuche[[#Headers],[2024]],Refsz_Verbräuche[[#This Row],[2023]],"")))</f>
        <v/>
      </c>
      <c r="O220" s="124" t="str">
        <f>IF(Refsz_Verbräuche[[#Headers],[2025]]=$B$43,IF(OR(SUMIF($E220:Refsz_Verbräuche[[#This Row],[2024]],"&gt;0")&gt;0,), AVERAGEIF($E220:Refsz_Verbräuche[[#This Row],[2024]],"&lt;&gt;"""), ""),IF($B$43=(Refsz_Verbräuche[[#Headers],[2025]]-1),Refsz_Verbräuche[[#This Row],[2024]],IF($B$43&lt;Refsz_Verbräuche[[#Headers],[2025]],Refsz_Verbräuche[[#This Row],[2024]],"")))</f>
        <v/>
      </c>
      <c r="P220" s="124" t="str">
        <f>IF(Refsz_Verbräuche[[#Headers],[2026]]=$B$43,IF(OR(SUMIF($E220:Refsz_Verbräuche[[#This Row],[2025]],"&gt;0")&gt;0,), AVERAGEIF($E220:Refsz_Verbräuche[[#This Row],[2025]],"&lt;&gt;"""), ""),IF($B$43=(Refsz_Verbräuche[[#Headers],[2026]]-1),Refsz_Verbräuche[[#This Row],[2025]],IF($B$43&lt;Refsz_Verbräuche[[#Headers],[2026]],Refsz_Verbräuche[[#This Row],[2025]],"")))</f>
        <v/>
      </c>
      <c r="Q220" s="124" t="str">
        <f>IF(Refsz_Verbräuche[[#Headers],[2027]]=$B$43,IF(OR(SUMIF($E220:Refsz_Verbräuche[[#This Row],[2026]],"&gt;0")&gt;0,), AVERAGEIF($E220:Refsz_Verbräuche[[#This Row],[2026]],"&lt;&gt;"""), ""),IF($B$43=(Refsz_Verbräuche[[#Headers],[2027]]-1),Refsz_Verbräuche[[#This Row],[2026]],IF($B$43&lt;Refsz_Verbräuche[[#Headers],[2027]],Refsz_Verbräuche[[#This Row],[2026]],"")))</f>
        <v/>
      </c>
      <c r="R220" s="124" t="str">
        <f>IF(Refsz_Verbräuche[[#Headers],[2028]]=$B$43,IF(OR(SUMIF($E220:Refsz_Verbräuche[[#This Row],[2027]],"&gt;0")&gt;0,), AVERAGEIF($E220:Refsz_Verbräuche[[#This Row],[2027]],"&lt;&gt;"""), ""),IF($B$43=(Refsz_Verbräuche[[#Headers],[2028]]-1),Refsz_Verbräuche[[#This Row],[2027]],IF($B$43&lt;Refsz_Verbräuche[[#Headers],[2028]],Refsz_Verbräuche[[#This Row],[2027]],"")))</f>
        <v/>
      </c>
      <c r="S220" s="124" t="str">
        <f>IF(Refsz_Verbräuche[[#Headers],[2029]]=$B$43,IF(OR(SUMIF($E220:Refsz_Verbräuche[[#This Row],[2028]],"&gt;0")&gt;0,), AVERAGEIF($E220:Refsz_Verbräuche[[#This Row],[2028]],"&lt;&gt;"""), ""),IF($B$43=(Refsz_Verbräuche[[#Headers],[2029]]-1),Refsz_Verbräuche[[#This Row],[2028]],IF($B$43&lt;Refsz_Verbräuche[[#Headers],[2029]],Refsz_Verbräuche[[#This Row],[2028]],"")))</f>
        <v/>
      </c>
      <c r="T220" s="124" t="str">
        <f>IF(Refsz_Verbräuche[[#Headers],[2030]]=$B$43,IF(OR(SUMIF($E220:Refsz_Verbräuche[[#This Row],[2029]],"&gt;0")&gt;0,), AVERAGEIF($E220:Refsz_Verbräuche[[#This Row],[2029]],"&lt;&gt;"""), ""),IF($B$43=(Refsz_Verbräuche[[#Headers],[2030]]-1),Refsz_Verbräuche[[#This Row],[2029]],IF($B$43&lt;Refsz_Verbräuche[[#Headers],[2030]],Refsz_Verbräuche[[#This Row],[2029]],"")))</f>
        <v/>
      </c>
      <c r="U220" s="124" t="str">
        <f>IF(Refsz_Verbräuche[[#Headers],[2035]]=$B$43,IF(OR(SUMIF($E220:Refsz_Verbräuche[[#This Row],[2030]],"&gt;0")&gt;0,), AVERAGEIF($E220:Refsz_Verbräuche[[#This Row],[2030]],"&lt;&gt;"""), ""),IF($B$43=(Refsz_Verbräuche[[#Headers],[2035]]-1),Refsz_Verbräuche[[#This Row],[2030]],IF($B$43&lt;Refsz_Verbräuche[[#Headers],[2035]],Refsz_Verbräuche[[#This Row],[2030]],"")))</f>
        <v/>
      </c>
      <c r="V220" s="124" t="str">
        <f>IF(Refsz_Verbräuche[[#Headers],[2040]]=$B$43,IF(OR(SUMIF($E220:Refsz_Verbräuche[[#This Row],[2035]],"&gt;0")&gt;0,), AVERAGEIF($E220:Refsz_Verbräuche[[#This Row],[2035]],"&lt;&gt;"""), ""),IF($B$43=(Refsz_Verbräuche[[#Headers],[2040]]-1),Refsz_Verbräuche[[#This Row],[2035]],IF($B$43&lt;Refsz_Verbräuche[[#Headers],[2040]],Refsz_Verbräuche[[#This Row],[2035]],"")))</f>
        <v/>
      </c>
      <c r="W220" s="124" t="str">
        <f>IF(Refsz_Verbräuche[[#Headers],[2045]]=$B$43,IF(OR(SUMIF($E220:Refsz_Verbräuche[[#This Row],[2040]],"&gt;0")&gt;0,), AVERAGEIF($E220:Refsz_Verbräuche[[#This Row],[2040]],"&lt;&gt;"""), ""),IF($B$43=(Refsz_Verbräuche[[#Headers],[2045]]-1),Refsz_Verbräuche[[#This Row],[2040]],IF($B$43&lt;Refsz_Verbräuche[[#Headers],[2045]],Refsz_Verbräuche[[#This Row],[2040]],"")))</f>
        <v/>
      </c>
      <c r="X220" s="124" t="str">
        <f>IF(Refsz_Verbräuche[[#Headers],[2050]]=$B$43,IF(OR(SUMIF($E220:Refsz_Verbräuche[[#This Row],[2045]],"&gt;0")&gt;0,), AVERAGEIF($E220:Refsz_Verbräuche[[#This Row],[2045]],"&lt;&gt;"""), ""),IF($B$43=(Refsz_Verbräuche[[#Headers],[2050]]-1),Refsz_Verbräuche[[#This Row],[2045]],IF($B$43&lt;Refsz_Verbräuche[[#Headers],[2050]],Refsz_Verbräuche[[#This Row],[2045]],"")))</f>
        <v/>
      </c>
      <c r="Z220" s="15"/>
    </row>
    <row r="221" spans="2:26" x14ac:dyDescent="0.35">
      <c r="B221" s="15">
        <v>161</v>
      </c>
      <c r="C221" s="9"/>
      <c r="E221" s="124"/>
      <c r="F221" s="124"/>
      <c r="G221" s="124"/>
      <c r="H221" s="124"/>
      <c r="I221" s="124"/>
      <c r="J221" s="124"/>
      <c r="K221" s="124"/>
      <c r="L221" s="124" t="str">
        <f>IF(Refsz_Verbräuche[[#Headers],[2022]]=$B$43,IF(OR(SUMIF($E221:Refsz_Verbräuche[[#This Row],[2021]],"&gt;0")&gt;0,), AVERAGEIF($E221:Refsz_Verbräuche[[#This Row],[2021]],"&lt;&gt;"""), ""),IF($B$43=(Refsz_Verbräuche[[#Headers],[2022]]-1),Refsz_Verbräuche[[#This Row],[2021]],IF($B$43&lt;Refsz_Verbräuche[[#Headers],[2022]],Refsz_Verbräuche[[#This Row],[2021]],"")))</f>
        <v/>
      </c>
      <c r="M221" s="124" t="str">
        <f>IF(Refsz_Verbräuche[[#Headers],[2023]]=$B$43,IF(OR(SUMIF($E221:Refsz_Verbräuche[[#This Row],[2022]],"&gt;0")&gt;0,), AVERAGEIF($E221:Refsz_Verbräuche[[#This Row],[2022]],"&lt;&gt;"""), ""),IF($B$43=(Refsz_Verbräuche[[#Headers],[2023]]-1),Refsz_Verbräuche[[#This Row],[2022]],IF($B$43&lt;Refsz_Verbräuche[[#Headers],[2023]],Refsz_Verbräuche[[#This Row],[2022]],"")))</f>
        <v/>
      </c>
      <c r="N221" s="124" t="str">
        <f>IF(Refsz_Verbräuche[[#Headers],[2024]]=$B$43,IF(OR(SUMIF($E221:Refsz_Verbräuche[[#This Row],[2023]],"&gt;0")&gt;0,), AVERAGEIF($E221:Refsz_Verbräuche[[#This Row],[2023]],"&lt;&gt;"""), ""),IF($B$43=(Refsz_Verbräuche[[#Headers],[2024]]-1),Refsz_Verbräuche[[#This Row],[2023]],IF($B$43&lt;Refsz_Verbräuche[[#Headers],[2024]],Refsz_Verbräuche[[#This Row],[2023]],"")))</f>
        <v/>
      </c>
      <c r="O221" s="124" t="str">
        <f>IF(Refsz_Verbräuche[[#Headers],[2025]]=$B$43,IF(OR(SUMIF($E221:Refsz_Verbräuche[[#This Row],[2024]],"&gt;0")&gt;0,), AVERAGEIF($E221:Refsz_Verbräuche[[#This Row],[2024]],"&lt;&gt;"""), ""),IF($B$43=(Refsz_Verbräuche[[#Headers],[2025]]-1),Refsz_Verbräuche[[#This Row],[2024]],IF($B$43&lt;Refsz_Verbräuche[[#Headers],[2025]],Refsz_Verbräuche[[#This Row],[2024]],"")))</f>
        <v/>
      </c>
      <c r="P221" s="124" t="str">
        <f>IF(Refsz_Verbräuche[[#Headers],[2026]]=$B$43,IF(OR(SUMIF($E221:Refsz_Verbräuche[[#This Row],[2025]],"&gt;0")&gt;0,), AVERAGEIF($E221:Refsz_Verbräuche[[#This Row],[2025]],"&lt;&gt;"""), ""),IF($B$43=(Refsz_Verbräuche[[#Headers],[2026]]-1),Refsz_Verbräuche[[#This Row],[2025]],IF($B$43&lt;Refsz_Verbräuche[[#Headers],[2026]],Refsz_Verbräuche[[#This Row],[2025]],"")))</f>
        <v/>
      </c>
      <c r="Q221" s="124" t="str">
        <f>IF(Refsz_Verbräuche[[#Headers],[2027]]=$B$43,IF(OR(SUMIF($E221:Refsz_Verbräuche[[#This Row],[2026]],"&gt;0")&gt;0,), AVERAGEIF($E221:Refsz_Verbräuche[[#This Row],[2026]],"&lt;&gt;"""), ""),IF($B$43=(Refsz_Verbräuche[[#Headers],[2027]]-1),Refsz_Verbräuche[[#This Row],[2026]],IF($B$43&lt;Refsz_Verbräuche[[#Headers],[2027]],Refsz_Verbräuche[[#This Row],[2026]],"")))</f>
        <v/>
      </c>
      <c r="R221" s="124" t="str">
        <f>IF(Refsz_Verbräuche[[#Headers],[2028]]=$B$43,IF(OR(SUMIF($E221:Refsz_Verbräuche[[#This Row],[2027]],"&gt;0")&gt;0,), AVERAGEIF($E221:Refsz_Verbräuche[[#This Row],[2027]],"&lt;&gt;"""), ""),IF($B$43=(Refsz_Verbräuche[[#Headers],[2028]]-1),Refsz_Verbräuche[[#This Row],[2027]],IF($B$43&lt;Refsz_Verbräuche[[#Headers],[2028]],Refsz_Verbräuche[[#This Row],[2027]],"")))</f>
        <v/>
      </c>
      <c r="S221" s="124" t="str">
        <f>IF(Refsz_Verbräuche[[#Headers],[2029]]=$B$43,IF(OR(SUMIF($E221:Refsz_Verbräuche[[#This Row],[2028]],"&gt;0")&gt;0,), AVERAGEIF($E221:Refsz_Verbräuche[[#This Row],[2028]],"&lt;&gt;"""), ""),IF($B$43=(Refsz_Verbräuche[[#Headers],[2029]]-1),Refsz_Verbräuche[[#This Row],[2028]],IF($B$43&lt;Refsz_Verbräuche[[#Headers],[2029]],Refsz_Verbräuche[[#This Row],[2028]],"")))</f>
        <v/>
      </c>
      <c r="T221" s="124" t="str">
        <f>IF(Refsz_Verbräuche[[#Headers],[2030]]=$B$43,IF(OR(SUMIF($E221:Refsz_Verbräuche[[#This Row],[2029]],"&gt;0")&gt;0,), AVERAGEIF($E221:Refsz_Verbräuche[[#This Row],[2029]],"&lt;&gt;"""), ""),IF($B$43=(Refsz_Verbräuche[[#Headers],[2030]]-1),Refsz_Verbräuche[[#This Row],[2029]],IF($B$43&lt;Refsz_Verbräuche[[#Headers],[2030]],Refsz_Verbräuche[[#This Row],[2029]],"")))</f>
        <v/>
      </c>
      <c r="U221" s="124" t="str">
        <f>IF(Refsz_Verbräuche[[#Headers],[2035]]=$B$43,IF(OR(SUMIF($E221:Refsz_Verbräuche[[#This Row],[2030]],"&gt;0")&gt;0,), AVERAGEIF($E221:Refsz_Verbräuche[[#This Row],[2030]],"&lt;&gt;"""), ""),IF($B$43=(Refsz_Verbräuche[[#Headers],[2035]]-1),Refsz_Verbräuche[[#This Row],[2030]],IF($B$43&lt;Refsz_Verbräuche[[#Headers],[2035]],Refsz_Verbräuche[[#This Row],[2030]],"")))</f>
        <v/>
      </c>
      <c r="V221" s="124" t="str">
        <f>IF(Refsz_Verbräuche[[#Headers],[2040]]=$B$43,IF(OR(SUMIF($E221:Refsz_Verbräuche[[#This Row],[2035]],"&gt;0")&gt;0,), AVERAGEIF($E221:Refsz_Verbräuche[[#This Row],[2035]],"&lt;&gt;"""), ""),IF($B$43=(Refsz_Verbräuche[[#Headers],[2040]]-1),Refsz_Verbräuche[[#This Row],[2035]],IF($B$43&lt;Refsz_Verbräuche[[#Headers],[2040]],Refsz_Verbräuche[[#This Row],[2035]],"")))</f>
        <v/>
      </c>
      <c r="W221" s="124" t="str">
        <f>IF(Refsz_Verbräuche[[#Headers],[2045]]=$B$43,IF(OR(SUMIF($E221:Refsz_Verbräuche[[#This Row],[2040]],"&gt;0")&gt;0,), AVERAGEIF($E221:Refsz_Verbräuche[[#This Row],[2040]],"&lt;&gt;"""), ""),IF($B$43=(Refsz_Verbräuche[[#Headers],[2045]]-1),Refsz_Verbräuche[[#This Row],[2040]],IF($B$43&lt;Refsz_Verbräuche[[#Headers],[2045]],Refsz_Verbräuche[[#This Row],[2040]],"")))</f>
        <v/>
      </c>
      <c r="X221" s="124" t="str">
        <f>IF(Refsz_Verbräuche[[#Headers],[2050]]=$B$43,IF(OR(SUMIF($E221:Refsz_Verbräuche[[#This Row],[2045]],"&gt;0")&gt;0,), AVERAGEIF($E221:Refsz_Verbräuche[[#This Row],[2045]],"&lt;&gt;"""), ""),IF($B$43=(Refsz_Verbräuche[[#Headers],[2050]]-1),Refsz_Verbräuche[[#This Row],[2045]],IF($B$43&lt;Refsz_Verbräuche[[#Headers],[2050]],Refsz_Verbräuche[[#This Row],[2045]],"")))</f>
        <v/>
      </c>
      <c r="Z221" s="15"/>
    </row>
  </sheetData>
  <phoneticPr fontId="8" type="noConversion"/>
  <conditionalFormatting sqref="L61:X221">
    <cfRule type="expression" dxfId="1116" priority="45">
      <formula>L$60&gt;=$B$43</formula>
    </cfRule>
  </conditionalFormatting>
  <dataValidations count="2">
    <dataValidation type="list" allowBlank="1" showInputMessage="1" showErrorMessage="1" sqref="B43" xr:uid="{F614950F-6F3E-4135-AB35-54962C673969}">
      <formula1>$L$60:$X$60</formula1>
    </dataValidation>
    <dataValidation type="list" allowBlank="1" showInputMessage="1" showErrorMessage="1" sqref="B41" xr:uid="{080DB182-54AE-4CF2-8D11-894A81919C99}">
      <formula1>$E$60:$T$60</formula1>
    </dataValidation>
  </dataValidations>
  <hyperlinks>
    <hyperlink ref="B1" location="Startseite!B1" tooltip="Zurück zur Einleitung" display="Zur Startseite" xr:uid="{92156793-3614-4F91-8D50-531622459B59}"/>
    <hyperlink ref="E1" r:id="rId1" tooltip="Kontakt zur Autorin" display="Kontakt zur Autorin" xr:uid="{0038560F-CB37-4699-A501-464BF341FAD7}"/>
  </hyperlinks>
  <pageMargins left="0.7" right="0.7" top="0.78740157499999996" bottom="0.78740157499999996" header="0.3" footer="0.3"/>
  <pageSetup paperSize="9" orientation="portrait" r:id="rId2"/>
  <drawing r:id="rId3"/>
  <legacyDrawing r:id="rId4"/>
  <tableParts count="1">
    <tablePart r:id="rId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56721-77D0-4CAB-99CE-5067D3CEAF92}">
  <sheetPr>
    <tabColor rgb="FF92D050"/>
  </sheetPr>
  <dimension ref="B1:Z221"/>
  <sheetViews>
    <sheetView showGridLines="0" zoomScale="115" zoomScaleNormal="115" workbookViewId="0">
      <pane xSplit="3" ySplit="1" topLeftCell="D2" activePane="bottomRight" state="frozen"/>
      <selection pane="topRight" activeCell="D1" sqref="D1"/>
      <selection pane="bottomLeft" activeCell="A2" sqref="A2"/>
      <selection pane="bottomRight" activeCell="B1" sqref="B1"/>
    </sheetView>
  </sheetViews>
  <sheetFormatPr baseColWidth="10" defaultRowHeight="14.5" x14ac:dyDescent="0.35"/>
  <cols>
    <col min="1" max="1" width="2.81640625" customWidth="1"/>
    <col min="2" max="2" width="4.453125" customWidth="1"/>
    <col min="3" max="3" width="51" customWidth="1"/>
    <col min="4" max="4" width="8.08984375" style="29" customWidth="1"/>
    <col min="5" max="5" width="11.6328125" customWidth="1"/>
    <col min="22" max="22" width="11.1796875" customWidth="1"/>
    <col min="23" max="23" width="10" customWidth="1"/>
    <col min="26" max="26" width="46" customWidth="1"/>
  </cols>
  <sheetData>
    <row r="1" spans="2:10" x14ac:dyDescent="0.35">
      <c r="B1" s="4" t="s">
        <v>562</v>
      </c>
      <c r="E1" s="3" t="s">
        <v>590</v>
      </c>
      <c r="J1" s="28"/>
    </row>
    <row r="3" spans="2:10" ht="18.5" x14ac:dyDescent="0.45">
      <c r="B3" s="26" t="s">
        <v>548</v>
      </c>
    </row>
    <row r="4" spans="2:10" x14ac:dyDescent="0.35">
      <c r="D4" s="180"/>
      <c r="E4" s="180"/>
    </row>
    <row r="5" spans="2:10" x14ac:dyDescent="0.35">
      <c r="D5" s="174"/>
    </row>
    <row r="26" spans="2:12" x14ac:dyDescent="0.35">
      <c r="B26" s="1"/>
      <c r="L26" s="14"/>
    </row>
    <row r="27" spans="2:12" x14ac:dyDescent="0.35">
      <c r="B27" s="1"/>
      <c r="L27" s="14"/>
    </row>
    <row r="28" spans="2:12" x14ac:dyDescent="0.35">
      <c r="B28" s="1"/>
      <c r="L28" s="14"/>
    </row>
    <row r="29" spans="2:12" x14ac:dyDescent="0.35">
      <c r="B29" s="1"/>
      <c r="L29" s="14"/>
    </row>
    <row r="30" spans="2:12" hidden="1" x14ac:dyDescent="0.35">
      <c r="B30" s="1"/>
      <c r="L30" s="14"/>
    </row>
    <row r="31" spans="2:12" hidden="1" x14ac:dyDescent="0.35">
      <c r="B31" s="1"/>
      <c r="L31" s="14"/>
    </row>
    <row r="32" spans="2:12" hidden="1" x14ac:dyDescent="0.35">
      <c r="B32" s="1"/>
      <c r="L32" s="14"/>
    </row>
    <row r="33" spans="2:12" hidden="1" x14ac:dyDescent="0.35">
      <c r="B33" s="1"/>
      <c r="L33" s="14"/>
    </row>
    <row r="34" spans="2:12" hidden="1" x14ac:dyDescent="0.35"/>
    <row r="35" spans="2:12" hidden="1" x14ac:dyDescent="0.35"/>
    <row r="36" spans="2:12" hidden="1" x14ac:dyDescent="0.35">
      <c r="B36" s="8"/>
      <c r="L36" s="14"/>
    </row>
    <row r="37" spans="2:12" hidden="1" x14ac:dyDescent="0.35">
      <c r="B37" s="1"/>
      <c r="L37" s="14"/>
    </row>
    <row r="38" spans="2:12" hidden="1" x14ac:dyDescent="0.35">
      <c r="B38" s="1"/>
      <c r="L38" s="14"/>
    </row>
    <row r="39" spans="2:12" hidden="1" x14ac:dyDescent="0.35">
      <c r="B39" s="1"/>
      <c r="L39" s="14"/>
    </row>
    <row r="40" spans="2:12" hidden="1" x14ac:dyDescent="0.35">
      <c r="B40" s="1"/>
      <c r="L40" s="14"/>
    </row>
    <row r="41" spans="2:12" hidden="1" x14ac:dyDescent="0.35">
      <c r="B41" s="1"/>
      <c r="L41" s="14"/>
    </row>
    <row r="42" spans="2:12" hidden="1" x14ac:dyDescent="0.35">
      <c r="B42" s="1"/>
      <c r="L42" s="14"/>
    </row>
    <row r="43" spans="2:12" hidden="1" x14ac:dyDescent="0.35">
      <c r="B43" s="1"/>
      <c r="L43" s="14"/>
    </row>
    <row r="44" spans="2:12" hidden="1" x14ac:dyDescent="0.35">
      <c r="B44" s="1"/>
      <c r="L44" s="14"/>
    </row>
    <row r="45" spans="2:12" hidden="1" x14ac:dyDescent="0.35">
      <c r="B45" s="1"/>
      <c r="L45" s="14"/>
    </row>
    <row r="46" spans="2:12" hidden="1" x14ac:dyDescent="0.35">
      <c r="B46" s="1"/>
      <c r="L46" s="14"/>
    </row>
    <row r="47" spans="2:12" hidden="1" x14ac:dyDescent="0.35">
      <c r="B47" s="1"/>
      <c r="L47" s="14"/>
    </row>
    <row r="48" spans="2:12" hidden="1" x14ac:dyDescent="0.35">
      <c r="B48" s="1"/>
      <c r="L48" s="14"/>
    </row>
    <row r="49" spans="2:26" hidden="1" x14ac:dyDescent="0.35">
      <c r="B49" s="1"/>
      <c r="L49" s="14"/>
    </row>
    <row r="50" spans="2:26" hidden="1" x14ac:dyDescent="0.35">
      <c r="B50" s="1"/>
      <c r="L50" s="14"/>
    </row>
    <row r="51" spans="2:26" hidden="1" x14ac:dyDescent="0.35">
      <c r="B51" s="1"/>
      <c r="L51" s="14"/>
    </row>
    <row r="52" spans="2:26" hidden="1" x14ac:dyDescent="0.35">
      <c r="B52" s="1"/>
      <c r="L52" s="14"/>
    </row>
    <row r="53" spans="2:26" hidden="1" x14ac:dyDescent="0.35">
      <c r="B53" s="1"/>
      <c r="L53" s="14"/>
    </row>
    <row r="54" spans="2:26" hidden="1" x14ac:dyDescent="0.35">
      <c r="B54" s="1"/>
      <c r="L54" s="14"/>
    </row>
    <row r="55" spans="2:26" hidden="1" x14ac:dyDescent="0.35">
      <c r="B55" s="1"/>
      <c r="L55" s="14"/>
    </row>
    <row r="56" spans="2:26" hidden="1" x14ac:dyDescent="0.35">
      <c r="B56" s="39" t="s">
        <v>274</v>
      </c>
      <c r="L56" s="14"/>
    </row>
    <row r="57" spans="2:26" hidden="1" x14ac:dyDescent="0.35">
      <c r="B57" s="1" t="str">
        <f>'Refsz-Verbräuche'!B43</f>
        <v>2022</v>
      </c>
      <c r="L57" s="14"/>
    </row>
    <row r="58" spans="2:26" x14ac:dyDescent="0.35">
      <c r="B58" s="1"/>
      <c r="L58" s="14"/>
    </row>
    <row r="59" spans="2:26" x14ac:dyDescent="0.35">
      <c r="B59" s="1" t="s">
        <v>269</v>
      </c>
      <c r="L59" s="14"/>
    </row>
    <row r="60" spans="2:26" ht="45.5" customHeight="1" x14ac:dyDescent="0.35">
      <c r="B60" t="s">
        <v>42</v>
      </c>
      <c r="C60" s="15" t="s">
        <v>511</v>
      </c>
      <c r="D60" s="29" t="s">
        <v>2</v>
      </c>
      <c r="E60" s="7" t="s">
        <v>594</v>
      </c>
      <c r="F60" t="s">
        <v>3</v>
      </c>
      <c r="G60" t="s">
        <v>4</v>
      </c>
      <c r="H60" t="s">
        <v>5</v>
      </c>
      <c r="I60" t="s">
        <v>6</v>
      </c>
      <c r="J60" t="s">
        <v>7</v>
      </c>
      <c r="K60" t="s">
        <v>8</v>
      </c>
      <c r="L60" t="s">
        <v>9</v>
      </c>
      <c r="M60" t="s">
        <v>10</v>
      </c>
      <c r="N60" t="s">
        <v>11</v>
      </c>
      <c r="O60" t="s">
        <v>12</v>
      </c>
      <c r="P60" t="s">
        <v>13</v>
      </c>
      <c r="Q60" t="s">
        <v>14</v>
      </c>
      <c r="R60" t="s">
        <v>232</v>
      </c>
      <c r="S60" t="s">
        <v>233</v>
      </c>
      <c r="T60" t="s">
        <v>234</v>
      </c>
      <c r="U60" t="s">
        <v>15</v>
      </c>
      <c r="V60" t="s">
        <v>16</v>
      </c>
      <c r="W60" t="s">
        <v>17</v>
      </c>
      <c r="X60" t="s">
        <v>18</v>
      </c>
      <c r="Y60" t="s">
        <v>19</v>
      </c>
      <c r="Z60" t="s">
        <v>563</v>
      </c>
    </row>
    <row r="61" spans="2:26" x14ac:dyDescent="0.35">
      <c r="B61" s="15">
        <v>1</v>
      </c>
      <c r="C61" s="54" t="str">
        <f>Refsz_Verbräuche[[#This Row],[Datenpunkt]]</f>
        <v>Elektrischer Strom (Bundesmix)</v>
      </c>
      <c r="D61" s="29" t="str">
        <f>Refsz_Verbräuche[[#This Row],[Einheit]]</f>
        <v>MWh</v>
      </c>
      <c r="E61" s="122"/>
      <c r="F61" s="15" t="str">
        <f>IF(ISBLANK(Refsz_Verbräuche[[#This Row],[2015]]),"",Refsz_Verbräuche[[#This Row],[2015]])</f>
        <v/>
      </c>
      <c r="G61" s="15" t="str">
        <f>IF(ISBLANK(Refsz_Verbräuche[[#This Row],[2016]]),"",Refsz_Verbräuche[[#This Row],[2016]])</f>
        <v/>
      </c>
      <c r="H61" s="15" t="str">
        <f>IF(ISBLANK(Refsz_Verbräuche[[#This Row],[2017]]),"",Refsz_Verbräuche[[#This Row],[2017]])</f>
        <v/>
      </c>
      <c r="I61" s="15" t="str">
        <f>IF(ISBLANK(Refsz_Verbräuche[[#This Row],[2018]]),"",Refsz_Verbräuche[[#This Row],[2018]])</f>
        <v/>
      </c>
      <c r="J61" s="15" t="str">
        <f>IF(ISBLANK(Refsz_Verbräuche[[#This Row],[2019]]),"",Refsz_Verbräuche[[#This Row],[2019]])</f>
        <v/>
      </c>
      <c r="K61" s="15" t="str">
        <f>IF(ISBLANK(Refsz_Verbräuche[[#This Row],[2020]]),"",Refsz_Verbräuche[[#This Row],[2020]])</f>
        <v/>
      </c>
      <c r="L61" s="15" t="str">
        <f>IF(ISBLANK(Refsz_Verbräuche[[#This Row],[2021]]),"",Refsz_Verbräuche[[#This Row],[2021]])</f>
        <v/>
      </c>
      <c r="M61" s="57" t="str">
        <f>IF(Klisz_Verbräuche[[#Headers],[2022]]=$B$57,IF(COUNTIF($F61:Klisz_Verbräuche[[#This Row],[2021]],"&gt;0")&gt;0, AVERAGEIF($F61:Klisz_Verbräuche[[#This Row],[2021]],"&lt;&gt;"), ""),IF($B$57&lt;Klisz_Verbräuche[[#Headers],[2022]],IF(COUNTIF($F61:Klisz_Verbräuche[[#This Row],[2021]],"&gt;0")&gt;0,IF(COUNTIF($F61:Klisz_Verbräuche[[#This Row],[2021]],"&gt;0")&gt;0,Klisz_Verbräuche[[#This Row],[2021]]*(1-$E61)^1, ""), ""),IF($B$57&gt;Klisz_Verbräuche[[#Headers],[2022]],Refsz_Verbräuche[[#This Row],[2022]],"")))</f>
        <v/>
      </c>
      <c r="N61" s="57" t="str">
        <f>IF(Klisz_Verbräuche[[#Headers],[2023]]=$B$57,IF(COUNTIF($F61:Klisz_Verbräuche[[#This Row],[2022]],"&gt;0")&gt;0, AVERAGEIF($F61:Klisz_Verbräuche[[#This Row],[2022]],"&lt;&gt;"), ""),IF($B$57&lt;Klisz_Verbräuche[[#Headers],[2023]],IF(COUNTIF($F61:Klisz_Verbräuche[[#This Row],[2022]],"&gt;0")&gt;0,IF(COUNTIF($F61:Klisz_Verbräuche[[#This Row],[2022]],"&gt;0")&gt;0,Klisz_Verbräuche[[#This Row],[2022]]*(1-$E61)^1, ""), ""),IF($B$57&gt;Klisz_Verbräuche[[#Headers],[2023]],Refsz_Verbräuche[[#This Row],[2023]],"")))</f>
        <v/>
      </c>
      <c r="O61" s="57" t="str">
        <f>IF(Klisz_Verbräuche[[#Headers],[2024]]=$B$57,IF(COUNTIF($F61:Klisz_Verbräuche[[#This Row],[2023]],"&gt;0")&gt;0, AVERAGEIF($F61:Klisz_Verbräuche[[#This Row],[2023]],"&lt;&gt;"), ""),IF($B$57&lt;Klisz_Verbräuche[[#Headers],[2024]],IF(COUNTIF($F61:Klisz_Verbräuche[[#This Row],[2023]],"&gt;0")&gt;0,IF(COUNTIF($F61:Klisz_Verbräuche[[#This Row],[2023]],"&gt;0")&gt;0,Klisz_Verbräuche[[#This Row],[2023]]*(1-$E61)^1, ""), ""),IF($B$57&gt;Klisz_Verbräuche[[#Headers],[2024]],Refsz_Verbräuche[[#This Row],[2024]],"")))</f>
        <v/>
      </c>
      <c r="P61" s="57" t="str">
        <f>IF(Klisz_Verbräuche[[#Headers],[2025]]=$B$57,IF(COUNTIF($F61:Klisz_Verbräuche[[#This Row],[2024]],"&gt;0")&gt;0, AVERAGEIF($F61:Klisz_Verbräuche[[#This Row],[2024]],"&lt;&gt;"), ""),IF($B$57&lt;Klisz_Verbräuche[[#Headers],[2025]],IF(COUNTIF($F61:Klisz_Verbräuche[[#This Row],[2024]],"&gt;0")&gt;0,IF(COUNTIF($F61:Klisz_Verbräuche[[#This Row],[2024]],"&gt;0")&gt;0,Klisz_Verbräuche[[#This Row],[2024]]*(1-$E61)^1, ""), ""),IF($B$57&gt;Klisz_Verbräuche[[#Headers],[2025]],Refsz_Verbräuche[[#This Row],[2025]],"")))</f>
        <v/>
      </c>
      <c r="Q61" s="57" t="str">
        <f>IF(Klisz_Verbräuche[[#Headers],[2026]]=$B$57,IF(COUNTIF($F61:Klisz_Verbräuche[[#This Row],[2025]],"&gt;0")&gt;0, AVERAGEIF($F61:Klisz_Verbräuche[[#This Row],[2025]],"&lt;&gt;"), ""),IF($B$57&lt;Klisz_Verbräuche[[#Headers],[2026]],IF(COUNTIF($F61:Klisz_Verbräuche[[#This Row],[2025]],"&gt;0")&gt;0,IF(COUNTIF($F61:Klisz_Verbräuche[[#This Row],[2025]],"&gt;0")&gt;0,Klisz_Verbräuche[[#This Row],[2025]]*(1-$E61)^1, ""), ""),IF($B$57&gt;Klisz_Verbräuche[[#Headers],[2026]],Refsz_Verbräuche[[#This Row],[2026]],"")))</f>
        <v/>
      </c>
      <c r="R61" s="57" t="str">
        <f>IF(Klisz_Verbräuche[[#Headers],[2027]]=$B$57,IF(COUNTIF($F61:Klisz_Verbräuche[[#This Row],[2026]],"&gt;0")&gt;0, AVERAGEIF($F61:Klisz_Verbräuche[[#This Row],[2026]],"&lt;&gt;"), ""),IF($B$57&lt;Klisz_Verbräuche[[#Headers],[2027]],IF(COUNTIF($F61:Klisz_Verbräuche[[#This Row],[2026]],"&gt;0")&gt;0,IF(COUNTIF($F61:Klisz_Verbräuche[[#This Row],[2026]],"&gt;0")&gt;0,Klisz_Verbräuche[[#This Row],[2026]]*(1-$E61)^1, ""), ""),IF($B$57&gt;Klisz_Verbräuche[[#Headers],[2027]],Refsz_Verbräuche[[#This Row],[2027]],"")))</f>
        <v/>
      </c>
      <c r="S61" s="57" t="str">
        <f>IF(Klisz_Verbräuche[[#Headers],[2028]]=$B$57,IF(COUNTIF($F61:Klisz_Verbräuche[[#This Row],[2027]],"&gt;0")&gt;0, AVERAGEIF($F61:Klisz_Verbräuche[[#This Row],[2027]],"&lt;&gt;"), ""),IF($B$57&lt;Klisz_Verbräuche[[#Headers],[2028]],IF(COUNTIF($F61:Klisz_Verbräuche[[#This Row],[2027]],"&gt;0")&gt;0,IF(COUNTIF($F61:Klisz_Verbräuche[[#This Row],[2027]],"&gt;0")&gt;0,Klisz_Verbräuche[[#This Row],[2027]]*(1-$E61)^1, ""), ""),IF($B$57&gt;Klisz_Verbräuche[[#Headers],[2028]],Refsz_Verbräuche[[#This Row],[2028]],"")))</f>
        <v/>
      </c>
      <c r="T61" s="57" t="str">
        <f>IF(Klisz_Verbräuche[[#Headers],[2029]]=$B$57,IF(COUNTIF($F61:Klisz_Verbräuche[[#This Row],[2028]],"&gt;0")&gt;0, AVERAGEIF($F61:Klisz_Verbräuche[[#This Row],[2028]],"&lt;&gt;"), ""),IF($B$57&lt;Klisz_Verbräuche[[#Headers],[2029]],IF(COUNTIF($F61:Klisz_Verbräuche[[#This Row],[2028]],"&gt;0")&gt;0,IF(COUNTIF($F61:Klisz_Verbräuche[[#This Row],[2028]],"&gt;0")&gt;0,Klisz_Verbräuche[[#This Row],[2028]]*(1-$E61)^1, ""), ""),IF($B$57&gt;Klisz_Verbräuche[[#Headers],[2029]],Refsz_Verbräuche[[#This Row],[2029]],"")))</f>
        <v/>
      </c>
      <c r="U61" s="57" t="str">
        <f>IF(Klisz_Verbräuche[[#Headers],[2030]]=$B$57,IF(COUNTIF($F61:Klisz_Verbräuche[[#This Row],[2029]],"&gt;0")&gt;0, AVERAGEIF($F61:Klisz_Verbräuche[[#This Row],[2029]],"&lt;&gt;"), ""),IF($B$57&lt;Klisz_Verbräuche[[#Headers],[2030]],IF(COUNTIF($F61:Klisz_Verbräuche[[#This Row],[2029]],"&gt;0")&gt;0,IF(COUNTIF($F61:Klisz_Verbräuche[[#This Row],[2029]],"&gt;0")&gt;0,Klisz_Verbräuche[[#This Row],[2029]]*(1-$E61)^1, ""), ""),IF($B$57&gt;Klisz_Verbräuche[[#Headers],[2030]],Refsz_Verbräuche[[#This Row],[2030]],"")))</f>
        <v/>
      </c>
      <c r="V61" s="57" t="str">
        <f>IF(Klisz_Verbräuche[[#Headers],[2035]]=$B$57,IF(COUNTIF($F61:Klisz_Verbräuche[[#This Row],[2030]],"&gt;0")&gt;0, AVERAGEIF($F61:Klisz_Verbräuche[[#This Row],[2030]],"&lt;&gt;"), ""),IF($B$57&lt;Klisz_Verbräuche[[#Headers],[2035]],IF(COUNTIF($F61:Klisz_Verbräuche[[#This Row],[2030]],"&gt;0")&gt;0,IF(COUNTIF($F61:Klisz_Verbräuche[[#This Row],[2030]],"&gt;0")&gt;0,Klisz_Verbräuche[[#This Row],[2030]]*(1-$E61)^5, ""), ""),IF($B$57&gt;Klisz_Verbräuche[[#Headers],[2035]],Refsz_Verbräuche[[#This Row],[2035]],"")))</f>
        <v/>
      </c>
      <c r="W61" s="57" t="str">
        <f>IF(Klisz_Verbräuche[[#Headers],[2040]]=$B$57,IF(COUNTIF($F61:Klisz_Verbräuche[[#This Row],[2035]],"&gt;0")&gt;0, AVERAGEIF($F61:Klisz_Verbräuche[[#This Row],[2035]],"&lt;&gt;"), ""),IF($B$57&lt;Klisz_Verbräuche[[#Headers],[2040]],IF(COUNTIF($F61:Klisz_Verbräuche[[#This Row],[2035]],"&gt;0")&gt;0,IF(COUNTIF($F61:Klisz_Verbräuche[[#This Row],[2035]],"&gt;0")&gt;0,Klisz_Verbräuche[[#This Row],[2035]]*(1-$E61)^5, ""), ""),IF($B$57&gt;Klisz_Verbräuche[[#Headers],[2040]],Refsz_Verbräuche[[#This Row],[2040]],"")))</f>
        <v/>
      </c>
      <c r="X61" s="57" t="str">
        <f>IF(Klisz_Verbräuche[[#Headers],[2045]]=$B$57,IF(COUNTIF($F61:Klisz_Verbräuche[[#This Row],[2040]],"&gt;0")&gt;0, AVERAGEIF($F61:Klisz_Verbräuche[[#This Row],[2040]],"&lt;&gt;"), ""),IF($B$57&lt;Klisz_Verbräuche[[#Headers],[2045]],IF(COUNTIF($F61:Klisz_Verbräuche[[#This Row],[2040]],"&gt;0")&gt;0,IF(COUNTIF($F61:Klisz_Verbräuche[[#This Row],[2040]],"&gt;0")&gt;0,Klisz_Verbräuche[[#This Row],[2040]]*(1-$E61)^5, ""), ""),IF($B$57&gt;Klisz_Verbräuche[[#Headers],[2045]],Refsz_Verbräuche[[#This Row],[2045]],"")))</f>
        <v/>
      </c>
      <c r="Y61" s="57" t="str">
        <f>IF(Klisz_Verbräuche[[#Headers],[2050]]=$B$57,IF(COUNTIF($F61:Klisz_Verbräuche[[#This Row],[2045]],"&gt;0")&gt;0, AVERAGEIF($F61:Klisz_Verbräuche[[#This Row],[2045]],"&lt;&gt;"), ""),IF($B$57&lt;Klisz_Verbräuche[[#Headers],[2050]],IF(COUNTIF($F61:Klisz_Verbräuche[[#This Row],[2045]],"&gt;0")&gt;0,IF(COUNTIF($F61:Klisz_Verbräuche[[#This Row],[2045]],"&gt;0")&gt;0,Klisz_Verbräuche[[#This Row],[2045]]*(1-$E61)^5, ""), ""),IF($B$57&gt;Klisz_Verbräuche[[#Headers],[2050]],Refsz_Verbräuche[[#This Row],[2050]],"")))</f>
        <v/>
      </c>
      <c r="Z61" s="15"/>
    </row>
    <row r="62" spans="2:26" hidden="1" x14ac:dyDescent="0.35">
      <c r="B62" s="15">
        <v>2</v>
      </c>
      <c r="C62" s="54" t="str">
        <f>Refsz_Verbräuche[[#This Row],[Datenpunkt]]</f>
        <v>Elektrischer Strom (Bundesmix KS80)</v>
      </c>
      <c r="D62" s="175" t="str">
        <f>Refsz_Verbräuche[[#This Row],[Einheit]]</f>
        <v>Nichts eintragen</v>
      </c>
      <c r="E62" s="122"/>
      <c r="F62" s="15" t="str">
        <f>IF(ISBLANK(Refsz_Verbräuche[[#This Row],[2015]]),"",Refsz_Verbräuche[[#This Row],[2015]])</f>
        <v/>
      </c>
      <c r="G62" s="15" t="str">
        <f>IF(ISBLANK(Refsz_Verbräuche[[#This Row],[2016]]),"",Refsz_Verbräuche[[#This Row],[2016]])</f>
        <v/>
      </c>
      <c r="H62" s="15" t="str">
        <f>IF(ISBLANK(Refsz_Verbräuche[[#This Row],[2017]]),"",Refsz_Verbräuche[[#This Row],[2017]])</f>
        <v/>
      </c>
      <c r="I62" s="15" t="str">
        <f>IF(ISBLANK(Refsz_Verbräuche[[#This Row],[2018]]),"",Refsz_Verbräuche[[#This Row],[2018]])</f>
        <v/>
      </c>
      <c r="J62" s="15" t="str">
        <f>IF(ISBLANK(Refsz_Verbräuche[[#This Row],[2019]]),"",Refsz_Verbräuche[[#This Row],[2019]])</f>
        <v/>
      </c>
      <c r="K62" s="15" t="str">
        <f>IF(ISBLANK(Refsz_Verbräuche[[#This Row],[2020]]),"",Refsz_Verbräuche[[#This Row],[2020]])</f>
        <v/>
      </c>
      <c r="L62" s="15" t="str">
        <f>IF(ISBLANK(Refsz_Verbräuche[[#This Row],[2021]]),"",Refsz_Verbräuche[[#This Row],[2021]])</f>
        <v/>
      </c>
      <c r="M62" s="57" t="str">
        <f>IF(Klisz_Verbräuche[[#Headers],[2022]]=$B$57,IF(COUNTIF($F62:Klisz_Verbräuche[[#This Row],[2021]],"&gt;0")&gt;0, AVERAGEIF($F62:Klisz_Verbräuche[[#This Row],[2021]],"&lt;&gt;"), ""),IF($B$57&lt;Klisz_Verbräuche[[#Headers],[2022]],IF(COUNTIF($F62:Klisz_Verbräuche[[#This Row],[2021]],"&gt;0")&gt;0,IF(COUNTIF($F62:Klisz_Verbräuche[[#This Row],[2021]],"&gt;0")&gt;0,Klisz_Verbräuche[[#This Row],[2021]]*(1-$E62)^1, ""), ""),IF($B$57&gt;Klisz_Verbräuche[[#Headers],[2022]],Refsz_Verbräuche[[#This Row],[2022]],"")))</f>
        <v/>
      </c>
      <c r="N62" s="57" t="str">
        <f>IF(Klisz_Verbräuche[[#Headers],[2023]]=$B$57,IF(COUNTIF($F62:Klisz_Verbräuche[[#This Row],[2022]],"&gt;0")&gt;0, AVERAGEIF($F62:Klisz_Verbräuche[[#This Row],[2022]],"&lt;&gt;"), ""),IF($B$57&lt;Klisz_Verbräuche[[#Headers],[2023]],IF(COUNTIF($F62:Klisz_Verbräuche[[#This Row],[2022]],"&gt;0")&gt;0,IF(COUNTIF($F62:Klisz_Verbräuche[[#This Row],[2022]],"&gt;0")&gt;0,Klisz_Verbräuche[[#This Row],[2022]]*(1-$E62)^1, ""), ""),IF($B$57&gt;Klisz_Verbräuche[[#Headers],[2023]],Refsz_Verbräuche[[#This Row],[2023]],"")))</f>
        <v/>
      </c>
      <c r="O62" s="57" t="str">
        <f>IF(Klisz_Verbräuche[[#Headers],[2024]]=$B$57,IF(COUNTIF($F62:Klisz_Verbräuche[[#This Row],[2023]],"&gt;0")&gt;0, AVERAGEIF($F62:Klisz_Verbräuche[[#This Row],[2023]],"&lt;&gt;"), ""),IF($B$57&lt;Klisz_Verbräuche[[#Headers],[2024]],IF(COUNTIF($F62:Klisz_Verbräuche[[#This Row],[2023]],"&gt;0")&gt;0,IF(COUNTIF($F62:Klisz_Verbräuche[[#This Row],[2023]],"&gt;0")&gt;0,Klisz_Verbräuche[[#This Row],[2023]]*(1-$E62)^1, ""), ""),IF($B$57&gt;Klisz_Verbräuche[[#Headers],[2024]],Refsz_Verbräuche[[#This Row],[2024]],"")))</f>
        <v/>
      </c>
      <c r="P62" s="57" t="str">
        <f>IF(Klisz_Verbräuche[[#Headers],[2025]]=$B$57,IF(COUNTIF($F62:Klisz_Verbräuche[[#This Row],[2024]],"&gt;0")&gt;0, AVERAGEIF($F62:Klisz_Verbräuche[[#This Row],[2024]],"&lt;&gt;"), ""),IF($B$57&lt;Klisz_Verbräuche[[#Headers],[2025]],IF(COUNTIF($F62:Klisz_Verbräuche[[#This Row],[2024]],"&gt;0")&gt;0,IF(COUNTIF($F62:Klisz_Verbräuche[[#This Row],[2024]],"&gt;0")&gt;0,Klisz_Verbräuche[[#This Row],[2024]]*(1-$E62)^1, ""), ""),IF($B$57&gt;Klisz_Verbräuche[[#Headers],[2025]],Refsz_Verbräuche[[#This Row],[2025]],"")))</f>
        <v/>
      </c>
      <c r="Q62" s="57" t="str">
        <f>IF(Klisz_Verbräuche[[#Headers],[2026]]=$B$57,IF(COUNTIF($F62:Klisz_Verbräuche[[#This Row],[2025]],"&gt;0")&gt;0, AVERAGEIF($F62:Klisz_Verbräuche[[#This Row],[2025]],"&lt;&gt;"), ""),IF($B$57&lt;Klisz_Verbräuche[[#Headers],[2026]],IF(COUNTIF($F62:Klisz_Verbräuche[[#This Row],[2025]],"&gt;0")&gt;0,IF(COUNTIF($F62:Klisz_Verbräuche[[#This Row],[2025]],"&gt;0")&gt;0,Klisz_Verbräuche[[#This Row],[2025]]*(1-$E62)^1, ""), ""),IF($B$57&gt;Klisz_Verbräuche[[#Headers],[2026]],Refsz_Verbräuche[[#This Row],[2026]],"")))</f>
        <v/>
      </c>
      <c r="R62" s="57" t="str">
        <f>IF(Klisz_Verbräuche[[#Headers],[2027]]=$B$57,IF(COUNTIF($F62:Klisz_Verbräuche[[#This Row],[2026]],"&gt;0")&gt;0, AVERAGEIF($F62:Klisz_Verbräuche[[#This Row],[2026]],"&lt;&gt;"), ""),IF($B$57&lt;Klisz_Verbräuche[[#Headers],[2027]],IF(COUNTIF($F62:Klisz_Verbräuche[[#This Row],[2026]],"&gt;0")&gt;0,IF(COUNTIF($F62:Klisz_Verbräuche[[#This Row],[2026]],"&gt;0")&gt;0,Klisz_Verbräuche[[#This Row],[2026]]*(1-$E62)^1, ""), ""),IF($B$57&gt;Klisz_Verbräuche[[#Headers],[2027]],Refsz_Verbräuche[[#This Row],[2027]],"")))</f>
        <v/>
      </c>
      <c r="S62" s="57" t="str">
        <f>IF(Klisz_Verbräuche[[#Headers],[2028]]=$B$57,IF(COUNTIF($F62:Klisz_Verbräuche[[#This Row],[2027]],"&gt;0")&gt;0, AVERAGEIF($F62:Klisz_Verbräuche[[#This Row],[2027]],"&lt;&gt;"), ""),IF($B$57&lt;Klisz_Verbräuche[[#Headers],[2028]],IF(COUNTIF($F62:Klisz_Verbräuche[[#This Row],[2027]],"&gt;0")&gt;0,IF(COUNTIF($F62:Klisz_Verbräuche[[#This Row],[2027]],"&gt;0")&gt;0,Klisz_Verbräuche[[#This Row],[2027]]*(1-$E62)^1, ""), ""),IF($B$57&gt;Klisz_Verbräuche[[#Headers],[2028]],Refsz_Verbräuche[[#This Row],[2028]],"")))</f>
        <v/>
      </c>
      <c r="T62" s="57" t="str">
        <f>IF(Klisz_Verbräuche[[#Headers],[2029]]=$B$57,IF(COUNTIF($F62:Klisz_Verbräuche[[#This Row],[2028]],"&gt;0")&gt;0, AVERAGEIF($F62:Klisz_Verbräuche[[#This Row],[2028]],"&lt;&gt;"), ""),IF($B$57&lt;Klisz_Verbräuche[[#Headers],[2029]],IF(COUNTIF($F62:Klisz_Verbräuche[[#This Row],[2028]],"&gt;0")&gt;0,IF(COUNTIF($F62:Klisz_Verbräuche[[#This Row],[2028]],"&gt;0")&gt;0,Klisz_Verbräuche[[#This Row],[2028]]*(1-$E62)^1, ""), ""),IF($B$57&gt;Klisz_Verbräuche[[#Headers],[2029]],Refsz_Verbräuche[[#This Row],[2029]],"")))</f>
        <v/>
      </c>
      <c r="U62" s="57" t="str">
        <f>IF(Klisz_Verbräuche[[#Headers],[2030]]=$B$57,IF(COUNTIF($F62:Klisz_Verbräuche[[#This Row],[2029]],"&gt;0")&gt;0, AVERAGEIF($F62:Klisz_Verbräuche[[#This Row],[2029]],"&lt;&gt;"), ""),IF($B$57&lt;Klisz_Verbräuche[[#Headers],[2030]],IF(COUNTIF($F62:Klisz_Verbräuche[[#This Row],[2029]],"&gt;0")&gt;0,IF(COUNTIF($F62:Klisz_Verbräuche[[#This Row],[2029]],"&gt;0")&gt;0,Klisz_Verbräuche[[#This Row],[2029]]*(1-$E62)^1, ""), ""),IF($B$57&gt;Klisz_Verbräuche[[#Headers],[2030]],Refsz_Verbräuche[[#This Row],[2030]],"")))</f>
        <v/>
      </c>
      <c r="V62" s="57" t="str">
        <f>IF(Klisz_Verbräuche[[#Headers],[2035]]=$B$57,IF(COUNTIF($F62:Klisz_Verbräuche[[#This Row],[2030]],"&gt;0")&gt;0, AVERAGEIF($F62:Klisz_Verbräuche[[#This Row],[2030]],"&lt;&gt;"), ""),IF($B$57&lt;Klisz_Verbräuche[[#Headers],[2035]],IF(COUNTIF($F62:Klisz_Verbräuche[[#This Row],[2030]],"&gt;0")&gt;0,IF(COUNTIF($F62:Klisz_Verbräuche[[#This Row],[2030]],"&gt;0")&gt;0,Klisz_Verbräuche[[#This Row],[2030]]*(1-$E62)^5, ""), ""),IF($B$57&gt;Klisz_Verbräuche[[#Headers],[2035]],Refsz_Verbräuche[[#This Row],[2035]],"")))</f>
        <v/>
      </c>
      <c r="W62" s="57" t="str">
        <f>IF(Klisz_Verbräuche[[#Headers],[2040]]=$B$57,IF(COUNTIF($F62:Klisz_Verbräuche[[#This Row],[2035]],"&gt;0")&gt;0, AVERAGEIF($F62:Klisz_Verbräuche[[#This Row],[2035]],"&lt;&gt;"), ""),IF($B$57&lt;Klisz_Verbräuche[[#Headers],[2040]],IF(COUNTIF($F62:Klisz_Verbräuche[[#This Row],[2035]],"&gt;0")&gt;0,IF(COUNTIF($F62:Klisz_Verbräuche[[#This Row],[2035]],"&gt;0")&gt;0,Klisz_Verbräuche[[#This Row],[2035]]*(1-$E62)^5, ""), ""),IF($B$57&gt;Klisz_Verbräuche[[#Headers],[2040]],Refsz_Verbräuche[[#This Row],[2040]],"")))</f>
        <v/>
      </c>
      <c r="X62" s="57" t="str">
        <f>IF(Klisz_Verbräuche[[#Headers],[2045]]=$B$57,IF(COUNTIF($F62:Klisz_Verbräuche[[#This Row],[2040]],"&gt;0")&gt;0, AVERAGEIF($F62:Klisz_Verbräuche[[#This Row],[2040]],"&lt;&gt;"), ""),IF($B$57&lt;Klisz_Verbräuche[[#Headers],[2045]],IF(COUNTIF($F62:Klisz_Verbräuche[[#This Row],[2040]],"&gt;0")&gt;0,IF(COUNTIF($F62:Klisz_Verbräuche[[#This Row],[2040]],"&gt;0")&gt;0,Klisz_Verbräuche[[#This Row],[2040]]*(1-$E62)^5, ""), ""),IF($B$57&gt;Klisz_Verbräuche[[#Headers],[2045]],Refsz_Verbräuche[[#This Row],[2045]],"")))</f>
        <v/>
      </c>
      <c r="Y62" s="57" t="str">
        <f>IF(Klisz_Verbräuche[[#Headers],[2050]]=$B$57,IF(COUNTIF($F62:Klisz_Verbräuche[[#This Row],[2045]],"&gt;0")&gt;0, AVERAGEIF($F62:Klisz_Verbräuche[[#This Row],[2045]],"&lt;&gt;"), ""),IF($B$57&lt;Klisz_Verbräuche[[#Headers],[2050]],IF(COUNTIF($F62:Klisz_Verbräuche[[#This Row],[2045]],"&gt;0")&gt;0,IF(COUNTIF($F62:Klisz_Verbräuche[[#This Row],[2045]],"&gt;0")&gt;0,Klisz_Verbräuche[[#This Row],[2045]]*(1-$E62)^5, ""), ""),IF($B$57&gt;Klisz_Verbräuche[[#Headers],[2050]],Refsz_Verbräuche[[#This Row],[2050]],"")))</f>
        <v/>
      </c>
      <c r="Z62" s="15"/>
    </row>
    <row r="63" spans="2:26" x14ac:dyDescent="0.35">
      <c r="B63" s="15">
        <v>3</v>
      </c>
      <c r="C63" s="54" t="str">
        <f>Refsz_Verbräuche[[#This Row],[Datenpunkt]]</f>
        <v>Elektrischer Strom (individueller Strommix Einrichtung 1)</v>
      </c>
      <c r="D63" s="29" t="str">
        <f>Refsz_Verbräuche[[#This Row],[Einheit]]</f>
        <v>MWh</v>
      </c>
      <c r="E63" s="122"/>
      <c r="F63" s="15" t="str">
        <f>IF(ISBLANK(Refsz_Verbräuche[[#This Row],[2015]]),"",Refsz_Verbräuche[[#This Row],[2015]])</f>
        <v/>
      </c>
      <c r="G63" s="15" t="str">
        <f>IF(ISBLANK(Refsz_Verbräuche[[#This Row],[2016]]),"",Refsz_Verbräuche[[#This Row],[2016]])</f>
        <v/>
      </c>
      <c r="H63" s="15" t="str">
        <f>IF(ISBLANK(Refsz_Verbräuche[[#This Row],[2017]]),"",Refsz_Verbräuche[[#This Row],[2017]])</f>
        <v/>
      </c>
      <c r="I63" s="15" t="str">
        <f>IF(ISBLANK(Refsz_Verbräuche[[#This Row],[2018]]),"",Refsz_Verbräuche[[#This Row],[2018]])</f>
        <v/>
      </c>
      <c r="J63" s="15" t="str">
        <f>IF(ISBLANK(Refsz_Verbräuche[[#This Row],[2019]]),"",Refsz_Verbräuche[[#This Row],[2019]])</f>
        <v/>
      </c>
      <c r="K63" s="15" t="str">
        <f>IF(ISBLANK(Refsz_Verbräuche[[#This Row],[2020]]),"",Refsz_Verbräuche[[#This Row],[2020]])</f>
        <v/>
      </c>
      <c r="L63" s="15" t="str">
        <f>IF(ISBLANK(Refsz_Verbräuche[[#This Row],[2021]]),"",Refsz_Verbräuche[[#This Row],[2021]])</f>
        <v/>
      </c>
      <c r="M63" s="57" t="str">
        <f>IF(Klisz_Verbräuche[[#Headers],[2022]]=$B$57,IF(COUNTIF($F63:Klisz_Verbräuche[[#This Row],[2021]],"&gt;0")&gt;0, AVERAGEIF($F63:Klisz_Verbräuche[[#This Row],[2021]],"&lt;&gt;"), ""),IF($B$57&lt;Klisz_Verbräuche[[#Headers],[2022]],IF(COUNTIF($F63:Klisz_Verbräuche[[#This Row],[2021]],"&gt;0")&gt;0,IF(COUNTIF($F63:Klisz_Verbräuche[[#This Row],[2021]],"&gt;0")&gt;0,Klisz_Verbräuche[[#This Row],[2021]]*(1-$E63)^1, ""), ""),IF($B$57&gt;Klisz_Verbräuche[[#Headers],[2022]],Refsz_Verbräuche[[#This Row],[2022]],"")))</f>
        <v/>
      </c>
      <c r="N63" s="57" t="str">
        <f>IF(Klisz_Verbräuche[[#Headers],[2023]]=$B$57,IF(COUNTIF($F63:Klisz_Verbräuche[[#This Row],[2022]],"&gt;0")&gt;0, AVERAGEIF($F63:Klisz_Verbräuche[[#This Row],[2022]],"&lt;&gt;"), ""),IF($B$57&lt;Klisz_Verbräuche[[#Headers],[2023]],IF(COUNTIF($F63:Klisz_Verbräuche[[#This Row],[2022]],"&gt;0")&gt;0,IF(COUNTIF($F63:Klisz_Verbräuche[[#This Row],[2022]],"&gt;0")&gt;0,Klisz_Verbräuche[[#This Row],[2022]]*(1-$E63)^1, ""), ""),IF($B$57&gt;Klisz_Verbräuche[[#Headers],[2023]],Refsz_Verbräuche[[#This Row],[2023]],"")))</f>
        <v/>
      </c>
      <c r="O63" s="57" t="str">
        <f>IF(Klisz_Verbräuche[[#Headers],[2024]]=$B$57,IF(COUNTIF($F63:Klisz_Verbräuche[[#This Row],[2023]],"&gt;0")&gt;0, AVERAGEIF($F63:Klisz_Verbräuche[[#This Row],[2023]],"&lt;&gt;"), ""),IF($B$57&lt;Klisz_Verbräuche[[#Headers],[2024]],IF(COUNTIF($F63:Klisz_Verbräuche[[#This Row],[2023]],"&gt;0")&gt;0,IF(COUNTIF($F63:Klisz_Verbräuche[[#This Row],[2023]],"&gt;0")&gt;0,Klisz_Verbräuche[[#This Row],[2023]]*(1-$E63)^1, ""), ""),IF($B$57&gt;Klisz_Verbräuche[[#Headers],[2024]],Refsz_Verbräuche[[#This Row],[2024]],"")))</f>
        <v/>
      </c>
      <c r="P63" s="57" t="str">
        <f>IF(Klisz_Verbräuche[[#Headers],[2025]]=$B$57,IF(COUNTIF($F63:Klisz_Verbräuche[[#This Row],[2024]],"&gt;0")&gt;0, AVERAGEIF($F63:Klisz_Verbräuche[[#This Row],[2024]],"&lt;&gt;"), ""),IF($B$57&lt;Klisz_Verbräuche[[#Headers],[2025]],IF(COUNTIF($F63:Klisz_Verbräuche[[#This Row],[2024]],"&gt;0")&gt;0,IF(COUNTIF($F63:Klisz_Verbräuche[[#This Row],[2024]],"&gt;0")&gt;0,Klisz_Verbräuche[[#This Row],[2024]]*(1-$E63)^1, ""), ""),IF($B$57&gt;Klisz_Verbräuche[[#Headers],[2025]],Refsz_Verbräuche[[#This Row],[2025]],"")))</f>
        <v/>
      </c>
      <c r="Q63" s="57" t="str">
        <f>IF(Klisz_Verbräuche[[#Headers],[2026]]=$B$57,IF(COUNTIF($F63:Klisz_Verbräuche[[#This Row],[2025]],"&gt;0")&gt;0, AVERAGEIF($F63:Klisz_Verbräuche[[#This Row],[2025]],"&lt;&gt;"), ""),IF($B$57&lt;Klisz_Verbräuche[[#Headers],[2026]],IF(COUNTIF($F63:Klisz_Verbräuche[[#This Row],[2025]],"&gt;0")&gt;0,IF(COUNTIF($F63:Klisz_Verbräuche[[#This Row],[2025]],"&gt;0")&gt;0,Klisz_Verbräuche[[#This Row],[2025]]*(1-$E63)^1, ""), ""),IF($B$57&gt;Klisz_Verbräuche[[#Headers],[2026]],Refsz_Verbräuche[[#This Row],[2026]],"")))</f>
        <v/>
      </c>
      <c r="R63" s="57" t="str">
        <f>IF(Klisz_Verbräuche[[#Headers],[2027]]=$B$57,IF(COUNTIF($F63:Klisz_Verbräuche[[#This Row],[2026]],"&gt;0")&gt;0, AVERAGEIF($F63:Klisz_Verbräuche[[#This Row],[2026]],"&lt;&gt;"), ""),IF($B$57&lt;Klisz_Verbräuche[[#Headers],[2027]],IF(COUNTIF($F63:Klisz_Verbräuche[[#This Row],[2026]],"&gt;0")&gt;0,IF(COUNTIF($F63:Klisz_Verbräuche[[#This Row],[2026]],"&gt;0")&gt;0,Klisz_Verbräuche[[#This Row],[2026]]*(1-$E63)^1, ""), ""),IF($B$57&gt;Klisz_Verbräuche[[#Headers],[2027]],Refsz_Verbräuche[[#This Row],[2027]],"")))</f>
        <v/>
      </c>
      <c r="S63" s="57" t="str">
        <f>IF(Klisz_Verbräuche[[#Headers],[2028]]=$B$57,IF(COUNTIF($F63:Klisz_Verbräuche[[#This Row],[2027]],"&gt;0")&gt;0, AVERAGEIF($F63:Klisz_Verbräuche[[#This Row],[2027]],"&lt;&gt;"), ""),IF($B$57&lt;Klisz_Verbräuche[[#Headers],[2028]],IF(COUNTIF($F63:Klisz_Verbräuche[[#This Row],[2027]],"&gt;0")&gt;0,IF(COUNTIF($F63:Klisz_Verbräuche[[#This Row],[2027]],"&gt;0")&gt;0,Klisz_Verbräuche[[#This Row],[2027]]*(1-$E63)^1, ""), ""),IF($B$57&gt;Klisz_Verbräuche[[#Headers],[2028]],Refsz_Verbräuche[[#This Row],[2028]],"")))</f>
        <v/>
      </c>
      <c r="T63" s="57" t="str">
        <f>IF(Klisz_Verbräuche[[#Headers],[2029]]=$B$57,IF(COUNTIF($F63:Klisz_Verbräuche[[#This Row],[2028]],"&gt;0")&gt;0, AVERAGEIF($F63:Klisz_Verbräuche[[#This Row],[2028]],"&lt;&gt;"), ""),IF($B$57&lt;Klisz_Verbräuche[[#Headers],[2029]],IF(COUNTIF($F63:Klisz_Verbräuche[[#This Row],[2028]],"&gt;0")&gt;0,IF(COUNTIF($F63:Klisz_Verbräuche[[#This Row],[2028]],"&gt;0")&gt;0,Klisz_Verbräuche[[#This Row],[2028]]*(1-$E63)^1, ""), ""),IF($B$57&gt;Klisz_Verbräuche[[#Headers],[2029]],Refsz_Verbräuche[[#This Row],[2029]],"")))</f>
        <v/>
      </c>
      <c r="U63" s="57" t="str">
        <f>IF(Klisz_Verbräuche[[#Headers],[2030]]=$B$57,IF(COUNTIF($F63:Klisz_Verbräuche[[#This Row],[2029]],"&gt;0")&gt;0, AVERAGEIF($F63:Klisz_Verbräuche[[#This Row],[2029]],"&lt;&gt;"), ""),IF($B$57&lt;Klisz_Verbräuche[[#Headers],[2030]],IF(COUNTIF($F63:Klisz_Verbräuche[[#This Row],[2029]],"&gt;0")&gt;0,IF(COUNTIF($F63:Klisz_Verbräuche[[#This Row],[2029]],"&gt;0")&gt;0,Klisz_Verbräuche[[#This Row],[2029]]*(1-$E63)^1, ""), ""),IF($B$57&gt;Klisz_Verbräuche[[#Headers],[2030]],Refsz_Verbräuche[[#This Row],[2030]],"")))</f>
        <v/>
      </c>
      <c r="V63" s="57" t="str">
        <f>IF(Klisz_Verbräuche[[#Headers],[2035]]=$B$57,IF(COUNTIF($F63:Klisz_Verbräuche[[#This Row],[2030]],"&gt;0")&gt;0, AVERAGEIF($F63:Klisz_Verbräuche[[#This Row],[2030]],"&lt;&gt;"), ""),IF($B$57&lt;Klisz_Verbräuche[[#Headers],[2035]],IF(COUNTIF($F63:Klisz_Verbräuche[[#This Row],[2030]],"&gt;0")&gt;0,IF(COUNTIF($F63:Klisz_Verbräuche[[#This Row],[2030]],"&gt;0")&gt;0,Klisz_Verbräuche[[#This Row],[2030]]*(1-$E63)^5, ""), ""),IF($B$57&gt;Klisz_Verbräuche[[#Headers],[2035]],Refsz_Verbräuche[[#This Row],[2035]],"")))</f>
        <v/>
      </c>
      <c r="W63" s="57" t="str">
        <f>IF(Klisz_Verbräuche[[#Headers],[2040]]=$B$57,IF(COUNTIF($F63:Klisz_Verbräuche[[#This Row],[2035]],"&gt;0")&gt;0, AVERAGEIF($F63:Klisz_Verbräuche[[#This Row],[2035]],"&lt;&gt;"), ""),IF($B$57&lt;Klisz_Verbräuche[[#Headers],[2040]],IF(COUNTIF($F63:Klisz_Verbräuche[[#This Row],[2035]],"&gt;0")&gt;0,IF(COUNTIF($F63:Klisz_Verbräuche[[#This Row],[2035]],"&gt;0")&gt;0,Klisz_Verbräuche[[#This Row],[2035]]*(1-$E63)^5, ""), ""),IF($B$57&gt;Klisz_Verbräuche[[#Headers],[2040]],Refsz_Verbräuche[[#This Row],[2040]],"")))</f>
        <v/>
      </c>
      <c r="X63" s="57" t="str">
        <f>IF(Klisz_Verbräuche[[#Headers],[2045]]=$B$57,IF(COUNTIF($F63:Klisz_Verbräuche[[#This Row],[2040]],"&gt;0")&gt;0, AVERAGEIF($F63:Klisz_Verbräuche[[#This Row],[2040]],"&lt;&gt;"), ""),IF($B$57&lt;Klisz_Verbräuche[[#Headers],[2045]],IF(COUNTIF($F63:Klisz_Verbräuche[[#This Row],[2040]],"&gt;0")&gt;0,IF(COUNTIF($F63:Klisz_Verbräuche[[#This Row],[2040]],"&gt;0")&gt;0,Klisz_Verbräuche[[#This Row],[2040]]*(1-$E63)^5, ""), ""),IF($B$57&gt;Klisz_Verbräuche[[#Headers],[2045]],Refsz_Verbräuche[[#This Row],[2045]],"")))</f>
        <v/>
      </c>
      <c r="Y63" s="57" t="str">
        <f>IF(Klisz_Verbräuche[[#Headers],[2050]]=$B$57,IF(COUNTIF($F63:Klisz_Verbräuche[[#This Row],[2045]],"&gt;0")&gt;0, AVERAGEIF($F63:Klisz_Verbräuche[[#This Row],[2045]],"&lt;&gt;"), ""),IF($B$57&lt;Klisz_Verbräuche[[#Headers],[2050]],IF(COUNTIF($F63:Klisz_Verbräuche[[#This Row],[2045]],"&gt;0")&gt;0,IF(COUNTIF($F63:Klisz_Verbräuche[[#This Row],[2045]],"&gt;0")&gt;0,Klisz_Verbräuche[[#This Row],[2045]]*(1-$E63)^5, ""), ""),IF($B$57&gt;Klisz_Verbräuche[[#Headers],[2050]],Refsz_Verbräuche[[#This Row],[2050]],"")))</f>
        <v/>
      </c>
      <c r="Z63" s="15"/>
    </row>
    <row r="64" spans="2:26" x14ac:dyDescent="0.35">
      <c r="B64" s="15">
        <v>4</v>
      </c>
      <c r="C64" s="54" t="str">
        <f>Refsz_Verbräuche[[#This Row],[Datenpunkt]]</f>
        <v>Elektrischer Strom (individueller Strommix Einrichtung 2)</v>
      </c>
      <c r="D64" s="29" t="str">
        <f>Refsz_Verbräuche[[#This Row],[Einheit]]</f>
        <v>MWh</v>
      </c>
      <c r="E64" s="122"/>
      <c r="F64" s="15" t="str">
        <f>IF(ISBLANK(Refsz_Verbräuche[[#This Row],[2015]]),"",Refsz_Verbräuche[[#This Row],[2015]])</f>
        <v/>
      </c>
      <c r="G64" s="15" t="str">
        <f>IF(ISBLANK(Refsz_Verbräuche[[#This Row],[2016]]),"",Refsz_Verbräuche[[#This Row],[2016]])</f>
        <v/>
      </c>
      <c r="H64" s="15" t="str">
        <f>IF(ISBLANK(Refsz_Verbräuche[[#This Row],[2017]]),"",Refsz_Verbräuche[[#This Row],[2017]])</f>
        <v/>
      </c>
      <c r="I64" s="15" t="str">
        <f>IF(ISBLANK(Refsz_Verbräuche[[#This Row],[2018]]),"",Refsz_Verbräuche[[#This Row],[2018]])</f>
        <v/>
      </c>
      <c r="J64" s="15" t="str">
        <f>IF(ISBLANK(Refsz_Verbräuche[[#This Row],[2019]]),"",Refsz_Verbräuche[[#This Row],[2019]])</f>
        <v/>
      </c>
      <c r="K64" s="15" t="str">
        <f>IF(ISBLANK(Refsz_Verbräuche[[#This Row],[2020]]),"",Refsz_Verbräuche[[#This Row],[2020]])</f>
        <v/>
      </c>
      <c r="L64" s="15" t="str">
        <f>IF(ISBLANK(Refsz_Verbräuche[[#This Row],[2021]]),"",Refsz_Verbräuche[[#This Row],[2021]])</f>
        <v/>
      </c>
      <c r="M64" s="57" t="str">
        <f>IF(Klisz_Verbräuche[[#Headers],[2022]]=$B$57,IF(COUNTIF($F64:Klisz_Verbräuche[[#This Row],[2021]],"&gt;0")&gt;0, AVERAGEIF($F64:Klisz_Verbräuche[[#This Row],[2021]],"&lt;&gt;"), ""),IF($B$57&lt;Klisz_Verbräuche[[#Headers],[2022]],IF(COUNTIF($F64:Klisz_Verbräuche[[#This Row],[2021]],"&gt;0")&gt;0,IF(COUNTIF($F64:Klisz_Verbräuche[[#This Row],[2021]],"&gt;0")&gt;0,Klisz_Verbräuche[[#This Row],[2021]]*(1-$E64)^1, ""), ""),IF($B$57&gt;Klisz_Verbräuche[[#Headers],[2022]],Refsz_Verbräuche[[#This Row],[2022]],"")))</f>
        <v/>
      </c>
      <c r="N64" s="57" t="str">
        <f>IF(Klisz_Verbräuche[[#Headers],[2023]]=$B$57,IF(COUNTIF($F64:Klisz_Verbräuche[[#This Row],[2022]],"&gt;0")&gt;0, AVERAGEIF($F64:Klisz_Verbräuche[[#This Row],[2022]],"&lt;&gt;"), ""),IF($B$57&lt;Klisz_Verbräuche[[#Headers],[2023]],IF(COUNTIF($F64:Klisz_Verbräuche[[#This Row],[2022]],"&gt;0")&gt;0,IF(COUNTIF($F64:Klisz_Verbräuche[[#This Row],[2022]],"&gt;0")&gt;0,Klisz_Verbräuche[[#This Row],[2022]]*(1-$E64)^1, ""), ""),IF($B$57&gt;Klisz_Verbräuche[[#Headers],[2023]],Refsz_Verbräuche[[#This Row],[2023]],"")))</f>
        <v/>
      </c>
      <c r="O64" s="57" t="str">
        <f>IF(Klisz_Verbräuche[[#Headers],[2024]]=$B$57,IF(COUNTIF($F64:Klisz_Verbräuche[[#This Row],[2023]],"&gt;0")&gt;0, AVERAGEIF($F64:Klisz_Verbräuche[[#This Row],[2023]],"&lt;&gt;"), ""),IF($B$57&lt;Klisz_Verbräuche[[#Headers],[2024]],IF(COUNTIF($F64:Klisz_Verbräuche[[#This Row],[2023]],"&gt;0")&gt;0,IF(COUNTIF($F64:Klisz_Verbräuche[[#This Row],[2023]],"&gt;0")&gt;0,Klisz_Verbräuche[[#This Row],[2023]]*(1-$E64)^1, ""), ""),IF($B$57&gt;Klisz_Verbräuche[[#Headers],[2024]],Refsz_Verbräuche[[#This Row],[2024]],"")))</f>
        <v/>
      </c>
      <c r="P64" s="57" t="str">
        <f>IF(Klisz_Verbräuche[[#Headers],[2025]]=$B$57,IF(COUNTIF($F64:Klisz_Verbräuche[[#This Row],[2024]],"&gt;0")&gt;0, AVERAGEIF($F64:Klisz_Verbräuche[[#This Row],[2024]],"&lt;&gt;"), ""),IF($B$57&lt;Klisz_Verbräuche[[#Headers],[2025]],IF(COUNTIF($F64:Klisz_Verbräuche[[#This Row],[2024]],"&gt;0")&gt;0,IF(COUNTIF($F64:Klisz_Verbräuche[[#This Row],[2024]],"&gt;0")&gt;0,Klisz_Verbräuche[[#This Row],[2024]]*(1-$E64)^1, ""), ""),IF($B$57&gt;Klisz_Verbräuche[[#Headers],[2025]],Refsz_Verbräuche[[#This Row],[2025]],"")))</f>
        <v/>
      </c>
      <c r="Q64" s="57" t="str">
        <f>IF(Klisz_Verbräuche[[#Headers],[2026]]=$B$57,IF(COUNTIF($F64:Klisz_Verbräuche[[#This Row],[2025]],"&gt;0")&gt;0, AVERAGEIF($F64:Klisz_Verbräuche[[#This Row],[2025]],"&lt;&gt;"), ""),IF($B$57&lt;Klisz_Verbräuche[[#Headers],[2026]],IF(COUNTIF($F64:Klisz_Verbräuche[[#This Row],[2025]],"&gt;0")&gt;0,IF(COUNTIF($F64:Klisz_Verbräuche[[#This Row],[2025]],"&gt;0")&gt;0,Klisz_Verbräuche[[#This Row],[2025]]*(1-$E64)^1, ""), ""),IF($B$57&gt;Klisz_Verbräuche[[#Headers],[2026]],Refsz_Verbräuche[[#This Row],[2026]],"")))</f>
        <v/>
      </c>
      <c r="R64" s="57" t="str">
        <f>IF(Klisz_Verbräuche[[#Headers],[2027]]=$B$57,IF(COUNTIF($F64:Klisz_Verbräuche[[#This Row],[2026]],"&gt;0")&gt;0, AVERAGEIF($F64:Klisz_Verbräuche[[#This Row],[2026]],"&lt;&gt;"), ""),IF($B$57&lt;Klisz_Verbräuche[[#Headers],[2027]],IF(COUNTIF($F64:Klisz_Verbräuche[[#This Row],[2026]],"&gt;0")&gt;0,IF(COUNTIF($F64:Klisz_Verbräuche[[#This Row],[2026]],"&gt;0")&gt;0,Klisz_Verbräuche[[#This Row],[2026]]*(1-$E64)^1, ""), ""),IF($B$57&gt;Klisz_Verbräuche[[#Headers],[2027]],Refsz_Verbräuche[[#This Row],[2027]],"")))</f>
        <v/>
      </c>
      <c r="S64" s="57" t="str">
        <f>IF(Klisz_Verbräuche[[#Headers],[2028]]=$B$57,IF(COUNTIF($F64:Klisz_Verbräuche[[#This Row],[2027]],"&gt;0")&gt;0, AVERAGEIF($F64:Klisz_Verbräuche[[#This Row],[2027]],"&lt;&gt;"), ""),IF($B$57&lt;Klisz_Verbräuche[[#Headers],[2028]],IF(COUNTIF($F64:Klisz_Verbräuche[[#This Row],[2027]],"&gt;0")&gt;0,IF(COUNTIF($F64:Klisz_Verbräuche[[#This Row],[2027]],"&gt;0")&gt;0,Klisz_Verbräuche[[#This Row],[2027]]*(1-$E64)^1, ""), ""),IF($B$57&gt;Klisz_Verbräuche[[#Headers],[2028]],Refsz_Verbräuche[[#This Row],[2028]],"")))</f>
        <v/>
      </c>
      <c r="T64" s="57" t="str">
        <f>IF(Klisz_Verbräuche[[#Headers],[2029]]=$B$57,IF(COUNTIF($F64:Klisz_Verbräuche[[#This Row],[2028]],"&gt;0")&gt;0, AVERAGEIF($F64:Klisz_Verbräuche[[#This Row],[2028]],"&lt;&gt;"), ""),IF($B$57&lt;Klisz_Verbräuche[[#Headers],[2029]],IF(COUNTIF($F64:Klisz_Verbräuche[[#This Row],[2028]],"&gt;0")&gt;0,IF(COUNTIF($F64:Klisz_Verbräuche[[#This Row],[2028]],"&gt;0")&gt;0,Klisz_Verbräuche[[#This Row],[2028]]*(1-$E64)^1, ""), ""),IF($B$57&gt;Klisz_Verbräuche[[#Headers],[2029]],Refsz_Verbräuche[[#This Row],[2029]],"")))</f>
        <v/>
      </c>
      <c r="U64" s="57" t="str">
        <f>IF(Klisz_Verbräuche[[#Headers],[2030]]=$B$57,IF(COUNTIF($F64:Klisz_Verbräuche[[#This Row],[2029]],"&gt;0")&gt;0, AVERAGEIF($F64:Klisz_Verbräuche[[#This Row],[2029]],"&lt;&gt;"), ""),IF($B$57&lt;Klisz_Verbräuche[[#Headers],[2030]],IF(COUNTIF($F64:Klisz_Verbräuche[[#This Row],[2029]],"&gt;0")&gt;0,IF(COUNTIF($F64:Klisz_Verbräuche[[#This Row],[2029]],"&gt;0")&gt;0,Klisz_Verbräuche[[#This Row],[2029]]*(1-$E64)^1, ""), ""),IF($B$57&gt;Klisz_Verbräuche[[#Headers],[2030]],Refsz_Verbräuche[[#This Row],[2030]],"")))</f>
        <v/>
      </c>
      <c r="V64" s="57" t="str">
        <f>IF(Klisz_Verbräuche[[#Headers],[2035]]=$B$57,IF(COUNTIF($F64:Klisz_Verbräuche[[#This Row],[2030]],"&gt;0")&gt;0, AVERAGEIF($F64:Klisz_Verbräuche[[#This Row],[2030]],"&lt;&gt;"), ""),IF($B$57&lt;Klisz_Verbräuche[[#Headers],[2035]],IF(COUNTIF($F64:Klisz_Verbräuche[[#This Row],[2030]],"&gt;0")&gt;0,IF(COUNTIF($F64:Klisz_Verbräuche[[#This Row],[2030]],"&gt;0")&gt;0,Klisz_Verbräuche[[#This Row],[2030]]*(1-$E64)^5, ""), ""),IF($B$57&gt;Klisz_Verbräuche[[#Headers],[2035]],Refsz_Verbräuche[[#This Row],[2035]],"")))</f>
        <v/>
      </c>
      <c r="W64" s="57" t="str">
        <f>IF(Klisz_Verbräuche[[#Headers],[2040]]=$B$57,IF(COUNTIF($F64:Klisz_Verbräuche[[#This Row],[2035]],"&gt;0")&gt;0, AVERAGEIF($F64:Klisz_Verbräuche[[#This Row],[2035]],"&lt;&gt;"), ""),IF($B$57&lt;Klisz_Verbräuche[[#Headers],[2040]],IF(COUNTIF($F64:Klisz_Verbräuche[[#This Row],[2035]],"&gt;0")&gt;0,IF(COUNTIF($F64:Klisz_Verbräuche[[#This Row],[2035]],"&gt;0")&gt;0,Klisz_Verbräuche[[#This Row],[2035]]*(1-$E64)^5, ""), ""),IF($B$57&gt;Klisz_Verbräuche[[#Headers],[2040]],Refsz_Verbräuche[[#This Row],[2040]],"")))</f>
        <v/>
      </c>
      <c r="X64" s="57" t="str">
        <f>IF(Klisz_Verbräuche[[#Headers],[2045]]=$B$57,IF(COUNTIF($F64:Klisz_Verbräuche[[#This Row],[2040]],"&gt;0")&gt;0, AVERAGEIF($F64:Klisz_Verbräuche[[#This Row],[2040]],"&lt;&gt;"), ""),IF($B$57&lt;Klisz_Verbräuche[[#Headers],[2045]],IF(COUNTIF($F64:Klisz_Verbräuche[[#This Row],[2040]],"&gt;0")&gt;0,IF(COUNTIF($F64:Klisz_Verbräuche[[#This Row],[2040]],"&gt;0")&gt;0,Klisz_Verbräuche[[#This Row],[2040]]*(1-$E64)^5, ""), ""),IF($B$57&gt;Klisz_Verbräuche[[#Headers],[2045]],Refsz_Verbräuche[[#This Row],[2045]],"")))</f>
        <v/>
      </c>
      <c r="Y64" s="57" t="str">
        <f>IF(Klisz_Verbräuche[[#Headers],[2050]]=$B$57,IF(COUNTIF($F64:Klisz_Verbräuche[[#This Row],[2045]],"&gt;0")&gt;0, AVERAGEIF($F64:Klisz_Verbräuche[[#This Row],[2045]],"&lt;&gt;"), ""),IF($B$57&lt;Klisz_Verbräuche[[#Headers],[2050]],IF(COUNTIF($F64:Klisz_Verbräuche[[#This Row],[2045]],"&gt;0")&gt;0,IF(COUNTIF($F64:Klisz_Verbräuche[[#This Row],[2045]],"&gt;0")&gt;0,Klisz_Verbräuche[[#This Row],[2045]]*(1-$E64)^5, ""), ""),IF($B$57&gt;Klisz_Verbräuche[[#Headers],[2050]],Refsz_Verbräuche[[#This Row],[2050]],"")))</f>
        <v/>
      </c>
      <c r="Z64" s="15"/>
    </row>
    <row r="65" spans="2:26" x14ac:dyDescent="0.35">
      <c r="B65" s="15">
        <v>5</v>
      </c>
      <c r="C65" s="54" t="str">
        <f>Refsz_Verbräuche[[#This Row],[Datenpunkt]]</f>
        <v>Elektrischer Strom (individueller Strommix Einrichtung 3)</v>
      </c>
      <c r="D65" s="29" t="str">
        <f>Refsz_Verbräuche[[#This Row],[Einheit]]</f>
        <v>MWh</v>
      </c>
      <c r="E65" s="122"/>
      <c r="F65" s="15" t="str">
        <f>IF(ISBLANK(Refsz_Verbräuche[[#This Row],[2015]]),"",Refsz_Verbräuche[[#This Row],[2015]])</f>
        <v/>
      </c>
      <c r="G65" s="15" t="str">
        <f>IF(ISBLANK(Refsz_Verbräuche[[#This Row],[2016]]),"",Refsz_Verbräuche[[#This Row],[2016]])</f>
        <v/>
      </c>
      <c r="H65" s="15" t="str">
        <f>IF(ISBLANK(Refsz_Verbräuche[[#This Row],[2017]]),"",Refsz_Verbräuche[[#This Row],[2017]])</f>
        <v/>
      </c>
      <c r="I65" s="15" t="str">
        <f>IF(ISBLANK(Refsz_Verbräuche[[#This Row],[2018]]),"",Refsz_Verbräuche[[#This Row],[2018]])</f>
        <v/>
      </c>
      <c r="J65" s="15" t="str">
        <f>IF(ISBLANK(Refsz_Verbräuche[[#This Row],[2019]]),"",Refsz_Verbräuche[[#This Row],[2019]])</f>
        <v/>
      </c>
      <c r="K65" s="15" t="str">
        <f>IF(ISBLANK(Refsz_Verbräuche[[#This Row],[2020]]),"",Refsz_Verbräuche[[#This Row],[2020]])</f>
        <v/>
      </c>
      <c r="L65" s="15" t="str">
        <f>IF(ISBLANK(Refsz_Verbräuche[[#This Row],[2021]]),"",Refsz_Verbräuche[[#This Row],[2021]])</f>
        <v/>
      </c>
      <c r="M65" s="57" t="str">
        <f>IF(Klisz_Verbräuche[[#Headers],[2022]]=$B$57,IF(COUNTIF($F65:Klisz_Verbräuche[[#This Row],[2021]],"&gt;0")&gt;0, AVERAGEIF($F65:Klisz_Verbräuche[[#This Row],[2021]],"&lt;&gt;"), ""),IF($B$57&lt;Klisz_Verbräuche[[#Headers],[2022]],IF(COUNTIF($F65:Klisz_Verbräuche[[#This Row],[2021]],"&gt;0")&gt;0,IF(COUNTIF($F65:Klisz_Verbräuche[[#This Row],[2021]],"&gt;0")&gt;0,Klisz_Verbräuche[[#This Row],[2021]]*(1-$E65)^1, ""), ""),IF($B$57&gt;Klisz_Verbräuche[[#Headers],[2022]],Refsz_Verbräuche[[#This Row],[2022]],"")))</f>
        <v/>
      </c>
      <c r="N65" s="57" t="str">
        <f>IF(Klisz_Verbräuche[[#Headers],[2023]]=$B$57,IF(COUNTIF($F65:Klisz_Verbräuche[[#This Row],[2022]],"&gt;0")&gt;0, AVERAGEIF($F65:Klisz_Verbräuche[[#This Row],[2022]],"&lt;&gt;"), ""),IF($B$57&lt;Klisz_Verbräuche[[#Headers],[2023]],IF(COUNTIF($F65:Klisz_Verbräuche[[#This Row],[2022]],"&gt;0")&gt;0,IF(COUNTIF($F65:Klisz_Verbräuche[[#This Row],[2022]],"&gt;0")&gt;0,Klisz_Verbräuche[[#This Row],[2022]]*(1-$E65)^1, ""), ""),IF($B$57&gt;Klisz_Verbräuche[[#Headers],[2023]],Refsz_Verbräuche[[#This Row],[2023]],"")))</f>
        <v/>
      </c>
      <c r="O65" s="57" t="str">
        <f>IF(Klisz_Verbräuche[[#Headers],[2024]]=$B$57,IF(COUNTIF($F65:Klisz_Verbräuche[[#This Row],[2023]],"&gt;0")&gt;0, AVERAGEIF($F65:Klisz_Verbräuche[[#This Row],[2023]],"&lt;&gt;"), ""),IF($B$57&lt;Klisz_Verbräuche[[#Headers],[2024]],IF(COUNTIF($F65:Klisz_Verbräuche[[#This Row],[2023]],"&gt;0")&gt;0,IF(COUNTIF($F65:Klisz_Verbräuche[[#This Row],[2023]],"&gt;0")&gt;0,Klisz_Verbräuche[[#This Row],[2023]]*(1-$E65)^1, ""), ""),IF($B$57&gt;Klisz_Verbräuche[[#Headers],[2024]],Refsz_Verbräuche[[#This Row],[2024]],"")))</f>
        <v/>
      </c>
      <c r="P65" s="57" t="str">
        <f>IF(Klisz_Verbräuche[[#Headers],[2025]]=$B$57,IF(COUNTIF($F65:Klisz_Verbräuche[[#This Row],[2024]],"&gt;0")&gt;0, AVERAGEIF($F65:Klisz_Verbräuche[[#This Row],[2024]],"&lt;&gt;"), ""),IF($B$57&lt;Klisz_Verbräuche[[#Headers],[2025]],IF(COUNTIF($F65:Klisz_Verbräuche[[#This Row],[2024]],"&gt;0")&gt;0,IF(COUNTIF($F65:Klisz_Verbräuche[[#This Row],[2024]],"&gt;0")&gt;0,Klisz_Verbräuche[[#This Row],[2024]]*(1-$E65)^1, ""), ""),IF($B$57&gt;Klisz_Verbräuche[[#Headers],[2025]],Refsz_Verbräuche[[#This Row],[2025]],"")))</f>
        <v/>
      </c>
      <c r="Q65" s="57" t="str">
        <f>IF(Klisz_Verbräuche[[#Headers],[2026]]=$B$57,IF(COUNTIF($F65:Klisz_Verbräuche[[#This Row],[2025]],"&gt;0")&gt;0, AVERAGEIF($F65:Klisz_Verbräuche[[#This Row],[2025]],"&lt;&gt;"), ""),IF($B$57&lt;Klisz_Verbräuche[[#Headers],[2026]],IF(COUNTIF($F65:Klisz_Verbräuche[[#This Row],[2025]],"&gt;0")&gt;0,IF(COUNTIF($F65:Klisz_Verbräuche[[#This Row],[2025]],"&gt;0")&gt;0,Klisz_Verbräuche[[#This Row],[2025]]*(1-$E65)^1, ""), ""),IF($B$57&gt;Klisz_Verbräuche[[#Headers],[2026]],Refsz_Verbräuche[[#This Row],[2026]],"")))</f>
        <v/>
      </c>
      <c r="R65" s="57" t="str">
        <f>IF(Klisz_Verbräuche[[#Headers],[2027]]=$B$57,IF(COUNTIF($F65:Klisz_Verbräuche[[#This Row],[2026]],"&gt;0")&gt;0, AVERAGEIF($F65:Klisz_Verbräuche[[#This Row],[2026]],"&lt;&gt;"), ""),IF($B$57&lt;Klisz_Verbräuche[[#Headers],[2027]],IF(COUNTIF($F65:Klisz_Verbräuche[[#This Row],[2026]],"&gt;0")&gt;0,IF(COUNTIF($F65:Klisz_Verbräuche[[#This Row],[2026]],"&gt;0")&gt;0,Klisz_Verbräuche[[#This Row],[2026]]*(1-$E65)^1, ""), ""),IF($B$57&gt;Klisz_Verbräuche[[#Headers],[2027]],Refsz_Verbräuche[[#This Row],[2027]],"")))</f>
        <v/>
      </c>
      <c r="S65" s="57" t="str">
        <f>IF(Klisz_Verbräuche[[#Headers],[2028]]=$B$57,IF(COUNTIF($F65:Klisz_Verbräuche[[#This Row],[2027]],"&gt;0")&gt;0, AVERAGEIF($F65:Klisz_Verbräuche[[#This Row],[2027]],"&lt;&gt;"), ""),IF($B$57&lt;Klisz_Verbräuche[[#Headers],[2028]],IF(COUNTIF($F65:Klisz_Verbräuche[[#This Row],[2027]],"&gt;0")&gt;0,IF(COUNTIF($F65:Klisz_Verbräuche[[#This Row],[2027]],"&gt;0")&gt;0,Klisz_Verbräuche[[#This Row],[2027]]*(1-$E65)^1, ""), ""),IF($B$57&gt;Klisz_Verbräuche[[#Headers],[2028]],Refsz_Verbräuche[[#This Row],[2028]],"")))</f>
        <v/>
      </c>
      <c r="T65" s="57" t="str">
        <f>IF(Klisz_Verbräuche[[#Headers],[2029]]=$B$57,IF(COUNTIF($F65:Klisz_Verbräuche[[#This Row],[2028]],"&gt;0")&gt;0, AVERAGEIF($F65:Klisz_Verbräuche[[#This Row],[2028]],"&lt;&gt;"), ""),IF($B$57&lt;Klisz_Verbräuche[[#Headers],[2029]],IF(COUNTIF($F65:Klisz_Verbräuche[[#This Row],[2028]],"&gt;0")&gt;0,IF(COUNTIF($F65:Klisz_Verbräuche[[#This Row],[2028]],"&gt;0")&gt;0,Klisz_Verbräuche[[#This Row],[2028]]*(1-$E65)^1, ""), ""),IF($B$57&gt;Klisz_Verbräuche[[#Headers],[2029]],Refsz_Verbräuche[[#This Row],[2029]],"")))</f>
        <v/>
      </c>
      <c r="U65" s="57" t="str">
        <f>IF(Klisz_Verbräuche[[#Headers],[2030]]=$B$57,IF(COUNTIF($F65:Klisz_Verbräuche[[#This Row],[2029]],"&gt;0")&gt;0, AVERAGEIF($F65:Klisz_Verbräuche[[#This Row],[2029]],"&lt;&gt;"), ""),IF($B$57&lt;Klisz_Verbräuche[[#Headers],[2030]],IF(COUNTIF($F65:Klisz_Verbräuche[[#This Row],[2029]],"&gt;0")&gt;0,IF(COUNTIF($F65:Klisz_Verbräuche[[#This Row],[2029]],"&gt;0")&gt;0,Klisz_Verbräuche[[#This Row],[2029]]*(1-$E65)^1, ""), ""),IF($B$57&gt;Klisz_Verbräuche[[#Headers],[2030]],Refsz_Verbräuche[[#This Row],[2030]],"")))</f>
        <v/>
      </c>
      <c r="V65" s="57" t="str">
        <f>IF(Klisz_Verbräuche[[#Headers],[2035]]=$B$57,IF(COUNTIF($F65:Klisz_Verbräuche[[#This Row],[2030]],"&gt;0")&gt;0, AVERAGEIF($F65:Klisz_Verbräuche[[#This Row],[2030]],"&lt;&gt;"), ""),IF($B$57&lt;Klisz_Verbräuche[[#Headers],[2035]],IF(COUNTIF($F65:Klisz_Verbräuche[[#This Row],[2030]],"&gt;0")&gt;0,IF(COUNTIF($F65:Klisz_Verbräuche[[#This Row],[2030]],"&gt;0")&gt;0,Klisz_Verbräuche[[#This Row],[2030]]*(1-$E65)^5, ""), ""),IF($B$57&gt;Klisz_Verbräuche[[#Headers],[2035]],Refsz_Verbräuche[[#This Row],[2035]],"")))</f>
        <v/>
      </c>
      <c r="W65" s="57" t="str">
        <f>IF(Klisz_Verbräuche[[#Headers],[2040]]=$B$57,IF(COUNTIF($F65:Klisz_Verbräuche[[#This Row],[2035]],"&gt;0")&gt;0, AVERAGEIF($F65:Klisz_Verbräuche[[#This Row],[2035]],"&lt;&gt;"), ""),IF($B$57&lt;Klisz_Verbräuche[[#Headers],[2040]],IF(COUNTIF($F65:Klisz_Verbräuche[[#This Row],[2035]],"&gt;0")&gt;0,IF(COUNTIF($F65:Klisz_Verbräuche[[#This Row],[2035]],"&gt;0")&gt;0,Klisz_Verbräuche[[#This Row],[2035]]*(1-$E65)^5, ""), ""),IF($B$57&gt;Klisz_Verbräuche[[#Headers],[2040]],Refsz_Verbräuche[[#This Row],[2040]],"")))</f>
        <v/>
      </c>
      <c r="X65" s="57" t="str">
        <f>IF(Klisz_Verbräuche[[#Headers],[2045]]=$B$57,IF(COUNTIF($F65:Klisz_Verbräuche[[#This Row],[2040]],"&gt;0")&gt;0, AVERAGEIF($F65:Klisz_Verbräuche[[#This Row],[2040]],"&lt;&gt;"), ""),IF($B$57&lt;Klisz_Verbräuche[[#Headers],[2045]],IF(COUNTIF($F65:Klisz_Verbräuche[[#This Row],[2040]],"&gt;0")&gt;0,IF(COUNTIF($F65:Klisz_Verbräuche[[#This Row],[2040]],"&gt;0")&gt;0,Klisz_Verbräuche[[#This Row],[2040]]*(1-$E65)^5, ""), ""),IF($B$57&gt;Klisz_Verbräuche[[#Headers],[2045]],Refsz_Verbräuche[[#This Row],[2045]],"")))</f>
        <v/>
      </c>
      <c r="Y65" s="57" t="str">
        <f>IF(Klisz_Verbräuche[[#Headers],[2050]]=$B$57,IF(COUNTIF($F65:Klisz_Verbräuche[[#This Row],[2045]],"&gt;0")&gt;0, AVERAGEIF($F65:Klisz_Verbräuche[[#This Row],[2045]],"&lt;&gt;"), ""),IF($B$57&lt;Klisz_Verbräuche[[#Headers],[2050]],IF(COUNTIF($F65:Klisz_Verbräuche[[#This Row],[2045]],"&gt;0")&gt;0,IF(COUNTIF($F65:Klisz_Verbräuche[[#This Row],[2045]],"&gt;0")&gt;0,Klisz_Verbräuche[[#This Row],[2045]]*(1-$E65)^5, ""), ""),IF($B$57&gt;Klisz_Verbräuche[[#Headers],[2050]],Refsz_Verbräuche[[#This Row],[2050]],"")))</f>
        <v/>
      </c>
      <c r="Z65" s="15"/>
    </row>
    <row r="66" spans="2:26" x14ac:dyDescent="0.35">
      <c r="B66" s="15">
        <v>6</v>
      </c>
      <c r="C66" s="54" t="str">
        <f>Refsz_Verbräuche[[#This Row],[Datenpunkt]]</f>
        <v>Elektrischer Strom (individueller Strommix Einrichtung 4)</v>
      </c>
      <c r="D66" s="29" t="str">
        <f>Refsz_Verbräuche[[#This Row],[Einheit]]</f>
        <v>MWh</v>
      </c>
      <c r="E66" s="122"/>
      <c r="F66" s="15" t="str">
        <f>IF(ISBLANK(Refsz_Verbräuche[[#This Row],[2015]]),"",Refsz_Verbräuche[[#This Row],[2015]])</f>
        <v/>
      </c>
      <c r="G66" s="15" t="str">
        <f>IF(ISBLANK(Refsz_Verbräuche[[#This Row],[2016]]),"",Refsz_Verbräuche[[#This Row],[2016]])</f>
        <v/>
      </c>
      <c r="H66" s="15" t="str">
        <f>IF(ISBLANK(Refsz_Verbräuche[[#This Row],[2017]]),"",Refsz_Verbräuche[[#This Row],[2017]])</f>
        <v/>
      </c>
      <c r="I66" s="15" t="str">
        <f>IF(ISBLANK(Refsz_Verbräuche[[#This Row],[2018]]),"",Refsz_Verbräuche[[#This Row],[2018]])</f>
        <v/>
      </c>
      <c r="J66" s="15" t="str">
        <f>IF(ISBLANK(Refsz_Verbräuche[[#This Row],[2019]]),"",Refsz_Verbräuche[[#This Row],[2019]])</f>
        <v/>
      </c>
      <c r="K66" s="15" t="str">
        <f>IF(ISBLANK(Refsz_Verbräuche[[#This Row],[2020]]),"",Refsz_Verbräuche[[#This Row],[2020]])</f>
        <v/>
      </c>
      <c r="L66" s="15" t="str">
        <f>IF(ISBLANK(Refsz_Verbräuche[[#This Row],[2021]]),"",Refsz_Verbräuche[[#This Row],[2021]])</f>
        <v/>
      </c>
      <c r="M66" s="57" t="str">
        <f>IF(Klisz_Verbräuche[[#Headers],[2022]]=$B$57,IF(COUNTIF($F66:Klisz_Verbräuche[[#This Row],[2021]],"&gt;0")&gt;0, AVERAGEIF($F66:Klisz_Verbräuche[[#This Row],[2021]],"&lt;&gt;"), ""),IF($B$57&lt;Klisz_Verbräuche[[#Headers],[2022]],IF(COUNTIF($F66:Klisz_Verbräuche[[#This Row],[2021]],"&gt;0")&gt;0,IF(COUNTIF($F66:Klisz_Verbräuche[[#This Row],[2021]],"&gt;0")&gt;0,Klisz_Verbräuche[[#This Row],[2021]]*(1-$E66)^1, ""), ""),IF($B$57&gt;Klisz_Verbräuche[[#Headers],[2022]],Refsz_Verbräuche[[#This Row],[2022]],"")))</f>
        <v/>
      </c>
      <c r="N66" s="57" t="str">
        <f>IF(Klisz_Verbräuche[[#Headers],[2023]]=$B$57,IF(COUNTIF($F66:Klisz_Verbräuche[[#This Row],[2022]],"&gt;0")&gt;0, AVERAGEIF($F66:Klisz_Verbräuche[[#This Row],[2022]],"&lt;&gt;"), ""),IF($B$57&lt;Klisz_Verbräuche[[#Headers],[2023]],IF(COUNTIF($F66:Klisz_Verbräuche[[#This Row],[2022]],"&gt;0")&gt;0,IF(COUNTIF($F66:Klisz_Verbräuche[[#This Row],[2022]],"&gt;0")&gt;0,Klisz_Verbräuche[[#This Row],[2022]]*(1-$E66)^1, ""), ""),IF($B$57&gt;Klisz_Verbräuche[[#Headers],[2023]],Refsz_Verbräuche[[#This Row],[2023]],"")))</f>
        <v/>
      </c>
      <c r="O66" s="57" t="str">
        <f>IF(Klisz_Verbräuche[[#Headers],[2024]]=$B$57,IF(COUNTIF($F66:Klisz_Verbräuche[[#This Row],[2023]],"&gt;0")&gt;0, AVERAGEIF($F66:Klisz_Verbräuche[[#This Row],[2023]],"&lt;&gt;"), ""),IF($B$57&lt;Klisz_Verbräuche[[#Headers],[2024]],IF(COUNTIF($F66:Klisz_Verbräuche[[#This Row],[2023]],"&gt;0")&gt;0,IF(COUNTIF($F66:Klisz_Verbräuche[[#This Row],[2023]],"&gt;0")&gt;0,Klisz_Verbräuche[[#This Row],[2023]]*(1-$E66)^1, ""), ""),IF($B$57&gt;Klisz_Verbräuche[[#Headers],[2024]],Refsz_Verbräuche[[#This Row],[2024]],"")))</f>
        <v/>
      </c>
      <c r="P66" s="57" t="str">
        <f>IF(Klisz_Verbräuche[[#Headers],[2025]]=$B$57,IF(COUNTIF($F66:Klisz_Verbräuche[[#This Row],[2024]],"&gt;0")&gt;0, AVERAGEIF($F66:Klisz_Verbräuche[[#This Row],[2024]],"&lt;&gt;"), ""),IF($B$57&lt;Klisz_Verbräuche[[#Headers],[2025]],IF(COUNTIF($F66:Klisz_Verbräuche[[#This Row],[2024]],"&gt;0")&gt;0,IF(COUNTIF($F66:Klisz_Verbräuche[[#This Row],[2024]],"&gt;0")&gt;0,Klisz_Verbräuche[[#This Row],[2024]]*(1-$E66)^1, ""), ""),IF($B$57&gt;Klisz_Verbräuche[[#Headers],[2025]],Refsz_Verbräuche[[#This Row],[2025]],"")))</f>
        <v/>
      </c>
      <c r="Q66" s="57" t="str">
        <f>IF(Klisz_Verbräuche[[#Headers],[2026]]=$B$57,IF(COUNTIF($F66:Klisz_Verbräuche[[#This Row],[2025]],"&gt;0")&gt;0, AVERAGEIF($F66:Klisz_Verbräuche[[#This Row],[2025]],"&lt;&gt;"), ""),IF($B$57&lt;Klisz_Verbräuche[[#Headers],[2026]],IF(COUNTIF($F66:Klisz_Verbräuche[[#This Row],[2025]],"&gt;0")&gt;0,IF(COUNTIF($F66:Klisz_Verbräuche[[#This Row],[2025]],"&gt;0")&gt;0,Klisz_Verbräuche[[#This Row],[2025]]*(1-$E66)^1, ""), ""),IF($B$57&gt;Klisz_Verbräuche[[#Headers],[2026]],Refsz_Verbräuche[[#This Row],[2026]],"")))</f>
        <v/>
      </c>
      <c r="R66" s="57" t="str">
        <f>IF(Klisz_Verbräuche[[#Headers],[2027]]=$B$57,IF(COUNTIF($F66:Klisz_Verbräuche[[#This Row],[2026]],"&gt;0")&gt;0, AVERAGEIF($F66:Klisz_Verbräuche[[#This Row],[2026]],"&lt;&gt;"), ""),IF($B$57&lt;Klisz_Verbräuche[[#Headers],[2027]],IF(COUNTIF($F66:Klisz_Verbräuche[[#This Row],[2026]],"&gt;0")&gt;0,IF(COUNTIF($F66:Klisz_Verbräuche[[#This Row],[2026]],"&gt;0")&gt;0,Klisz_Verbräuche[[#This Row],[2026]]*(1-$E66)^1, ""), ""),IF($B$57&gt;Klisz_Verbräuche[[#Headers],[2027]],Refsz_Verbräuche[[#This Row],[2027]],"")))</f>
        <v/>
      </c>
      <c r="S66" s="57" t="str">
        <f>IF(Klisz_Verbräuche[[#Headers],[2028]]=$B$57,IF(COUNTIF($F66:Klisz_Verbräuche[[#This Row],[2027]],"&gt;0")&gt;0, AVERAGEIF($F66:Klisz_Verbräuche[[#This Row],[2027]],"&lt;&gt;"), ""),IF($B$57&lt;Klisz_Verbräuche[[#Headers],[2028]],IF(COUNTIF($F66:Klisz_Verbräuche[[#This Row],[2027]],"&gt;0")&gt;0,IF(COUNTIF($F66:Klisz_Verbräuche[[#This Row],[2027]],"&gt;0")&gt;0,Klisz_Verbräuche[[#This Row],[2027]]*(1-$E66)^1, ""), ""),IF($B$57&gt;Klisz_Verbräuche[[#Headers],[2028]],Refsz_Verbräuche[[#This Row],[2028]],"")))</f>
        <v/>
      </c>
      <c r="T66" s="57" t="str">
        <f>IF(Klisz_Verbräuche[[#Headers],[2029]]=$B$57,IF(COUNTIF($F66:Klisz_Verbräuche[[#This Row],[2028]],"&gt;0")&gt;0, AVERAGEIF($F66:Klisz_Verbräuche[[#This Row],[2028]],"&lt;&gt;"), ""),IF($B$57&lt;Klisz_Verbräuche[[#Headers],[2029]],IF(COUNTIF($F66:Klisz_Verbräuche[[#This Row],[2028]],"&gt;0")&gt;0,IF(COUNTIF($F66:Klisz_Verbräuche[[#This Row],[2028]],"&gt;0")&gt;0,Klisz_Verbräuche[[#This Row],[2028]]*(1-$E66)^1, ""), ""),IF($B$57&gt;Klisz_Verbräuche[[#Headers],[2029]],Refsz_Verbräuche[[#This Row],[2029]],"")))</f>
        <v/>
      </c>
      <c r="U66" s="57" t="str">
        <f>IF(Klisz_Verbräuche[[#Headers],[2030]]=$B$57,IF(COUNTIF($F66:Klisz_Verbräuche[[#This Row],[2029]],"&gt;0")&gt;0, AVERAGEIF($F66:Klisz_Verbräuche[[#This Row],[2029]],"&lt;&gt;"), ""),IF($B$57&lt;Klisz_Verbräuche[[#Headers],[2030]],IF(COUNTIF($F66:Klisz_Verbräuche[[#This Row],[2029]],"&gt;0")&gt;0,IF(COUNTIF($F66:Klisz_Verbräuche[[#This Row],[2029]],"&gt;0")&gt;0,Klisz_Verbräuche[[#This Row],[2029]]*(1-$E66)^1, ""), ""),IF($B$57&gt;Klisz_Verbräuche[[#Headers],[2030]],Refsz_Verbräuche[[#This Row],[2030]],"")))</f>
        <v/>
      </c>
      <c r="V66" s="57" t="str">
        <f>IF(Klisz_Verbräuche[[#Headers],[2035]]=$B$57,IF(COUNTIF($F66:Klisz_Verbräuche[[#This Row],[2030]],"&gt;0")&gt;0, AVERAGEIF($F66:Klisz_Verbräuche[[#This Row],[2030]],"&lt;&gt;"), ""),IF($B$57&lt;Klisz_Verbräuche[[#Headers],[2035]],IF(COUNTIF($F66:Klisz_Verbräuche[[#This Row],[2030]],"&gt;0")&gt;0,IF(COUNTIF($F66:Klisz_Verbräuche[[#This Row],[2030]],"&gt;0")&gt;0,Klisz_Verbräuche[[#This Row],[2030]]*(1-$E66)^5, ""), ""),IF($B$57&gt;Klisz_Verbräuche[[#Headers],[2035]],Refsz_Verbräuche[[#This Row],[2035]],"")))</f>
        <v/>
      </c>
      <c r="W66" s="57" t="str">
        <f>IF(Klisz_Verbräuche[[#Headers],[2040]]=$B$57,IF(COUNTIF($F66:Klisz_Verbräuche[[#This Row],[2035]],"&gt;0")&gt;0, AVERAGEIF($F66:Klisz_Verbräuche[[#This Row],[2035]],"&lt;&gt;"), ""),IF($B$57&lt;Klisz_Verbräuche[[#Headers],[2040]],IF(COUNTIF($F66:Klisz_Verbräuche[[#This Row],[2035]],"&gt;0")&gt;0,IF(COUNTIF($F66:Klisz_Verbräuche[[#This Row],[2035]],"&gt;0")&gt;0,Klisz_Verbräuche[[#This Row],[2035]]*(1-$E66)^5, ""), ""),IF($B$57&gt;Klisz_Verbräuche[[#Headers],[2040]],Refsz_Verbräuche[[#This Row],[2040]],"")))</f>
        <v/>
      </c>
      <c r="X66" s="57" t="str">
        <f>IF(Klisz_Verbräuche[[#Headers],[2045]]=$B$57,IF(COUNTIF($F66:Klisz_Verbräuche[[#This Row],[2040]],"&gt;0")&gt;0, AVERAGEIF($F66:Klisz_Verbräuche[[#This Row],[2040]],"&lt;&gt;"), ""),IF($B$57&lt;Klisz_Verbräuche[[#Headers],[2045]],IF(COUNTIF($F66:Klisz_Verbräuche[[#This Row],[2040]],"&gt;0")&gt;0,IF(COUNTIF($F66:Klisz_Verbräuche[[#This Row],[2040]],"&gt;0")&gt;0,Klisz_Verbräuche[[#This Row],[2040]]*(1-$E66)^5, ""), ""),IF($B$57&gt;Klisz_Verbräuche[[#Headers],[2045]],Refsz_Verbräuche[[#This Row],[2045]],"")))</f>
        <v/>
      </c>
      <c r="Y66" s="57" t="str">
        <f>IF(Klisz_Verbräuche[[#Headers],[2050]]=$B$57,IF(COUNTIF($F66:Klisz_Verbräuche[[#This Row],[2045]],"&gt;0")&gt;0, AVERAGEIF($F66:Klisz_Verbräuche[[#This Row],[2045]],"&lt;&gt;"), ""),IF($B$57&lt;Klisz_Verbräuche[[#Headers],[2050]],IF(COUNTIF($F66:Klisz_Verbräuche[[#This Row],[2045]],"&gt;0")&gt;0,IF(COUNTIF($F66:Klisz_Verbräuche[[#This Row],[2045]],"&gt;0")&gt;0,Klisz_Verbräuche[[#This Row],[2045]]*(1-$E66)^5, ""), ""),IF($B$57&gt;Klisz_Verbräuche[[#Headers],[2050]],Refsz_Verbräuche[[#This Row],[2050]],"")))</f>
        <v/>
      </c>
      <c r="Z66" s="15"/>
    </row>
    <row r="67" spans="2:26" x14ac:dyDescent="0.35">
      <c r="B67" s="15">
        <v>7</v>
      </c>
      <c r="C67" s="54" t="str">
        <f>Refsz_Verbräuche[[#This Row],[Datenpunkt]]</f>
        <v>Elektrischer Strom (individueller Strommix Einrichtung 5)</v>
      </c>
      <c r="D67" s="29" t="str">
        <f>Refsz_Verbräuche[[#This Row],[Einheit]]</f>
        <v>MWh</v>
      </c>
      <c r="E67" s="122"/>
      <c r="F67" s="15" t="str">
        <f>IF(ISBLANK(Refsz_Verbräuche[[#This Row],[2015]]),"",Refsz_Verbräuche[[#This Row],[2015]])</f>
        <v/>
      </c>
      <c r="G67" s="15" t="str">
        <f>IF(ISBLANK(Refsz_Verbräuche[[#This Row],[2016]]),"",Refsz_Verbräuche[[#This Row],[2016]])</f>
        <v/>
      </c>
      <c r="H67" s="15" t="str">
        <f>IF(ISBLANK(Refsz_Verbräuche[[#This Row],[2017]]),"",Refsz_Verbräuche[[#This Row],[2017]])</f>
        <v/>
      </c>
      <c r="I67" s="15" t="str">
        <f>IF(ISBLANK(Refsz_Verbräuche[[#This Row],[2018]]),"",Refsz_Verbräuche[[#This Row],[2018]])</f>
        <v/>
      </c>
      <c r="J67" s="15" t="str">
        <f>IF(ISBLANK(Refsz_Verbräuche[[#This Row],[2019]]),"",Refsz_Verbräuche[[#This Row],[2019]])</f>
        <v/>
      </c>
      <c r="K67" s="15" t="str">
        <f>IF(ISBLANK(Refsz_Verbräuche[[#This Row],[2020]]),"",Refsz_Verbräuche[[#This Row],[2020]])</f>
        <v/>
      </c>
      <c r="L67" s="15" t="str">
        <f>IF(ISBLANK(Refsz_Verbräuche[[#This Row],[2021]]),"",Refsz_Verbräuche[[#This Row],[2021]])</f>
        <v/>
      </c>
      <c r="M67" s="57" t="str">
        <f>IF(Klisz_Verbräuche[[#Headers],[2022]]=$B$57,IF(COUNTIF($F67:Klisz_Verbräuche[[#This Row],[2021]],"&gt;0")&gt;0, AVERAGEIF($F67:Klisz_Verbräuche[[#This Row],[2021]],"&lt;&gt;"), ""),IF($B$57&lt;Klisz_Verbräuche[[#Headers],[2022]],IF(COUNTIF($F67:Klisz_Verbräuche[[#This Row],[2021]],"&gt;0")&gt;0,IF(COUNTIF($F67:Klisz_Verbräuche[[#This Row],[2021]],"&gt;0")&gt;0,Klisz_Verbräuche[[#This Row],[2021]]*(1-$E67)^1, ""), ""),IF($B$57&gt;Klisz_Verbräuche[[#Headers],[2022]],Refsz_Verbräuche[[#This Row],[2022]],"")))</f>
        <v/>
      </c>
      <c r="N67" s="57" t="str">
        <f>IF(Klisz_Verbräuche[[#Headers],[2023]]=$B$57,IF(COUNTIF($F67:Klisz_Verbräuche[[#This Row],[2022]],"&gt;0")&gt;0, AVERAGEIF($F67:Klisz_Verbräuche[[#This Row],[2022]],"&lt;&gt;"), ""),IF($B$57&lt;Klisz_Verbräuche[[#Headers],[2023]],IF(COUNTIF($F67:Klisz_Verbräuche[[#This Row],[2022]],"&gt;0")&gt;0,IF(COUNTIF($F67:Klisz_Verbräuche[[#This Row],[2022]],"&gt;0")&gt;0,Klisz_Verbräuche[[#This Row],[2022]]*(1-$E67)^1, ""), ""),IF($B$57&gt;Klisz_Verbräuche[[#Headers],[2023]],Refsz_Verbräuche[[#This Row],[2023]],"")))</f>
        <v/>
      </c>
      <c r="O67" s="57" t="str">
        <f>IF(Klisz_Verbräuche[[#Headers],[2024]]=$B$57,IF(COUNTIF($F67:Klisz_Verbräuche[[#This Row],[2023]],"&gt;0")&gt;0, AVERAGEIF($F67:Klisz_Verbräuche[[#This Row],[2023]],"&lt;&gt;"), ""),IF($B$57&lt;Klisz_Verbräuche[[#Headers],[2024]],IF(COUNTIF($F67:Klisz_Verbräuche[[#This Row],[2023]],"&gt;0")&gt;0,IF(COUNTIF($F67:Klisz_Verbräuche[[#This Row],[2023]],"&gt;0")&gt;0,Klisz_Verbräuche[[#This Row],[2023]]*(1-$E67)^1, ""), ""),IF($B$57&gt;Klisz_Verbräuche[[#Headers],[2024]],Refsz_Verbräuche[[#This Row],[2024]],"")))</f>
        <v/>
      </c>
      <c r="P67" s="57" t="str">
        <f>IF(Klisz_Verbräuche[[#Headers],[2025]]=$B$57,IF(COUNTIF($F67:Klisz_Verbräuche[[#This Row],[2024]],"&gt;0")&gt;0, AVERAGEIF($F67:Klisz_Verbräuche[[#This Row],[2024]],"&lt;&gt;"), ""),IF($B$57&lt;Klisz_Verbräuche[[#Headers],[2025]],IF(COUNTIF($F67:Klisz_Verbräuche[[#This Row],[2024]],"&gt;0")&gt;0,IF(COUNTIF($F67:Klisz_Verbräuche[[#This Row],[2024]],"&gt;0")&gt;0,Klisz_Verbräuche[[#This Row],[2024]]*(1-$E67)^1, ""), ""),IF($B$57&gt;Klisz_Verbräuche[[#Headers],[2025]],Refsz_Verbräuche[[#This Row],[2025]],"")))</f>
        <v/>
      </c>
      <c r="Q67" s="57" t="str">
        <f>IF(Klisz_Verbräuche[[#Headers],[2026]]=$B$57,IF(COUNTIF($F67:Klisz_Verbräuche[[#This Row],[2025]],"&gt;0")&gt;0, AVERAGEIF($F67:Klisz_Verbräuche[[#This Row],[2025]],"&lt;&gt;"), ""),IF($B$57&lt;Klisz_Verbräuche[[#Headers],[2026]],IF(COUNTIF($F67:Klisz_Verbräuche[[#This Row],[2025]],"&gt;0")&gt;0,IF(COUNTIF($F67:Klisz_Verbräuche[[#This Row],[2025]],"&gt;0")&gt;0,Klisz_Verbräuche[[#This Row],[2025]]*(1-$E67)^1, ""), ""),IF($B$57&gt;Klisz_Verbräuche[[#Headers],[2026]],Refsz_Verbräuche[[#This Row],[2026]],"")))</f>
        <v/>
      </c>
      <c r="R67" s="57" t="str">
        <f>IF(Klisz_Verbräuche[[#Headers],[2027]]=$B$57,IF(COUNTIF($F67:Klisz_Verbräuche[[#This Row],[2026]],"&gt;0")&gt;0, AVERAGEIF($F67:Klisz_Verbräuche[[#This Row],[2026]],"&lt;&gt;"), ""),IF($B$57&lt;Klisz_Verbräuche[[#Headers],[2027]],IF(COUNTIF($F67:Klisz_Verbräuche[[#This Row],[2026]],"&gt;0")&gt;0,IF(COUNTIF($F67:Klisz_Verbräuche[[#This Row],[2026]],"&gt;0")&gt;0,Klisz_Verbräuche[[#This Row],[2026]]*(1-$E67)^1, ""), ""),IF($B$57&gt;Klisz_Verbräuche[[#Headers],[2027]],Refsz_Verbräuche[[#This Row],[2027]],"")))</f>
        <v/>
      </c>
      <c r="S67" s="57" t="str">
        <f>IF(Klisz_Verbräuche[[#Headers],[2028]]=$B$57,IF(COUNTIF($F67:Klisz_Verbräuche[[#This Row],[2027]],"&gt;0")&gt;0, AVERAGEIF($F67:Klisz_Verbräuche[[#This Row],[2027]],"&lt;&gt;"), ""),IF($B$57&lt;Klisz_Verbräuche[[#Headers],[2028]],IF(COUNTIF($F67:Klisz_Verbräuche[[#This Row],[2027]],"&gt;0")&gt;0,IF(COUNTIF($F67:Klisz_Verbräuche[[#This Row],[2027]],"&gt;0")&gt;0,Klisz_Verbräuche[[#This Row],[2027]]*(1-$E67)^1, ""), ""),IF($B$57&gt;Klisz_Verbräuche[[#Headers],[2028]],Refsz_Verbräuche[[#This Row],[2028]],"")))</f>
        <v/>
      </c>
      <c r="T67" s="57" t="str">
        <f>IF(Klisz_Verbräuche[[#Headers],[2029]]=$B$57,IF(COUNTIF($F67:Klisz_Verbräuche[[#This Row],[2028]],"&gt;0")&gt;0, AVERAGEIF($F67:Klisz_Verbräuche[[#This Row],[2028]],"&lt;&gt;"), ""),IF($B$57&lt;Klisz_Verbräuche[[#Headers],[2029]],IF(COUNTIF($F67:Klisz_Verbräuche[[#This Row],[2028]],"&gt;0")&gt;0,IF(COUNTIF($F67:Klisz_Verbräuche[[#This Row],[2028]],"&gt;0")&gt;0,Klisz_Verbräuche[[#This Row],[2028]]*(1-$E67)^1, ""), ""),IF($B$57&gt;Klisz_Verbräuche[[#Headers],[2029]],Refsz_Verbräuche[[#This Row],[2029]],"")))</f>
        <v/>
      </c>
      <c r="U67" s="57" t="str">
        <f>IF(Klisz_Verbräuche[[#Headers],[2030]]=$B$57,IF(COUNTIF($F67:Klisz_Verbräuche[[#This Row],[2029]],"&gt;0")&gt;0, AVERAGEIF($F67:Klisz_Verbräuche[[#This Row],[2029]],"&lt;&gt;"), ""),IF($B$57&lt;Klisz_Verbräuche[[#Headers],[2030]],IF(COUNTIF($F67:Klisz_Verbräuche[[#This Row],[2029]],"&gt;0")&gt;0,IF(COUNTIF($F67:Klisz_Verbräuche[[#This Row],[2029]],"&gt;0")&gt;0,Klisz_Verbräuche[[#This Row],[2029]]*(1-$E67)^1, ""), ""),IF($B$57&gt;Klisz_Verbräuche[[#Headers],[2030]],Refsz_Verbräuche[[#This Row],[2030]],"")))</f>
        <v/>
      </c>
      <c r="V67" s="57" t="str">
        <f>IF(Klisz_Verbräuche[[#Headers],[2035]]=$B$57,IF(COUNTIF($F67:Klisz_Verbräuche[[#This Row],[2030]],"&gt;0")&gt;0, AVERAGEIF($F67:Klisz_Verbräuche[[#This Row],[2030]],"&lt;&gt;"), ""),IF($B$57&lt;Klisz_Verbräuche[[#Headers],[2035]],IF(COUNTIF($F67:Klisz_Verbräuche[[#This Row],[2030]],"&gt;0")&gt;0,IF(COUNTIF($F67:Klisz_Verbräuche[[#This Row],[2030]],"&gt;0")&gt;0,Klisz_Verbräuche[[#This Row],[2030]]*(1-$E67)^5, ""), ""),IF($B$57&gt;Klisz_Verbräuche[[#Headers],[2035]],Refsz_Verbräuche[[#This Row],[2035]],"")))</f>
        <v/>
      </c>
      <c r="W67" s="57" t="str">
        <f>IF(Klisz_Verbräuche[[#Headers],[2040]]=$B$57,IF(COUNTIF($F67:Klisz_Verbräuche[[#This Row],[2035]],"&gt;0")&gt;0, AVERAGEIF($F67:Klisz_Verbräuche[[#This Row],[2035]],"&lt;&gt;"), ""),IF($B$57&lt;Klisz_Verbräuche[[#Headers],[2040]],IF(COUNTIF($F67:Klisz_Verbräuche[[#This Row],[2035]],"&gt;0")&gt;0,IF(COUNTIF($F67:Klisz_Verbräuche[[#This Row],[2035]],"&gt;0")&gt;0,Klisz_Verbräuche[[#This Row],[2035]]*(1-$E67)^5, ""), ""),IF($B$57&gt;Klisz_Verbräuche[[#Headers],[2040]],Refsz_Verbräuche[[#This Row],[2040]],"")))</f>
        <v/>
      </c>
      <c r="X67" s="57" t="str">
        <f>IF(Klisz_Verbräuche[[#Headers],[2045]]=$B$57,IF(COUNTIF($F67:Klisz_Verbräuche[[#This Row],[2040]],"&gt;0")&gt;0, AVERAGEIF($F67:Klisz_Verbräuche[[#This Row],[2040]],"&lt;&gt;"), ""),IF($B$57&lt;Klisz_Verbräuche[[#Headers],[2045]],IF(COUNTIF($F67:Klisz_Verbräuche[[#This Row],[2040]],"&gt;0")&gt;0,IF(COUNTIF($F67:Klisz_Verbräuche[[#This Row],[2040]],"&gt;0")&gt;0,Klisz_Verbräuche[[#This Row],[2040]]*(1-$E67)^5, ""), ""),IF($B$57&gt;Klisz_Verbräuche[[#Headers],[2045]],Refsz_Verbräuche[[#This Row],[2045]],"")))</f>
        <v/>
      </c>
      <c r="Y67" s="57" t="str">
        <f>IF(Klisz_Verbräuche[[#Headers],[2050]]=$B$57,IF(COUNTIF($F67:Klisz_Verbräuche[[#This Row],[2045]],"&gt;0")&gt;0, AVERAGEIF($F67:Klisz_Verbräuche[[#This Row],[2045]],"&lt;&gt;"), ""),IF($B$57&lt;Klisz_Verbräuche[[#Headers],[2050]],IF(COUNTIF($F67:Klisz_Verbräuche[[#This Row],[2045]],"&gt;0")&gt;0,IF(COUNTIF($F67:Klisz_Verbräuche[[#This Row],[2045]],"&gt;0")&gt;0,Klisz_Verbräuche[[#This Row],[2045]]*(1-$E67)^5, ""), ""),IF($B$57&gt;Klisz_Verbräuche[[#Headers],[2050]],Refsz_Verbräuche[[#This Row],[2050]],"")))</f>
        <v/>
      </c>
      <c r="Z67" s="15"/>
    </row>
    <row r="68" spans="2:26" x14ac:dyDescent="0.35">
      <c r="B68" s="15">
        <v>8</v>
      </c>
      <c r="C68" s="54" t="str">
        <f>Refsz_Verbräuche[[#This Row],[Datenpunkt]]</f>
        <v>Elektrischer Strom (individueller Strommix Einrichtung 6)</v>
      </c>
      <c r="D68" s="29" t="str">
        <f>Refsz_Verbräuche[[#This Row],[Einheit]]</f>
        <v>MWh</v>
      </c>
      <c r="E68" s="122"/>
      <c r="F68" s="15" t="str">
        <f>IF(ISBLANK(Refsz_Verbräuche[[#This Row],[2015]]),"",Refsz_Verbräuche[[#This Row],[2015]])</f>
        <v/>
      </c>
      <c r="G68" s="15" t="str">
        <f>IF(ISBLANK(Refsz_Verbräuche[[#This Row],[2016]]),"",Refsz_Verbräuche[[#This Row],[2016]])</f>
        <v/>
      </c>
      <c r="H68" s="15" t="str">
        <f>IF(ISBLANK(Refsz_Verbräuche[[#This Row],[2017]]),"",Refsz_Verbräuche[[#This Row],[2017]])</f>
        <v/>
      </c>
      <c r="I68" s="15" t="str">
        <f>IF(ISBLANK(Refsz_Verbräuche[[#This Row],[2018]]),"",Refsz_Verbräuche[[#This Row],[2018]])</f>
        <v/>
      </c>
      <c r="J68" s="15" t="str">
        <f>IF(ISBLANK(Refsz_Verbräuche[[#This Row],[2019]]),"",Refsz_Verbräuche[[#This Row],[2019]])</f>
        <v/>
      </c>
      <c r="K68" s="15" t="str">
        <f>IF(ISBLANK(Refsz_Verbräuche[[#This Row],[2020]]),"",Refsz_Verbräuche[[#This Row],[2020]])</f>
        <v/>
      </c>
      <c r="L68" s="15" t="str">
        <f>IF(ISBLANK(Refsz_Verbräuche[[#This Row],[2021]]),"",Refsz_Verbräuche[[#This Row],[2021]])</f>
        <v/>
      </c>
      <c r="M68" s="57" t="str">
        <f>IF(Klisz_Verbräuche[[#Headers],[2022]]=$B$57,IF(COUNTIF($F68:Klisz_Verbräuche[[#This Row],[2021]],"&gt;0")&gt;0, AVERAGEIF($F68:Klisz_Verbräuche[[#This Row],[2021]],"&lt;&gt;"), ""),IF($B$57&lt;Klisz_Verbräuche[[#Headers],[2022]],IF(COUNTIF($F68:Klisz_Verbräuche[[#This Row],[2021]],"&gt;0")&gt;0,IF(COUNTIF($F68:Klisz_Verbräuche[[#This Row],[2021]],"&gt;0")&gt;0,Klisz_Verbräuche[[#This Row],[2021]]*(1-$E68)^1, ""), ""),IF($B$57&gt;Klisz_Verbräuche[[#Headers],[2022]],Refsz_Verbräuche[[#This Row],[2022]],"")))</f>
        <v/>
      </c>
      <c r="N68" s="57" t="str">
        <f>IF(Klisz_Verbräuche[[#Headers],[2023]]=$B$57,IF(COUNTIF($F68:Klisz_Verbräuche[[#This Row],[2022]],"&gt;0")&gt;0, AVERAGEIF($F68:Klisz_Verbräuche[[#This Row],[2022]],"&lt;&gt;"), ""),IF($B$57&lt;Klisz_Verbräuche[[#Headers],[2023]],IF(COUNTIF($F68:Klisz_Verbräuche[[#This Row],[2022]],"&gt;0")&gt;0,IF(COUNTIF($F68:Klisz_Verbräuche[[#This Row],[2022]],"&gt;0")&gt;0,Klisz_Verbräuche[[#This Row],[2022]]*(1-$E68)^1, ""), ""),IF($B$57&gt;Klisz_Verbräuche[[#Headers],[2023]],Refsz_Verbräuche[[#This Row],[2023]],"")))</f>
        <v/>
      </c>
      <c r="O68" s="57" t="str">
        <f>IF(Klisz_Verbräuche[[#Headers],[2024]]=$B$57,IF(COUNTIF($F68:Klisz_Verbräuche[[#This Row],[2023]],"&gt;0")&gt;0, AVERAGEIF($F68:Klisz_Verbräuche[[#This Row],[2023]],"&lt;&gt;"), ""),IF($B$57&lt;Klisz_Verbräuche[[#Headers],[2024]],IF(COUNTIF($F68:Klisz_Verbräuche[[#This Row],[2023]],"&gt;0")&gt;0,IF(COUNTIF($F68:Klisz_Verbräuche[[#This Row],[2023]],"&gt;0")&gt;0,Klisz_Verbräuche[[#This Row],[2023]]*(1-$E68)^1, ""), ""),IF($B$57&gt;Klisz_Verbräuche[[#Headers],[2024]],Refsz_Verbräuche[[#This Row],[2024]],"")))</f>
        <v/>
      </c>
      <c r="P68" s="57" t="str">
        <f>IF(Klisz_Verbräuche[[#Headers],[2025]]=$B$57,IF(COUNTIF($F68:Klisz_Verbräuche[[#This Row],[2024]],"&gt;0")&gt;0, AVERAGEIF($F68:Klisz_Verbräuche[[#This Row],[2024]],"&lt;&gt;"), ""),IF($B$57&lt;Klisz_Verbräuche[[#Headers],[2025]],IF(COUNTIF($F68:Klisz_Verbräuche[[#This Row],[2024]],"&gt;0")&gt;0,IF(COUNTIF($F68:Klisz_Verbräuche[[#This Row],[2024]],"&gt;0")&gt;0,Klisz_Verbräuche[[#This Row],[2024]]*(1-$E68)^1, ""), ""),IF($B$57&gt;Klisz_Verbräuche[[#Headers],[2025]],Refsz_Verbräuche[[#This Row],[2025]],"")))</f>
        <v/>
      </c>
      <c r="Q68" s="57" t="str">
        <f>IF(Klisz_Verbräuche[[#Headers],[2026]]=$B$57,IF(COUNTIF($F68:Klisz_Verbräuche[[#This Row],[2025]],"&gt;0")&gt;0, AVERAGEIF($F68:Klisz_Verbräuche[[#This Row],[2025]],"&lt;&gt;"), ""),IF($B$57&lt;Klisz_Verbräuche[[#Headers],[2026]],IF(COUNTIF($F68:Klisz_Verbräuche[[#This Row],[2025]],"&gt;0")&gt;0,IF(COUNTIF($F68:Klisz_Verbräuche[[#This Row],[2025]],"&gt;0")&gt;0,Klisz_Verbräuche[[#This Row],[2025]]*(1-$E68)^1, ""), ""),IF($B$57&gt;Klisz_Verbräuche[[#Headers],[2026]],Refsz_Verbräuche[[#This Row],[2026]],"")))</f>
        <v/>
      </c>
      <c r="R68" s="57" t="str">
        <f>IF(Klisz_Verbräuche[[#Headers],[2027]]=$B$57,IF(COUNTIF($F68:Klisz_Verbräuche[[#This Row],[2026]],"&gt;0")&gt;0, AVERAGEIF($F68:Klisz_Verbräuche[[#This Row],[2026]],"&lt;&gt;"), ""),IF($B$57&lt;Klisz_Verbräuche[[#Headers],[2027]],IF(COUNTIF($F68:Klisz_Verbräuche[[#This Row],[2026]],"&gt;0")&gt;0,IF(COUNTIF($F68:Klisz_Verbräuche[[#This Row],[2026]],"&gt;0")&gt;0,Klisz_Verbräuche[[#This Row],[2026]]*(1-$E68)^1, ""), ""),IF($B$57&gt;Klisz_Verbräuche[[#Headers],[2027]],Refsz_Verbräuche[[#This Row],[2027]],"")))</f>
        <v/>
      </c>
      <c r="S68" s="57" t="str">
        <f>IF(Klisz_Verbräuche[[#Headers],[2028]]=$B$57,IF(COUNTIF($F68:Klisz_Verbräuche[[#This Row],[2027]],"&gt;0")&gt;0, AVERAGEIF($F68:Klisz_Verbräuche[[#This Row],[2027]],"&lt;&gt;"), ""),IF($B$57&lt;Klisz_Verbräuche[[#Headers],[2028]],IF(COUNTIF($F68:Klisz_Verbräuche[[#This Row],[2027]],"&gt;0")&gt;0,IF(COUNTIF($F68:Klisz_Verbräuche[[#This Row],[2027]],"&gt;0")&gt;0,Klisz_Verbräuche[[#This Row],[2027]]*(1-$E68)^1, ""), ""),IF($B$57&gt;Klisz_Verbräuche[[#Headers],[2028]],Refsz_Verbräuche[[#This Row],[2028]],"")))</f>
        <v/>
      </c>
      <c r="T68" s="57" t="str">
        <f>IF(Klisz_Verbräuche[[#Headers],[2029]]=$B$57,IF(COUNTIF($F68:Klisz_Verbräuche[[#This Row],[2028]],"&gt;0")&gt;0, AVERAGEIF($F68:Klisz_Verbräuche[[#This Row],[2028]],"&lt;&gt;"), ""),IF($B$57&lt;Klisz_Verbräuche[[#Headers],[2029]],IF(COUNTIF($F68:Klisz_Verbräuche[[#This Row],[2028]],"&gt;0")&gt;0,IF(COUNTIF($F68:Klisz_Verbräuche[[#This Row],[2028]],"&gt;0")&gt;0,Klisz_Verbräuche[[#This Row],[2028]]*(1-$E68)^1, ""), ""),IF($B$57&gt;Klisz_Verbräuche[[#Headers],[2029]],Refsz_Verbräuche[[#This Row],[2029]],"")))</f>
        <v/>
      </c>
      <c r="U68" s="57" t="str">
        <f>IF(Klisz_Verbräuche[[#Headers],[2030]]=$B$57,IF(COUNTIF($F68:Klisz_Verbräuche[[#This Row],[2029]],"&gt;0")&gt;0, AVERAGEIF($F68:Klisz_Verbräuche[[#This Row],[2029]],"&lt;&gt;"), ""),IF($B$57&lt;Klisz_Verbräuche[[#Headers],[2030]],IF(COUNTIF($F68:Klisz_Verbräuche[[#This Row],[2029]],"&gt;0")&gt;0,IF(COUNTIF($F68:Klisz_Verbräuche[[#This Row],[2029]],"&gt;0")&gt;0,Klisz_Verbräuche[[#This Row],[2029]]*(1-$E68)^1, ""), ""),IF($B$57&gt;Klisz_Verbräuche[[#Headers],[2030]],Refsz_Verbräuche[[#This Row],[2030]],"")))</f>
        <v/>
      </c>
      <c r="V68" s="57" t="str">
        <f>IF(Klisz_Verbräuche[[#Headers],[2035]]=$B$57,IF(COUNTIF($F68:Klisz_Verbräuche[[#This Row],[2030]],"&gt;0")&gt;0, AVERAGEIF($F68:Klisz_Verbräuche[[#This Row],[2030]],"&lt;&gt;"), ""),IF($B$57&lt;Klisz_Verbräuche[[#Headers],[2035]],IF(COUNTIF($F68:Klisz_Verbräuche[[#This Row],[2030]],"&gt;0")&gt;0,IF(COUNTIF($F68:Klisz_Verbräuche[[#This Row],[2030]],"&gt;0")&gt;0,Klisz_Verbräuche[[#This Row],[2030]]*(1-$E68)^5, ""), ""),IF($B$57&gt;Klisz_Verbräuche[[#Headers],[2035]],Refsz_Verbräuche[[#This Row],[2035]],"")))</f>
        <v/>
      </c>
      <c r="W68" s="57" t="str">
        <f>IF(Klisz_Verbräuche[[#Headers],[2040]]=$B$57,IF(COUNTIF($F68:Klisz_Verbräuche[[#This Row],[2035]],"&gt;0")&gt;0, AVERAGEIF($F68:Klisz_Verbräuche[[#This Row],[2035]],"&lt;&gt;"), ""),IF($B$57&lt;Klisz_Verbräuche[[#Headers],[2040]],IF(COUNTIF($F68:Klisz_Verbräuche[[#This Row],[2035]],"&gt;0")&gt;0,IF(COUNTIF($F68:Klisz_Verbräuche[[#This Row],[2035]],"&gt;0")&gt;0,Klisz_Verbräuche[[#This Row],[2035]]*(1-$E68)^5, ""), ""),IF($B$57&gt;Klisz_Verbräuche[[#Headers],[2040]],Refsz_Verbräuche[[#This Row],[2040]],"")))</f>
        <v/>
      </c>
      <c r="X68" s="57" t="str">
        <f>IF(Klisz_Verbräuche[[#Headers],[2045]]=$B$57,IF(COUNTIF($F68:Klisz_Verbräuche[[#This Row],[2040]],"&gt;0")&gt;0, AVERAGEIF($F68:Klisz_Verbräuche[[#This Row],[2040]],"&lt;&gt;"), ""),IF($B$57&lt;Klisz_Verbräuche[[#Headers],[2045]],IF(COUNTIF($F68:Klisz_Verbräuche[[#This Row],[2040]],"&gt;0")&gt;0,IF(COUNTIF($F68:Klisz_Verbräuche[[#This Row],[2040]],"&gt;0")&gt;0,Klisz_Verbräuche[[#This Row],[2040]]*(1-$E68)^5, ""), ""),IF($B$57&gt;Klisz_Verbräuche[[#Headers],[2045]],Refsz_Verbräuche[[#This Row],[2045]],"")))</f>
        <v/>
      </c>
      <c r="Y68" s="57" t="str">
        <f>IF(Klisz_Verbräuche[[#Headers],[2050]]=$B$57,IF(COUNTIF($F68:Klisz_Verbräuche[[#This Row],[2045]],"&gt;0")&gt;0, AVERAGEIF($F68:Klisz_Verbräuche[[#This Row],[2045]],"&lt;&gt;"), ""),IF($B$57&lt;Klisz_Verbräuche[[#Headers],[2050]],IF(COUNTIF($F68:Klisz_Verbräuche[[#This Row],[2045]],"&gt;0")&gt;0,IF(COUNTIF($F68:Klisz_Verbräuche[[#This Row],[2045]],"&gt;0")&gt;0,Klisz_Verbräuche[[#This Row],[2045]]*(1-$E68)^5, ""), ""),IF($B$57&gt;Klisz_Verbräuche[[#Headers],[2050]],Refsz_Verbräuche[[#This Row],[2050]],"")))</f>
        <v/>
      </c>
      <c r="Z68" s="15"/>
    </row>
    <row r="69" spans="2:26" hidden="1" x14ac:dyDescent="0.35">
      <c r="B69" s="15">
        <v>9</v>
      </c>
      <c r="C69" s="54" t="str">
        <f>Refsz_Verbräuche[[#This Row],[Datenpunkt]]</f>
        <v>Elektrischer Strom (BHKW)</v>
      </c>
      <c r="D69" s="175" t="str">
        <f>Refsz_Verbräuche[[#This Row],[Einheit]]</f>
        <v>Nichts eintragen</v>
      </c>
      <c r="E69" s="122"/>
      <c r="F69" s="15" t="str">
        <f>IF(ISBLANK(Refsz_Verbräuche[[#This Row],[2015]]),"",Refsz_Verbräuche[[#This Row],[2015]])</f>
        <v/>
      </c>
      <c r="G69" s="15" t="str">
        <f>IF(ISBLANK(Refsz_Verbräuche[[#This Row],[2016]]),"",Refsz_Verbräuche[[#This Row],[2016]])</f>
        <v/>
      </c>
      <c r="H69" s="15" t="str">
        <f>IF(ISBLANK(Refsz_Verbräuche[[#This Row],[2017]]),"",Refsz_Verbräuche[[#This Row],[2017]])</f>
        <v/>
      </c>
      <c r="I69" s="15" t="str">
        <f>IF(ISBLANK(Refsz_Verbräuche[[#This Row],[2018]]),"",Refsz_Verbräuche[[#This Row],[2018]])</f>
        <v/>
      </c>
      <c r="J69" s="15" t="str">
        <f>IF(ISBLANK(Refsz_Verbräuche[[#This Row],[2019]]),"",Refsz_Verbräuche[[#This Row],[2019]])</f>
        <v/>
      </c>
      <c r="K69" s="15" t="str">
        <f>IF(ISBLANK(Refsz_Verbräuche[[#This Row],[2020]]),"",Refsz_Verbräuche[[#This Row],[2020]])</f>
        <v/>
      </c>
      <c r="L69" s="15" t="str">
        <f>IF(ISBLANK(Refsz_Verbräuche[[#This Row],[2021]]),"",Refsz_Verbräuche[[#This Row],[2021]])</f>
        <v/>
      </c>
      <c r="M69" s="57" t="str">
        <f>IF(Klisz_Verbräuche[[#Headers],[2022]]=$B$57,IF(COUNTIF($F69:Klisz_Verbräuche[[#This Row],[2021]],"&gt;0")&gt;0, AVERAGEIF($F69:Klisz_Verbräuche[[#This Row],[2021]],"&lt;&gt;"), ""),IF($B$57&lt;Klisz_Verbräuche[[#Headers],[2022]],IF(COUNTIF($F69:Klisz_Verbräuche[[#This Row],[2021]],"&gt;0")&gt;0,IF(COUNTIF($F69:Klisz_Verbräuche[[#This Row],[2021]],"&gt;0")&gt;0,Klisz_Verbräuche[[#This Row],[2021]]*(1-$E69)^1, ""), ""),IF($B$57&gt;Klisz_Verbräuche[[#Headers],[2022]],Refsz_Verbräuche[[#This Row],[2022]],"")))</f>
        <v/>
      </c>
      <c r="N69" s="57" t="str">
        <f>IF(Klisz_Verbräuche[[#Headers],[2023]]=$B$57,IF(COUNTIF($F69:Klisz_Verbräuche[[#This Row],[2022]],"&gt;0")&gt;0, AVERAGEIF($F69:Klisz_Verbräuche[[#This Row],[2022]],"&lt;&gt;"), ""),IF($B$57&lt;Klisz_Verbräuche[[#Headers],[2023]],IF(COUNTIF($F69:Klisz_Verbräuche[[#This Row],[2022]],"&gt;0")&gt;0,IF(COUNTIF($F69:Klisz_Verbräuche[[#This Row],[2022]],"&gt;0")&gt;0,Klisz_Verbräuche[[#This Row],[2022]]*(1-$E69)^1, ""), ""),IF($B$57&gt;Klisz_Verbräuche[[#Headers],[2023]],Refsz_Verbräuche[[#This Row],[2023]],"")))</f>
        <v/>
      </c>
      <c r="O69" s="57" t="str">
        <f>IF(Klisz_Verbräuche[[#Headers],[2024]]=$B$57,IF(COUNTIF($F69:Klisz_Verbräuche[[#This Row],[2023]],"&gt;0")&gt;0, AVERAGEIF($F69:Klisz_Verbräuche[[#This Row],[2023]],"&lt;&gt;"), ""),IF($B$57&lt;Klisz_Verbräuche[[#Headers],[2024]],IF(COUNTIF($F69:Klisz_Verbräuche[[#This Row],[2023]],"&gt;0")&gt;0,IF(COUNTIF($F69:Klisz_Verbräuche[[#This Row],[2023]],"&gt;0")&gt;0,Klisz_Verbräuche[[#This Row],[2023]]*(1-$E69)^1, ""), ""),IF($B$57&gt;Klisz_Verbräuche[[#Headers],[2024]],Refsz_Verbräuche[[#This Row],[2024]],"")))</f>
        <v/>
      </c>
      <c r="P69" s="57" t="str">
        <f>IF(Klisz_Verbräuche[[#Headers],[2025]]=$B$57,IF(COUNTIF($F69:Klisz_Verbräuche[[#This Row],[2024]],"&gt;0")&gt;0, AVERAGEIF($F69:Klisz_Verbräuche[[#This Row],[2024]],"&lt;&gt;"), ""),IF($B$57&lt;Klisz_Verbräuche[[#Headers],[2025]],IF(COUNTIF($F69:Klisz_Verbräuche[[#This Row],[2024]],"&gt;0")&gt;0,IF(COUNTIF($F69:Klisz_Verbräuche[[#This Row],[2024]],"&gt;0")&gt;0,Klisz_Verbräuche[[#This Row],[2024]]*(1-$E69)^1, ""), ""),IF($B$57&gt;Klisz_Verbräuche[[#Headers],[2025]],Refsz_Verbräuche[[#This Row],[2025]],"")))</f>
        <v/>
      </c>
      <c r="Q69" s="57" t="str">
        <f>IF(Klisz_Verbräuche[[#Headers],[2026]]=$B$57,IF(COUNTIF($F69:Klisz_Verbräuche[[#This Row],[2025]],"&gt;0")&gt;0, AVERAGEIF($F69:Klisz_Verbräuche[[#This Row],[2025]],"&lt;&gt;"), ""),IF($B$57&lt;Klisz_Verbräuche[[#Headers],[2026]],IF(COUNTIF($F69:Klisz_Verbräuche[[#This Row],[2025]],"&gt;0")&gt;0,IF(COUNTIF($F69:Klisz_Verbräuche[[#This Row],[2025]],"&gt;0")&gt;0,Klisz_Verbräuche[[#This Row],[2025]]*(1-$E69)^1, ""), ""),IF($B$57&gt;Klisz_Verbräuche[[#Headers],[2026]],Refsz_Verbräuche[[#This Row],[2026]],"")))</f>
        <v/>
      </c>
      <c r="R69" s="57" t="str">
        <f>IF(Klisz_Verbräuche[[#Headers],[2027]]=$B$57,IF(COUNTIF($F69:Klisz_Verbräuche[[#This Row],[2026]],"&gt;0")&gt;0, AVERAGEIF($F69:Klisz_Verbräuche[[#This Row],[2026]],"&lt;&gt;"), ""),IF($B$57&lt;Klisz_Verbräuche[[#Headers],[2027]],IF(COUNTIF($F69:Klisz_Verbräuche[[#This Row],[2026]],"&gt;0")&gt;0,IF(COUNTIF($F69:Klisz_Verbräuche[[#This Row],[2026]],"&gt;0")&gt;0,Klisz_Verbräuche[[#This Row],[2026]]*(1-$E69)^1, ""), ""),IF($B$57&gt;Klisz_Verbräuche[[#Headers],[2027]],Refsz_Verbräuche[[#This Row],[2027]],"")))</f>
        <v/>
      </c>
      <c r="S69" s="57" t="str">
        <f>IF(Klisz_Verbräuche[[#Headers],[2028]]=$B$57,IF(COUNTIF($F69:Klisz_Verbräuche[[#This Row],[2027]],"&gt;0")&gt;0, AVERAGEIF($F69:Klisz_Verbräuche[[#This Row],[2027]],"&lt;&gt;"), ""),IF($B$57&lt;Klisz_Verbräuche[[#Headers],[2028]],IF(COUNTIF($F69:Klisz_Verbräuche[[#This Row],[2027]],"&gt;0")&gt;0,IF(COUNTIF($F69:Klisz_Verbräuche[[#This Row],[2027]],"&gt;0")&gt;0,Klisz_Verbräuche[[#This Row],[2027]]*(1-$E69)^1, ""), ""),IF($B$57&gt;Klisz_Verbräuche[[#Headers],[2028]],Refsz_Verbräuche[[#This Row],[2028]],"")))</f>
        <v/>
      </c>
      <c r="T69" s="57" t="str">
        <f>IF(Klisz_Verbräuche[[#Headers],[2029]]=$B$57,IF(COUNTIF($F69:Klisz_Verbräuche[[#This Row],[2028]],"&gt;0")&gt;0, AVERAGEIF($F69:Klisz_Verbräuche[[#This Row],[2028]],"&lt;&gt;"), ""),IF($B$57&lt;Klisz_Verbräuche[[#Headers],[2029]],IF(COUNTIF($F69:Klisz_Verbräuche[[#This Row],[2028]],"&gt;0")&gt;0,IF(COUNTIF($F69:Klisz_Verbräuche[[#This Row],[2028]],"&gt;0")&gt;0,Klisz_Verbräuche[[#This Row],[2028]]*(1-$E69)^1, ""), ""),IF($B$57&gt;Klisz_Verbräuche[[#Headers],[2029]],Refsz_Verbräuche[[#This Row],[2029]],"")))</f>
        <v/>
      </c>
      <c r="U69" s="57" t="str">
        <f>IF(Klisz_Verbräuche[[#Headers],[2030]]=$B$57,IF(COUNTIF($F69:Klisz_Verbräuche[[#This Row],[2029]],"&gt;0")&gt;0, AVERAGEIF($F69:Klisz_Verbräuche[[#This Row],[2029]],"&lt;&gt;"), ""),IF($B$57&lt;Klisz_Verbräuche[[#Headers],[2030]],IF(COUNTIF($F69:Klisz_Verbräuche[[#This Row],[2029]],"&gt;0")&gt;0,IF(COUNTIF($F69:Klisz_Verbräuche[[#This Row],[2029]],"&gt;0")&gt;0,Klisz_Verbräuche[[#This Row],[2029]]*(1-$E69)^1, ""), ""),IF($B$57&gt;Klisz_Verbräuche[[#Headers],[2030]],Refsz_Verbräuche[[#This Row],[2030]],"")))</f>
        <v/>
      </c>
      <c r="V69" s="57" t="str">
        <f>IF(Klisz_Verbräuche[[#Headers],[2035]]=$B$57,IF(COUNTIF($F69:Klisz_Verbräuche[[#This Row],[2030]],"&gt;0")&gt;0, AVERAGEIF($F69:Klisz_Verbräuche[[#This Row],[2030]],"&lt;&gt;"), ""),IF($B$57&lt;Klisz_Verbräuche[[#Headers],[2035]],IF(COUNTIF($F69:Klisz_Verbräuche[[#This Row],[2030]],"&gt;0")&gt;0,IF(COUNTIF($F69:Klisz_Verbräuche[[#This Row],[2030]],"&gt;0")&gt;0,Klisz_Verbräuche[[#This Row],[2030]]*(1-$E69)^5, ""), ""),IF($B$57&gt;Klisz_Verbräuche[[#Headers],[2035]],Refsz_Verbräuche[[#This Row],[2035]],"")))</f>
        <v/>
      </c>
      <c r="W69" s="57" t="str">
        <f>IF(Klisz_Verbräuche[[#Headers],[2040]]=$B$57,IF(COUNTIF($F69:Klisz_Verbräuche[[#This Row],[2035]],"&gt;0")&gt;0, AVERAGEIF($F69:Klisz_Verbräuche[[#This Row],[2035]],"&lt;&gt;"), ""),IF($B$57&lt;Klisz_Verbräuche[[#Headers],[2040]],IF(COUNTIF($F69:Klisz_Verbräuche[[#This Row],[2035]],"&gt;0")&gt;0,IF(COUNTIF($F69:Klisz_Verbräuche[[#This Row],[2035]],"&gt;0")&gt;0,Klisz_Verbräuche[[#This Row],[2035]]*(1-$E69)^5, ""), ""),IF($B$57&gt;Klisz_Verbräuche[[#Headers],[2040]],Refsz_Verbräuche[[#This Row],[2040]],"")))</f>
        <v/>
      </c>
      <c r="X69" s="57" t="str">
        <f>IF(Klisz_Verbräuche[[#Headers],[2045]]=$B$57,IF(COUNTIF($F69:Klisz_Verbräuche[[#This Row],[2040]],"&gt;0")&gt;0, AVERAGEIF($F69:Klisz_Verbräuche[[#This Row],[2040]],"&lt;&gt;"), ""),IF($B$57&lt;Klisz_Verbräuche[[#Headers],[2045]],IF(COUNTIF($F69:Klisz_Verbräuche[[#This Row],[2040]],"&gt;0")&gt;0,IF(COUNTIF($F69:Klisz_Verbräuche[[#This Row],[2040]],"&gt;0")&gt;0,Klisz_Verbräuche[[#This Row],[2040]]*(1-$E69)^5, ""), ""),IF($B$57&gt;Klisz_Verbräuche[[#Headers],[2045]],Refsz_Verbräuche[[#This Row],[2045]],"")))</f>
        <v/>
      </c>
      <c r="Y69" s="57" t="str">
        <f>IF(Klisz_Verbräuche[[#Headers],[2050]]=$B$57,IF(COUNTIF($F69:Klisz_Verbräuche[[#This Row],[2045]],"&gt;0")&gt;0, AVERAGEIF($F69:Klisz_Verbräuche[[#This Row],[2045]],"&lt;&gt;"), ""),IF($B$57&lt;Klisz_Verbräuche[[#Headers],[2050]],IF(COUNTIF($F69:Klisz_Verbräuche[[#This Row],[2045]],"&gt;0")&gt;0,IF(COUNTIF($F69:Klisz_Verbräuche[[#This Row],[2045]],"&gt;0")&gt;0,Klisz_Verbräuche[[#This Row],[2045]]*(1-$E69)^5, ""), ""),IF($B$57&gt;Klisz_Verbräuche[[#Headers],[2050]],Refsz_Verbräuche[[#This Row],[2050]],"")))</f>
        <v/>
      </c>
      <c r="Z69" s="15"/>
    </row>
    <row r="70" spans="2:26" x14ac:dyDescent="0.35">
      <c r="B70" s="15">
        <v>10</v>
      </c>
      <c r="C70" s="54" t="str">
        <f>Refsz_Verbräuche[[#This Row],[Datenpunkt]]</f>
        <v>Elektrischer Strom (Ökostrom)</v>
      </c>
      <c r="D70" s="29" t="str">
        <f>Refsz_Verbräuche[[#This Row],[Einheit]]</f>
        <v>MWh</v>
      </c>
      <c r="E70" s="122"/>
      <c r="F70" s="15" t="str">
        <f>IF(ISBLANK(Refsz_Verbräuche[[#This Row],[2015]]),"",Refsz_Verbräuche[[#This Row],[2015]])</f>
        <v/>
      </c>
      <c r="G70" s="15" t="str">
        <f>IF(ISBLANK(Refsz_Verbräuche[[#This Row],[2016]]),"",Refsz_Verbräuche[[#This Row],[2016]])</f>
        <v/>
      </c>
      <c r="H70" s="15" t="str">
        <f>IF(ISBLANK(Refsz_Verbräuche[[#This Row],[2017]]),"",Refsz_Verbräuche[[#This Row],[2017]])</f>
        <v/>
      </c>
      <c r="I70" s="15" t="str">
        <f>IF(ISBLANK(Refsz_Verbräuche[[#This Row],[2018]]),"",Refsz_Verbräuche[[#This Row],[2018]])</f>
        <v/>
      </c>
      <c r="J70" s="15" t="str">
        <f>IF(ISBLANK(Refsz_Verbräuche[[#This Row],[2019]]),"",Refsz_Verbräuche[[#This Row],[2019]])</f>
        <v/>
      </c>
      <c r="K70" s="15" t="str">
        <f>IF(ISBLANK(Refsz_Verbräuche[[#This Row],[2020]]),"",Refsz_Verbräuche[[#This Row],[2020]])</f>
        <v/>
      </c>
      <c r="L70" s="15" t="str">
        <f>IF(ISBLANK(Refsz_Verbräuche[[#This Row],[2021]]),"",Refsz_Verbräuche[[#This Row],[2021]])</f>
        <v/>
      </c>
      <c r="M70" s="57" t="str">
        <f>IF(Klisz_Verbräuche[[#Headers],[2022]]=$B$57,IF(COUNTIF($F70:Klisz_Verbräuche[[#This Row],[2021]],"&gt;0")&gt;0, AVERAGEIF($F70:Klisz_Verbräuche[[#This Row],[2021]],"&lt;&gt;"), ""),IF($B$57&lt;Klisz_Verbräuche[[#Headers],[2022]],IF(COUNTIF($F70:Klisz_Verbräuche[[#This Row],[2021]],"&gt;0")&gt;0,IF(COUNTIF($F70:Klisz_Verbräuche[[#This Row],[2021]],"&gt;0")&gt;0,Klisz_Verbräuche[[#This Row],[2021]]*(1-$E70)^1, ""), ""),IF($B$57&gt;Klisz_Verbräuche[[#Headers],[2022]],Refsz_Verbräuche[[#This Row],[2022]],"")))</f>
        <v/>
      </c>
      <c r="N70" s="57" t="str">
        <f>IF(Klisz_Verbräuche[[#Headers],[2023]]=$B$57,IF(COUNTIF($F70:Klisz_Verbräuche[[#This Row],[2022]],"&gt;0")&gt;0, AVERAGEIF($F70:Klisz_Verbräuche[[#This Row],[2022]],"&lt;&gt;"), ""),IF($B$57&lt;Klisz_Verbräuche[[#Headers],[2023]],IF(COUNTIF($F70:Klisz_Verbräuche[[#This Row],[2022]],"&gt;0")&gt;0,IF(COUNTIF($F70:Klisz_Verbräuche[[#This Row],[2022]],"&gt;0")&gt;0,Klisz_Verbräuche[[#This Row],[2022]]*(1-$E70)^1, ""), ""),IF($B$57&gt;Klisz_Verbräuche[[#Headers],[2023]],Refsz_Verbräuche[[#This Row],[2023]],"")))</f>
        <v/>
      </c>
      <c r="O70" s="57" t="str">
        <f>IF(Klisz_Verbräuche[[#Headers],[2024]]=$B$57,IF(COUNTIF($F70:Klisz_Verbräuche[[#This Row],[2023]],"&gt;0")&gt;0, AVERAGEIF($F70:Klisz_Verbräuche[[#This Row],[2023]],"&lt;&gt;"), ""),IF($B$57&lt;Klisz_Verbräuche[[#Headers],[2024]],IF(COUNTIF($F70:Klisz_Verbräuche[[#This Row],[2023]],"&gt;0")&gt;0,IF(COUNTIF($F70:Klisz_Verbräuche[[#This Row],[2023]],"&gt;0")&gt;0,Klisz_Verbräuche[[#This Row],[2023]]*(1-$E70)^1, ""), ""),IF($B$57&gt;Klisz_Verbräuche[[#Headers],[2024]],Refsz_Verbräuche[[#This Row],[2024]],"")))</f>
        <v/>
      </c>
      <c r="P70" s="57" t="str">
        <f>IF(Klisz_Verbräuche[[#Headers],[2025]]=$B$57,IF(COUNTIF($F70:Klisz_Verbräuche[[#This Row],[2024]],"&gt;0")&gt;0, AVERAGEIF($F70:Klisz_Verbräuche[[#This Row],[2024]],"&lt;&gt;"), ""),IF($B$57&lt;Klisz_Verbräuche[[#Headers],[2025]],IF(COUNTIF($F70:Klisz_Verbräuche[[#This Row],[2024]],"&gt;0")&gt;0,IF(COUNTIF($F70:Klisz_Verbräuche[[#This Row],[2024]],"&gt;0")&gt;0,Klisz_Verbräuche[[#This Row],[2024]]*(1-$E70)^1, ""), ""),IF($B$57&gt;Klisz_Verbräuche[[#Headers],[2025]],Refsz_Verbräuche[[#This Row],[2025]],"")))</f>
        <v/>
      </c>
      <c r="Q70" s="57" t="str">
        <f>IF(Klisz_Verbräuche[[#Headers],[2026]]=$B$57,IF(COUNTIF($F70:Klisz_Verbräuche[[#This Row],[2025]],"&gt;0")&gt;0, AVERAGEIF($F70:Klisz_Verbräuche[[#This Row],[2025]],"&lt;&gt;"), ""),IF($B$57&lt;Klisz_Verbräuche[[#Headers],[2026]],IF(COUNTIF($F70:Klisz_Verbräuche[[#This Row],[2025]],"&gt;0")&gt;0,IF(COUNTIF($F70:Klisz_Verbräuche[[#This Row],[2025]],"&gt;0")&gt;0,Klisz_Verbräuche[[#This Row],[2025]]*(1-$E70)^1, ""), ""),IF($B$57&gt;Klisz_Verbräuche[[#Headers],[2026]],Refsz_Verbräuche[[#This Row],[2026]],"")))</f>
        <v/>
      </c>
      <c r="R70" s="57" t="str">
        <f>IF(Klisz_Verbräuche[[#Headers],[2027]]=$B$57,IF(COUNTIF($F70:Klisz_Verbräuche[[#This Row],[2026]],"&gt;0")&gt;0, AVERAGEIF($F70:Klisz_Verbräuche[[#This Row],[2026]],"&lt;&gt;"), ""),IF($B$57&lt;Klisz_Verbräuche[[#Headers],[2027]],IF(COUNTIF($F70:Klisz_Verbräuche[[#This Row],[2026]],"&gt;0")&gt;0,IF(COUNTIF($F70:Klisz_Verbräuche[[#This Row],[2026]],"&gt;0")&gt;0,Klisz_Verbräuche[[#This Row],[2026]]*(1-$E70)^1, ""), ""),IF($B$57&gt;Klisz_Verbräuche[[#Headers],[2027]],Refsz_Verbräuche[[#This Row],[2027]],"")))</f>
        <v/>
      </c>
      <c r="S70" s="57" t="str">
        <f>IF(Klisz_Verbräuche[[#Headers],[2028]]=$B$57,IF(COUNTIF($F70:Klisz_Verbräuche[[#This Row],[2027]],"&gt;0")&gt;0, AVERAGEIF($F70:Klisz_Verbräuche[[#This Row],[2027]],"&lt;&gt;"), ""),IF($B$57&lt;Klisz_Verbräuche[[#Headers],[2028]],IF(COUNTIF($F70:Klisz_Verbräuche[[#This Row],[2027]],"&gt;0")&gt;0,IF(COUNTIF($F70:Klisz_Verbräuche[[#This Row],[2027]],"&gt;0")&gt;0,Klisz_Verbräuche[[#This Row],[2027]]*(1-$E70)^1, ""), ""),IF($B$57&gt;Klisz_Verbräuche[[#Headers],[2028]],Refsz_Verbräuche[[#This Row],[2028]],"")))</f>
        <v/>
      </c>
      <c r="T70" s="57" t="str">
        <f>IF(Klisz_Verbräuche[[#Headers],[2029]]=$B$57,IF(COUNTIF($F70:Klisz_Verbräuche[[#This Row],[2028]],"&gt;0")&gt;0, AVERAGEIF($F70:Klisz_Verbräuche[[#This Row],[2028]],"&lt;&gt;"), ""),IF($B$57&lt;Klisz_Verbräuche[[#Headers],[2029]],IF(COUNTIF($F70:Klisz_Verbräuche[[#This Row],[2028]],"&gt;0")&gt;0,IF(COUNTIF($F70:Klisz_Verbräuche[[#This Row],[2028]],"&gt;0")&gt;0,Klisz_Verbräuche[[#This Row],[2028]]*(1-$E70)^1, ""), ""),IF($B$57&gt;Klisz_Verbräuche[[#Headers],[2029]],Refsz_Verbräuche[[#This Row],[2029]],"")))</f>
        <v/>
      </c>
      <c r="U70" s="57" t="str">
        <f>IF(Klisz_Verbräuche[[#Headers],[2030]]=$B$57,IF(COUNTIF($F70:Klisz_Verbräuche[[#This Row],[2029]],"&gt;0")&gt;0, AVERAGEIF($F70:Klisz_Verbräuche[[#This Row],[2029]],"&lt;&gt;"), ""),IF($B$57&lt;Klisz_Verbräuche[[#Headers],[2030]],IF(COUNTIF($F70:Klisz_Verbräuche[[#This Row],[2029]],"&gt;0")&gt;0,IF(COUNTIF($F70:Klisz_Verbräuche[[#This Row],[2029]],"&gt;0")&gt;0,Klisz_Verbräuche[[#This Row],[2029]]*(1-$E70)^1, ""), ""),IF($B$57&gt;Klisz_Verbräuche[[#Headers],[2030]],Refsz_Verbräuche[[#This Row],[2030]],"")))</f>
        <v/>
      </c>
      <c r="V70" s="57" t="str">
        <f>IF(Klisz_Verbräuche[[#Headers],[2035]]=$B$57,IF(COUNTIF($F70:Klisz_Verbräuche[[#This Row],[2030]],"&gt;0")&gt;0, AVERAGEIF($F70:Klisz_Verbräuche[[#This Row],[2030]],"&lt;&gt;"), ""),IF($B$57&lt;Klisz_Verbräuche[[#Headers],[2035]],IF(COUNTIF($F70:Klisz_Verbräuche[[#This Row],[2030]],"&gt;0")&gt;0,IF(COUNTIF($F70:Klisz_Verbräuche[[#This Row],[2030]],"&gt;0")&gt;0,Klisz_Verbräuche[[#This Row],[2030]]*(1-$E70)^5, ""), ""),IF($B$57&gt;Klisz_Verbräuche[[#Headers],[2035]],Refsz_Verbräuche[[#This Row],[2035]],"")))</f>
        <v/>
      </c>
      <c r="W70" s="57" t="str">
        <f>IF(Klisz_Verbräuche[[#Headers],[2040]]=$B$57,IF(COUNTIF($F70:Klisz_Verbräuche[[#This Row],[2035]],"&gt;0")&gt;0, AVERAGEIF($F70:Klisz_Verbräuche[[#This Row],[2035]],"&lt;&gt;"), ""),IF($B$57&lt;Klisz_Verbräuche[[#Headers],[2040]],IF(COUNTIF($F70:Klisz_Verbräuche[[#This Row],[2035]],"&gt;0")&gt;0,IF(COUNTIF($F70:Klisz_Verbräuche[[#This Row],[2035]],"&gt;0")&gt;0,Klisz_Verbräuche[[#This Row],[2035]]*(1-$E70)^5, ""), ""),IF($B$57&gt;Klisz_Verbräuche[[#Headers],[2040]],Refsz_Verbräuche[[#This Row],[2040]],"")))</f>
        <v/>
      </c>
      <c r="X70" s="57" t="str">
        <f>IF(Klisz_Verbräuche[[#Headers],[2045]]=$B$57,IF(COUNTIF($F70:Klisz_Verbräuche[[#This Row],[2040]],"&gt;0")&gt;0, AVERAGEIF($F70:Klisz_Verbräuche[[#This Row],[2040]],"&lt;&gt;"), ""),IF($B$57&lt;Klisz_Verbräuche[[#Headers],[2045]],IF(COUNTIF($F70:Klisz_Verbräuche[[#This Row],[2040]],"&gt;0")&gt;0,IF(COUNTIF($F70:Klisz_Verbräuche[[#This Row],[2040]],"&gt;0")&gt;0,Klisz_Verbräuche[[#This Row],[2040]]*(1-$E70)^5, ""), ""),IF($B$57&gt;Klisz_Verbräuche[[#Headers],[2045]],Refsz_Verbräuche[[#This Row],[2045]],"")))</f>
        <v/>
      </c>
      <c r="Y70" s="57" t="str">
        <f>IF(Klisz_Verbräuche[[#Headers],[2050]]=$B$57,IF(COUNTIF($F70:Klisz_Verbräuche[[#This Row],[2045]],"&gt;0")&gt;0, AVERAGEIF($F70:Klisz_Verbräuche[[#This Row],[2045]],"&lt;&gt;"), ""),IF($B$57&lt;Klisz_Verbräuche[[#Headers],[2050]],IF(COUNTIF($F70:Klisz_Verbräuche[[#This Row],[2045]],"&gt;0")&gt;0,IF(COUNTIF($F70:Klisz_Verbräuche[[#This Row],[2045]],"&gt;0")&gt;0,Klisz_Verbräuche[[#This Row],[2045]]*(1-$E70)^5, ""), ""),IF($B$57&gt;Klisz_Verbräuche[[#Headers],[2050]],Refsz_Verbräuche[[#This Row],[2050]],"")))</f>
        <v/>
      </c>
      <c r="Z70" s="15"/>
    </row>
    <row r="71" spans="2:26" x14ac:dyDescent="0.35">
      <c r="B71" s="15">
        <v>11</v>
      </c>
      <c r="C71" s="54" t="str">
        <f>Refsz_Verbräuche[[#This Row],[Datenpunkt]]</f>
        <v>Elektrischer Strom (PV-Eigennutzung)</v>
      </c>
      <c r="D71" s="29" t="str">
        <f>Refsz_Verbräuche[[#This Row],[Einheit]]</f>
        <v>MWh</v>
      </c>
      <c r="E71" s="122"/>
      <c r="F71" s="15" t="str">
        <f>IF(ISBLANK(Refsz_Verbräuche[[#This Row],[2015]]),"",Refsz_Verbräuche[[#This Row],[2015]])</f>
        <v/>
      </c>
      <c r="G71" s="15" t="str">
        <f>IF(ISBLANK(Refsz_Verbräuche[[#This Row],[2016]]),"",Refsz_Verbräuche[[#This Row],[2016]])</f>
        <v/>
      </c>
      <c r="H71" s="15" t="str">
        <f>IF(ISBLANK(Refsz_Verbräuche[[#This Row],[2017]]),"",Refsz_Verbräuche[[#This Row],[2017]])</f>
        <v/>
      </c>
      <c r="I71" s="15" t="str">
        <f>IF(ISBLANK(Refsz_Verbräuche[[#This Row],[2018]]),"",Refsz_Verbräuche[[#This Row],[2018]])</f>
        <v/>
      </c>
      <c r="J71" s="15" t="str">
        <f>IF(ISBLANK(Refsz_Verbräuche[[#This Row],[2019]]),"",Refsz_Verbräuche[[#This Row],[2019]])</f>
        <v/>
      </c>
      <c r="K71" s="15" t="str">
        <f>IF(ISBLANK(Refsz_Verbräuche[[#This Row],[2020]]),"",Refsz_Verbräuche[[#This Row],[2020]])</f>
        <v/>
      </c>
      <c r="L71" s="15" t="str">
        <f>IF(ISBLANK(Refsz_Verbräuche[[#This Row],[2021]]),"",Refsz_Verbräuche[[#This Row],[2021]])</f>
        <v/>
      </c>
      <c r="M71" s="57" t="str">
        <f>IF(Klisz_Verbräuche[[#Headers],[2022]]=$B$57,IF(COUNTIF($F71:Klisz_Verbräuche[[#This Row],[2021]],"&gt;0")&gt;0, AVERAGEIF($F71:Klisz_Verbräuche[[#This Row],[2021]],"&lt;&gt;"), ""),IF($B$57&lt;Klisz_Verbräuche[[#Headers],[2022]],IF(COUNTIF($F71:Klisz_Verbräuche[[#This Row],[2021]],"&gt;0")&gt;0,IF(COUNTIF($F71:Klisz_Verbräuche[[#This Row],[2021]],"&gt;0")&gt;0,Klisz_Verbräuche[[#This Row],[2021]]*(1-$E71)^1, ""), ""),IF($B$57&gt;Klisz_Verbräuche[[#Headers],[2022]],Refsz_Verbräuche[[#This Row],[2022]],"")))</f>
        <v/>
      </c>
      <c r="N71" s="57" t="str">
        <f>IF(Klisz_Verbräuche[[#Headers],[2023]]=$B$57,IF(COUNTIF($F71:Klisz_Verbräuche[[#This Row],[2022]],"&gt;0")&gt;0, AVERAGEIF($F71:Klisz_Verbräuche[[#This Row],[2022]],"&lt;&gt;"), ""),IF($B$57&lt;Klisz_Verbräuche[[#Headers],[2023]],IF(COUNTIF($F71:Klisz_Verbräuche[[#This Row],[2022]],"&gt;0")&gt;0,IF(COUNTIF($F71:Klisz_Verbräuche[[#This Row],[2022]],"&gt;0")&gt;0,Klisz_Verbräuche[[#This Row],[2022]]*(1-$E71)^1, ""), ""),IF($B$57&gt;Klisz_Verbräuche[[#Headers],[2023]],Refsz_Verbräuche[[#This Row],[2023]],"")))</f>
        <v/>
      </c>
      <c r="O71" s="57" t="str">
        <f>IF(Klisz_Verbräuche[[#Headers],[2024]]=$B$57,IF(COUNTIF($F71:Klisz_Verbräuche[[#This Row],[2023]],"&gt;0")&gt;0, AVERAGEIF($F71:Klisz_Verbräuche[[#This Row],[2023]],"&lt;&gt;"), ""),IF($B$57&lt;Klisz_Verbräuche[[#Headers],[2024]],IF(COUNTIF($F71:Klisz_Verbräuche[[#This Row],[2023]],"&gt;0")&gt;0,IF(COUNTIF($F71:Klisz_Verbräuche[[#This Row],[2023]],"&gt;0")&gt;0,Klisz_Verbräuche[[#This Row],[2023]]*(1-$E71)^1, ""), ""),IF($B$57&gt;Klisz_Verbräuche[[#Headers],[2024]],Refsz_Verbräuche[[#This Row],[2024]],"")))</f>
        <v/>
      </c>
      <c r="P71" s="57" t="str">
        <f>IF(Klisz_Verbräuche[[#Headers],[2025]]=$B$57,IF(COUNTIF($F71:Klisz_Verbräuche[[#This Row],[2024]],"&gt;0")&gt;0, AVERAGEIF($F71:Klisz_Verbräuche[[#This Row],[2024]],"&lt;&gt;"), ""),IF($B$57&lt;Klisz_Verbräuche[[#Headers],[2025]],IF(COUNTIF($F71:Klisz_Verbräuche[[#This Row],[2024]],"&gt;0")&gt;0,IF(COUNTIF($F71:Klisz_Verbräuche[[#This Row],[2024]],"&gt;0")&gt;0,Klisz_Verbräuche[[#This Row],[2024]]*(1-$E71)^1, ""), ""),IF($B$57&gt;Klisz_Verbräuche[[#Headers],[2025]],Refsz_Verbräuche[[#This Row],[2025]],"")))</f>
        <v/>
      </c>
      <c r="Q71" s="57" t="str">
        <f>IF(Klisz_Verbräuche[[#Headers],[2026]]=$B$57,IF(COUNTIF($F71:Klisz_Verbräuche[[#This Row],[2025]],"&gt;0")&gt;0, AVERAGEIF($F71:Klisz_Verbräuche[[#This Row],[2025]],"&lt;&gt;"), ""),IF($B$57&lt;Klisz_Verbräuche[[#Headers],[2026]],IF(COUNTIF($F71:Klisz_Verbräuche[[#This Row],[2025]],"&gt;0")&gt;0,IF(COUNTIF($F71:Klisz_Verbräuche[[#This Row],[2025]],"&gt;0")&gt;0,Klisz_Verbräuche[[#This Row],[2025]]*(1-$E71)^1, ""), ""),IF($B$57&gt;Klisz_Verbräuche[[#Headers],[2026]],Refsz_Verbräuche[[#This Row],[2026]],"")))</f>
        <v/>
      </c>
      <c r="R71" s="57" t="str">
        <f>IF(Klisz_Verbräuche[[#Headers],[2027]]=$B$57,IF(COUNTIF($F71:Klisz_Verbräuche[[#This Row],[2026]],"&gt;0")&gt;0, AVERAGEIF($F71:Klisz_Verbräuche[[#This Row],[2026]],"&lt;&gt;"), ""),IF($B$57&lt;Klisz_Verbräuche[[#Headers],[2027]],IF(COUNTIF($F71:Klisz_Verbräuche[[#This Row],[2026]],"&gt;0")&gt;0,IF(COUNTIF($F71:Klisz_Verbräuche[[#This Row],[2026]],"&gt;0")&gt;0,Klisz_Verbräuche[[#This Row],[2026]]*(1-$E71)^1, ""), ""),IF($B$57&gt;Klisz_Verbräuche[[#Headers],[2027]],Refsz_Verbräuche[[#This Row],[2027]],"")))</f>
        <v/>
      </c>
      <c r="S71" s="57" t="str">
        <f>IF(Klisz_Verbräuche[[#Headers],[2028]]=$B$57,IF(COUNTIF($F71:Klisz_Verbräuche[[#This Row],[2027]],"&gt;0")&gt;0, AVERAGEIF($F71:Klisz_Verbräuche[[#This Row],[2027]],"&lt;&gt;"), ""),IF($B$57&lt;Klisz_Verbräuche[[#Headers],[2028]],IF(COUNTIF($F71:Klisz_Verbräuche[[#This Row],[2027]],"&gt;0")&gt;0,IF(COUNTIF($F71:Klisz_Verbräuche[[#This Row],[2027]],"&gt;0")&gt;0,Klisz_Verbräuche[[#This Row],[2027]]*(1-$E71)^1, ""), ""),IF($B$57&gt;Klisz_Verbräuche[[#Headers],[2028]],Refsz_Verbräuche[[#This Row],[2028]],"")))</f>
        <v/>
      </c>
      <c r="T71" s="57" t="str">
        <f>IF(Klisz_Verbräuche[[#Headers],[2029]]=$B$57,IF(COUNTIF($F71:Klisz_Verbräuche[[#This Row],[2028]],"&gt;0")&gt;0, AVERAGEIF($F71:Klisz_Verbräuche[[#This Row],[2028]],"&lt;&gt;"), ""),IF($B$57&lt;Klisz_Verbräuche[[#Headers],[2029]],IF(COUNTIF($F71:Klisz_Verbräuche[[#This Row],[2028]],"&gt;0")&gt;0,IF(COUNTIF($F71:Klisz_Verbräuche[[#This Row],[2028]],"&gt;0")&gt;0,Klisz_Verbräuche[[#This Row],[2028]]*(1-$E71)^1, ""), ""),IF($B$57&gt;Klisz_Verbräuche[[#Headers],[2029]],Refsz_Verbräuche[[#This Row],[2029]],"")))</f>
        <v/>
      </c>
      <c r="U71" s="57" t="str">
        <f>IF(Klisz_Verbräuche[[#Headers],[2030]]=$B$57,IF(COUNTIF($F71:Klisz_Verbräuche[[#This Row],[2029]],"&gt;0")&gt;0, AVERAGEIF($F71:Klisz_Verbräuche[[#This Row],[2029]],"&lt;&gt;"), ""),IF($B$57&lt;Klisz_Verbräuche[[#Headers],[2030]],IF(COUNTIF($F71:Klisz_Verbräuche[[#This Row],[2029]],"&gt;0")&gt;0,IF(COUNTIF($F71:Klisz_Verbräuche[[#This Row],[2029]],"&gt;0")&gt;0,Klisz_Verbräuche[[#This Row],[2029]]*(1-$E71)^1, ""), ""),IF($B$57&gt;Klisz_Verbräuche[[#Headers],[2030]],Refsz_Verbräuche[[#This Row],[2030]],"")))</f>
        <v/>
      </c>
      <c r="V71" s="57" t="str">
        <f>IF(Klisz_Verbräuche[[#Headers],[2035]]=$B$57,IF(COUNTIF($F71:Klisz_Verbräuche[[#This Row],[2030]],"&gt;0")&gt;0, AVERAGEIF($F71:Klisz_Verbräuche[[#This Row],[2030]],"&lt;&gt;"), ""),IF($B$57&lt;Klisz_Verbräuche[[#Headers],[2035]],IF(COUNTIF($F71:Klisz_Verbräuche[[#This Row],[2030]],"&gt;0")&gt;0,IF(COUNTIF($F71:Klisz_Verbräuche[[#This Row],[2030]],"&gt;0")&gt;0,Klisz_Verbräuche[[#This Row],[2030]]*(1-$E71)^5, ""), ""),IF($B$57&gt;Klisz_Verbräuche[[#Headers],[2035]],Refsz_Verbräuche[[#This Row],[2035]],"")))</f>
        <v/>
      </c>
      <c r="W71" s="57" t="str">
        <f>IF(Klisz_Verbräuche[[#Headers],[2040]]=$B$57,IF(COUNTIF($F71:Klisz_Verbräuche[[#This Row],[2035]],"&gt;0")&gt;0, AVERAGEIF($F71:Klisz_Verbräuche[[#This Row],[2035]],"&lt;&gt;"), ""),IF($B$57&lt;Klisz_Verbräuche[[#Headers],[2040]],IF(COUNTIF($F71:Klisz_Verbräuche[[#This Row],[2035]],"&gt;0")&gt;0,IF(COUNTIF($F71:Klisz_Verbräuche[[#This Row],[2035]],"&gt;0")&gt;0,Klisz_Verbräuche[[#This Row],[2035]]*(1-$E71)^5, ""), ""),IF($B$57&gt;Klisz_Verbräuche[[#Headers],[2040]],Refsz_Verbräuche[[#This Row],[2040]],"")))</f>
        <v/>
      </c>
      <c r="X71" s="57" t="str">
        <f>IF(Klisz_Verbräuche[[#Headers],[2045]]=$B$57,IF(COUNTIF($F71:Klisz_Verbräuche[[#This Row],[2040]],"&gt;0")&gt;0, AVERAGEIF($F71:Klisz_Verbräuche[[#This Row],[2040]],"&lt;&gt;"), ""),IF($B$57&lt;Klisz_Verbräuche[[#Headers],[2045]],IF(COUNTIF($F71:Klisz_Verbräuche[[#This Row],[2040]],"&gt;0")&gt;0,IF(COUNTIF($F71:Klisz_Verbräuche[[#This Row],[2040]],"&gt;0")&gt;0,Klisz_Verbräuche[[#This Row],[2040]]*(1-$E71)^5, ""), ""),IF($B$57&gt;Klisz_Verbräuche[[#Headers],[2045]],Refsz_Verbräuche[[#This Row],[2045]],"")))</f>
        <v/>
      </c>
      <c r="Y71" s="57" t="str">
        <f>IF(Klisz_Verbräuche[[#Headers],[2050]]=$B$57,IF(COUNTIF($F71:Klisz_Verbräuche[[#This Row],[2045]],"&gt;0")&gt;0, AVERAGEIF($F71:Klisz_Verbräuche[[#This Row],[2045]],"&lt;&gt;"), ""),IF($B$57&lt;Klisz_Verbräuche[[#Headers],[2050]],IF(COUNTIF($F71:Klisz_Verbräuche[[#This Row],[2045]],"&gt;0")&gt;0,IF(COUNTIF($F71:Klisz_Verbräuche[[#This Row],[2045]],"&gt;0")&gt;0,Klisz_Verbräuche[[#This Row],[2045]]*(1-$E71)^5, ""), ""),IF($B$57&gt;Klisz_Verbräuche[[#Headers],[2050]],Refsz_Verbräuche[[#This Row],[2050]],"")))</f>
        <v/>
      </c>
      <c r="Z71" s="15"/>
    </row>
    <row r="72" spans="2:26" x14ac:dyDescent="0.35">
      <c r="B72" s="15">
        <v>12</v>
      </c>
      <c r="C72" s="54" t="str">
        <f>Refsz_Verbräuche[[#This Row],[Datenpunkt]]</f>
        <v>Wärme (Erdgas)</v>
      </c>
      <c r="D72" s="29" t="str">
        <f>Refsz_Verbräuche[[#This Row],[Einheit]]</f>
        <v>MWh</v>
      </c>
      <c r="E72" s="122"/>
      <c r="F72" s="15" t="str">
        <f>IF(ISBLANK(Refsz_Verbräuche[[#This Row],[2015]]),"",Refsz_Verbräuche[[#This Row],[2015]])</f>
        <v/>
      </c>
      <c r="G72" s="15" t="str">
        <f>IF(ISBLANK(Refsz_Verbräuche[[#This Row],[2016]]),"",Refsz_Verbräuche[[#This Row],[2016]])</f>
        <v/>
      </c>
      <c r="H72" s="15" t="str">
        <f>IF(ISBLANK(Refsz_Verbräuche[[#This Row],[2017]]),"",Refsz_Verbräuche[[#This Row],[2017]])</f>
        <v/>
      </c>
      <c r="I72" s="15" t="str">
        <f>IF(ISBLANK(Refsz_Verbräuche[[#This Row],[2018]]),"",Refsz_Verbräuche[[#This Row],[2018]])</f>
        <v/>
      </c>
      <c r="J72" s="15" t="str">
        <f>IF(ISBLANK(Refsz_Verbräuche[[#This Row],[2019]]),"",Refsz_Verbräuche[[#This Row],[2019]])</f>
        <v/>
      </c>
      <c r="K72" s="15" t="str">
        <f>IF(ISBLANK(Refsz_Verbräuche[[#This Row],[2020]]),"",Refsz_Verbräuche[[#This Row],[2020]])</f>
        <v/>
      </c>
      <c r="L72" s="15" t="str">
        <f>IF(ISBLANK(Refsz_Verbräuche[[#This Row],[2021]]),"",Refsz_Verbräuche[[#This Row],[2021]])</f>
        <v/>
      </c>
      <c r="M72" s="57" t="str">
        <f>IF(Klisz_Verbräuche[[#Headers],[2022]]=$B$57,IF(COUNTIF($F72:Klisz_Verbräuche[[#This Row],[2021]],"&gt;0")&gt;0, AVERAGEIF($F72:Klisz_Verbräuche[[#This Row],[2021]],"&lt;&gt;"), ""),IF($B$57&lt;Klisz_Verbräuche[[#Headers],[2022]],IF(COUNTIF($F72:Klisz_Verbräuche[[#This Row],[2021]],"&gt;0")&gt;0,IF(COUNTIF($F72:Klisz_Verbräuche[[#This Row],[2021]],"&gt;0")&gt;0,Klisz_Verbräuche[[#This Row],[2021]]*(1-$E72)^1, ""), ""),IF($B$57&gt;Klisz_Verbräuche[[#Headers],[2022]],Refsz_Verbräuche[[#This Row],[2022]],"")))</f>
        <v/>
      </c>
      <c r="N72" s="57" t="str">
        <f>IF(Klisz_Verbräuche[[#Headers],[2023]]=$B$57,IF(COUNTIF($F72:Klisz_Verbräuche[[#This Row],[2022]],"&gt;0")&gt;0, AVERAGEIF($F72:Klisz_Verbräuche[[#This Row],[2022]],"&lt;&gt;"), ""),IF($B$57&lt;Klisz_Verbräuche[[#Headers],[2023]],IF(COUNTIF($F72:Klisz_Verbräuche[[#This Row],[2022]],"&gt;0")&gt;0,IF(COUNTIF($F72:Klisz_Verbräuche[[#This Row],[2022]],"&gt;0")&gt;0,Klisz_Verbräuche[[#This Row],[2022]]*(1-$E72)^1, ""), ""),IF($B$57&gt;Klisz_Verbräuche[[#Headers],[2023]],Refsz_Verbräuche[[#This Row],[2023]],"")))</f>
        <v/>
      </c>
      <c r="O72" s="57" t="str">
        <f>IF(Klisz_Verbräuche[[#Headers],[2024]]=$B$57,IF(COUNTIF($F72:Klisz_Verbräuche[[#This Row],[2023]],"&gt;0")&gt;0, AVERAGEIF($F72:Klisz_Verbräuche[[#This Row],[2023]],"&lt;&gt;"), ""),IF($B$57&lt;Klisz_Verbräuche[[#Headers],[2024]],IF(COUNTIF($F72:Klisz_Verbräuche[[#This Row],[2023]],"&gt;0")&gt;0,IF(COUNTIF($F72:Klisz_Verbräuche[[#This Row],[2023]],"&gt;0")&gt;0,Klisz_Verbräuche[[#This Row],[2023]]*(1-$E72)^1, ""), ""),IF($B$57&gt;Klisz_Verbräuche[[#Headers],[2024]],Refsz_Verbräuche[[#This Row],[2024]],"")))</f>
        <v/>
      </c>
      <c r="P72" s="57" t="str">
        <f>IF(Klisz_Verbräuche[[#Headers],[2025]]=$B$57,IF(COUNTIF($F72:Klisz_Verbräuche[[#This Row],[2024]],"&gt;0")&gt;0, AVERAGEIF($F72:Klisz_Verbräuche[[#This Row],[2024]],"&lt;&gt;"), ""),IF($B$57&lt;Klisz_Verbräuche[[#Headers],[2025]],IF(COUNTIF($F72:Klisz_Verbräuche[[#This Row],[2024]],"&gt;0")&gt;0,IF(COUNTIF($F72:Klisz_Verbräuche[[#This Row],[2024]],"&gt;0")&gt;0,Klisz_Verbräuche[[#This Row],[2024]]*(1-$E72)^1, ""), ""),IF($B$57&gt;Klisz_Verbräuche[[#Headers],[2025]],Refsz_Verbräuche[[#This Row],[2025]],"")))</f>
        <v/>
      </c>
      <c r="Q72" s="57" t="str">
        <f>IF(Klisz_Verbräuche[[#Headers],[2026]]=$B$57,IF(COUNTIF($F72:Klisz_Verbräuche[[#This Row],[2025]],"&gt;0")&gt;0, AVERAGEIF($F72:Klisz_Verbräuche[[#This Row],[2025]],"&lt;&gt;"), ""),IF($B$57&lt;Klisz_Verbräuche[[#Headers],[2026]],IF(COUNTIF($F72:Klisz_Verbräuche[[#This Row],[2025]],"&gt;0")&gt;0,IF(COUNTIF($F72:Klisz_Verbräuche[[#This Row],[2025]],"&gt;0")&gt;0,Klisz_Verbräuche[[#This Row],[2025]]*(1-$E72)^1, ""), ""),IF($B$57&gt;Klisz_Verbräuche[[#Headers],[2026]],Refsz_Verbräuche[[#This Row],[2026]],"")))</f>
        <v/>
      </c>
      <c r="R72" s="57" t="str">
        <f>IF(Klisz_Verbräuche[[#Headers],[2027]]=$B$57,IF(COUNTIF($F72:Klisz_Verbräuche[[#This Row],[2026]],"&gt;0")&gt;0, AVERAGEIF($F72:Klisz_Verbräuche[[#This Row],[2026]],"&lt;&gt;"), ""),IF($B$57&lt;Klisz_Verbräuche[[#Headers],[2027]],IF(COUNTIF($F72:Klisz_Verbräuche[[#This Row],[2026]],"&gt;0")&gt;0,IF(COUNTIF($F72:Klisz_Verbräuche[[#This Row],[2026]],"&gt;0")&gt;0,Klisz_Verbräuche[[#This Row],[2026]]*(1-$E72)^1, ""), ""),IF($B$57&gt;Klisz_Verbräuche[[#Headers],[2027]],Refsz_Verbräuche[[#This Row],[2027]],"")))</f>
        <v/>
      </c>
      <c r="S72" s="57" t="str">
        <f>IF(Klisz_Verbräuche[[#Headers],[2028]]=$B$57,IF(COUNTIF($F72:Klisz_Verbräuche[[#This Row],[2027]],"&gt;0")&gt;0, AVERAGEIF($F72:Klisz_Verbräuche[[#This Row],[2027]],"&lt;&gt;"), ""),IF($B$57&lt;Klisz_Verbräuche[[#Headers],[2028]],IF(COUNTIF($F72:Klisz_Verbräuche[[#This Row],[2027]],"&gt;0")&gt;0,IF(COUNTIF($F72:Klisz_Verbräuche[[#This Row],[2027]],"&gt;0")&gt;0,Klisz_Verbräuche[[#This Row],[2027]]*(1-$E72)^1, ""), ""),IF($B$57&gt;Klisz_Verbräuche[[#Headers],[2028]],Refsz_Verbräuche[[#This Row],[2028]],"")))</f>
        <v/>
      </c>
      <c r="T72" s="57" t="str">
        <f>IF(Klisz_Verbräuche[[#Headers],[2029]]=$B$57,IF(COUNTIF($F72:Klisz_Verbräuche[[#This Row],[2028]],"&gt;0")&gt;0, AVERAGEIF($F72:Klisz_Verbräuche[[#This Row],[2028]],"&lt;&gt;"), ""),IF($B$57&lt;Klisz_Verbräuche[[#Headers],[2029]],IF(COUNTIF($F72:Klisz_Verbräuche[[#This Row],[2028]],"&gt;0")&gt;0,IF(COUNTIF($F72:Klisz_Verbräuche[[#This Row],[2028]],"&gt;0")&gt;0,Klisz_Verbräuche[[#This Row],[2028]]*(1-$E72)^1, ""), ""),IF($B$57&gt;Klisz_Verbräuche[[#Headers],[2029]],Refsz_Verbräuche[[#This Row],[2029]],"")))</f>
        <v/>
      </c>
      <c r="U72" s="57" t="str">
        <f>IF(Klisz_Verbräuche[[#Headers],[2030]]=$B$57,IF(COUNTIF($F72:Klisz_Verbräuche[[#This Row],[2029]],"&gt;0")&gt;0, AVERAGEIF($F72:Klisz_Verbräuche[[#This Row],[2029]],"&lt;&gt;"), ""),IF($B$57&lt;Klisz_Verbräuche[[#Headers],[2030]],IF(COUNTIF($F72:Klisz_Verbräuche[[#This Row],[2029]],"&gt;0")&gt;0,IF(COUNTIF($F72:Klisz_Verbräuche[[#This Row],[2029]],"&gt;0")&gt;0,Klisz_Verbräuche[[#This Row],[2029]]*(1-$E72)^1, ""), ""),IF($B$57&gt;Klisz_Verbräuche[[#Headers],[2030]],Refsz_Verbräuche[[#This Row],[2030]],"")))</f>
        <v/>
      </c>
      <c r="V72" s="57" t="str">
        <f>IF(Klisz_Verbräuche[[#Headers],[2035]]=$B$57,IF(COUNTIF($F72:Klisz_Verbräuche[[#This Row],[2030]],"&gt;0")&gt;0, AVERAGEIF($F72:Klisz_Verbräuche[[#This Row],[2030]],"&lt;&gt;"), ""),IF($B$57&lt;Klisz_Verbräuche[[#Headers],[2035]],IF(COUNTIF($F72:Klisz_Verbräuche[[#This Row],[2030]],"&gt;0")&gt;0,IF(COUNTIF($F72:Klisz_Verbräuche[[#This Row],[2030]],"&gt;0")&gt;0,Klisz_Verbräuche[[#This Row],[2030]]*(1-$E72)^5, ""), ""),IF($B$57&gt;Klisz_Verbräuche[[#Headers],[2035]],Refsz_Verbräuche[[#This Row],[2035]],"")))</f>
        <v/>
      </c>
      <c r="W72" s="57" t="str">
        <f>IF(Klisz_Verbräuche[[#Headers],[2040]]=$B$57,IF(COUNTIF($F72:Klisz_Verbräuche[[#This Row],[2035]],"&gt;0")&gt;0, AVERAGEIF($F72:Klisz_Verbräuche[[#This Row],[2035]],"&lt;&gt;"), ""),IF($B$57&lt;Klisz_Verbräuche[[#Headers],[2040]],IF(COUNTIF($F72:Klisz_Verbräuche[[#This Row],[2035]],"&gt;0")&gt;0,IF(COUNTIF($F72:Klisz_Verbräuche[[#This Row],[2035]],"&gt;0")&gt;0,Klisz_Verbräuche[[#This Row],[2035]]*(1-$E72)^5, ""), ""),IF($B$57&gt;Klisz_Verbräuche[[#Headers],[2040]],Refsz_Verbräuche[[#This Row],[2040]],"")))</f>
        <v/>
      </c>
      <c r="X72" s="57" t="str">
        <f>IF(Klisz_Verbräuche[[#Headers],[2045]]=$B$57,IF(COUNTIF($F72:Klisz_Verbräuche[[#This Row],[2040]],"&gt;0")&gt;0, AVERAGEIF($F72:Klisz_Verbräuche[[#This Row],[2040]],"&lt;&gt;"), ""),IF($B$57&lt;Klisz_Verbräuche[[#Headers],[2045]],IF(COUNTIF($F72:Klisz_Verbräuche[[#This Row],[2040]],"&gt;0")&gt;0,IF(COUNTIF($F72:Klisz_Verbräuche[[#This Row],[2040]],"&gt;0")&gt;0,Klisz_Verbräuche[[#This Row],[2040]]*(1-$E72)^5, ""), ""),IF($B$57&gt;Klisz_Verbräuche[[#Headers],[2045]],Refsz_Verbräuche[[#This Row],[2045]],"")))</f>
        <v/>
      </c>
      <c r="Y72" s="57" t="str">
        <f>IF(Klisz_Verbräuche[[#Headers],[2050]]=$B$57,IF(COUNTIF($F72:Klisz_Verbräuche[[#This Row],[2045]],"&gt;0")&gt;0, AVERAGEIF($F72:Klisz_Verbräuche[[#This Row],[2045]],"&lt;&gt;"), ""),IF($B$57&lt;Klisz_Verbräuche[[#Headers],[2050]],IF(COUNTIF($F72:Klisz_Verbräuche[[#This Row],[2045]],"&gt;0")&gt;0,IF(COUNTIF($F72:Klisz_Verbräuche[[#This Row],[2045]],"&gt;0")&gt;0,Klisz_Verbräuche[[#This Row],[2045]]*(1-$E72)^5, ""), ""),IF($B$57&gt;Klisz_Verbräuche[[#Headers],[2050]],Refsz_Verbräuche[[#This Row],[2050]],"")))</f>
        <v/>
      </c>
      <c r="Z72" s="15"/>
    </row>
    <row r="73" spans="2:26" hidden="1" x14ac:dyDescent="0.35">
      <c r="B73" s="15">
        <v>13</v>
      </c>
      <c r="C73" s="54" t="str">
        <f>Refsz_Verbräuche[[#This Row],[Datenpunkt]]</f>
        <v>Wärme (BHKW)</v>
      </c>
      <c r="D73" s="175" t="str">
        <f>Refsz_Verbräuche[[#This Row],[Einheit]]</f>
        <v>Nichts eintragen</v>
      </c>
      <c r="E73" s="122"/>
      <c r="F73" s="15" t="str">
        <f>IF(ISBLANK(Refsz_Verbräuche[[#This Row],[2015]]),"",Refsz_Verbräuche[[#This Row],[2015]])</f>
        <v/>
      </c>
      <c r="G73" s="15" t="str">
        <f>IF(ISBLANK(Refsz_Verbräuche[[#This Row],[2016]]),"",Refsz_Verbräuche[[#This Row],[2016]])</f>
        <v/>
      </c>
      <c r="H73" s="15" t="str">
        <f>IF(ISBLANK(Refsz_Verbräuche[[#This Row],[2017]]),"",Refsz_Verbräuche[[#This Row],[2017]])</f>
        <v/>
      </c>
      <c r="I73" s="15" t="str">
        <f>IF(ISBLANK(Refsz_Verbräuche[[#This Row],[2018]]),"",Refsz_Verbräuche[[#This Row],[2018]])</f>
        <v/>
      </c>
      <c r="J73" s="15" t="str">
        <f>IF(ISBLANK(Refsz_Verbräuche[[#This Row],[2019]]),"",Refsz_Verbräuche[[#This Row],[2019]])</f>
        <v/>
      </c>
      <c r="K73" s="15" t="str">
        <f>IF(ISBLANK(Refsz_Verbräuche[[#This Row],[2020]]),"",Refsz_Verbräuche[[#This Row],[2020]])</f>
        <v/>
      </c>
      <c r="L73" s="15" t="str">
        <f>IF(ISBLANK(Refsz_Verbräuche[[#This Row],[2021]]),"",Refsz_Verbräuche[[#This Row],[2021]])</f>
        <v/>
      </c>
      <c r="M73" s="57" t="str">
        <f>IF(Klisz_Verbräuche[[#Headers],[2022]]=$B$57,IF(COUNTIF($F73:Klisz_Verbräuche[[#This Row],[2021]],"&gt;0")&gt;0, AVERAGEIF($F73:Klisz_Verbräuche[[#This Row],[2021]],"&lt;&gt;"), ""),IF($B$57&lt;Klisz_Verbräuche[[#Headers],[2022]],IF(COUNTIF($F73:Klisz_Verbräuche[[#This Row],[2021]],"&gt;0")&gt;0,IF(COUNTIF($F73:Klisz_Verbräuche[[#This Row],[2021]],"&gt;0")&gt;0,Klisz_Verbräuche[[#This Row],[2021]]*(1-$E73)^1, ""), ""),IF($B$57&gt;Klisz_Verbräuche[[#Headers],[2022]],Refsz_Verbräuche[[#This Row],[2022]],"")))</f>
        <v/>
      </c>
      <c r="N73" s="57" t="str">
        <f>IF(Klisz_Verbräuche[[#Headers],[2023]]=$B$57,IF(COUNTIF($F73:Klisz_Verbräuche[[#This Row],[2022]],"&gt;0")&gt;0, AVERAGEIF($F73:Klisz_Verbräuche[[#This Row],[2022]],"&lt;&gt;"), ""),IF($B$57&lt;Klisz_Verbräuche[[#Headers],[2023]],IF(COUNTIF($F73:Klisz_Verbräuche[[#This Row],[2022]],"&gt;0")&gt;0,IF(COUNTIF($F73:Klisz_Verbräuche[[#This Row],[2022]],"&gt;0")&gt;0,Klisz_Verbräuche[[#This Row],[2022]]*(1-$E73)^1, ""), ""),IF($B$57&gt;Klisz_Verbräuche[[#Headers],[2023]],Refsz_Verbräuche[[#This Row],[2023]],"")))</f>
        <v/>
      </c>
      <c r="O73" s="57" t="str">
        <f>IF(Klisz_Verbräuche[[#Headers],[2024]]=$B$57,IF(COUNTIF($F73:Klisz_Verbräuche[[#This Row],[2023]],"&gt;0")&gt;0, AVERAGEIF($F73:Klisz_Verbräuche[[#This Row],[2023]],"&lt;&gt;"), ""),IF($B$57&lt;Klisz_Verbräuche[[#Headers],[2024]],IF(COUNTIF($F73:Klisz_Verbräuche[[#This Row],[2023]],"&gt;0")&gt;0,IF(COUNTIF($F73:Klisz_Verbräuche[[#This Row],[2023]],"&gt;0")&gt;0,Klisz_Verbräuche[[#This Row],[2023]]*(1-$E73)^1, ""), ""),IF($B$57&gt;Klisz_Verbräuche[[#Headers],[2024]],Refsz_Verbräuche[[#This Row],[2024]],"")))</f>
        <v/>
      </c>
      <c r="P73" s="57" t="str">
        <f>IF(Klisz_Verbräuche[[#Headers],[2025]]=$B$57,IF(COUNTIF($F73:Klisz_Verbräuche[[#This Row],[2024]],"&gt;0")&gt;0, AVERAGEIF($F73:Klisz_Verbräuche[[#This Row],[2024]],"&lt;&gt;"), ""),IF($B$57&lt;Klisz_Verbräuche[[#Headers],[2025]],IF(COUNTIF($F73:Klisz_Verbräuche[[#This Row],[2024]],"&gt;0")&gt;0,IF(COUNTIF($F73:Klisz_Verbräuche[[#This Row],[2024]],"&gt;0")&gt;0,Klisz_Verbräuche[[#This Row],[2024]]*(1-$E73)^1, ""), ""),IF($B$57&gt;Klisz_Verbräuche[[#Headers],[2025]],Refsz_Verbräuche[[#This Row],[2025]],"")))</f>
        <v/>
      </c>
      <c r="Q73" s="57" t="str">
        <f>IF(Klisz_Verbräuche[[#Headers],[2026]]=$B$57,IF(COUNTIF($F73:Klisz_Verbräuche[[#This Row],[2025]],"&gt;0")&gt;0, AVERAGEIF($F73:Klisz_Verbräuche[[#This Row],[2025]],"&lt;&gt;"), ""),IF($B$57&lt;Klisz_Verbräuche[[#Headers],[2026]],IF(COUNTIF($F73:Klisz_Verbräuche[[#This Row],[2025]],"&gt;0")&gt;0,IF(COUNTIF($F73:Klisz_Verbräuche[[#This Row],[2025]],"&gt;0")&gt;0,Klisz_Verbräuche[[#This Row],[2025]]*(1-$E73)^1, ""), ""),IF($B$57&gt;Klisz_Verbräuche[[#Headers],[2026]],Refsz_Verbräuche[[#This Row],[2026]],"")))</f>
        <v/>
      </c>
      <c r="R73" s="57" t="str">
        <f>IF(Klisz_Verbräuche[[#Headers],[2027]]=$B$57,IF(COUNTIF($F73:Klisz_Verbräuche[[#This Row],[2026]],"&gt;0")&gt;0, AVERAGEIF($F73:Klisz_Verbräuche[[#This Row],[2026]],"&lt;&gt;"), ""),IF($B$57&lt;Klisz_Verbräuche[[#Headers],[2027]],IF(COUNTIF($F73:Klisz_Verbräuche[[#This Row],[2026]],"&gt;0")&gt;0,IF(COUNTIF($F73:Klisz_Verbräuche[[#This Row],[2026]],"&gt;0")&gt;0,Klisz_Verbräuche[[#This Row],[2026]]*(1-$E73)^1, ""), ""),IF($B$57&gt;Klisz_Verbräuche[[#Headers],[2027]],Refsz_Verbräuche[[#This Row],[2027]],"")))</f>
        <v/>
      </c>
      <c r="S73" s="57" t="str">
        <f>IF(Klisz_Verbräuche[[#Headers],[2028]]=$B$57,IF(COUNTIF($F73:Klisz_Verbräuche[[#This Row],[2027]],"&gt;0")&gt;0, AVERAGEIF($F73:Klisz_Verbräuche[[#This Row],[2027]],"&lt;&gt;"), ""),IF($B$57&lt;Klisz_Verbräuche[[#Headers],[2028]],IF(COUNTIF($F73:Klisz_Verbräuche[[#This Row],[2027]],"&gt;0")&gt;0,IF(COUNTIF($F73:Klisz_Verbräuche[[#This Row],[2027]],"&gt;0")&gt;0,Klisz_Verbräuche[[#This Row],[2027]]*(1-$E73)^1, ""), ""),IF($B$57&gt;Klisz_Verbräuche[[#Headers],[2028]],Refsz_Verbräuche[[#This Row],[2028]],"")))</f>
        <v/>
      </c>
      <c r="T73" s="57" t="str">
        <f>IF(Klisz_Verbräuche[[#Headers],[2029]]=$B$57,IF(COUNTIF($F73:Klisz_Verbräuche[[#This Row],[2028]],"&gt;0")&gt;0, AVERAGEIF($F73:Klisz_Verbräuche[[#This Row],[2028]],"&lt;&gt;"), ""),IF($B$57&lt;Klisz_Verbräuche[[#Headers],[2029]],IF(COUNTIF($F73:Klisz_Verbräuche[[#This Row],[2028]],"&gt;0")&gt;0,IF(COUNTIF($F73:Klisz_Verbräuche[[#This Row],[2028]],"&gt;0")&gt;0,Klisz_Verbräuche[[#This Row],[2028]]*(1-$E73)^1, ""), ""),IF($B$57&gt;Klisz_Verbräuche[[#Headers],[2029]],Refsz_Verbräuche[[#This Row],[2029]],"")))</f>
        <v/>
      </c>
      <c r="U73" s="57" t="str">
        <f>IF(Klisz_Verbräuche[[#Headers],[2030]]=$B$57,IF(COUNTIF($F73:Klisz_Verbräuche[[#This Row],[2029]],"&gt;0")&gt;0, AVERAGEIF($F73:Klisz_Verbräuche[[#This Row],[2029]],"&lt;&gt;"), ""),IF($B$57&lt;Klisz_Verbräuche[[#Headers],[2030]],IF(COUNTIF($F73:Klisz_Verbräuche[[#This Row],[2029]],"&gt;0")&gt;0,IF(COUNTIF($F73:Klisz_Verbräuche[[#This Row],[2029]],"&gt;0")&gt;0,Klisz_Verbräuche[[#This Row],[2029]]*(1-$E73)^1, ""), ""),IF($B$57&gt;Klisz_Verbräuche[[#Headers],[2030]],Refsz_Verbräuche[[#This Row],[2030]],"")))</f>
        <v/>
      </c>
      <c r="V73" s="57" t="str">
        <f>IF(Klisz_Verbräuche[[#Headers],[2035]]=$B$57,IF(COUNTIF($F73:Klisz_Verbräuche[[#This Row],[2030]],"&gt;0")&gt;0, AVERAGEIF($F73:Klisz_Verbräuche[[#This Row],[2030]],"&lt;&gt;"), ""),IF($B$57&lt;Klisz_Verbräuche[[#Headers],[2035]],IF(COUNTIF($F73:Klisz_Verbräuche[[#This Row],[2030]],"&gt;0")&gt;0,IF(COUNTIF($F73:Klisz_Verbräuche[[#This Row],[2030]],"&gt;0")&gt;0,Klisz_Verbräuche[[#This Row],[2030]]*(1-$E73)^5, ""), ""),IF($B$57&gt;Klisz_Verbräuche[[#Headers],[2035]],Refsz_Verbräuche[[#This Row],[2035]],"")))</f>
        <v/>
      </c>
      <c r="W73" s="57" t="str">
        <f>IF(Klisz_Verbräuche[[#Headers],[2040]]=$B$57,IF(COUNTIF($F73:Klisz_Verbräuche[[#This Row],[2035]],"&gt;0")&gt;0, AVERAGEIF($F73:Klisz_Verbräuche[[#This Row],[2035]],"&lt;&gt;"), ""),IF($B$57&lt;Klisz_Verbräuche[[#Headers],[2040]],IF(COUNTIF($F73:Klisz_Verbräuche[[#This Row],[2035]],"&gt;0")&gt;0,IF(COUNTIF($F73:Klisz_Verbräuche[[#This Row],[2035]],"&gt;0")&gt;0,Klisz_Verbräuche[[#This Row],[2035]]*(1-$E73)^5, ""), ""),IF($B$57&gt;Klisz_Verbräuche[[#Headers],[2040]],Refsz_Verbräuche[[#This Row],[2040]],"")))</f>
        <v/>
      </c>
      <c r="X73" s="57" t="str">
        <f>IF(Klisz_Verbräuche[[#Headers],[2045]]=$B$57,IF(COUNTIF($F73:Klisz_Verbräuche[[#This Row],[2040]],"&gt;0")&gt;0, AVERAGEIF($F73:Klisz_Verbräuche[[#This Row],[2040]],"&lt;&gt;"), ""),IF($B$57&lt;Klisz_Verbräuche[[#Headers],[2045]],IF(COUNTIF($F73:Klisz_Verbräuche[[#This Row],[2040]],"&gt;0")&gt;0,IF(COUNTIF($F73:Klisz_Verbräuche[[#This Row],[2040]],"&gt;0")&gt;0,Klisz_Verbräuche[[#This Row],[2040]]*(1-$E73)^5, ""), ""),IF($B$57&gt;Klisz_Verbräuche[[#Headers],[2045]],Refsz_Verbräuche[[#This Row],[2045]],"")))</f>
        <v/>
      </c>
      <c r="Y73" s="57" t="str">
        <f>IF(Klisz_Verbräuche[[#Headers],[2050]]=$B$57,IF(COUNTIF($F73:Klisz_Verbräuche[[#This Row],[2045]],"&gt;0")&gt;0, AVERAGEIF($F73:Klisz_Verbräuche[[#This Row],[2045]],"&lt;&gt;"), ""),IF($B$57&lt;Klisz_Verbräuche[[#Headers],[2050]],IF(COUNTIF($F73:Klisz_Verbräuche[[#This Row],[2045]],"&gt;0")&gt;0,IF(COUNTIF($F73:Klisz_Verbräuche[[#This Row],[2045]],"&gt;0")&gt;0,Klisz_Verbräuche[[#This Row],[2045]]*(1-$E73)^5, ""), ""),IF($B$57&gt;Klisz_Verbräuche[[#Headers],[2050]],Refsz_Verbräuche[[#This Row],[2050]],"")))</f>
        <v/>
      </c>
      <c r="Z73" s="15"/>
    </row>
    <row r="74" spans="2:26" x14ac:dyDescent="0.35">
      <c r="B74" s="15">
        <v>14</v>
      </c>
      <c r="C74" s="54" t="str">
        <f>Refsz_Verbräuche[[#This Row],[Datenpunkt]]</f>
        <v>Wärme (Biogas)</v>
      </c>
      <c r="D74" s="29" t="str">
        <f>Refsz_Verbräuche[[#This Row],[Einheit]]</f>
        <v>MWh</v>
      </c>
      <c r="E74" s="122"/>
      <c r="F74" s="15" t="str">
        <f>IF(ISBLANK(Refsz_Verbräuche[[#This Row],[2015]]),"",Refsz_Verbräuche[[#This Row],[2015]])</f>
        <v/>
      </c>
      <c r="G74" s="15" t="str">
        <f>IF(ISBLANK(Refsz_Verbräuche[[#This Row],[2016]]),"",Refsz_Verbräuche[[#This Row],[2016]])</f>
        <v/>
      </c>
      <c r="H74" s="15" t="str">
        <f>IF(ISBLANK(Refsz_Verbräuche[[#This Row],[2017]]),"",Refsz_Verbräuche[[#This Row],[2017]])</f>
        <v/>
      </c>
      <c r="I74" s="15" t="str">
        <f>IF(ISBLANK(Refsz_Verbräuche[[#This Row],[2018]]),"",Refsz_Verbräuche[[#This Row],[2018]])</f>
        <v/>
      </c>
      <c r="J74" s="15" t="str">
        <f>IF(ISBLANK(Refsz_Verbräuche[[#This Row],[2019]]),"",Refsz_Verbräuche[[#This Row],[2019]])</f>
        <v/>
      </c>
      <c r="K74" s="15" t="str">
        <f>IF(ISBLANK(Refsz_Verbräuche[[#This Row],[2020]]),"",Refsz_Verbräuche[[#This Row],[2020]])</f>
        <v/>
      </c>
      <c r="L74" s="15" t="str">
        <f>IF(ISBLANK(Refsz_Verbräuche[[#This Row],[2021]]),"",Refsz_Verbräuche[[#This Row],[2021]])</f>
        <v/>
      </c>
      <c r="M74" s="57" t="str">
        <f>IF(Klisz_Verbräuche[[#Headers],[2022]]=$B$57,IF(COUNTIF($F74:Klisz_Verbräuche[[#This Row],[2021]],"&gt;0")&gt;0, AVERAGEIF($F74:Klisz_Verbräuche[[#This Row],[2021]],"&lt;&gt;"), ""),IF($B$57&lt;Klisz_Verbräuche[[#Headers],[2022]],IF(COUNTIF($F74:Klisz_Verbräuche[[#This Row],[2021]],"&gt;0")&gt;0,IF(COUNTIF($F74:Klisz_Verbräuche[[#This Row],[2021]],"&gt;0")&gt;0,Klisz_Verbräuche[[#This Row],[2021]]*(1-$E74)^1, ""), ""),IF($B$57&gt;Klisz_Verbräuche[[#Headers],[2022]],Refsz_Verbräuche[[#This Row],[2022]],"")))</f>
        <v/>
      </c>
      <c r="N74" s="57" t="str">
        <f>IF(Klisz_Verbräuche[[#Headers],[2023]]=$B$57,IF(COUNTIF($F74:Klisz_Verbräuche[[#This Row],[2022]],"&gt;0")&gt;0, AVERAGEIF($F74:Klisz_Verbräuche[[#This Row],[2022]],"&lt;&gt;"), ""),IF($B$57&lt;Klisz_Verbräuche[[#Headers],[2023]],IF(COUNTIF($F74:Klisz_Verbräuche[[#This Row],[2022]],"&gt;0")&gt;0,IF(COUNTIF($F74:Klisz_Verbräuche[[#This Row],[2022]],"&gt;0")&gt;0,Klisz_Verbräuche[[#This Row],[2022]]*(1-$E74)^1, ""), ""),IF($B$57&gt;Klisz_Verbräuche[[#Headers],[2023]],Refsz_Verbräuche[[#This Row],[2023]],"")))</f>
        <v/>
      </c>
      <c r="O74" s="57" t="str">
        <f>IF(Klisz_Verbräuche[[#Headers],[2024]]=$B$57,IF(COUNTIF($F74:Klisz_Verbräuche[[#This Row],[2023]],"&gt;0")&gt;0, AVERAGEIF($F74:Klisz_Verbräuche[[#This Row],[2023]],"&lt;&gt;"), ""),IF($B$57&lt;Klisz_Verbräuche[[#Headers],[2024]],IF(COUNTIF($F74:Klisz_Verbräuche[[#This Row],[2023]],"&gt;0")&gt;0,IF(COUNTIF($F74:Klisz_Verbräuche[[#This Row],[2023]],"&gt;0")&gt;0,Klisz_Verbräuche[[#This Row],[2023]]*(1-$E74)^1, ""), ""),IF($B$57&gt;Klisz_Verbräuche[[#Headers],[2024]],Refsz_Verbräuche[[#This Row],[2024]],"")))</f>
        <v/>
      </c>
      <c r="P74" s="57" t="str">
        <f>IF(Klisz_Verbräuche[[#Headers],[2025]]=$B$57,IF(COUNTIF($F74:Klisz_Verbräuche[[#This Row],[2024]],"&gt;0")&gt;0, AVERAGEIF($F74:Klisz_Verbräuche[[#This Row],[2024]],"&lt;&gt;"), ""),IF($B$57&lt;Klisz_Verbräuche[[#Headers],[2025]],IF(COUNTIF($F74:Klisz_Verbräuche[[#This Row],[2024]],"&gt;0")&gt;0,IF(COUNTIF($F74:Klisz_Verbräuche[[#This Row],[2024]],"&gt;0")&gt;0,Klisz_Verbräuche[[#This Row],[2024]]*(1-$E74)^1, ""), ""),IF($B$57&gt;Klisz_Verbräuche[[#Headers],[2025]],Refsz_Verbräuche[[#This Row],[2025]],"")))</f>
        <v/>
      </c>
      <c r="Q74" s="57" t="str">
        <f>IF(Klisz_Verbräuche[[#Headers],[2026]]=$B$57,IF(COUNTIF($F74:Klisz_Verbräuche[[#This Row],[2025]],"&gt;0")&gt;0, AVERAGEIF($F74:Klisz_Verbräuche[[#This Row],[2025]],"&lt;&gt;"), ""),IF($B$57&lt;Klisz_Verbräuche[[#Headers],[2026]],IF(COUNTIF($F74:Klisz_Verbräuche[[#This Row],[2025]],"&gt;0")&gt;0,IF(COUNTIF($F74:Klisz_Verbräuche[[#This Row],[2025]],"&gt;0")&gt;0,Klisz_Verbräuche[[#This Row],[2025]]*(1-$E74)^1, ""), ""),IF($B$57&gt;Klisz_Verbräuche[[#Headers],[2026]],Refsz_Verbräuche[[#This Row],[2026]],"")))</f>
        <v/>
      </c>
      <c r="R74" s="57" t="str">
        <f>IF(Klisz_Verbräuche[[#Headers],[2027]]=$B$57,IF(COUNTIF($F74:Klisz_Verbräuche[[#This Row],[2026]],"&gt;0")&gt;0, AVERAGEIF($F74:Klisz_Verbräuche[[#This Row],[2026]],"&lt;&gt;"), ""),IF($B$57&lt;Klisz_Verbräuche[[#Headers],[2027]],IF(COUNTIF($F74:Klisz_Verbräuche[[#This Row],[2026]],"&gt;0")&gt;0,IF(COUNTIF($F74:Klisz_Verbräuche[[#This Row],[2026]],"&gt;0")&gt;0,Klisz_Verbräuche[[#This Row],[2026]]*(1-$E74)^1, ""), ""),IF($B$57&gt;Klisz_Verbräuche[[#Headers],[2027]],Refsz_Verbräuche[[#This Row],[2027]],"")))</f>
        <v/>
      </c>
      <c r="S74" s="57" t="str">
        <f>IF(Klisz_Verbräuche[[#Headers],[2028]]=$B$57,IF(COUNTIF($F74:Klisz_Verbräuche[[#This Row],[2027]],"&gt;0")&gt;0, AVERAGEIF($F74:Klisz_Verbräuche[[#This Row],[2027]],"&lt;&gt;"), ""),IF($B$57&lt;Klisz_Verbräuche[[#Headers],[2028]],IF(COUNTIF($F74:Klisz_Verbräuche[[#This Row],[2027]],"&gt;0")&gt;0,IF(COUNTIF($F74:Klisz_Verbräuche[[#This Row],[2027]],"&gt;0")&gt;0,Klisz_Verbräuche[[#This Row],[2027]]*(1-$E74)^1, ""), ""),IF($B$57&gt;Klisz_Verbräuche[[#Headers],[2028]],Refsz_Verbräuche[[#This Row],[2028]],"")))</f>
        <v/>
      </c>
      <c r="T74" s="57" t="str">
        <f>IF(Klisz_Verbräuche[[#Headers],[2029]]=$B$57,IF(COUNTIF($F74:Klisz_Verbräuche[[#This Row],[2028]],"&gt;0")&gt;0, AVERAGEIF($F74:Klisz_Verbräuche[[#This Row],[2028]],"&lt;&gt;"), ""),IF($B$57&lt;Klisz_Verbräuche[[#Headers],[2029]],IF(COUNTIF($F74:Klisz_Verbräuche[[#This Row],[2028]],"&gt;0")&gt;0,IF(COUNTIF($F74:Klisz_Verbräuche[[#This Row],[2028]],"&gt;0")&gt;0,Klisz_Verbräuche[[#This Row],[2028]]*(1-$E74)^1, ""), ""),IF($B$57&gt;Klisz_Verbräuche[[#Headers],[2029]],Refsz_Verbräuche[[#This Row],[2029]],"")))</f>
        <v/>
      </c>
      <c r="U74" s="57" t="str">
        <f>IF(Klisz_Verbräuche[[#Headers],[2030]]=$B$57,IF(COUNTIF($F74:Klisz_Verbräuche[[#This Row],[2029]],"&gt;0")&gt;0, AVERAGEIF($F74:Klisz_Verbräuche[[#This Row],[2029]],"&lt;&gt;"), ""),IF($B$57&lt;Klisz_Verbräuche[[#Headers],[2030]],IF(COUNTIF($F74:Klisz_Verbräuche[[#This Row],[2029]],"&gt;0")&gt;0,IF(COUNTIF($F74:Klisz_Verbräuche[[#This Row],[2029]],"&gt;0")&gt;0,Klisz_Verbräuche[[#This Row],[2029]]*(1-$E74)^1, ""), ""),IF($B$57&gt;Klisz_Verbräuche[[#Headers],[2030]],Refsz_Verbräuche[[#This Row],[2030]],"")))</f>
        <v/>
      </c>
      <c r="V74" s="57" t="str">
        <f>IF(Klisz_Verbräuche[[#Headers],[2035]]=$B$57,IF(COUNTIF($F74:Klisz_Verbräuche[[#This Row],[2030]],"&gt;0")&gt;0, AVERAGEIF($F74:Klisz_Verbräuche[[#This Row],[2030]],"&lt;&gt;"), ""),IF($B$57&lt;Klisz_Verbräuche[[#Headers],[2035]],IF(COUNTIF($F74:Klisz_Verbräuche[[#This Row],[2030]],"&gt;0")&gt;0,IF(COUNTIF($F74:Klisz_Verbräuche[[#This Row],[2030]],"&gt;0")&gt;0,Klisz_Verbräuche[[#This Row],[2030]]*(1-$E74)^5, ""), ""),IF($B$57&gt;Klisz_Verbräuche[[#Headers],[2035]],Refsz_Verbräuche[[#This Row],[2035]],"")))</f>
        <v/>
      </c>
      <c r="W74" s="57" t="str">
        <f>IF(Klisz_Verbräuche[[#Headers],[2040]]=$B$57,IF(COUNTIF($F74:Klisz_Verbräuche[[#This Row],[2035]],"&gt;0")&gt;0, AVERAGEIF($F74:Klisz_Verbräuche[[#This Row],[2035]],"&lt;&gt;"), ""),IF($B$57&lt;Klisz_Verbräuche[[#Headers],[2040]],IF(COUNTIF($F74:Klisz_Verbräuche[[#This Row],[2035]],"&gt;0")&gt;0,IF(COUNTIF($F74:Klisz_Verbräuche[[#This Row],[2035]],"&gt;0")&gt;0,Klisz_Verbräuche[[#This Row],[2035]]*(1-$E74)^5, ""), ""),IF($B$57&gt;Klisz_Verbräuche[[#Headers],[2040]],Refsz_Verbräuche[[#This Row],[2040]],"")))</f>
        <v/>
      </c>
      <c r="X74" s="57" t="str">
        <f>IF(Klisz_Verbräuche[[#Headers],[2045]]=$B$57,IF(COUNTIF($F74:Klisz_Verbräuche[[#This Row],[2040]],"&gt;0")&gt;0, AVERAGEIF($F74:Klisz_Verbräuche[[#This Row],[2040]],"&lt;&gt;"), ""),IF($B$57&lt;Klisz_Verbräuche[[#Headers],[2045]],IF(COUNTIF($F74:Klisz_Verbräuche[[#This Row],[2040]],"&gt;0")&gt;0,IF(COUNTIF($F74:Klisz_Verbräuche[[#This Row],[2040]],"&gt;0")&gt;0,Klisz_Verbräuche[[#This Row],[2040]]*(1-$E74)^5, ""), ""),IF($B$57&gt;Klisz_Verbräuche[[#Headers],[2045]],Refsz_Verbräuche[[#This Row],[2045]],"")))</f>
        <v/>
      </c>
      <c r="Y74" s="57" t="str">
        <f>IF(Klisz_Verbräuche[[#Headers],[2050]]=$B$57,IF(COUNTIF($F74:Klisz_Verbräuche[[#This Row],[2045]],"&gt;0")&gt;0, AVERAGEIF($F74:Klisz_Verbräuche[[#This Row],[2045]],"&lt;&gt;"), ""),IF($B$57&lt;Klisz_Verbräuche[[#Headers],[2050]],IF(COUNTIF($F74:Klisz_Verbräuche[[#This Row],[2045]],"&gt;0")&gt;0,IF(COUNTIF($F74:Klisz_Verbräuche[[#This Row],[2045]],"&gt;0")&gt;0,Klisz_Verbräuche[[#This Row],[2045]]*(1-$E74)^5, ""), ""),IF($B$57&gt;Klisz_Verbräuche[[#Headers],[2050]],Refsz_Verbräuche[[#This Row],[2050]],"")))</f>
        <v/>
      </c>
      <c r="Z74" s="15"/>
    </row>
    <row r="75" spans="2:26" x14ac:dyDescent="0.35">
      <c r="B75" s="15">
        <v>15</v>
      </c>
      <c r="C75" s="54" t="str">
        <f>Refsz_Verbräuche[[#This Row],[Datenpunkt]]</f>
        <v>Wärme (individueller Emissionsfaktor)</v>
      </c>
      <c r="D75" s="29" t="str">
        <f>Refsz_Verbräuche[[#This Row],[Einheit]]</f>
        <v>MWh</v>
      </c>
      <c r="E75" s="122"/>
      <c r="F75" s="15" t="str">
        <f>IF(ISBLANK(Refsz_Verbräuche[[#This Row],[2015]]),"",Refsz_Verbräuche[[#This Row],[2015]])</f>
        <v/>
      </c>
      <c r="G75" s="15" t="str">
        <f>IF(ISBLANK(Refsz_Verbräuche[[#This Row],[2016]]),"",Refsz_Verbräuche[[#This Row],[2016]])</f>
        <v/>
      </c>
      <c r="H75" s="15" t="str">
        <f>IF(ISBLANK(Refsz_Verbräuche[[#This Row],[2017]]),"",Refsz_Verbräuche[[#This Row],[2017]])</f>
        <v/>
      </c>
      <c r="I75" s="15" t="str">
        <f>IF(ISBLANK(Refsz_Verbräuche[[#This Row],[2018]]),"",Refsz_Verbräuche[[#This Row],[2018]])</f>
        <v/>
      </c>
      <c r="J75" s="15" t="str">
        <f>IF(ISBLANK(Refsz_Verbräuche[[#This Row],[2019]]),"",Refsz_Verbräuche[[#This Row],[2019]])</f>
        <v/>
      </c>
      <c r="K75" s="15" t="str">
        <f>IF(ISBLANK(Refsz_Verbräuche[[#This Row],[2020]]),"",Refsz_Verbräuche[[#This Row],[2020]])</f>
        <v/>
      </c>
      <c r="L75" s="15" t="str">
        <f>IF(ISBLANK(Refsz_Verbräuche[[#This Row],[2021]]),"",Refsz_Verbräuche[[#This Row],[2021]])</f>
        <v/>
      </c>
      <c r="M75" s="57" t="str">
        <f>IF(Klisz_Verbräuche[[#Headers],[2022]]=$B$57,IF(COUNTIF($F75:Klisz_Verbräuche[[#This Row],[2021]],"&gt;0")&gt;0, AVERAGEIF($F75:Klisz_Verbräuche[[#This Row],[2021]],"&lt;&gt;"), ""),IF($B$57&lt;Klisz_Verbräuche[[#Headers],[2022]],IF(COUNTIF($F75:Klisz_Verbräuche[[#This Row],[2021]],"&gt;0")&gt;0,IF(COUNTIF($F75:Klisz_Verbräuche[[#This Row],[2021]],"&gt;0")&gt;0,Klisz_Verbräuche[[#This Row],[2021]]*(1-$E75)^1, ""), ""),IF($B$57&gt;Klisz_Verbräuche[[#Headers],[2022]],Refsz_Verbräuche[[#This Row],[2022]],"")))</f>
        <v/>
      </c>
      <c r="N75" s="57" t="str">
        <f>IF(Klisz_Verbräuche[[#Headers],[2023]]=$B$57,IF(COUNTIF($F75:Klisz_Verbräuche[[#This Row],[2022]],"&gt;0")&gt;0, AVERAGEIF($F75:Klisz_Verbräuche[[#This Row],[2022]],"&lt;&gt;"), ""),IF($B$57&lt;Klisz_Verbräuche[[#Headers],[2023]],IF(COUNTIF($F75:Klisz_Verbräuche[[#This Row],[2022]],"&gt;0")&gt;0,IF(COUNTIF($F75:Klisz_Verbräuche[[#This Row],[2022]],"&gt;0")&gt;0,Klisz_Verbräuche[[#This Row],[2022]]*(1-$E75)^1, ""), ""),IF($B$57&gt;Klisz_Verbräuche[[#Headers],[2023]],Refsz_Verbräuche[[#This Row],[2023]],"")))</f>
        <v/>
      </c>
      <c r="O75" s="57" t="str">
        <f>IF(Klisz_Verbräuche[[#Headers],[2024]]=$B$57,IF(COUNTIF($F75:Klisz_Verbräuche[[#This Row],[2023]],"&gt;0")&gt;0, AVERAGEIF($F75:Klisz_Verbräuche[[#This Row],[2023]],"&lt;&gt;"), ""),IF($B$57&lt;Klisz_Verbräuche[[#Headers],[2024]],IF(COUNTIF($F75:Klisz_Verbräuche[[#This Row],[2023]],"&gt;0")&gt;0,IF(COUNTIF($F75:Klisz_Verbräuche[[#This Row],[2023]],"&gt;0")&gt;0,Klisz_Verbräuche[[#This Row],[2023]]*(1-$E75)^1, ""), ""),IF($B$57&gt;Klisz_Verbräuche[[#Headers],[2024]],Refsz_Verbräuche[[#This Row],[2024]],"")))</f>
        <v/>
      </c>
      <c r="P75" s="57" t="str">
        <f>IF(Klisz_Verbräuche[[#Headers],[2025]]=$B$57,IF(COUNTIF($F75:Klisz_Verbräuche[[#This Row],[2024]],"&gt;0")&gt;0, AVERAGEIF($F75:Klisz_Verbräuche[[#This Row],[2024]],"&lt;&gt;"), ""),IF($B$57&lt;Klisz_Verbräuche[[#Headers],[2025]],IF(COUNTIF($F75:Klisz_Verbräuche[[#This Row],[2024]],"&gt;0")&gt;0,IF(COUNTIF($F75:Klisz_Verbräuche[[#This Row],[2024]],"&gt;0")&gt;0,Klisz_Verbräuche[[#This Row],[2024]]*(1-$E75)^1, ""), ""),IF($B$57&gt;Klisz_Verbräuche[[#Headers],[2025]],Refsz_Verbräuche[[#This Row],[2025]],"")))</f>
        <v/>
      </c>
      <c r="Q75" s="57" t="str">
        <f>IF(Klisz_Verbräuche[[#Headers],[2026]]=$B$57,IF(COUNTIF($F75:Klisz_Verbräuche[[#This Row],[2025]],"&gt;0")&gt;0, AVERAGEIF($F75:Klisz_Verbräuche[[#This Row],[2025]],"&lt;&gt;"), ""),IF($B$57&lt;Klisz_Verbräuche[[#Headers],[2026]],IF(COUNTIF($F75:Klisz_Verbräuche[[#This Row],[2025]],"&gt;0")&gt;0,IF(COUNTIF($F75:Klisz_Verbräuche[[#This Row],[2025]],"&gt;0")&gt;0,Klisz_Verbräuche[[#This Row],[2025]]*(1-$E75)^1, ""), ""),IF($B$57&gt;Klisz_Verbräuche[[#Headers],[2026]],Refsz_Verbräuche[[#This Row],[2026]],"")))</f>
        <v/>
      </c>
      <c r="R75" s="57" t="str">
        <f>IF(Klisz_Verbräuche[[#Headers],[2027]]=$B$57,IF(COUNTIF($F75:Klisz_Verbräuche[[#This Row],[2026]],"&gt;0")&gt;0, AVERAGEIF($F75:Klisz_Verbräuche[[#This Row],[2026]],"&lt;&gt;"), ""),IF($B$57&lt;Klisz_Verbräuche[[#Headers],[2027]],IF(COUNTIF($F75:Klisz_Verbräuche[[#This Row],[2026]],"&gt;0")&gt;0,IF(COUNTIF($F75:Klisz_Verbräuche[[#This Row],[2026]],"&gt;0")&gt;0,Klisz_Verbräuche[[#This Row],[2026]]*(1-$E75)^1, ""), ""),IF($B$57&gt;Klisz_Verbräuche[[#Headers],[2027]],Refsz_Verbräuche[[#This Row],[2027]],"")))</f>
        <v/>
      </c>
      <c r="S75" s="57" t="str">
        <f>IF(Klisz_Verbräuche[[#Headers],[2028]]=$B$57,IF(COUNTIF($F75:Klisz_Verbräuche[[#This Row],[2027]],"&gt;0")&gt;0, AVERAGEIF($F75:Klisz_Verbräuche[[#This Row],[2027]],"&lt;&gt;"), ""),IF($B$57&lt;Klisz_Verbräuche[[#Headers],[2028]],IF(COUNTIF($F75:Klisz_Verbräuche[[#This Row],[2027]],"&gt;0")&gt;0,IF(COUNTIF($F75:Klisz_Verbräuche[[#This Row],[2027]],"&gt;0")&gt;0,Klisz_Verbräuche[[#This Row],[2027]]*(1-$E75)^1, ""), ""),IF($B$57&gt;Klisz_Verbräuche[[#Headers],[2028]],Refsz_Verbräuche[[#This Row],[2028]],"")))</f>
        <v/>
      </c>
      <c r="T75" s="57" t="str">
        <f>IF(Klisz_Verbräuche[[#Headers],[2029]]=$B$57,IF(COUNTIF($F75:Klisz_Verbräuche[[#This Row],[2028]],"&gt;0")&gt;0, AVERAGEIF($F75:Klisz_Verbräuche[[#This Row],[2028]],"&lt;&gt;"), ""),IF($B$57&lt;Klisz_Verbräuche[[#Headers],[2029]],IF(COUNTIF($F75:Klisz_Verbräuche[[#This Row],[2028]],"&gt;0")&gt;0,IF(COUNTIF($F75:Klisz_Verbräuche[[#This Row],[2028]],"&gt;0")&gt;0,Klisz_Verbräuche[[#This Row],[2028]]*(1-$E75)^1, ""), ""),IF($B$57&gt;Klisz_Verbräuche[[#Headers],[2029]],Refsz_Verbräuche[[#This Row],[2029]],"")))</f>
        <v/>
      </c>
      <c r="U75" s="57" t="str">
        <f>IF(Klisz_Verbräuche[[#Headers],[2030]]=$B$57,IF(COUNTIF($F75:Klisz_Verbräuche[[#This Row],[2029]],"&gt;0")&gt;0, AVERAGEIF($F75:Klisz_Verbräuche[[#This Row],[2029]],"&lt;&gt;"), ""),IF($B$57&lt;Klisz_Verbräuche[[#Headers],[2030]],IF(COUNTIF($F75:Klisz_Verbräuche[[#This Row],[2029]],"&gt;0")&gt;0,IF(COUNTIF($F75:Klisz_Verbräuche[[#This Row],[2029]],"&gt;0")&gt;0,Klisz_Verbräuche[[#This Row],[2029]]*(1-$E75)^1, ""), ""),IF($B$57&gt;Klisz_Verbräuche[[#Headers],[2030]],Refsz_Verbräuche[[#This Row],[2030]],"")))</f>
        <v/>
      </c>
      <c r="V75" s="57" t="str">
        <f>IF(Klisz_Verbräuche[[#Headers],[2035]]=$B$57,IF(COUNTIF($F75:Klisz_Verbräuche[[#This Row],[2030]],"&gt;0")&gt;0, AVERAGEIF($F75:Klisz_Verbräuche[[#This Row],[2030]],"&lt;&gt;"), ""),IF($B$57&lt;Klisz_Verbräuche[[#Headers],[2035]],IF(COUNTIF($F75:Klisz_Verbräuche[[#This Row],[2030]],"&gt;0")&gt;0,IF(COUNTIF($F75:Klisz_Verbräuche[[#This Row],[2030]],"&gt;0")&gt;0,Klisz_Verbräuche[[#This Row],[2030]]*(1-$E75)^5, ""), ""),IF($B$57&gt;Klisz_Verbräuche[[#Headers],[2035]],Refsz_Verbräuche[[#This Row],[2035]],"")))</f>
        <v/>
      </c>
      <c r="W75" s="57" t="str">
        <f>IF(Klisz_Verbräuche[[#Headers],[2040]]=$B$57,IF(COUNTIF($F75:Klisz_Verbräuche[[#This Row],[2035]],"&gt;0")&gt;0, AVERAGEIF($F75:Klisz_Verbräuche[[#This Row],[2035]],"&lt;&gt;"), ""),IF($B$57&lt;Klisz_Verbräuche[[#Headers],[2040]],IF(COUNTIF($F75:Klisz_Verbräuche[[#This Row],[2035]],"&gt;0")&gt;0,IF(COUNTIF($F75:Klisz_Verbräuche[[#This Row],[2035]],"&gt;0")&gt;0,Klisz_Verbräuche[[#This Row],[2035]]*(1-$E75)^5, ""), ""),IF($B$57&gt;Klisz_Verbräuche[[#Headers],[2040]],Refsz_Verbräuche[[#This Row],[2040]],"")))</f>
        <v/>
      </c>
      <c r="X75" s="57" t="str">
        <f>IF(Klisz_Verbräuche[[#Headers],[2045]]=$B$57,IF(COUNTIF($F75:Klisz_Verbräuche[[#This Row],[2040]],"&gt;0")&gt;0, AVERAGEIF($F75:Klisz_Verbräuche[[#This Row],[2040]],"&lt;&gt;"), ""),IF($B$57&lt;Klisz_Verbräuche[[#Headers],[2045]],IF(COUNTIF($F75:Klisz_Verbräuche[[#This Row],[2040]],"&gt;0")&gt;0,IF(COUNTIF($F75:Klisz_Verbräuche[[#This Row],[2040]],"&gt;0")&gt;0,Klisz_Verbräuche[[#This Row],[2040]]*(1-$E75)^5, ""), ""),IF($B$57&gt;Klisz_Verbräuche[[#Headers],[2045]],Refsz_Verbräuche[[#This Row],[2045]],"")))</f>
        <v/>
      </c>
      <c r="Y75" s="57" t="str">
        <f>IF(Klisz_Verbräuche[[#Headers],[2050]]=$B$57,IF(COUNTIF($F75:Klisz_Verbräuche[[#This Row],[2045]],"&gt;0")&gt;0, AVERAGEIF($F75:Klisz_Verbräuche[[#This Row],[2045]],"&lt;&gt;"), ""),IF($B$57&lt;Klisz_Verbräuche[[#Headers],[2050]],IF(COUNTIF($F75:Klisz_Verbräuche[[#This Row],[2045]],"&gt;0")&gt;0,IF(COUNTIF($F75:Klisz_Verbräuche[[#This Row],[2045]],"&gt;0")&gt;0,Klisz_Verbräuche[[#This Row],[2045]]*(1-$E75)^5, ""), ""),IF($B$57&gt;Klisz_Verbräuche[[#Headers],[2050]],Refsz_Verbräuche[[#This Row],[2050]],"")))</f>
        <v/>
      </c>
      <c r="Z75" s="15"/>
    </row>
    <row r="76" spans="2:26" x14ac:dyDescent="0.35">
      <c r="B76" s="15">
        <v>16</v>
      </c>
      <c r="C76" s="54" t="str">
        <f>Refsz_Verbräuche[[#This Row],[Datenpunkt]]</f>
        <v>Wärme (Holzhackschnitzel)</v>
      </c>
      <c r="D76" s="29" t="str">
        <f>Refsz_Verbräuche[[#This Row],[Einheit]]</f>
        <v>MWh</v>
      </c>
      <c r="E76" s="122"/>
      <c r="F76" s="15" t="str">
        <f>IF(ISBLANK(Refsz_Verbräuche[[#This Row],[2015]]),"",Refsz_Verbräuche[[#This Row],[2015]])</f>
        <v/>
      </c>
      <c r="G76" s="15" t="str">
        <f>IF(ISBLANK(Refsz_Verbräuche[[#This Row],[2016]]),"",Refsz_Verbräuche[[#This Row],[2016]])</f>
        <v/>
      </c>
      <c r="H76" s="15" t="str">
        <f>IF(ISBLANK(Refsz_Verbräuche[[#This Row],[2017]]),"",Refsz_Verbräuche[[#This Row],[2017]])</f>
        <v/>
      </c>
      <c r="I76" s="15" t="str">
        <f>IF(ISBLANK(Refsz_Verbräuche[[#This Row],[2018]]),"",Refsz_Verbräuche[[#This Row],[2018]])</f>
        <v/>
      </c>
      <c r="J76" s="15" t="str">
        <f>IF(ISBLANK(Refsz_Verbräuche[[#This Row],[2019]]),"",Refsz_Verbräuche[[#This Row],[2019]])</f>
        <v/>
      </c>
      <c r="K76" s="15" t="str">
        <f>IF(ISBLANK(Refsz_Verbräuche[[#This Row],[2020]]),"",Refsz_Verbräuche[[#This Row],[2020]])</f>
        <v/>
      </c>
      <c r="L76" s="15" t="str">
        <f>IF(ISBLANK(Refsz_Verbräuche[[#This Row],[2021]]),"",Refsz_Verbräuche[[#This Row],[2021]])</f>
        <v/>
      </c>
      <c r="M76" s="57" t="str">
        <f>IF(Klisz_Verbräuche[[#Headers],[2022]]=$B$57,IF(COUNTIF($F76:Klisz_Verbräuche[[#This Row],[2021]],"&gt;0")&gt;0, AVERAGEIF($F76:Klisz_Verbräuche[[#This Row],[2021]],"&lt;&gt;"), ""),IF($B$57&lt;Klisz_Verbräuche[[#Headers],[2022]],IF(COUNTIF($F76:Klisz_Verbräuche[[#This Row],[2021]],"&gt;0")&gt;0,IF(COUNTIF($F76:Klisz_Verbräuche[[#This Row],[2021]],"&gt;0")&gt;0,Klisz_Verbräuche[[#This Row],[2021]]*(1-$E76)^1, ""), ""),IF($B$57&gt;Klisz_Verbräuche[[#Headers],[2022]],Refsz_Verbräuche[[#This Row],[2022]],"")))</f>
        <v/>
      </c>
      <c r="N76" s="57" t="str">
        <f>IF(Klisz_Verbräuche[[#Headers],[2023]]=$B$57,IF(COUNTIF($F76:Klisz_Verbräuche[[#This Row],[2022]],"&gt;0")&gt;0, AVERAGEIF($F76:Klisz_Verbräuche[[#This Row],[2022]],"&lt;&gt;"), ""),IF($B$57&lt;Klisz_Verbräuche[[#Headers],[2023]],IF(COUNTIF($F76:Klisz_Verbräuche[[#This Row],[2022]],"&gt;0")&gt;0,IF(COUNTIF($F76:Klisz_Verbräuche[[#This Row],[2022]],"&gt;0")&gt;0,Klisz_Verbräuche[[#This Row],[2022]]*(1-$E76)^1, ""), ""),IF($B$57&gt;Klisz_Verbräuche[[#Headers],[2023]],Refsz_Verbräuche[[#This Row],[2023]],"")))</f>
        <v/>
      </c>
      <c r="O76" s="57" t="str">
        <f>IF(Klisz_Verbräuche[[#Headers],[2024]]=$B$57,IF(COUNTIF($F76:Klisz_Verbräuche[[#This Row],[2023]],"&gt;0")&gt;0, AVERAGEIF($F76:Klisz_Verbräuche[[#This Row],[2023]],"&lt;&gt;"), ""),IF($B$57&lt;Klisz_Verbräuche[[#Headers],[2024]],IF(COUNTIF($F76:Klisz_Verbräuche[[#This Row],[2023]],"&gt;0")&gt;0,IF(COUNTIF($F76:Klisz_Verbräuche[[#This Row],[2023]],"&gt;0")&gt;0,Klisz_Verbräuche[[#This Row],[2023]]*(1-$E76)^1, ""), ""),IF($B$57&gt;Klisz_Verbräuche[[#Headers],[2024]],Refsz_Verbräuche[[#This Row],[2024]],"")))</f>
        <v/>
      </c>
      <c r="P76" s="57" t="str">
        <f>IF(Klisz_Verbräuche[[#Headers],[2025]]=$B$57,IF(COUNTIF($F76:Klisz_Verbräuche[[#This Row],[2024]],"&gt;0")&gt;0, AVERAGEIF($F76:Klisz_Verbräuche[[#This Row],[2024]],"&lt;&gt;"), ""),IF($B$57&lt;Klisz_Verbräuche[[#Headers],[2025]],IF(COUNTIF($F76:Klisz_Verbräuche[[#This Row],[2024]],"&gt;0")&gt;0,IF(COUNTIF($F76:Klisz_Verbräuche[[#This Row],[2024]],"&gt;0")&gt;0,Klisz_Verbräuche[[#This Row],[2024]]*(1-$E76)^1, ""), ""),IF($B$57&gt;Klisz_Verbräuche[[#Headers],[2025]],Refsz_Verbräuche[[#This Row],[2025]],"")))</f>
        <v/>
      </c>
      <c r="Q76" s="57" t="str">
        <f>IF(Klisz_Verbräuche[[#Headers],[2026]]=$B$57,IF(COUNTIF($F76:Klisz_Verbräuche[[#This Row],[2025]],"&gt;0")&gt;0, AVERAGEIF($F76:Klisz_Verbräuche[[#This Row],[2025]],"&lt;&gt;"), ""),IF($B$57&lt;Klisz_Verbräuche[[#Headers],[2026]],IF(COUNTIF($F76:Klisz_Verbräuche[[#This Row],[2025]],"&gt;0")&gt;0,IF(COUNTIF($F76:Klisz_Verbräuche[[#This Row],[2025]],"&gt;0")&gt;0,Klisz_Verbräuche[[#This Row],[2025]]*(1-$E76)^1, ""), ""),IF($B$57&gt;Klisz_Verbräuche[[#Headers],[2026]],Refsz_Verbräuche[[#This Row],[2026]],"")))</f>
        <v/>
      </c>
      <c r="R76" s="57" t="str">
        <f>IF(Klisz_Verbräuche[[#Headers],[2027]]=$B$57,IF(COUNTIF($F76:Klisz_Verbräuche[[#This Row],[2026]],"&gt;0")&gt;0, AVERAGEIF($F76:Klisz_Verbräuche[[#This Row],[2026]],"&lt;&gt;"), ""),IF($B$57&lt;Klisz_Verbräuche[[#Headers],[2027]],IF(COUNTIF($F76:Klisz_Verbräuche[[#This Row],[2026]],"&gt;0")&gt;0,IF(COUNTIF($F76:Klisz_Verbräuche[[#This Row],[2026]],"&gt;0")&gt;0,Klisz_Verbräuche[[#This Row],[2026]]*(1-$E76)^1, ""), ""),IF($B$57&gt;Klisz_Verbräuche[[#Headers],[2027]],Refsz_Verbräuche[[#This Row],[2027]],"")))</f>
        <v/>
      </c>
      <c r="S76" s="57" t="str">
        <f>IF(Klisz_Verbräuche[[#Headers],[2028]]=$B$57,IF(COUNTIF($F76:Klisz_Verbräuche[[#This Row],[2027]],"&gt;0")&gt;0, AVERAGEIF($F76:Klisz_Verbräuche[[#This Row],[2027]],"&lt;&gt;"), ""),IF($B$57&lt;Klisz_Verbräuche[[#Headers],[2028]],IF(COUNTIF($F76:Klisz_Verbräuche[[#This Row],[2027]],"&gt;0")&gt;0,IF(COUNTIF($F76:Klisz_Verbräuche[[#This Row],[2027]],"&gt;0")&gt;0,Klisz_Verbräuche[[#This Row],[2027]]*(1-$E76)^1, ""), ""),IF($B$57&gt;Klisz_Verbräuche[[#Headers],[2028]],Refsz_Verbräuche[[#This Row],[2028]],"")))</f>
        <v/>
      </c>
      <c r="T76" s="57" t="str">
        <f>IF(Klisz_Verbräuche[[#Headers],[2029]]=$B$57,IF(COUNTIF($F76:Klisz_Verbräuche[[#This Row],[2028]],"&gt;0")&gt;0, AVERAGEIF($F76:Klisz_Verbräuche[[#This Row],[2028]],"&lt;&gt;"), ""),IF($B$57&lt;Klisz_Verbräuche[[#Headers],[2029]],IF(COUNTIF($F76:Klisz_Verbräuche[[#This Row],[2028]],"&gt;0")&gt;0,IF(COUNTIF($F76:Klisz_Verbräuche[[#This Row],[2028]],"&gt;0")&gt;0,Klisz_Verbräuche[[#This Row],[2028]]*(1-$E76)^1, ""), ""),IF($B$57&gt;Klisz_Verbräuche[[#Headers],[2029]],Refsz_Verbräuche[[#This Row],[2029]],"")))</f>
        <v/>
      </c>
      <c r="U76" s="57" t="str">
        <f>IF(Klisz_Verbräuche[[#Headers],[2030]]=$B$57,IF(COUNTIF($F76:Klisz_Verbräuche[[#This Row],[2029]],"&gt;0")&gt;0, AVERAGEIF($F76:Klisz_Verbräuche[[#This Row],[2029]],"&lt;&gt;"), ""),IF($B$57&lt;Klisz_Verbräuche[[#Headers],[2030]],IF(COUNTIF($F76:Klisz_Verbräuche[[#This Row],[2029]],"&gt;0")&gt;0,IF(COUNTIF($F76:Klisz_Verbräuche[[#This Row],[2029]],"&gt;0")&gt;0,Klisz_Verbräuche[[#This Row],[2029]]*(1-$E76)^1, ""), ""),IF($B$57&gt;Klisz_Verbräuche[[#Headers],[2030]],Refsz_Verbräuche[[#This Row],[2030]],"")))</f>
        <v/>
      </c>
      <c r="V76" s="57" t="str">
        <f>IF(Klisz_Verbräuche[[#Headers],[2035]]=$B$57,IF(COUNTIF($F76:Klisz_Verbräuche[[#This Row],[2030]],"&gt;0")&gt;0, AVERAGEIF($F76:Klisz_Verbräuche[[#This Row],[2030]],"&lt;&gt;"), ""),IF($B$57&lt;Klisz_Verbräuche[[#Headers],[2035]],IF(COUNTIF($F76:Klisz_Verbräuche[[#This Row],[2030]],"&gt;0")&gt;0,IF(COUNTIF($F76:Klisz_Verbräuche[[#This Row],[2030]],"&gt;0")&gt;0,Klisz_Verbräuche[[#This Row],[2030]]*(1-$E76)^5, ""), ""),IF($B$57&gt;Klisz_Verbräuche[[#Headers],[2035]],Refsz_Verbräuche[[#This Row],[2035]],"")))</f>
        <v/>
      </c>
      <c r="W76" s="57" t="str">
        <f>IF(Klisz_Verbräuche[[#Headers],[2040]]=$B$57,IF(COUNTIF($F76:Klisz_Verbräuche[[#This Row],[2035]],"&gt;0")&gt;0, AVERAGEIF($F76:Klisz_Verbräuche[[#This Row],[2035]],"&lt;&gt;"), ""),IF($B$57&lt;Klisz_Verbräuche[[#Headers],[2040]],IF(COUNTIF($F76:Klisz_Verbräuche[[#This Row],[2035]],"&gt;0")&gt;0,IF(COUNTIF($F76:Klisz_Verbräuche[[#This Row],[2035]],"&gt;0")&gt;0,Klisz_Verbräuche[[#This Row],[2035]]*(1-$E76)^5, ""), ""),IF($B$57&gt;Klisz_Verbräuche[[#Headers],[2040]],Refsz_Verbräuche[[#This Row],[2040]],"")))</f>
        <v/>
      </c>
      <c r="X76" s="57" t="str">
        <f>IF(Klisz_Verbräuche[[#Headers],[2045]]=$B$57,IF(COUNTIF($F76:Klisz_Verbräuche[[#This Row],[2040]],"&gt;0")&gt;0, AVERAGEIF($F76:Klisz_Verbräuche[[#This Row],[2040]],"&lt;&gt;"), ""),IF($B$57&lt;Klisz_Verbräuche[[#Headers],[2045]],IF(COUNTIF($F76:Klisz_Verbräuche[[#This Row],[2040]],"&gt;0")&gt;0,IF(COUNTIF($F76:Klisz_Verbräuche[[#This Row],[2040]],"&gt;0")&gt;0,Klisz_Verbräuche[[#This Row],[2040]]*(1-$E76)^5, ""), ""),IF($B$57&gt;Klisz_Verbräuche[[#Headers],[2045]],Refsz_Verbräuche[[#This Row],[2045]],"")))</f>
        <v/>
      </c>
      <c r="Y76" s="57" t="str">
        <f>IF(Klisz_Verbräuche[[#Headers],[2050]]=$B$57,IF(COUNTIF($F76:Klisz_Verbräuche[[#This Row],[2045]],"&gt;0")&gt;0, AVERAGEIF($F76:Klisz_Verbräuche[[#This Row],[2045]],"&lt;&gt;"), ""),IF($B$57&lt;Klisz_Verbräuche[[#Headers],[2050]],IF(COUNTIF($F76:Klisz_Verbräuche[[#This Row],[2045]],"&gt;0")&gt;0,IF(COUNTIF($F76:Klisz_Verbräuche[[#This Row],[2045]],"&gt;0")&gt;0,Klisz_Verbräuche[[#This Row],[2045]]*(1-$E76)^5, ""), ""),IF($B$57&gt;Klisz_Verbräuche[[#Headers],[2050]],Refsz_Verbräuche[[#This Row],[2050]],"")))</f>
        <v/>
      </c>
      <c r="Z76" s="15"/>
    </row>
    <row r="77" spans="2:26" x14ac:dyDescent="0.35">
      <c r="B77" s="15">
        <v>17</v>
      </c>
      <c r="C77" s="54" t="str">
        <f>Refsz_Verbräuche[[#This Row],[Datenpunkt]]</f>
        <v>Wärme (Holzpellets, 10kW/kleinere Zentralheizung)</v>
      </c>
      <c r="D77" s="29" t="str">
        <f>Refsz_Verbräuche[[#This Row],[Einheit]]</f>
        <v>MWh</v>
      </c>
      <c r="E77" s="122"/>
      <c r="F77" s="15" t="str">
        <f>IF(ISBLANK(Refsz_Verbräuche[[#This Row],[2015]]),"",Refsz_Verbräuche[[#This Row],[2015]])</f>
        <v/>
      </c>
      <c r="G77" s="15" t="str">
        <f>IF(ISBLANK(Refsz_Verbräuche[[#This Row],[2016]]),"",Refsz_Verbräuche[[#This Row],[2016]])</f>
        <v/>
      </c>
      <c r="H77" s="15" t="str">
        <f>IF(ISBLANK(Refsz_Verbräuche[[#This Row],[2017]]),"",Refsz_Verbräuche[[#This Row],[2017]])</f>
        <v/>
      </c>
      <c r="I77" s="15" t="str">
        <f>IF(ISBLANK(Refsz_Verbräuche[[#This Row],[2018]]),"",Refsz_Verbräuche[[#This Row],[2018]])</f>
        <v/>
      </c>
      <c r="J77" s="15" t="str">
        <f>IF(ISBLANK(Refsz_Verbräuche[[#This Row],[2019]]),"",Refsz_Verbräuche[[#This Row],[2019]])</f>
        <v/>
      </c>
      <c r="K77" s="15" t="str">
        <f>IF(ISBLANK(Refsz_Verbräuche[[#This Row],[2020]]),"",Refsz_Verbräuche[[#This Row],[2020]])</f>
        <v/>
      </c>
      <c r="L77" s="15" t="str">
        <f>IF(ISBLANK(Refsz_Verbräuche[[#This Row],[2021]]),"",Refsz_Verbräuche[[#This Row],[2021]])</f>
        <v/>
      </c>
      <c r="M77" s="57" t="str">
        <f>IF(Klisz_Verbräuche[[#Headers],[2022]]=$B$57,IF(COUNTIF($F77:Klisz_Verbräuche[[#This Row],[2021]],"&gt;0")&gt;0, AVERAGEIF($F77:Klisz_Verbräuche[[#This Row],[2021]],"&lt;&gt;"), ""),IF($B$57&lt;Klisz_Verbräuche[[#Headers],[2022]],IF(COUNTIF($F77:Klisz_Verbräuche[[#This Row],[2021]],"&gt;0")&gt;0,IF(COUNTIF($F77:Klisz_Verbräuche[[#This Row],[2021]],"&gt;0")&gt;0,Klisz_Verbräuche[[#This Row],[2021]]*(1-$E77)^1, ""), ""),IF($B$57&gt;Klisz_Verbräuche[[#Headers],[2022]],Refsz_Verbräuche[[#This Row],[2022]],"")))</f>
        <v/>
      </c>
      <c r="N77" s="57" t="str">
        <f>IF(Klisz_Verbräuche[[#Headers],[2023]]=$B$57,IF(COUNTIF($F77:Klisz_Verbräuche[[#This Row],[2022]],"&gt;0")&gt;0, AVERAGEIF($F77:Klisz_Verbräuche[[#This Row],[2022]],"&lt;&gt;"), ""),IF($B$57&lt;Klisz_Verbräuche[[#Headers],[2023]],IF(COUNTIF($F77:Klisz_Verbräuche[[#This Row],[2022]],"&gt;0")&gt;0,IF(COUNTIF($F77:Klisz_Verbräuche[[#This Row],[2022]],"&gt;0")&gt;0,Klisz_Verbräuche[[#This Row],[2022]]*(1-$E77)^1, ""), ""),IF($B$57&gt;Klisz_Verbräuche[[#Headers],[2023]],Refsz_Verbräuche[[#This Row],[2023]],"")))</f>
        <v/>
      </c>
      <c r="O77" s="57" t="str">
        <f>IF(Klisz_Verbräuche[[#Headers],[2024]]=$B$57,IF(COUNTIF($F77:Klisz_Verbräuche[[#This Row],[2023]],"&gt;0")&gt;0, AVERAGEIF($F77:Klisz_Verbräuche[[#This Row],[2023]],"&lt;&gt;"), ""),IF($B$57&lt;Klisz_Verbräuche[[#Headers],[2024]],IF(COUNTIF($F77:Klisz_Verbräuche[[#This Row],[2023]],"&gt;0")&gt;0,IF(COUNTIF($F77:Klisz_Verbräuche[[#This Row],[2023]],"&gt;0")&gt;0,Klisz_Verbräuche[[#This Row],[2023]]*(1-$E77)^1, ""), ""),IF($B$57&gt;Klisz_Verbräuche[[#Headers],[2024]],Refsz_Verbräuche[[#This Row],[2024]],"")))</f>
        <v/>
      </c>
      <c r="P77" s="57" t="str">
        <f>IF(Klisz_Verbräuche[[#Headers],[2025]]=$B$57,IF(COUNTIF($F77:Klisz_Verbräuche[[#This Row],[2024]],"&gt;0")&gt;0, AVERAGEIF($F77:Klisz_Verbräuche[[#This Row],[2024]],"&lt;&gt;"), ""),IF($B$57&lt;Klisz_Verbräuche[[#Headers],[2025]],IF(COUNTIF($F77:Klisz_Verbräuche[[#This Row],[2024]],"&gt;0")&gt;0,IF(COUNTIF($F77:Klisz_Verbräuche[[#This Row],[2024]],"&gt;0")&gt;0,Klisz_Verbräuche[[#This Row],[2024]]*(1-$E77)^1, ""), ""),IF($B$57&gt;Klisz_Verbräuche[[#Headers],[2025]],Refsz_Verbräuche[[#This Row],[2025]],"")))</f>
        <v/>
      </c>
      <c r="Q77" s="57" t="str">
        <f>IF(Klisz_Verbräuche[[#Headers],[2026]]=$B$57,IF(COUNTIF($F77:Klisz_Verbräuche[[#This Row],[2025]],"&gt;0")&gt;0, AVERAGEIF($F77:Klisz_Verbräuche[[#This Row],[2025]],"&lt;&gt;"), ""),IF($B$57&lt;Klisz_Verbräuche[[#Headers],[2026]],IF(COUNTIF($F77:Klisz_Verbräuche[[#This Row],[2025]],"&gt;0")&gt;0,IF(COUNTIF($F77:Klisz_Verbräuche[[#This Row],[2025]],"&gt;0")&gt;0,Klisz_Verbräuche[[#This Row],[2025]]*(1-$E77)^1, ""), ""),IF($B$57&gt;Klisz_Verbräuche[[#Headers],[2026]],Refsz_Verbräuche[[#This Row],[2026]],"")))</f>
        <v/>
      </c>
      <c r="R77" s="57" t="str">
        <f>IF(Klisz_Verbräuche[[#Headers],[2027]]=$B$57,IF(COUNTIF($F77:Klisz_Verbräuche[[#This Row],[2026]],"&gt;0")&gt;0, AVERAGEIF($F77:Klisz_Verbräuche[[#This Row],[2026]],"&lt;&gt;"), ""),IF($B$57&lt;Klisz_Verbräuche[[#Headers],[2027]],IF(COUNTIF($F77:Klisz_Verbräuche[[#This Row],[2026]],"&gt;0")&gt;0,IF(COUNTIF($F77:Klisz_Verbräuche[[#This Row],[2026]],"&gt;0")&gt;0,Klisz_Verbräuche[[#This Row],[2026]]*(1-$E77)^1, ""), ""),IF($B$57&gt;Klisz_Verbräuche[[#Headers],[2027]],Refsz_Verbräuche[[#This Row],[2027]],"")))</f>
        <v/>
      </c>
      <c r="S77" s="57" t="str">
        <f>IF(Klisz_Verbräuche[[#Headers],[2028]]=$B$57,IF(COUNTIF($F77:Klisz_Verbräuche[[#This Row],[2027]],"&gt;0")&gt;0, AVERAGEIF($F77:Klisz_Verbräuche[[#This Row],[2027]],"&lt;&gt;"), ""),IF($B$57&lt;Klisz_Verbräuche[[#Headers],[2028]],IF(COUNTIF($F77:Klisz_Verbräuche[[#This Row],[2027]],"&gt;0")&gt;0,IF(COUNTIF($F77:Klisz_Verbräuche[[#This Row],[2027]],"&gt;0")&gt;0,Klisz_Verbräuche[[#This Row],[2027]]*(1-$E77)^1, ""), ""),IF($B$57&gt;Klisz_Verbräuche[[#Headers],[2028]],Refsz_Verbräuche[[#This Row],[2028]],"")))</f>
        <v/>
      </c>
      <c r="T77" s="57" t="str">
        <f>IF(Klisz_Verbräuche[[#Headers],[2029]]=$B$57,IF(COUNTIF($F77:Klisz_Verbräuche[[#This Row],[2028]],"&gt;0")&gt;0, AVERAGEIF($F77:Klisz_Verbräuche[[#This Row],[2028]],"&lt;&gt;"), ""),IF($B$57&lt;Klisz_Verbräuche[[#Headers],[2029]],IF(COUNTIF($F77:Klisz_Verbräuche[[#This Row],[2028]],"&gt;0")&gt;0,IF(COUNTIF($F77:Klisz_Verbräuche[[#This Row],[2028]],"&gt;0")&gt;0,Klisz_Verbräuche[[#This Row],[2028]]*(1-$E77)^1, ""), ""),IF($B$57&gt;Klisz_Verbräuche[[#Headers],[2029]],Refsz_Verbräuche[[#This Row],[2029]],"")))</f>
        <v/>
      </c>
      <c r="U77" s="57" t="str">
        <f>IF(Klisz_Verbräuche[[#Headers],[2030]]=$B$57,IF(COUNTIF($F77:Klisz_Verbräuche[[#This Row],[2029]],"&gt;0")&gt;0, AVERAGEIF($F77:Klisz_Verbräuche[[#This Row],[2029]],"&lt;&gt;"), ""),IF($B$57&lt;Klisz_Verbräuche[[#Headers],[2030]],IF(COUNTIF($F77:Klisz_Verbräuche[[#This Row],[2029]],"&gt;0")&gt;0,IF(COUNTIF($F77:Klisz_Verbräuche[[#This Row],[2029]],"&gt;0")&gt;0,Klisz_Verbräuche[[#This Row],[2029]]*(1-$E77)^1, ""), ""),IF($B$57&gt;Klisz_Verbräuche[[#Headers],[2030]],Refsz_Verbräuche[[#This Row],[2030]],"")))</f>
        <v/>
      </c>
      <c r="V77" s="57" t="str">
        <f>IF(Klisz_Verbräuche[[#Headers],[2035]]=$B$57,IF(COUNTIF($F77:Klisz_Verbräuche[[#This Row],[2030]],"&gt;0")&gt;0, AVERAGEIF($F77:Klisz_Verbräuche[[#This Row],[2030]],"&lt;&gt;"), ""),IF($B$57&lt;Klisz_Verbräuche[[#Headers],[2035]],IF(COUNTIF($F77:Klisz_Verbräuche[[#This Row],[2030]],"&gt;0")&gt;0,IF(COUNTIF($F77:Klisz_Verbräuche[[#This Row],[2030]],"&gt;0")&gt;0,Klisz_Verbräuche[[#This Row],[2030]]*(1-$E77)^5, ""), ""),IF($B$57&gt;Klisz_Verbräuche[[#Headers],[2035]],Refsz_Verbräuche[[#This Row],[2035]],"")))</f>
        <v/>
      </c>
      <c r="W77" s="57" t="str">
        <f>IF(Klisz_Verbräuche[[#Headers],[2040]]=$B$57,IF(COUNTIF($F77:Klisz_Verbräuche[[#This Row],[2035]],"&gt;0")&gt;0, AVERAGEIF($F77:Klisz_Verbräuche[[#This Row],[2035]],"&lt;&gt;"), ""),IF($B$57&lt;Klisz_Verbräuche[[#Headers],[2040]],IF(COUNTIF($F77:Klisz_Verbräuche[[#This Row],[2035]],"&gt;0")&gt;0,IF(COUNTIF($F77:Klisz_Verbräuche[[#This Row],[2035]],"&gt;0")&gt;0,Klisz_Verbräuche[[#This Row],[2035]]*(1-$E77)^5, ""), ""),IF($B$57&gt;Klisz_Verbräuche[[#Headers],[2040]],Refsz_Verbräuche[[#This Row],[2040]],"")))</f>
        <v/>
      </c>
      <c r="X77" s="57" t="str">
        <f>IF(Klisz_Verbräuche[[#Headers],[2045]]=$B$57,IF(COUNTIF($F77:Klisz_Verbräuche[[#This Row],[2040]],"&gt;0")&gt;0, AVERAGEIF($F77:Klisz_Verbräuche[[#This Row],[2040]],"&lt;&gt;"), ""),IF($B$57&lt;Klisz_Verbräuche[[#Headers],[2045]],IF(COUNTIF($F77:Klisz_Verbräuche[[#This Row],[2040]],"&gt;0")&gt;0,IF(COUNTIF($F77:Klisz_Verbräuche[[#This Row],[2040]],"&gt;0")&gt;0,Klisz_Verbräuche[[#This Row],[2040]]*(1-$E77)^5, ""), ""),IF($B$57&gt;Klisz_Verbräuche[[#Headers],[2045]],Refsz_Verbräuche[[#This Row],[2045]],"")))</f>
        <v/>
      </c>
      <c r="Y77" s="57" t="str">
        <f>IF(Klisz_Verbräuche[[#Headers],[2050]]=$B$57,IF(COUNTIF($F77:Klisz_Verbräuche[[#This Row],[2045]],"&gt;0")&gt;0, AVERAGEIF($F77:Klisz_Verbräuche[[#This Row],[2045]],"&lt;&gt;"), ""),IF($B$57&lt;Klisz_Verbräuche[[#Headers],[2050]],IF(COUNTIF($F77:Klisz_Verbräuche[[#This Row],[2045]],"&gt;0")&gt;0,IF(COUNTIF($F77:Klisz_Verbräuche[[#This Row],[2045]],"&gt;0")&gt;0,Klisz_Verbräuche[[#This Row],[2045]]*(1-$E77)^5, ""), ""),IF($B$57&gt;Klisz_Verbräuche[[#Headers],[2050]],Refsz_Verbräuche[[#This Row],[2050]],"")))</f>
        <v/>
      </c>
      <c r="Z77" s="15"/>
    </row>
    <row r="78" spans="2:26" x14ac:dyDescent="0.35">
      <c r="B78" s="15">
        <v>18</v>
      </c>
      <c r="C78" s="54" t="str">
        <f>Refsz_Verbräuche[[#This Row],[Datenpunkt]]</f>
        <v>Wärme (Holzpellets, 50kW/größere Zentralheizung)</v>
      </c>
      <c r="D78" s="29" t="str">
        <f>Refsz_Verbräuche[[#This Row],[Einheit]]</f>
        <v>MWh</v>
      </c>
      <c r="E78" s="122"/>
      <c r="F78" s="15" t="str">
        <f>IF(ISBLANK(Refsz_Verbräuche[[#This Row],[2015]]),"",Refsz_Verbräuche[[#This Row],[2015]])</f>
        <v/>
      </c>
      <c r="G78" s="15" t="str">
        <f>IF(ISBLANK(Refsz_Verbräuche[[#This Row],[2016]]),"",Refsz_Verbräuche[[#This Row],[2016]])</f>
        <v/>
      </c>
      <c r="H78" s="15" t="str">
        <f>IF(ISBLANK(Refsz_Verbräuche[[#This Row],[2017]]),"",Refsz_Verbräuche[[#This Row],[2017]])</f>
        <v/>
      </c>
      <c r="I78" s="15" t="str">
        <f>IF(ISBLANK(Refsz_Verbräuche[[#This Row],[2018]]),"",Refsz_Verbräuche[[#This Row],[2018]])</f>
        <v/>
      </c>
      <c r="J78" s="15" t="str">
        <f>IF(ISBLANK(Refsz_Verbräuche[[#This Row],[2019]]),"",Refsz_Verbräuche[[#This Row],[2019]])</f>
        <v/>
      </c>
      <c r="K78" s="15" t="str">
        <f>IF(ISBLANK(Refsz_Verbräuche[[#This Row],[2020]]),"",Refsz_Verbräuche[[#This Row],[2020]])</f>
        <v/>
      </c>
      <c r="L78" s="15" t="str">
        <f>IF(ISBLANK(Refsz_Verbräuche[[#This Row],[2021]]),"",Refsz_Verbräuche[[#This Row],[2021]])</f>
        <v/>
      </c>
      <c r="M78" s="57" t="str">
        <f>IF(Klisz_Verbräuche[[#Headers],[2022]]=$B$57,IF(COUNTIF($F78:Klisz_Verbräuche[[#This Row],[2021]],"&gt;0")&gt;0, AVERAGEIF($F78:Klisz_Verbräuche[[#This Row],[2021]],"&lt;&gt;"), ""),IF($B$57&lt;Klisz_Verbräuche[[#Headers],[2022]],IF(COUNTIF($F78:Klisz_Verbräuche[[#This Row],[2021]],"&gt;0")&gt;0,IF(COUNTIF($F78:Klisz_Verbräuche[[#This Row],[2021]],"&gt;0")&gt;0,Klisz_Verbräuche[[#This Row],[2021]]*(1-$E78)^1, ""), ""),IF($B$57&gt;Klisz_Verbräuche[[#Headers],[2022]],Refsz_Verbräuche[[#This Row],[2022]],"")))</f>
        <v/>
      </c>
      <c r="N78" s="57" t="str">
        <f>IF(Klisz_Verbräuche[[#Headers],[2023]]=$B$57,IF(COUNTIF($F78:Klisz_Verbräuche[[#This Row],[2022]],"&gt;0")&gt;0, AVERAGEIF($F78:Klisz_Verbräuche[[#This Row],[2022]],"&lt;&gt;"), ""),IF($B$57&lt;Klisz_Verbräuche[[#Headers],[2023]],IF(COUNTIF($F78:Klisz_Verbräuche[[#This Row],[2022]],"&gt;0")&gt;0,IF(COUNTIF($F78:Klisz_Verbräuche[[#This Row],[2022]],"&gt;0")&gt;0,Klisz_Verbräuche[[#This Row],[2022]]*(1-$E78)^1, ""), ""),IF($B$57&gt;Klisz_Verbräuche[[#Headers],[2023]],Refsz_Verbräuche[[#This Row],[2023]],"")))</f>
        <v/>
      </c>
      <c r="O78" s="57" t="str">
        <f>IF(Klisz_Verbräuche[[#Headers],[2024]]=$B$57,IF(COUNTIF($F78:Klisz_Verbräuche[[#This Row],[2023]],"&gt;0")&gt;0, AVERAGEIF($F78:Klisz_Verbräuche[[#This Row],[2023]],"&lt;&gt;"), ""),IF($B$57&lt;Klisz_Verbräuche[[#Headers],[2024]],IF(COUNTIF($F78:Klisz_Verbräuche[[#This Row],[2023]],"&gt;0")&gt;0,IF(COUNTIF($F78:Klisz_Verbräuche[[#This Row],[2023]],"&gt;0")&gt;0,Klisz_Verbräuche[[#This Row],[2023]]*(1-$E78)^1, ""), ""),IF($B$57&gt;Klisz_Verbräuche[[#Headers],[2024]],Refsz_Verbräuche[[#This Row],[2024]],"")))</f>
        <v/>
      </c>
      <c r="P78" s="57" t="str">
        <f>IF(Klisz_Verbräuche[[#Headers],[2025]]=$B$57,IF(COUNTIF($F78:Klisz_Verbräuche[[#This Row],[2024]],"&gt;0")&gt;0, AVERAGEIF($F78:Klisz_Verbräuche[[#This Row],[2024]],"&lt;&gt;"), ""),IF($B$57&lt;Klisz_Verbräuche[[#Headers],[2025]],IF(COUNTIF($F78:Klisz_Verbräuche[[#This Row],[2024]],"&gt;0")&gt;0,IF(COUNTIF($F78:Klisz_Verbräuche[[#This Row],[2024]],"&gt;0")&gt;0,Klisz_Verbräuche[[#This Row],[2024]]*(1-$E78)^1, ""), ""),IF($B$57&gt;Klisz_Verbräuche[[#Headers],[2025]],Refsz_Verbräuche[[#This Row],[2025]],"")))</f>
        <v/>
      </c>
      <c r="Q78" s="57" t="str">
        <f>IF(Klisz_Verbräuche[[#Headers],[2026]]=$B$57,IF(COUNTIF($F78:Klisz_Verbräuche[[#This Row],[2025]],"&gt;0")&gt;0, AVERAGEIF($F78:Klisz_Verbräuche[[#This Row],[2025]],"&lt;&gt;"), ""),IF($B$57&lt;Klisz_Verbräuche[[#Headers],[2026]],IF(COUNTIF($F78:Klisz_Verbräuche[[#This Row],[2025]],"&gt;0")&gt;0,IF(COUNTIF($F78:Klisz_Verbräuche[[#This Row],[2025]],"&gt;0")&gt;0,Klisz_Verbräuche[[#This Row],[2025]]*(1-$E78)^1, ""), ""),IF($B$57&gt;Klisz_Verbräuche[[#Headers],[2026]],Refsz_Verbräuche[[#This Row],[2026]],"")))</f>
        <v/>
      </c>
      <c r="R78" s="57" t="str">
        <f>IF(Klisz_Verbräuche[[#Headers],[2027]]=$B$57,IF(COUNTIF($F78:Klisz_Verbräuche[[#This Row],[2026]],"&gt;0")&gt;0, AVERAGEIF($F78:Klisz_Verbräuche[[#This Row],[2026]],"&lt;&gt;"), ""),IF($B$57&lt;Klisz_Verbräuche[[#Headers],[2027]],IF(COUNTIF($F78:Klisz_Verbräuche[[#This Row],[2026]],"&gt;0")&gt;0,IF(COUNTIF($F78:Klisz_Verbräuche[[#This Row],[2026]],"&gt;0")&gt;0,Klisz_Verbräuche[[#This Row],[2026]]*(1-$E78)^1, ""), ""),IF($B$57&gt;Klisz_Verbräuche[[#Headers],[2027]],Refsz_Verbräuche[[#This Row],[2027]],"")))</f>
        <v/>
      </c>
      <c r="S78" s="57" t="str">
        <f>IF(Klisz_Verbräuche[[#Headers],[2028]]=$B$57,IF(COUNTIF($F78:Klisz_Verbräuche[[#This Row],[2027]],"&gt;0")&gt;0, AVERAGEIF($F78:Klisz_Verbräuche[[#This Row],[2027]],"&lt;&gt;"), ""),IF($B$57&lt;Klisz_Verbräuche[[#Headers],[2028]],IF(COUNTIF($F78:Klisz_Verbräuche[[#This Row],[2027]],"&gt;0")&gt;0,IF(COUNTIF($F78:Klisz_Verbräuche[[#This Row],[2027]],"&gt;0")&gt;0,Klisz_Verbräuche[[#This Row],[2027]]*(1-$E78)^1, ""), ""),IF($B$57&gt;Klisz_Verbräuche[[#Headers],[2028]],Refsz_Verbräuche[[#This Row],[2028]],"")))</f>
        <v/>
      </c>
      <c r="T78" s="57" t="str">
        <f>IF(Klisz_Verbräuche[[#Headers],[2029]]=$B$57,IF(COUNTIF($F78:Klisz_Verbräuche[[#This Row],[2028]],"&gt;0")&gt;0, AVERAGEIF($F78:Klisz_Verbräuche[[#This Row],[2028]],"&lt;&gt;"), ""),IF($B$57&lt;Klisz_Verbräuche[[#Headers],[2029]],IF(COUNTIF($F78:Klisz_Verbräuche[[#This Row],[2028]],"&gt;0")&gt;0,IF(COUNTIF($F78:Klisz_Verbräuche[[#This Row],[2028]],"&gt;0")&gt;0,Klisz_Verbräuche[[#This Row],[2028]]*(1-$E78)^1, ""), ""),IF($B$57&gt;Klisz_Verbräuche[[#Headers],[2029]],Refsz_Verbräuche[[#This Row],[2029]],"")))</f>
        <v/>
      </c>
      <c r="U78" s="57" t="str">
        <f>IF(Klisz_Verbräuche[[#Headers],[2030]]=$B$57,IF(COUNTIF($F78:Klisz_Verbräuche[[#This Row],[2029]],"&gt;0")&gt;0, AVERAGEIF($F78:Klisz_Verbräuche[[#This Row],[2029]],"&lt;&gt;"), ""),IF($B$57&lt;Klisz_Verbräuche[[#Headers],[2030]],IF(COUNTIF($F78:Klisz_Verbräuche[[#This Row],[2029]],"&gt;0")&gt;0,IF(COUNTIF($F78:Klisz_Verbräuche[[#This Row],[2029]],"&gt;0")&gt;0,Klisz_Verbräuche[[#This Row],[2029]]*(1-$E78)^1, ""), ""),IF($B$57&gt;Klisz_Verbräuche[[#Headers],[2030]],Refsz_Verbräuche[[#This Row],[2030]],"")))</f>
        <v/>
      </c>
      <c r="V78" s="57" t="str">
        <f>IF(Klisz_Verbräuche[[#Headers],[2035]]=$B$57,IF(COUNTIF($F78:Klisz_Verbräuche[[#This Row],[2030]],"&gt;0")&gt;0, AVERAGEIF($F78:Klisz_Verbräuche[[#This Row],[2030]],"&lt;&gt;"), ""),IF($B$57&lt;Klisz_Verbräuche[[#Headers],[2035]],IF(COUNTIF($F78:Klisz_Verbräuche[[#This Row],[2030]],"&gt;0")&gt;0,IF(COUNTIF($F78:Klisz_Verbräuche[[#This Row],[2030]],"&gt;0")&gt;0,Klisz_Verbräuche[[#This Row],[2030]]*(1-$E78)^5, ""), ""),IF($B$57&gt;Klisz_Verbräuche[[#Headers],[2035]],Refsz_Verbräuche[[#This Row],[2035]],"")))</f>
        <v/>
      </c>
      <c r="W78" s="57" t="str">
        <f>IF(Klisz_Verbräuche[[#Headers],[2040]]=$B$57,IF(COUNTIF($F78:Klisz_Verbräuche[[#This Row],[2035]],"&gt;0")&gt;0, AVERAGEIF($F78:Klisz_Verbräuche[[#This Row],[2035]],"&lt;&gt;"), ""),IF($B$57&lt;Klisz_Verbräuche[[#Headers],[2040]],IF(COUNTIF($F78:Klisz_Verbräuche[[#This Row],[2035]],"&gt;0")&gt;0,IF(COUNTIF($F78:Klisz_Verbräuche[[#This Row],[2035]],"&gt;0")&gt;0,Klisz_Verbräuche[[#This Row],[2035]]*(1-$E78)^5, ""), ""),IF($B$57&gt;Klisz_Verbräuche[[#Headers],[2040]],Refsz_Verbräuche[[#This Row],[2040]],"")))</f>
        <v/>
      </c>
      <c r="X78" s="57" t="str">
        <f>IF(Klisz_Verbräuche[[#Headers],[2045]]=$B$57,IF(COUNTIF($F78:Klisz_Verbräuche[[#This Row],[2040]],"&gt;0")&gt;0, AVERAGEIF($F78:Klisz_Verbräuche[[#This Row],[2040]],"&lt;&gt;"), ""),IF($B$57&lt;Klisz_Verbräuche[[#Headers],[2045]],IF(COUNTIF($F78:Klisz_Verbräuche[[#This Row],[2040]],"&gt;0")&gt;0,IF(COUNTIF($F78:Klisz_Verbräuche[[#This Row],[2040]],"&gt;0")&gt;0,Klisz_Verbräuche[[#This Row],[2040]]*(1-$E78)^5, ""), ""),IF($B$57&gt;Klisz_Verbräuche[[#Headers],[2045]],Refsz_Verbräuche[[#This Row],[2045]],"")))</f>
        <v/>
      </c>
      <c r="Y78" s="57" t="str">
        <f>IF(Klisz_Verbräuche[[#Headers],[2050]]=$B$57,IF(COUNTIF($F78:Klisz_Verbräuche[[#This Row],[2045]],"&gt;0")&gt;0, AVERAGEIF($F78:Klisz_Verbräuche[[#This Row],[2045]],"&lt;&gt;"), ""),IF($B$57&lt;Klisz_Verbräuche[[#Headers],[2050]],IF(COUNTIF($F78:Klisz_Verbräuche[[#This Row],[2045]],"&gt;0")&gt;0,IF(COUNTIF($F78:Klisz_Verbräuche[[#This Row],[2045]],"&gt;0")&gt;0,Klisz_Verbräuche[[#This Row],[2045]]*(1-$E78)^5, ""), ""),IF($B$57&gt;Klisz_Verbräuche[[#Headers],[2050]],Refsz_Verbräuche[[#This Row],[2050]],"")))</f>
        <v/>
      </c>
      <c r="Z78" s="15"/>
    </row>
    <row r="79" spans="2:26" x14ac:dyDescent="0.35">
      <c r="B79" s="15">
        <v>19</v>
      </c>
      <c r="C79" s="54" t="str">
        <f>Refsz_Verbräuche[[#This Row],[Datenpunkt]]</f>
        <v>Wärme (Fernwärme Mix)</v>
      </c>
      <c r="D79" s="29" t="str">
        <f>Refsz_Verbräuche[[#This Row],[Einheit]]</f>
        <v>MWh</v>
      </c>
      <c r="E79" s="122"/>
      <c r="F79" s="15" t="str">
        <f>IF(ISBLANK(Refsz_Verbräuche[[#This Row],[2015]]),"",Refsz_Verbräuche[[#This Row],[2015]])</f>
        <v/>
      </c>
      <c r="G79" s="15" t="str">
        <f>IF(ISBLANK(Refsz_Verbräuche[[#This Row],[2016]]),"",Refsz_Verbräuche[[#This Row],[2016]])</f>
        <v/>
      </c>
      <c r="H79" s="15" t="str">
        <f>IF(ISBLANK(Refsz_Verbräuche[[#This Row],[2017]]),"",Refsz_Verbräuche[[#This Row],[2017]])</f>
        <v/>
      </c>
      <c r="I79" s="15" t="str">
        <f>IF(ISBLANK(Refsz_Verbräuche[[#This Row],[2018]]),"",Refsz_Verbräuche[[#This Row],[2018]])</f>
        <v/>
      </c>
      <c r="J79" s="15" t="str">
        <f>IF(ISBLANK(Refsz_Verbräuche[[#This Row],[2019]]),"",Refsz_Verbräuche[[#This Row],[2019]])</f>
        <v/>
      </c>
      <c r="K79" s="15" t="str">
        <f>IF(ISBLANK(Refsz_Verbräuche[[#This Row],[2020]]),"",Refsz_Verbräuche[[#This Row],[2020]])</f>
        <v/>
      </c>
      <c r="L79" s="15" t="str">
        <f>IF(ISBLANK(Refsz_Verbräuche[[#This Row],[2021]]),"",Refsz_Verbräuche[[#This Row],[2021]])</f>
        <v/>
      </c>
      <c r="M79" s="57" t="str">
        <f>IF(Klisz_Verbräuche[[#Headers],[2022]]=$B$57,IF(COUNTIF($F79:Klisz_Verbräuche[[#This Row],[2021]],"&gt;0")&gt;0, AVERAGEIF($F79:Klisz_Verbräuche[[#This Row],[2021]],"&lt;&gt;"), ""),IF($B$57&lt;Klisz_Verbräuche[[#Headers],[2022]],IF(COUNTIF($F79:Klisz_Verbräuche[[#This Row],[2021]],"&gt;0")&gt;0,IF(COUNTIF($F79:Klisz_Verbräuche[[#This Row],[2021]],"&gt;0")&gt;0,Klisz_Verbräuche[[#This Row],[2021]]*(1-$E79)^1, ""), ""),IF($B$57&gt;Klisz_Verbräuche[[#Headers],[2022]],Refsz_Verbräuche[[#This Row],[2022]],"")))</f>
        <v/>
      </c>
      <c r="N79" s="57" t="str">
        <f>IF(Klisz_Verbräuche[[#Headers],[2023]]=$B$57,IF(COUNTIF($F79:Klisz_Verbräuche[[#This Row],[2022]],"&gt;0")&gt;0, AVERAGEIF($F79:Klisz_Verbräuche[[#This Row],[2022]],"&lt;&gt;"), ""),IF($B$57&lt;Klisz_Verbräuche[[#Headers],[2023]],IF(COUNTIF($F79:Klisz_Verbräuche[[#This Row],[2022]],"&gt;0")&gt;0,IF(COUNTIF($F79:Klisz_Verbräuche[[#This Row],[2022]],"&gt;0")&gt;0,Klisz_Verbräuche[[#This Row],[2022]]*(1-$E79)^1, ""), ""),IF($B$57&gt;Klisz_Verbräuche[[#Headers],[2023]],Refsz_Verbräuche[[#This Row],[2023]],"")))</f>
        <v/>
      </c>
      <c r="O79" s="57" t="str">
        <f>IF(Klisz_Verbräuche[[#Headers],[2024]]=$B$57,IF(COUNTIF($F79:Klisz_Verbräuche[[#This Row],[2023]],"&gt;0")&gt;0, AVERAGEIF($F79:Klisz_Verbräuche[[#This Row],[2023]],"&lt;&gt;"), ""),IF($B$57&lt;Klisz_Verbräuche[[#Headers],[2024]],IF(COUNTIF($F79:Klisz_Verbräuche[[#This Row],[2023]],"&gt;0")&gt;0,IF(COUNTIF($F79:Klisz_Verbräuche[[#This Row],[2023]],"&gt;0")&gt;0,Klisz_Verbräuche[[#This Row],[2023]]*(1-$E79)^1, ""), ""),IF($B$57&gt;Klisz_Verbräuche[[#Headers],[2024]],Refsz_Verbräuche[[#This Row],[2024]],"")))</f>
        <v/>
      </c>
      <c r="P79" s="57" t="str">
        <f>IF(Klisz_Verbräuche[[#Headers],[2025]]=$B$57,IF(COUNTIF($F79:Klisz_Verbräuche[[#This Row],[2024]],"&gt;0")&gt;0, AVERAGEIF($F79:Klisz_Verbräuche[[#This Row],[2024]],"&lt;&gt;"), ""),IF($B$57&lt;Klisz_Verbräuche[[#Headers],[2025]],IF(COUNTIF($F79:Klisz_Verbräuche[[#This Row],[2024]],"&gt;0")&gt;0,IF(COUNTIF($F79:Klisz_Verbräuche[[#This Row],[2024]],"&gt;0")&gt;0,Klisz_Verbräuche[[#This Row],[2024]]*(1-$E79)^1, ""), ""),IF($B$57&gt;Klisz_Verbräuche[[#Headers],[2025]],Refsz_Verbräuche[[#This Row],[2025]],"")))</f>
        <v/>
      </c>
      <c r="Q79" s="57" t="str">
        <f>IF(Klisz_Verbräuche[[#Headers],[2026]]=$B$57,IF(COUNTIF($F79:Klisz_Verbräuche[[#This Row],[2025]],"&gt;0")&gt;0, AVERAGEIF($F79:Klisz_Verbräuche[[#This Row],[2025]],"&lt;&gt;"), ""),IF($B$57&lt;Klisz_Verbräuche[[#Headers],[2026]],IF(COUNTIF($F79:Klisz_Verbräuche[[#This Row],[2025]],"&gt;0")&gt;0,IF(COUNTIF($F79:Klisz_Verbräuche[[#This Row],[2025]],"&gt;0")&gt;0,Klisz_Verbräuche[[#This Row],[2025]]*(1-$E79)^1, ""), ""),IF($B$57&gt;Klisz_Verbräuche[[#Headers],[2026]],Refsz_Verbräuche[[#This Row],[2026]],"")))</f>
        <v/>
      </c>
      <c r="R79" s="57" t="str">
        <f>IF(Klisz_Verbräuche[[#Headers],[2027]]=$B$57,IF(COUNTIF($F79:Klisz_Verbräuche[[#This Row],[2026]],"&gt;0")&gt;0, AVERAGEIF($F79:Klisz_Verbräuche[[#This Row],[2026]],"&lt;&gt;"), ""),IF($B$57&lt;Klisz_Verbräuche[[#Headers],[2027]],IF(COUNTIF($F79:Klisz_Verbräuche[[#This Row],[2026]],"&gt;0")&gt;0,IF(COUNTIF($F79:Klisz_Verbräuche[[#This Row],[2026]],"&gt;0")&gt;0,Klisz_Verbräuche[[#This Row],[2026]]*(1-$E79)^1, ""), ""),IF($B$57&gt;Klisz_Verbräuche[[#Headers],[2027]],Refsz_Verbräuche[[#This Row],[2027]],"")))</f>
        <v/>
      </c>
      <c r="S79" s="57" t="str">
        <f>IF(Klisz_Verbräuche[[#Headers],[2028]]=$B$57,IF(COUNTIF($F79:Klisz_Verbräuche[[#This Row],[2027]],"&gt;0")&gt;0, AVERAGEIF($F79:Klisz_Verbräuche[[#This Row],[2027]],"&lt;&gt;"), ""),IF($B$57&lt;Klisz_Verbräuche[[#Headers],[2028]],IF(COUNTIF($F79:Klisz_Verbräuche[[#This Row],[2027]],"&gt;0")&gt;0,IF(COUNTIF($F79:Klisz_Verbräuche[[#This Row],[2027]],"&gt;0")&gt;0,Klisz_Verbräuche[[#This Row],[2027]]*(1-$E79)^1, ""), ""),IF($B$57&gt;Klisz_Verbräuche[[#Headers],[2028]],Refsz_Verbräuche[[#This Row],[2028]],"")))</f>
        <v/>
      </c>
      <c r="T79" s="57" t="str">
        <f>IF(Klisz_Verbräuche[[#Headers],[2029]]=$B$57,IF(COUNTIF($F79:Klisz_Verbräuche[[#This Row],[2028]],"&gt;0")&gt;0, AVERAGEIF($F79:Klisz_Verbräuche[[#This Row],[2028]],"&lt;&gt;"), ""),IF($B$57&lt;Klisz_Verbräuche[[#Headers],[2029]],IF(COUNTIF($F79:Klisz_Verbräuche[[#This Row],[2028]],"&gt;0")&gt;0,IF(COUNTIF($F79:Klisz_Verbräuche[[#This Row],[2028]],"&gt;0")&gt;0,Klisz_Verbräuche[[#This Row],[2028]]*(1-$E79)^1, ""), ""),IF($B$57&gt;Klisz_Verbräuche[[#Headers],[2029]],Refsz_Verbräuche[[#This Row],[2029]],"")))</f>
        <v/>
      </c>
      <c r="U79" s="57" t="str">
        <f>IF(Klisz_Verbräuche[[#Headers],[2030]]=$B$57,IF(COUNTIF($F79:Klisz_Verbräuche[[#This Row],[2029]],"&gt;0")&gt;0, AVERAGEIF($F79:Klisz_Verbräuche[[#This Row],[2029]],"&lt;&gt;"), ""),IF($B$57&lt;Klisz_Verbräuche[[#Headers],[2030]],IF(COUNTIF($F79:Klisz_Verbräuche[[#This Row],[2029]],"&gt;0")&gt;0,IF(COUNTIF($F79:Klisz_Verbräuche[[#This Row],[2029]],"&gt;0")&gt;0,Klisz_Verbräuche[[#This Row],[2029]]*(1-$E79)^1, ""), ""),IF($B$57&gt;Klisz_Verbräuche[[#Headers],[2030]],Refsz_Verbräuche[[#This Row],[2030]],"")))</f>
        <v/>
      </c>
      <c r="V79" s="57" t="str">
        <f>IF(Klisz_Verbräuche[[#Headers],[2035]]=$B$57,IF(COUNTIF($F79:Klisz_Verbräuche[[#This Row],[2030]],"&gt;0")&gt;0, AVERAGEIF($F79:Klisz_Verbräuche[[#This Row],[2030]],"&lt;&gt;"), ""),IF($B$57&lt;Klisz_Verbräuche[[#Headers],[2035]],IF(COUNTIF($F79:Klisz_Verbräuche[[#This Row],[2030]],"&gt;0")&gt;0,IF(COUNTIF($F79:Klisz_Verbräuche[[#This Row],[2030]],"&gt;0")&gt;0,Klisz_Verbräuche[[#This Row],[2030]]*(1-$E79)^5, ""), ""),IF($B$57&gt;Klisz_Verbräuche[[#Headers],[2035]],Refsz_Verbräuche[[#This Row],[2035]],"")))</f>
        <v/>
      </c>
      <c r="W79" s="57" t="str">
        <f>IF(Klisz_Verbräuche[[#Headers],[2040]]=$B$57,IF(COUNTIF($F79:Klisz_Verbräuche[[#This Row],[2035]],"&gt;0")&gt;0, AVERAGEIF($F79:Klisz_Verbräuche[[#This Row],[2035]],"&lt;&gt;"), ""),IF($B$57&lt;Klisz_Verbräuche[[#Headers],[2040]],IF(COUNTIF($F79:Klisz_Verbräuche[[#This Row],[2035]],"&gt;0")&gt;0,IF(COUNTIF($F79:Klisz_Verbräuche[[#This Row],[2035]],"&gt;0")&gt;0,Klisz_Verbräuche[[#This Row],[2035]]*(1-$E79)^5, ""), ""),IF($B$57&gt;Klisz_Verbräuche[[#Headers],[2040]],Refsz_Verbräuche[[#This Row],[2040]],"")))</f>
        <v/>
      </c>
      <c r="X79" s="57" t="str">
        <f>IF(Klisz_Verbräuche[[#Headers],[2045]]=$B$57,IF(COUNTIF($F79:Klisz_Verbräuche[[#This Row],[2040]],"&gt;0")&gt;0, AVERAGEIF($F79:Klisz_Verbräuche[[#This Row],[2040]],"&lt;&gt;"), ""),IF($B$57&lt;Klisz_Verbräuche[[#Headers],[2045]],IF(COUNTIF($F79:Klisz_Verbräuche[[#This Row],[2040]],"&gt;0")&gt;0,IF(COUNTIF($F79:Klisz_Verbräuche[[#This Row],[2040]],"&gt;0")&gt;0,Klisz_Verbräuche[[#This Row],[2040]]*(1-$E79)^5, ""), ""),IF($B$57&gt;Klisz_Verbräuche[[#Headers],[2045]],Refsz_Verbräuche[[#This Row],[2045]],"")))</f>
        <v/>
      </c>
      <c r="Y79" s="57" t="str">
        <f>IF(Klisz_Verbräuche[[#Headers],[2050]]=$B$57,IF(COUNTIF($F79:Klisz_Verbräuche[[#This Row],[2045]],"&gt;0")&gt;0, AVERAGEIF($F79:Klisz_Verbräuche[[#This Row],[2045]],"&lt;&gt;"), ""),IF($B$57&lt;Klisz_Verbräuche[[#Headers],[2050]],IF(COUNTIF($F79:Klisz_Verbräuche[[#This Row],[2045]],"&gt;0")&gt;0,IF(COUNTIF($F79:Klisz_Verbräuche[[#This Row],[2045]],"&gt;0")&gt;0,Klisz_Verbräuche[[#This Row],[2045]]*(1-$E79)^5, ""), ""),IF($B$57&gt;Klisz_Verbräuche[[#Headers],[2050]],Refsz_Verbräuche[[#This Row],[2050]],"")))</f>
        <v/>
      </c>
      <c r="Z79" s="15"/>
    </row>
    <row r="80" spans="2:26" x14ac:dyDescent="0.35">
      <c r="B80" s="15">
        <v>20</v>
      </c>
      <c r="C80" s="54" t="str">
        <f>Refsz_Verbräuche[[#This Row],[Datenpunkt]]</f>
        <v>Wärme (Fernwärme Abfall)</v>
      </c>
      <c r="D80" s="29" t="str">
        <f>Refsz_Verbräuche[[#This Row],[Einheit]]</f>
        <v>MWh</v>
      </c>
      <c r="E80" s="122"/>
      <c r="F80" s="15" t="str">
        <f>IF(ISBLANK(Refsz_Verbräuche[[#This Row],[2015]]),"",Refsz_Verbräuche[[#This Row],[2015]])</f>
        <v/>
      </c>
      <c r="G80" s="15" t="str">
        <f>IF(ISBLANK(Refsz_Verbräuche[[#This Row],[2016]]),"",Refsz_Verbräuche[[#This Row],[2016]])</f>
        <v/>
      </c>
      <c r="H80" s="15" t="str">
        <f>IF(ISBLANK(Refsz_Verbräuche[[#This Row],[2017]]),"",Refsz_Verbräuche[[#This Row],[2017]])</f>
        <v/>
      </c>
      <c r="I80" s="15" t="str">
        <f>IF(ISBLANK(Refsz_Verbräuche[[#This Row],[2018]]),"",Refsz_Verbräuche[[#This Row],[2018]])</f>
        <v/>
      </c>
      <c r="J80" s="15" t="str">
        <f>IF(ISBLANK(Refsz_Verbräuche[[#This Row],[2019]]),"",Refsz_Verbräuche[[#This Row],[2019]])</f>
        <v/>
      </c>
      <c r="K80" s="15" t="str">
        <f>IF(ISBLANK(Refsz_Verbräuche[[#This Row],[2020]]),"",Refsz_Verbräuche[[#This Row],[2020]])</f>
        <v/>
      </c>
      <c r="L80" s="15" t="str">
        <f>IF(ISBLANK(Refsz_Verbräuche[[#This Row],[2021]]),"",Refsz_Verbräuche[[#This Row],[2021]])</f>
        <v/>
      </c>
      <c r="M80" s="57" t="str">
        <f>IF(Klisz_Verbräuche[[#Headers],[2022]]=$B$57,IF(COUNTIF($F80:Klisz_Verbräuche[[#This Row],[2021]],"&gt;0")&gt;0, AVERAGEIF($F80:Klisz_Verbräuche[[#This Row],[2021]],"&lt;&gt;"), ""),IF($B$57&lt;Klisz_Verbräuche[[#Headers],[2022]],IF(COUNTIF($F80:Klisz_Verbräuche[[#This Row],[2021]],"&gt;0")&gt;0,IF(COUNTIF($F80:Klisz_Verbräuche[[#This Row],[2021]],"&gt;0")&gt;0,Klisz_Verbräuche[[#This Row],[2021]]*(1-$E80)^1, ""), ""),IF($B$57&gt;Klisz_Verbräuche[[#Headers],[2022]],Refsz_Verbräuche[[#This Row],[2022]],"")))</f>
        <v/>
      </c>
      <c r="N80" s="57" t="str">
        <f>IF(Klisz_Verbräuche[[#Headers],[2023]]=$B$57,IF(COUNTIF($F80:Klisz_Verbräuche[[#This Row],[2022]],"&gt;0")&gt;0, AVERAGEIF($F80:Klisz_Verbräuche[[#This Row],[2022]],"&lt;&gt;"), ""),IF($B$57&lt;Klisz_Verbräuche[[#Headers],[2023]],IF(COUNTIF($F80:Klisz_Verbräuche[[#This Row],[2022]],"&gt;0")&gt;0,IF(COUNTIF($F80:Klisz_Verbräuche[[#This Row],[2022]],"&gt;0")&gt;0,Klisz_Verbräuche[[#This Row],[2022]]*(1-$E80)^1, ""), ""),IF($B$57&gt;Klisz_Verbräuche[[#Headers],[2023]],Refsz_Verbräuche[[#This Row],[2023]],"")))</f>
        <v/>
      </c>
      <c r="O80" s="57" t="str">
        <f>IF(Klisz_Verbräuche[[#Headers],[2024]]=$B$57,IF(COUNTIF($F80:Klisz_Verbräuche[[#This Row],[2023]],"&gt;0")&gt;0, AVERAGEIF($F80:Klisz_Verbräuche[[#This Row],[2023]],"&lt;&gt;"), ""),IF($B$57&lt;Klisz_Verbräuche[[#Headers],[2024]],IF(COUNTIF($F80:Klisz_Verbräuche[[#This Row],[2023]],"&gt;0")&gt;0,IF(COUNTIF($F80:Klisz_Verbräuche[[#This Row],[2023]],"&gt;0")&gt;0,Klisz_Verbräuche[[#This Row],[2023]]*(1-$E80)^1, ""), ""),IF($B$57&gt;Klisz_Verbräuche[[#Headers],[2024]],Refsz_Verbräuche[[#This Row],[2024]],"")))</f>
        <v/>
      </c>
      <c r="P80" s="57" t="str">
        <f>IF(Klisz_Verbräuche[[#Headers],[2025]]=$B$57,IF(COUNTIF($F80:Klisz_Verbräuche[[#This Row],[2024]],"&gt;0")&gt;0, AVERAGEIF($F80:Klisz_Verbräuche[[#This Row],[2024]],"&lt;&gt;"), ""),IF($B$57&lt;Klisz_Verbräuche[[#Headers],[2025]],IF(COUNTIF($F80:Klisz_Verbräuche[[#This Row],[2024]],"&gt;0")&gt;0,IF(COUNTIF($F80:Klisz_Verbräuche[[#This Row],[2024]],"&gt;0")&gt;0,Klisz_Verbräuche[[#This Row],[2024]]*(1-$E80)^1, ""), ""),IF($B$57&gt;Klisz_Verbräuche[[#Headers],[2025]],Refsz_Verbräuche[[#This Row],[2025]],"")))</f>
        <v/>
      </c>
      <c r="Q80" s="57" t="str">
        <f>IF(Klisz_Verbräuche[[#Headers],[2026]]=$B$57,IF(COUNTIF($F80:Klisz_Verbräuche[[#This Row],[2025]],"&gt;0")&gt;0, AVERAGEIF($F80:Klisz_Verbräuche[[#This Row],[2025]],"&lt;&gt;"), ""),IF($B$57&lt;Klisz_Verbräuche[[#Headers],[2026]],IF(COUNTIF($F80:Klisz_Verbräuche[[#This Row],[2025]],"&gt;0")&gt;0,IF(COUNTIF($F80:Klisz_Verbräuche[[#This Row],[2025]],"&gt;0")&gt;0,Klisz_Verbräuche[[#This Row],[2025]]*(1-$E80)^1, ""), ""),IF($B$57&gt;Klisz_Verbräuche[[#Headers],[2026]],Refsz_Verbräuche[[#This Row],[2026]],"")))</f>
        <v/>
      </c>
      <c r="R80" s="57" t="str">
        <f>IF(Klisz_Verbräuche[[#Headers],[2027]]=$B$57,IF(COUNTIF($F80:Klisz_Verbräuche[[#This Row],[2026]],"&gt;0")&gt;0, AVERAGEIF($F80:Klisz_Verbräuche[[#This Row],[2026]],"&lt;&gt;"), ""),IF($B$57&lt;Klisz_Verbräuche[[#Headers],[2027]],IF(COUNTIF($F80:Klisz_Verbräuche[[#This Row],[2026]],"&gt;0")&gt;0,IF(COUNTIF($F80:Klisz_Verbräuche[[#This Row],[2026]],"&gt;0")&gt;0,Klisz_Verbräuche[[#This Row],[2026]]*(1-$E80)^1, ""), ""),IF($B$57&gt;Klisz_Verbräuche[[#Headers],[2027]],Refsz_Verbräuche[[#This Row],[2027]],"")))</f>
        <v/>
      </c>
      <c r="S80" s="57" t="str">
        <f>IF(Klisz_Verbräuche[[#Headers],[2028]]=$B$57,IF(COUNTIF($F80:Klisz_Verbräuche[[#This Row],[2027]],"&gt;0")&gt;0, AVERAGEIF($F80:Klisz_Verbräuche[[#This Row],[2027]],"&lt;&gt;"), ""),IF($B$57&lt;Klisz_Verbräuche[[#Headers],[2028]],IF(COUNTIF($F80:Klisz_Verbräuche[[#This Row],[2027]],"&gt;0")&gt;0,IF(COUNTIF($F80:Klisz_Verbräuche[[#This Row],[2027]],"&gt;0")&gt;0,Klisz_Verbräuche[[#This Row],[2027]]*(1-$E80)^1, ""), ""),IF($B$57&gt;Klisz_Verbräuche[[#Headers],[2028]],Refsz_Verbräuche[[#This Row],[2028]],"")))</f>
        <v/>
      </c>
      <c r="T80" s="57" t="str">
        <f>IF(Klisz_Verbräuche[[#Headers],[2029]]=$B$57,IF(COUNTIF($F80:Klisz_Verbräuche[[#This Row],[2028]],"&gt;0")&gt;0, AVERAGEIF($F80:Klisz_Verbräuche[[#This Row],[2028]],"&lt;&gt;"), ""),IF($B$57&lt;Klisz_Verbräuche[[#Headers],[2029]],IF(COUNTIF($F80:Klisz_Verbräuche[[#This Row],[2028]],"&gt;0")&gt;0,IF(COUNTIF($F80:Klisz_Verbräuche[[#This Row],[2028]],"&gt;0")&gt;0,Klisz_Verbräuche[[#This Row],[2028]]*(1-$E80)^1, ""), ""),IF($B$57&gt;Klisz_Verbräuche[[#Headers],[2029]],Refsz_Verbräuche[[#This Row],[2029]],"")))</f>
        <v/>
      </c>
      <c r="U80" s="57" t="str">
        <f>IF(Klisz_Verbräuche[[#Headers],[2030]]=$B$57,IF(COUNTIF($F80:Klisz_Verbräuche[[#This Row],[2029]],"&gt;0")&gt;0, AVERAGEIF($F80:Klisz_Verbräuche[[#This Row],[2029]],"&lt;&gt;"), ""),IF($B$57&lt;Klisz_Verbräuche[[#Headers],[2030]],IF(COUNTIF($F80:Klisz_Verbräuche[[#This Row],[2029]],"&gt;0")&gt;0,IF(COUNTIF($F80:Klisz_Verbräuche[[#This Row],[2029]],"&gt;0")&gt;0,Klisz_Verbräuche[[#This Row],[2029]]*(1-$E80)^1, ""), ""),IF($B$57&gt;Klisz_Verbräuche[[#Headers],[2030]],Refsz_Verbräuche[[#This Row],[2030]],"")))</f>
        <v/>
      </c>
      <c r="V80" s="57" t="str">
        <f>IF(Klisz_Verbräuche[[#Headers],[2035]]=$B$57,IF(COUNTIF($F80:Klisz_Verbräuche[[#This Row],[2030]],"&gt;0")&gt;0, AVERAGEIF($F80:Klisz_Verbräuche[[#This Row],[2030]],"&lt;&gt;"), ""),IF($B$57&lt;Klisz_Verbräuche[[#Headers],[2035]],IF(COUNTIF($F80:Klisz_Verbräuche[[#This Row],[2030]],"&gt;0")&gt;0,IF(COUNTIF($F80:Klisz_Verbräuche[[#This Row],[2030]],"&gt;0")&gt;0,Klisz_Verbräuche[[#This Row],[2030]]*(1-$E80)^5, ""), ""),IF($B$57&gt;Klisz_Verbräuche[[#Headers],[2035]],Refsz_Verbräuche[[#This Row],[2035]],"")))</f>
        <v/>
      </c>
      <c r="W80" s="57" t="str">
        <f>IF(Klisz_Verbräuche[[#Headers],[2040]]=$B$57,IF(COUNTIF($F80:Klisz_Verbräuche[[#This Row],[2035]],"&gt;0")&gt;0, AVERAGEIF($F80:Klisz_Verbräuche[[#This Row],[2035]],"&lt;&gt;"), ""),IF($B$57&lt;Klisz_Verbräuche[[#Headers],[2040]],IF(COUNTIF($F80:Klisz_Verbräuche[[#This Row],[2035]],"&gt;0")&gt;0,IF(COUNTIF($F80:Klisz_Verbräuche[[#This Row],[2035]],"&gt;0")&gt;0,Klisz_Verbräuche[[#This Row],[2035]]*(1-$E80)^5, ""), ""),IF($B$57&gt;Klisz_Verbräuche[[#Headers],[2040]],Refsz_Verbräuche[[#This Row],[2040]],"")))</f>
        <v/>
      </c>
      <c r="X80" s="57" t="str">
        <f>IF(Klisz_Verbräuche[[#Headers],[2045]]=$B$57,IF(COUNTIF($F80:Klisz_Verbräuche[[#This Row],[2040]],"&gt;0")&gt;0, AVERAGEIF($F80:Klisz_Verbräuche[[#This Row],[2040]],"&lt;&gt;"), ""),IF($B$57&lt;Klisz_Verbräuche[[#Headers],[2045]],IF(COUNTIF($F80:Klisz_Verbräuche[[#This Row],[2040]],"&gt;0")&gt;0,IF(COUNTIF($F80:Klisz_Verbräuche[[#This Row],[2040]],"&gt;0")&gt;0,Klisz_Verbräuche[[#This Row],[2040]]*(1-$E80)^5, ""), ""),IF($B$57&gt;Klisz_Verbräuche[[#Headers],[2045]],Refsz_Verbräuche[[#This Row],[2045]],"")))</f>
        <v/>
      </c>
      <c r="Y80" s="57" t="str">
        <f>IF(Klisz_Verbräuche[[#Headers],[2050]]=$B$57,IF(COUNTIF($F80:Klisz_Verbräuche[[#This Row],[2045]],"&gt;0")&gt;0, AVERAGEIF($F80:Klisz_Verbräuche[[#This Row],[2045]],"&lt;&gt;"), ""),IF($B$57&lt;Klisz_Verbräuche[[#Headers],[2050]],IF(COUNTIF($F80:Klisz_Verbräuche[[#This Row],[2045]],"&gt;0")&gt;0,IF(COUNTIF($F80:Klisz_Verbräuche[[#This Row],[2045]],"&gt;0")&gt;0,Klisz_Verbräuche[[#This Row],[2045]]*(1-$E80)^5, ""), ""),IF($B$57&gt;Klisz_Verbräuche[[#Headers],[2050]],Refsz_Verbräuche[[#This Row],[2050]],"")))</f>
        <v/>
      </c>
      <c r="Z80" s="15"/>
    </row>
    <row r="81" spans="2:26" x14ac:dyDescent="0.35">
      <c r="B81" s="15">
        <v>21</v>
      </c>
      <c r="C81" s="54" t="str">
        <f>Refsz_Verbräuche[[#This Row],[Datenpunkt]]</f>
        <v>Wärme (Heizöl)</v>
      </c>
      <c r="D81" s="29" t="str">
        <f>Refsz_Verbräuche[[#This Row],[Einheit]]</f>
        <v>MWh</v>
      </c>
      <c r="E81" s="122"/>
      <c r="F81" s="15" t="str">
        <f>IF(ISBLANK(Refsz_Verbräuche[[#This Row],[2015]]),"",Refsz_Verbräuche[[#This Row],[2015]])</f>
        <v/>
      </c>
      <c r="G81" s="15" t="str">
        <f>IF(ISBLANK(Refsz_Verbräuche[[#This Row],[2016]]),"",Refsz_Verbräuche[[#This Row],[2016]])</f>
        <v/>
      </c>
      <c r="H81" s="15" t="str">
        <f>IF(ISBLANK(Refsz_Verbräuche[[#This Row],[2017]]),"",Refsz_Verbräuche[[#This Row],[2017]])</f>
        <v/>
      </c>
      <c r="I81" s="15" t="str">
        <f>IF(ISBLANK(Refsz_Verbräuche[[#This Row],[2018]]),"",Refsz_Verbräuche[[#This Row],[2018]])</f>
        <v/>
      </c>
      <c r="J81" s="15" t="str">
        <f>IF(ISBLANK(Refsz_Verbräuche[[#This Row],[2019]]),"",Refsz_Verbräuche[[#This Row],[2019]])</f>
        <v/>
      </c>
      <c r="K81" s="15" t="str">
        <f>IF(ISBLANK(Refsz_Verbräuche[[#This Row],[2020]]),"",Refsz_Verbräuche[[#This Row],[2020]])</f>
        <v/>
      </c>
      <c r="L81" s="15" t="str">
        <f>IF(ISBLANK(Refsz_Verbräuche[[#This Row],[2021]]),"",Refsz_Verbräuche[[#This Row],[2021]])</f>
        <v/>
      </c>
      <c r="M81" s="57" t="str">
        <f>IF(Klisz_Verbräuche[[#Headers],[2022]]=$B$57,IF(COUNTIF($F81:Klisz_Verbräuche[[#This Row],[2021]],"&gt;0")&gt;0, AVERAGEIF($F81:Klisz_Verbräuche[[#This Row],[2021]],"&lt;&gt;"), ""),IF($B$57&lt;Klisz_Verbräuche[[#Headers],[2022]],IF(COUNTIF($F81:Klisz_Verbräuche[[#This Row],[2021]],"&gt;0")&gt;0,IF(COUNTIF($F81:Klisz_Verbräuche[[#This Row],[2021]],"&gt;0")&gt;0,Klisz_Verbräuche[[#This Row],[2021]]*(1-$E81)^1, ""), ""),IF($B$57&gt;Klisz_Verbräuche[[#Headers],[2022]],Refsz_Verbräuche[[#This Row],[2022]],"")))</f>
        <v/>
      </c>
      <c r="N81" s="57" t="str">
        <f>IF(Klisz_Verbräuche[[#Headers],[2023]]=$B$57,IF(COUNTIF($F81:Klisz_Verbräuche[[#This Row],[2022]],"&gt;0")&gt;0, AVERAGEIF($F81:Klisz_Verbräuche[[#This Row],[2022]],"&lt;&gt;"), ""),IF($B$57&lt;Klisz_Verbräuche[[#Headers],[2023]],IF(COUNTIF($F81:Klisz_Verbräuche[[#This Row],[2022]],"&gt;0")&gt;0,IF(COUNTIF($F81:Klisz_Verbräuche[[#This Row],[2022]],"&gt;0")&gt;0,Klisz_Verbräuche[[#This Row],[2022]]*(1-$E81)^1, ""), ""),IF($B$57&gt;Klisz_Verbräuche[[#Headers],[2023]],Refsz_Verbräuche[[#This Row],[2023]],"")))</f>
        <v/>
      </c>
      <c r="O81" s="57" t="str">
        <f>IF(Klisz_Verbräuche[[#Headers],[2024]]=$B$57,IF(COUNTIF($F81:Klisz_Verbräuche[[#This Row],[2023]],"&gt;0")&gt;0, AVERAGEIF($F81:Klisz_Verbräuche[[#This Row],[2023]],"&lt;&gt;"), ""),IF($B$57&lt;Klisz_Verbräuche[[#Headers],[2024]],IF(COUNTIF($F81:Klisz_Verbräuche[[#This Row],[2023]],"&gt;0")&gt;0,IF(COUNTIF($F81:Klisz_Verbräuche[[#This Row],[2023]],"&gt;0")&gt;0,Klisz_Verbräuche[[#This Row],[2023]]*(1-$E81)^1, ""), ""),IF($B$57&gt;Klisz_Verbräuche[[#Headers],[2024]],Refsz_Verbräuche[[#This Row],[2024]],"")))</f>
        <v/>
      </c>
      <c r="P81" s="57" t="str">
        <f>IF(Klisz_Verbräuche[[#Headers],[2025]]=$B$57,IF(COUNTIF($F81:Klisz_Verbräuche[[#This Row],[2024]],"&gt;0")&gt;0, AVERAGEIF($F81:Klisz_Verbräuche[[#This Row],[2024]],"&lt;&gt;"), ""),IF($B$57&lt;Klisz_Verbräuche[[#Headers],[2025]],IF(COUNTIF($F81:Klisz_Verbräuche[[#This Row],[2024]],"&gt;0")&gt;0,IF(COUNTIF($F81:Klisz_Verbräuche[[#This Row],[2024]],"&gt;0")&gt;0,Klisz_Verbräuche[[#This Row],[2024]]*(1-$E81)^1, ""), ""),IF($B$57&gt;Klisz_Verbräuche[[#Headers],[2025]],Refsz_Verbräuche[[#This Row],[2025]],"")))</f>
        <v/>
      </c>
      <c r="Q81" s="57" t="str">
        <f>IF(Klisz_Verbräuche[[#Headers],[2026]]=$B$57,IF(COUNTIF($F81:Klisz_Verbräuche[[#This Row],[2025]],"&gt;0")&gt;0, AVERAGEIF($F81:Klisz_Verbräuche[[#This Row],[2025]],"&lt;&gt;"), ""),IF($B$57&lt;Klisz_Verbräuche[[#Headers],[2026]],IF(COUNTIF($F81:Klisz_Verbräuche[[#This Row],[2025]],"&gt;0")&gt;0,IF(COUNTIF($F81:Klisz_Verbräuche[[#This Row],[2025]],"&gt;0")&gt;0,Klisz_Verbräuche[[#This Row],[2025]]*(1-$E81)^1, ""), ""),IF($B$57&gt;Klisz_Verbräuche[[#Headers],[2026]],Refsz_Verbräuche[[#This Row],[2026]],"")))</f>
        <v/>
      </c>
      <c r="R81" s="57" t="str">
        <f>IF(Klisz_Verbräuche[[#Headers],[2027]]=$B$57,IF(COUNTIF($F81:Klisz_Verbräuche[[#This Row],[2026]],"&gt;0")&gt;0, AVERAGEIF($F81:Klisz_Verbräuche[[#This Row],[2026]],"&lt;&gt;"), ""),IF($B$57&lt;Klisz_Verbräuche[[#Headers],[2027]],IF(COUNTIF($F81:Klisz_Verbräuche[[#This Row],[2026]],"&gt;0")&gt;0,IF(COUNTIF($F81:Klisz_Verbräuche[[#This Row],[2026]],"&gt;0")&gt;0,Klisz_Verbräuche[[#This Row],[2026]]*(1-$E81)^1, ""), ""),IF($B$57&gt;Klisz_Verbräuche[[#Headers],[2027]],Refsz_Verbräuche[[#This Row],[2027]],"")))</f>
        <v/>
      </c>
      <c r="S81" s="57" t="str">
        <f>IF(Klisz_Verbräuche[[#Headers],[2028]]=$B$57,IF(COUNTIF($F81:Klisz_Verbräuche[[#This Row],[2027]],"&gt;0")&gt;0, AVERAGEIF($F81:Klisz_Verbräuche[[#This Row],[2027]],"&lt;&gt;"), ""),IF($B$57&lt;Klisz_Verbräuche[[#Headers],[2028]],IF(COUNTIF($F81:Klisz_Verbräuche[[#This Row],[2027]],"&gt;0")&gt;0,IF(COUNTIF($F81:Klisz_Verbräuche[[#This Row],[2027]],"&gt;0")&gt;0,Klisz_Verbräuche[[#This Row],[2027]]*(1-$E81)^1, ""), ""),IF($B$57&gt;Klisz_Verbräuche[[#Headers],[2028]],Refsz_Verbräuche[[#This Row],[2028]],"")))</f>
        <v/>
      </c>
      <c r="T81" s="57" t="str">
        <f>IF(Klisz_Verbräuche[[#Headers],[2029]]=$B$57,IF(COUNTIF($F81:Klisz_Verbräuche[[#This Row],[2028]],"&gt;0")&gt;0, AVERAGEIF($F81:Klisz_Verbräuche[[#This Row],[2028]],"&lt;&gt;"), ""),IF($B$57&lt;Klisz_Verbräuche[[#Headers],[2029]],IF(COUNTIF($F81:Klisz_Verbräuche[[#This Row],[2028]],"&gt;0")&gt;0,IF(COUNTIF($F81:Klisz_Verbräuche[[#This Row],[2028]],"&gt;0")&gt;0,Klisz_Verbräuche[[#This Row],[2028]]*(1-$E81)^1, ""), ""),IF($B$57&gt;Klisz_Verbräuche[[#Headers],[2029]],Refsz_Verbräuche[[#This Row],[2029]],"")))</f>
        <v/>
      </c>
      <c r="U81" s="57" t="str">
        <f>IF(Klisz_Verbräuche[[#Headers],[2030]]=$B$57,IF(COUNTIF($F81:Klisz_Verbräuche[[#This Row],[2029]],"&gt;0")&gt;0, AVERAGEIF($F81:Klisz_Verbräuche[[#This Row],[2029]],"&lt;&gt;"), ""),IF($B$57&lt;Klisz_Verbräuche[[#Headers],[2030]],IF(COUNTIF($F81:Klisz_Verbräuche[[#This Row],[2029]],"&gt;0")&gt;0,IF(COUNTIF($F81:Klisz_Verbräuche[[#This Row],[2029]],"&gt;0")&gt;0,Klisz_Verbräuche[[#This Row],[2029]]*(1-$E81)^1, ""), ""),IF($B$57&gt;Klisz_Verbräuche[[#Headers],[2030]],Refsz_Verbräuche[[#This Row],[2030]],"")))</f>
        <v/>
      </c>
      <c r="V81" s="57" t="str">
        <f>IF(Klisz_Verbräuche[[#Headers],[2035]]=$B$57,IF(COUNTIF($F81:Klisz_Verbräuche[[#This Row],[2030]],"&gt;0")&gt;0, AVERAGEIF($F81:Klisz_Verbräuche[[#This Row],[2030]],"&lt;&gt;"), ""),IF($B$57&lt;Klisz_Verbräuche[[#Headers],[2035]],IF(COUNTIF($F81:Klisz_Verbräuche[[#This Row],[2030]],"&gt;0")&gt;0,IF(COUNTIF($F81:Klisz_Verbräuche[[#This Row],[2030]],"&gt;0")&gt;0,Klisz_Verbräuche[[#This Row],[2030]]*(1-$E81)^5, ""), ""),IF($B$57&gt;Klisz_Verbräuche[[#Headers],[2035]],Refsz_Verbräuche[[#This Row],[2035]],"")))</f>
        <v/>
      </c>
      <c r="W81" s="57" t="str">
        <f>IF(Klisz_Verbräuche[[#Headers],[2040]]=$B$57,IF(COUNTIF($F81:Klisz_Verbräuche[[#This Row],[2035]],"&gt;0")&gt;0, AVERAGEIF($F81:Klisz_Verbräuche[[#This Row],[2035]],"&lt;&gt;"), ""),IF($B$57&lt;Klisz_Verbräuche[[#Headers],[2040]],IF(COUNTIF($F81:Klisz_Verbräuche[[#This Row],[2035]],"&gt;0")&gt;0,IF(COUNTIF($F81:Klisz_Verbräuche[[#This Row],[2035]],"&gt;0")&gt;0,Klisz_Verbräuche[[#This Row],[2035]]*(1-$E81)^5, ""), ""),IF($B$57&gt;Klisz_Verbräuche[[#Headers],[2040]],Refsz_Verbräuche[[#This Row],[2040]],"")))</f>
        <v/>
      </c>
      <c r="X81" s="57" t="str">
        <f>IF(Klisz_Verbräuche[[#Headers],[2045]]=$B$57,IF(COUNTIF($F81:Klisz_Verbräuche[[#This Row],[2040]],"&gt;0")&gt;0, AVERAGEIF($F81:Klisz_Verbräuche[[#This Row],[2040]],"&lt;&gt;"), ""),IF($B$57&lt;Klisz_Verbräuche[[#Headers],[2045]],IF(COUNTIF($F81:Klisz_Verbräuche[[#This Row],[2040]],"&gt;0")&gt;0,IF(COUNTIF($F81:Klisz_Verbräuche[[#This Row],[2040]],"&gt;0")&gt;0,Klisz_Verbräuche[[#This Row],[2040]]*(1-$E81)^5, ""), ""),IF($B$57&gt;Klisz_Verbräuche[[#Headers],[2045]],Refsz_Verbräuche[[#This Row],[2045]],"")))</f>
        <v/>
      </c>
      <c r="Y81" s="57" t="str">
        <f>IF(Klisz_Verbräuche[[#Headers],[2050]]=$B$57,IF(COUNTIF($F81:Klisz_Verbräuche[[#This Row],[2045]],"&gt;0")&gt;0, AVERAGEIF($F81:Klisz_Verbräuche[[#This Row],[2045]],"&lt;&gt;"), ""),IF($B$57&lt;Klisz_Verbräuche[[#Headers],[2050]],IF(COUNTIF($F81:Klisz_Verbräuche[[#This Row],[2045]],"&gt;0")&gt;0,IF(COUNTIF($F81:Klisz_Verbräuche[[#This Row],[2045]],"&gt;0")&gt;0,Klisz_Verbräuche[[#This Row],[2045]]*(1-$E81)^5, ""), ""),IF($B$57&gt;Klisz_Verbräuche[[#Headers],[2050]],Refsz_Verbräuche[[#This Row],[2050]],"")))</f>
        <v/>
      </c>
      <c r="Z81" s="15"/>
    </row>
    <row r="82" spans="2:26" x14ac:dyDescent="0.35">
      <c r="B82" s="15">
        <v>22</v>
      </c>
      <c r="C82" s="54" t="str">
        <f>Refsz_Verbräuche[[#This Row],[Datenpunkt]]</f>
        <v>Wärme (Solarthermie)</v>
      </c>
      <c r="D82" s="29" t="str">
        <f>Refsz_Verbräuche[[#This Row],[Einheit]]</f>
        <v>MWh</v>
      </c>
      <c r="E82" s="122"/>
      <c r="F82" s="15" t="str">
        <f>IF(ISBLANK(Refsz_Verbräuche[[#This Row],[2015]]),"",Refsz_Verbräuche[[#This Row],[2015]])</f>
        <v/>
      </c>
      <c r="G82" s="15" t="str">
        <f>IF(ISBLANK(Refsz_Verbräuche[[#This Row],[2016]]),"",Refsz_Verbräuche[[#This Row],[2016]])</f>
        <v/>
      </c>
      <c r="H82" s="15" t="str">
        <f>IF(ISBLANK(Refsz_Verbräuche[[#This Row],[2017]]),"",Refsz_Verbräuche[[#This Row],[2017]])</f>
        <v/>
      </c>
      <c r="I82" s="15" t="str">
        <f>IF(ISBLANK(Refsz_Verbräuche[[#This Row],[2018]]),"",Refsz_Verbräuche[[#This Row],[2018]])</f>
        <v/>
      </c>
      <c r="J82" s="15" t="str">
        <f>IF(ISBLANK(Refsz_Verbräuche[[#This Row],[2019]]),"",Refsz_Verbräuche[[#This Row],[2019]])</f>
        <v/>
      </c>
      <c r="K82" s="15" t="str">
        <f>IF(ISBLANK(Refsz_Verbräuche[[#This Row],[2020]]),"",Refsz_Verbräuche[[#This Row],[2020]])</f>
        <v/>
      </c>
      <c r="L82" s="15" t="str">
        <f>IF(ISBLANK(Refsz_Verbräuche[[#This Row],[2021]]),"",Refsz_Verbräuche[[#This Row],[2021]])</f>
        <v/>
      </c>
      <c r="M82" s="57" t="str">
        <f>IF(Klisz_Verbräuche[[#Headers],[2022]]=$B$57,IF(COUNTIF($F82:Klisz_Verbräuche[[#This Row],[2021]],"&gt;0")&gt;0, AVERAGEIF($F82:Klisz_Verbräuche[[#This Row],[2021]],"&lt;&gt;"), ""),IF($B$57&lt;Klisz_Verbräuche[[#Headers],[2022]],IF(COUNTIF($F82:Klisz_Verbräuche[[#This Row],[2021]],"&gt;0")&gt;0,IF(COUNTIF($F82:Klisz_Verbräuche[[#This Row],[2021]],"&gt;0")&gt;0,Klisz_Verbräuche[[#This Row],[2021]]*(1-$E82)^1, ""), ""),IF($B$57&gt;Klisz_Verbräuche[[#Headers],[2022]],Refsz_Verbräuche[[#This Row],[2022]],"")))</f>
        <v/>
      </c>
      <c r="N82" s="57" t="str">
        <f>IF(Klisz_Verbräuche[[#Headers],[2023]]=$B$57,IF(COUNTIF($F82:Klisz_Verbräuche[[#This Row],[2022]],"&gt;0")&gt;0, AVERAGEIF($F82:Klisz_Verbräuche[[#This Row],[2022]],"&lt;&gt;"), ""),IF($B$57&lt;Klisz_Verbräuche[[#Headers],[2023]],IF(COUNTIF($F82:Klisz_Verbräuche[[#This Row],[2022]],"&gt;0")&gt;0,IF(COUNTIF($F82:Klisz_Verbräuche[[#This Row],[2022]],"&gt;0")&gt;0,Klisz_Verbräuche[[#This Row],[2022]]*(1-$E82)^1, ""), ""),IF($B$57&gt;Klisz_Verbräuche[[#Headers],[2023]],Refsz_Verbräuche[[#This Row],[2023]],"")))</f>
        <v/>
      </c>
      <c r="O82" s="57" t="str">
        <f>IF(Klisz_Verbräuche[[#Headers],[2024]]=$B$57,IF(COUNTIF($F82:Klisz_Verbräuche[[#This Row],[2023]],"&gt;0")&gt;0, AVERAGEIF($F82:Klisz_Verbräuche[[#This Row],[2023]],"&lt;&gt;"), ""),IF($B$57&lt;Klisz_Verbräuche[[#Headers],[2024]],IF(COUNTIF($F82:Klisz_Verbräuche[[#This Row],[2023]],"&gt;0")&gt;0,IF(COUNTIF($F82:Klisz_Verbräuche[[#This Row],[2023]],"&gt;0")&gt;0,Klisz_Verbräuche[[#This Row],[2023]]*(1-$E82)^1, ""), ""),IF($B$57&gt;Klisz_Verbräuche[[#Headers],[2024]],Refsz_Verbräuche[[#This Row],[2024]],"")))</f>
        <v/>
      </c>
      <c r="P82" s="57" t="str">
        <f>IF(Klisz_Verbräuche[[#Headers],[2025]]=$B$57,IF(COUNTIF($F82:Klisz_Verbräuche[[#This Row],[2024]],"&gt;0")&gt;0, AVERAGEIF($F82:Klisz_Verbräuche[[#This Row],[2024]],"&lt;&gt;"), ""),IF($B$57&lt;Klisz_Verbräuche[[#Headers],[2025]],IF(COUNTIF($F82:Klisz_Verbräuche[[#This Row],[2024]],"&gt;0")&gt;0,IF(COUNTIF($F82:Klisz_Verbräuche[[#This Row],[2024]],"&gt;0")&gt;0,Klisz_Verbräuche[[#This Row],[2024]]*(1-$E82)^1, ""), ""),IF($B$57&gt;Klisz_Verbräuche[[#Headers],[2025]],Refsz_Verbräuche[[#This Row],[2025]],"")))</f>
        <v/>
      </c>
      <c r="Q82" s="57" t="str">
        <f>IF(Klisz_Verbräuche[[#Headers],[2026]]=$B$57,IF(COUNTIF($F82:Klisz_Verbräuche[[#This Row],[2025]],"&gt;0")&gt;0, AVERAGEIF($F82:Klisz_Verbräuche[[#This Row],[2025]],"&lt;&gt;"), ""),IF($B$57&lt;Klisz_Verbräuche[[#Headers],[2026]],IF(COUNTIF($F82:Klisz_Verbräuche[[#This Row],[2025]],"&gt;0")&gt;0,IF(COUNTIF($F82:Klisz_Verbräuche[[#This Row],[2025]],"&gt;0")&gt;0,Klisz_Verbräuche[[#This Row],[2025]]*(1-$E82)^1, ""), ""),IF($B$57&gt;Klisz_Verbräuche[[#Headers],[2026]],Refsz_Verbräuche[[#This Row],[2026]],"")))</f>
        <v/>
      </c>
      <c r="R82" s="57" t="str">
        <f>IF(Klisz_Verbräuche[[#Headers],[2027]]=$B$57,IF(COUNTIF($F82:Klisz_Verbräuche[[#This Row],[2026]],"&gt;0")&gt;0, AVERAGEIF($F82:Klisz_Verbräuche[[#This Row],[2026]],"&lt;&gt;"), ""),IF($B$57&lt;Klisz_Verbräuche[[#Headers],[2027]],IF(COUNTIF($F82:Klisz_Verbräuche[[#This Row],[2026]],"&gt;0")&gt;0,IF(COUNTIF($F82:Klisz_Verbräuche[[#This Row],[2026]],"&gt;0")&gt;0,Klisz_Verbräuche[[#This Row],[2026]]*(1-$E82)^1, ""), ""),IF($B$57&gt;Klisz_Verbräuche[[#Headers],[2027]],Refsz_Verbräuche[[#This Row],[2027]],"")))</f>
        <v/>
      </c>
      <c r="S82" s="57" t="str">
        <f>IF(Klisz_Verbräuche[[#Headers],[2028]]=$B$57,IF(COUNTIF($F82:Klisz_Verbräuche[[#This Row],[2027]],"&gt;0")&gt;0, AVERAGEIF($F82:Klisz_Verbräuche[[#This Row],[2027]],"&lt;&gt;"), ""),IF($B$57&lt;Klisz_Verbräuche[[#Headers],[2028]],IF(COUNTIF($F82:Klisz_Verbräuche[[#This Row],[2027]],"&gt;0")&gt;0,IF(COUNTIF($F82:Klisz_Verbräuche[[#This Row],[2027]],"&gt;0")&gt;0,Klisz_Verbräuche[[#This Row],[2027]]*(1-$E82)^1, ""), ""),IF($B$57&gt;Klisz_Verbräuche[[#Headers],[2028]],Refsz_Verbräuche[[#This Row],[2028]],"")))</f>
        <v/>
      </c>
      <c r="T82" s="57" t="str">
        <f>IF(Klisz_Verbräuche[[#Headers],[2029]]=$B$57,IF(COUNTIF($F82:Klisz_Verbräuche[[#This Row],[2028]],"&gt;0")&gt;0, AVERAGEIF($F82:Klisz_Verbräuche[[#This Row],[2028]],"&lt;&gt;"), ""),IF($B$57&lt;Klisz_Verbräuche[[#Headers],[2029]],IF(COUNTIF($F82:Klisz_Verbräuche[[#This Row],[2028]],"&gt;0")&gt;0,IF(COUNTIF($F82:Klisz_Verbräuche[[#This Row],[2028]],"&gt;0")&gt;0,Klisz_Verbräuche[[#This Row],[2028]]*(1-$E82)^1, ""), ""),IF($B$57&gt;Klisz_Verbräuche[[#Headers],[2029]],Refsz_Verbräuche[[#This Row],[2029]],"")))</f>
        <v/>
      </c>
      <c r="U82" s="57" t="str">
        <f>IF(Klisz_Verbräuche[[#Headers],[2030]]=$B$57,IF(COUNTIF($F82:Klisz_Verbräuche[[#This Row],[2029]],"&gt;0")&gt;0, AVERAGEIF($F82:Klisz_Verbräuche[[#This Row],[2029]],"&lt;&gt;"), ""),IF($B$57&lt;Klisz_Verbräuche[[#Headers],[2030]],IF(COUNTIF($F82:Klisz_Verbräuche[[#This Row],[2029]],"&gt;0")&gt;0,IF(COUNTIF($F82:Klisz_Verbräuche[[#This Row],[2029]],"&gt;0")&gt;0,Klisz_Verbräuche[[#This Row],[2029]]*(1-$E82)^1, ""), ""),IF($B$57&gt;Klisz_Verbräuche[[#Headers],[2030]],Refsz_Verbräuche[[#This Row],[2030]],"")))</f>
        <v/>
      </c>
      <c r="V82" s="57" t="str">
        <f>IF(Klisz_Verbräuche[[#Headers],[2035]]=$B$57,IF(COUNTIF($F82:Klisz_Verbräuche[[#This Row],[2030]],"&gt;0")&gt;0, AVERAGEIF($F82:Klisz_Verbräuche[[#This Row],[2030]],"&lt;&gt;"), ""),IF($B$57&lt;Klisz_Verbräuche[[#Headers],[2035]],IF(COUNTIF($F82:Klisz_Verbräuche[[#This Row],[2030]],"&gt;0")&gt;0,IF(COUNTIF($F82:Klisz_Verbräuche[[#This Row],[2030]],"&gt;0")&gt;0,Klisz_Verbräuche[[#This Row],[2030]]*(1-$E82)^5, ""), ""),IF($B$57&gt;Klisz_Verbräuche[[#Headers],[2035]],Refsz_Verbräuche[[#This Row],[2035]],"")))</f>
        <v/>
      </c>
      <c r="W82" s="57" t="str">
        <f>IF(Klisz_Verbräuche[[#Headers],[2040]]=$B$57,IF(COUNTIF($F82:Klisz_Verbräuche[[#This Row],[2035]],"&gt;0")&gt;0, AVERAGEIF($F82:Klisz_Verbräuche[[#This Row],[2035]],"&lt;&gt;"), ""),IF($B$57&lt;Klisz_Verbräuche[[#Headers],[2040]],IF(COUNTIF($F82:Klisz_Verbräuche[[#This Row],[2035]],"&gt;0")&gt;0,IF(COUNTIF($F82:Klisz_Verbräuche[[#This Row],[2035]],"&gt;0")&gt;0,Klisz_Verbräuche[[#This Row],[2035]]*(1-$E82)^5, ""), ""),IF($B$57&gt;Klisz_Verbräuche[[#Headers],[2040]],Refsz_Verbräuche[[#This Row],[2040]],"")))</f>
        <v/>
      </c>
      <c r="X82" s="57" t="str">
        <f>IF(Klisz_Verbräuche[[#Headers],[2045]]=$B$57,IF(COUNTIF($F82:Klisz_Verbräuche[[#This Row],[2040]],"&gt;0")&gt;0, AVERAGEIF($F82:Klisz_Verbräuche[[#This Row],[2040]],"&lt;&gt;"), ""),IF($B$57&lt;Klisz_Verbräuche[[#Headers],[2045]],IF(COUNTIF($F82:Klisz_Verbräuche[[#This Row],[2040]],"&gt;0")&gt;0,IF(COUNTIF($F82:Klisz_Verbräuche[[#This Row],[2040]],"&gt;0")&gt;0,Klisz_Verbräuche[[#This Row],[2040]]*(1-$E82)^5, ""), ""),IF($B$57&gt;Klisz_Verbräuche[[#Headers],[2045]],Refsz_Verbräuche[[#This Row],[2045]],"")))</f>
        <v/>
      </c>
      <c r="Y82" s="57" t="str">
        <f>IF(Klisz_Verbräuche[[#Headers],[2050]]=$B$57,IF(COUNTIF($F82:Klisz_Verbräuche[[#This Row],[2045]],"&gt;0")&gt;0, AVERAGEIF($F82:Klisz_Verbräuche[[#This Row],[2045]],"&lt;&gt;"), ""),IF($B$57&lt;Klisz_Verbräuche[[#Headers],[2050]],IF(COUNTIF($F82:Klisz_Verbräuche[[#This Row],[2045]],"&gt;0")&gt;0,IF(COUNTIF($F82:Klisz_Verbräuche[[#This Row],[2045]],"&gt;0")&gt;0,Klisz_Verbräuche[[#This Row],[2045]]*(1-$E82)^5, ""), ""),IF($B$57&gt;Klisz_Verbräuche[[#Headers],[2050]],Refsz_Verbräuche[[#This Row],[2050]],"")))</f>
        <v/>
      </c>
      <c r="Z82" s="15"/>
    </row>
    <row r="83" spans="2:26" x14ac:dyDescent="0.35">
      <c r="B83" s="15">
        <v>23</v>
      </c>
      <c r="C83" s="54" t="str">
        <f>Refsz_Verbräuche[[#This Row],[Datenpunkt]]</f>
        <v>Wärme (Sole-Wasser-Wärmepumpe; Bundesstrommix)</v>
      </c>
      <c r="D83" s="29" t="str">
        <f>Refsz_Verbräuche[[#This Row],[Einheit]]</f>
        <v>MWh</v>
      </c>
      <c r="E83" s="122"/>
      <c r="F83" s="15" t="str">
        <f>IF(ISBLANK(Refsz_Verbräuche[[#This Row],[2015]]),"",Refsz_Verbräuche[[#This Row],[2015]])</f>
        <v/>
      </c>
      <c r="G83" s="15" t="str">
        <f>IF(ISBLANK(Refsz_Verbräuche[[#This Row],[2016]]),"",Refsz_Verbräuche[[#This Row],[2016]])</f>
        <v/>
      </c>
      <c r="H83" s="15" t="str">
        <f>IF(ISBLANK(Refsz_Verbräuche[[#This Row],[2017]]),"",Refsz_Verbräuche[[#This Row],[2017]])</f>
        <v/>
      </c>
      <c r="I83" s="15" t="str">
        <f>IF(ISBLANK(Refsz_Verbräuche[[#This Row],[2018]]),"",Refsz_Verbräuche[[#This Row],[2018]])</f>
        <v/>
      </c>
      <c r="J83" s="15" t="str">
        <f>IF(ISBLANK(Refsz_Verbräuche[[#This Row],[2019]]),"",Refsz_Verbräuche[[#This Row],[2019]])</f>
        <v/>
      </c>
      <c r="K83" s="15" t="str">
        <f>IF(ISBLANK(Refsz_Verbräuche[[#This Row],[2020]]),"",Refsz_Verbräuche[[#This Row],[2020]])</f>
        <v/>
      </c>
      <c r="L83" s="15" t="str">
        <f>IF(ISBLANK(Refsz_Verbräuche[[#This Row],[2021]]),"",Refsz_Verbräuche[[#This Row],[2021]])</f>
        <v/>
      </c>
      <c r="M83" s="57" t="str">
        <f>IF(Klisz_Verbräuche[[#Headers],[2022]]=$B$57,IF(COUNTIF($F83:Klisz_Verbräuche[[#This Row],[2021]],"&gt;0")&gt;0, AVERAGEIF($F83:Klisz_Verbräuche[[#This Row],[2021]],"&lt;&gt;"), ""),IF($B$57&lt;Klisz_Verbräuche[[#Headers],[2022]],IF(COUNTIF($F83:Klisz_Verbräuche[[#This Row],[2021]],"&gt;0")&gt;0,IF(COUNTIF($F83:Klisz_Verbräuche[[#This Row],[2021]],"&gt;0")&gt;0,Klisz_Verbräuche[[#This Row],[2021]]*(1-$E83)^1, ""), ""),IF($B$57&gt;Klisz_Verbräuche[[#Headers],[2022]],Refsz_Verbräuche[[#This Row],[2022]],"")))</f>
        <v/>
      </c>
      <c r="N83" s="57" t="str">
        <f>IF(Klisz_Verbräuche[[#Headers],[2023]]=$B$57,IF(COUNTIF($F83:Klisz_Verbräuche[[#This Row],[2022]],"&gt;0")&gt;0, AVERAGEIF($F83:Klisz_Verbräuche[[#This Row],[2022]],"&lt;&gt;"), ""),IF($B$57&lt;Klisz_Verbräuche[[#Headers],[2023]],IF(COUNTIF($F83:Klisz_Verbräuche[[#This Row],[2022]],"&gt;0")&gt;0,IF(COUNTIF($F83:Klisz_Verbräuche[[#This Row],[2022]],"&gt;0")&gt;0,Klisz_Verbräuche[[#This Row],[2022]]*(1-$E83)^1, ""), ""),IF($B$57&gt;Klisz_Verbräuche[[#Headers],[2023]],Refsz_Verbräuche[[#This Row],[2023]],"")))</f>
        <v/>
      </c>
      <c r="O83" s="57" t="str">
        <f>IF(Klisz_Verbräuche[[#Headers],[2024]]=$B$57,IF(COUNTIF($F83:Klisz_Verbräuche[[#This Row],[2023]],"&gt;0")&gt;0, AVERAGEIF($F83:Klisz_Verbräuche[[#This Row],[2023]],"&lt;&gt;"), ""),IF($B$57&lt;Klisz_Verbräuche[[#Headers],[2024]],IF(COUNTIF($F83:Klisz_Verbräuche[[#This Row],[2023]],"&gt;0")&gt;0,IF(COUNTIF($F83:Klisz_Verbräuche[[#This Row],[2023]],"&gt;0")&gt;0,Klisz_Verbräuche[[#This Row],[2023]]*(1-$E83)^1, ""), ""),IF($B$57&gt;Klisz_Verbräuche[[#Headers],[2024]],Refsz_Verbräuche[[#This Row],[2024]],"")))</f>
        <v/>
      </c>
      <c r="P83" s="57" t="str">
        <f>IF(Klisz_Verbräuche[[#Headers],[2025]]=$B$57,IF(COUNTIF($F83:Klisz_Verbräuche[[#This Row],[2024]],"&gt;0")&gt;0, AVERAGEIF($F83:Klisz_Verbräuche[[#This Row],[2024]],"&lt;&gt;"), ""),IF($B$57&lt;Klisz_Verbräuche[[#Headers],[2025]],IF(COUNTIF($F83:Klisz_Verbräuche[[#This Row],[2024]],"&gt;0")&gt;0,IF(COUNTIF($F83:Klisz_Verbräuche[[#This Row],[2024]],"&gt;0")&gt;0,Klisz_Verbräuche[[#This Row],[2024]]*(1-$E83)^1, ""), ""),IF($B$57&gt;Klisz_Verbräuche[[#Headers],[2025]],Refsz_Verbräuche[[#This Row],[2025]],"")))</f>
        <v/>
      </c>
      <c r="Q83" s="57" t="str">
        <f>IF(Klisz_Verbräuche[[#Headers],[2026]]=$B$57,IF(COUNTIF($F83:Klisz_Verbräuche[[#This Row],[2025]],"&gt;0")&gt;0, AVERAGEIF($F83:Klisz_Verbräuche[[#This Row],[2025]],"&lt;&gt;"), ""),IF($B$57&lt;Klisz_Verbräuche[[#Headers],[2026]],IF(COUNTIF($F83:Klisz_Verbräuche[[#This Row],[2025]],"&gt;0")&gt;0,IF(COUNTIF($F83:Klisz_Verbräuche[[#This Row],[2025]],"&gt;0")&gt;0,Klisz_Verbräuche[[#This Row],[2025]]*(1-$E83)^1, ""), ""),IF($B$57&gt;Klisz_Verbräuche[[#Headers],[2026]],Refsz_Verbräuche[[#This Row],[2026]],"")))</f>
        <v/>
      </c>
      <c r="R83" s="57" t="str">
        <f>IF(Klisz_Verbräuche[[#Headers],[2027]]=$B$57,IF(COUNTIF($F83:Klisz_Verbräuche[[#This Row],[2026]],"&gt;0")&gt;0, AVERAGEIF($F83:Klisz_Verbräuche[[#This Row],[2026]],"&lt;&gt;"), ""),IF($B$57&lt;Klisz_Verbräuche[[#Headers],[2027]],IF(COUNTIF($F83:Klisz_Verbräuche[[#This Row],[2026]],"&gt;0")&gt;0,IF(COUNTIF($F83:Klisz_Verbräuche[[#This Row],[2026]],"&gt;0")&gt;0,Klisz_Verbräuche[[#This Row],[2026]]*(1-$E83)^1, ""), ""),IF($B$57&gt;Klisz_Verbräuche[[#Headers],[2027]],Refsz_Verbräuche[[#This Row],[2027]],"")))</f>
        <v/>
      </c>
      <c r="S83" s="57" t="str">
        <f>IF(Klisz_Verbräuche[[#Headers],[2028]]=$B$57,IF(COUNTIF($F83:Klisz_Verbräuche[[#This Row],[2027]],"&gt;0")&gt;0, AVERAGEIF($F83:Klisz_Verbräuche[[#This Row],[2027]],"&lt;&gt;"), ""),IF($B$57&lt;Klisz_Verbräuche[[#Headers],[2028]],IF(COUNTIF($F83:Klisz_Verbräuche[[#This Row],[2027]],"&gt;0")&gt;0,IF(COUNTIF($F83:Klisz_Verbräuche[[#This Row],[2027]],"&gt;0")&gt;0,Klisz_Verbräuche[[#This Row],[2027]]*(1-$E83)^1, ""), ""),IF($B$57&gt;Klisz_Verbräuche[[#Headers],[2028]],Refsz_Verbräuche[[#This Row],[2028]],"")))</f>
        <v/>
      </c>
      <c r="T83" s="57" t="str">
        <f>IF(Klisz_Verbräuche[[#Headers],[2029]]=$B$57,IF(COUNTIF($F83:Klisz_Verbräuche[[#This Row],[2028]],"&gt;0")&gt;0, AVERAGEIF($F83:Klisz_Verbräuche[[#This Row],[2028]],"&lt;&gt;"), ""),IF($B$57&lt;Klisz_Verbräuche[[#Headers],[2029]],IF(COUNTIF($F83:Klisz_Verbräuche[[#This Row],[2028]],"&gt;0")&gt;0,IF(COUNTIF($F83:Klisz_Verbräuche[[#This Row],[2028]],"&gt;0")&gt;0,Klisz_Verbräuche[[#This Row],[2028]]*(1-$E83)^1, ""), ""),IF($B$57&gt;Klisz_Verbräuche[[#Headers],[2029]],Refsz_Verbräuche[[#This Row],[2029]],"")))</f>
        <v/>
      </c>
      <c r="U83" s="57" t="str">
        <f>IF(Klisz_Verbräuche[[#Headers],[2030]]=$B$57,IF(COUNTIF($F83:Klisz_Verbräuche[[#This Row],[2029]],"&gt;0")&gt;0, AVERAGEIF($F83:Klisz_Verbräuche[[#This Row],[2029]],"&lt;&gt;"), ""),IF($B$57&lt;Klisz_Verbräuche[[#Headers],[2030]],IF(COUNTIF($F83:Klisz_Verbräuche[[#This Row],[2029]],"&gt;0")&gt;0,IF(COUNTIF($F83:Klisz_Verbräuche[[#This Row],[2029]],"&gt;0")&gt;0,Klisz_Verbräuche[[#This Row],[2029]]*(1-$E83)^1, ""), ""),IF($B$57&gt;Klisz_Verbräuche[[#Headers],[2030]],Refsz_Verbräuche[[#This Row],[2030]],"")))</f>
        <v/>
      </c>
      <c r="V83" s="57" t="str">
        <f>IF(Klisz_Verbräuche[[#Headers],[2035]]=$B$57,IF(COUNTIF($F83:Klisz_Verbräuche[[#This Row],[2030]],"&gt;0")&gt;0, AVERAGEIF($F83:Klisz_Verbräuche[[#This Row],[2030]],"&lt;&gt;"), ""),IF($B$57&lt;Klisz_Verbräuche[[#Headers],[2035]],IF(COUNTIF($F83:Klisz_Verbräuche[[#This Row],[2030]],"&gt;0")&gt;0,IF(COUNTIF($F83:Klisz_Verbräuche[[#This Row],[2030]],"&gt;0")&gt;0,Klisz_Verbräuche[[#This Row],[2030]]*(1-$E83)^5, ""), ""),IF($B$57&gt;Klisz_Verbräuche[[#Headers],[2035]],Refsz_Verbräuche[[#This Row],[2035]],"")))</f>
        <v/>
      </c>
      <c r="W83" s="57" t="str">
        <f>IF(Klisz_Verbräuche[[#Headers],[2040]]=$B$57,IF(COUNTIF($F83:Klisz_Verbräuche[[#This Row],[2035]],"&gt;0")&gt;0, AVERAGEIF($F83:Klisz_Verbräuche[[#This Row],[2035]],"&lt;&gt;"), ""),IF($B$57&lt;Klisz_Verbräuche[[#Headers],[2040]],IF(COUNTIF($F83:Klisz_Verbräuche[[#This Row],[2035]],"&gt;0")&gt;0,IF(COUNTIF($F83:Klisz_Verbräuche[[#This Row],[2035]],"&gt;0")&gt;0,Klisz_Verbräuche[[#This Row],[2035]]*(1-$E83)^5, ""), ""),IF($B$57&gt;Klisz_Verbräuche[[#Headers],[2040]],Refsz_Verbräuche[[#This Row],[2040]],"")))</f>
        <v/>
      </c>
      <c r="X83" s="57" t="str">
        <f>IF(Klisz_Verbräuche[[#Headers],[2045]]=$B$57,IF(COUNTIF($F83:Klisz_Verbräuche[[#This Row],[2040]],"&gt;0")&gt;0, AVERAGEIF($F83:Klisz_Verbräuche[[#This Row],[2040]],"&lt;&gt;"), ""),IF($B$57&lt;Klisz_Verbräuche[[#Headers],[2045]],IF(COUNTIF($F83:Klisz_Verbräuche[[#This Row],[2040]],"&gt;0")&gt;0,IF(COUNTIF($F83:Klisz_Verbräuche[[#This Row],[2040]],"&gt;0")&gt;0,Klisz_Verbräuche[[#This Row],[2040]]*(1-$E83)^5, ""), ""),IF($B$57&gt;Klisz_Verbräuche[[#Headers],[2045]],Refsz_Verbräuche[[#This Row],[2045]],"")))</f>
        <v/>
      </c>
      <c r="Y83" s="57" t="str">
        <f>IF(Klisz_Verbräuche[[#Headers],[2050]]=$B$57,IF(COUNTIF($F83:Klisz_Verbräuche[[#This Row],[2045]],"&gt;0")&gt;0, AVERAGEIF($F83:Klisz_Verbräuche[[#This Row],[2045]],"&lt;&gt;"), ""),IF($B$57&lt;Klisz_Verbräuche[[#Headers],[2050]],IF(COUNTIF($F83:Klisz_Verbräuche[[#This Row],[2045]],"&gt;0")&gt;0,IF(COUNTIF($F83:Klisz_Verbräuche[[#This Row],[2045]],"&gt;0")&gt;0,Klisz_Verbräuche[[#This Row],[2045]]*(1-$E83)^5, ""), ""),IF($B$57&gt;Klisz_Verbräuche[[#Headers],[2050]],Refsz_Verbräuche[[#This Row],[2050]],"")))</f>
        <v/>
      </c>
      <c r="Z83" s="15"/>
    </row>
    <row r="84" spans="2:26" x14ac:dyDescent="0.35">
      <c r="B84" s="15">
        <v>24</v>
      </c>
      <c r="C84" s="54" t="str">
        <f>Refsz_Verbräuche[[#This Row],[Datenpunkt]]</f>
        <v>Wärme (Sole-Wasser-Wärmepumpe; Ökostrom)</v>
      </c>
      <c r="D84" s="29" t="str">
        <f>Refsz_Verbräuche[[#This Row],[Einheit]]</f>
        <v>MWh</v>
      </c>
      <c r="E84" s="122"/>
      <c r="F84" s="15" t="str">
        <f>IF(ISBLANK(Refsz_Verbräuche[[#This Row],[2015]]),"",Refsz_Verbräuche[[#This Row],[2015]])</f>
        <v/>
      </c>
      <c r="G84" s="15" t="str">
        <f>IF(ISBLANK(Refsz_Verbräuche[[#This Row],[2016]]),"",Refsz_Verbräuche[[#This Row],[2016]])</f>
        <v/>
      </c>
      <c r="H84" s="15" t="str">
        <f>IF(ISBLANK(Refsz_Verbräuche[[#This Row],[2017]]),"",Refsz_Verbräuche[[#This Row],[2017]])</f>
        <v/>
      </c>
      <c r="I84" s="15" t="str">
        <f>IF(ISBLANK(Refsz_Verbräuche[[#This Row],[2018]]),"",Refsz_Verbräuche[[#This Row],[2018]])</f>
        <v/>
      </c>
      <c r="J84" s="15" t="str">
        <f>IF(ISBLANK(Refsz_Verbräuche[[#This Row],[2019]]),"",Refsz_Verbräuche[[#This Row],[2019]])</f>
        <v/>
      </c>
      <c r="K84" s="15" t="str">
        <f>IF(ISBLANK(Refsz_Verbräuche[[#This Row],[2020]]),"",Refsz_Verbräuche[[#This Row],[2020]])</f>
        <v/>
      </c>
      <c r="L84" s="15" t="str">
        <f>IF(ISBLANK(Refsz_Verbräuche[[#This Row],[2021]]),"",Refsz_Verbräuche[[#This Row],[2021]])</f>
        <v/>
      </c>
      <c r="M84" s="57" t="str">
        <f>IF(Klisz_Verbräuche[[#Headers],[2022]]=$B$57,IF(COUNTIF($F84:Klisz_Verbräuche[[#This Row],[2021]],"&gt;0")&gt;0, AVERAGEIF($F84:Klisz_Verbräuche[[#This Row],[2021]],"&lt;&gt;"), ""),IF($B$57&lt;Klisz_Verbräuche[[#Headers],[2022]],IF(COUNTIF($F84:Klisz_Verbräuche[[#This Row],[2021]],"&gt;0")&gt;0,IF(COUNTIF($F84:Klisz_Verbräuche[[#This Row],[2021]],"&gt;0")&gt;0,Klisz_Verbräuche[[#This Row],[2021]]*(1-$E84)^1, ""), ""),IF($B$57&gt;Klisz_Verbräuche[[#Headers],[2022]],Refsz_Verbräuche[[#This Row],[2022]],"")))</f>
        <v/>
      </c>
      <c r="N84" s="57" t="str">
        <f>IF(Klisz_Verbräuche[[#Headers],[2023]]=$B$57,IF(COUNTIF($F84:Klisz_Verbräuche[[#This Row],[2022]],"&gt;0")&gt;0, AVERAGEIF($F84:Klisz_Verbräuche[[#This Row],[2022]],"&lt;&gt;"), ""),IF($B$57&lt;Klisz_Verbräuche[[#Headers],[2023]],IF(COUNTIF($F84:Klisz_Verbräuche[[#This Row],[2022]],"&gt;0")&gt;0,IF(COUNTIF($F84:Klisz_Verbräuche[[#This Row],[2022]],"&gt;0")&gt;0,Klisz_Verbräuche[[#This Row],[2022]]*(1-$E84)^1, ""), ""),IF($B$57&gt;Klisz_Verbräuche[[#Headers],[2023]],Refsz_Verbräuche[[#This Row],[2023]],"")))</f>
        <v/>
      </c>
      <c r="O84" s="57" t="str">
        <f>IF(Klisz_Verbräuche[[#Headers],[2024]]=$B$57,IF(COUNTIF($F84:Klisz_Verbräuche[[#This Row],[2023]],"&gt;0")&gt;0, AVERAGEIF($F84:Klisz_Verbräuche[[#This Row],[2023]],"&lt;&gt;"), ""),IF($B$57&lt;Klisz_Verbräuche[[#Headers],[2024]],IF(COUNTIF($F84:Klisz_Verbräuche[[#This Row],[2023]],"&gt;0")&gt;0,IF(COUNTIF($F84:Klisz_Verbräuche[[#This Row],[2023]],"&gt;0")&gt;0,Klisz_Verbräuche[[#This Row],[2023]]*(1-$E84)^1, ""), ""),IF($B$57&gt;Klisz_Verbräuche[[#Headers],[2024]],Refsz_Verbräuche[[#This Row],[2024]],"")))</f>
        <v/>
      </c>
      <c r="P84" s="57" t="str">
        <f>IF(Klisz_Verbräuche[[#Headers],[2025]]=$B$57,IF(COUNTIF($F84:Klisz_Verbräuche[[#This Row],[2024]],"&gt;0")&gt;0, AVERAGEIF($F84:Klisz_Verbräuche[[#This Row],[2024]],"&lt;&gt;"), ""),IF($B$57&lt;Klisz_Verbräuche[[#Headers],[2025]],IF(COUNTIF($F84:Klisz_Verbräuche[[#This Row],[2024]],"&gt;0")&gt;0,IF(COUNTIF($F84:Klisz_Verbräuche[[#This Row],[2024]],"&gt;0")&gt;0,Klisz_Verbräuche[[#This Row],[2024]]*(1-$E84)^1, ""), ""),IF($B$57&gt;Klisz_Verbräuche[[#Headers],[2025]],Refsz_Verbräuche[[#This Row],[2025]],"")))</f>
        <v/>
      </c>
      <c r="Q84" s="57" t="str">
        <f>IF(Klisz_Verbräuche[[#Headers],[2026]]=$B$57,IF(COUNTIF($F84:Klisz_Verbräuche[[#This Row],[2025]],"&gt;0")&gt;0, AVERAGEIF($F84:Klisz_Verbräuche[[#This Row],[2025]],"&lt;&gt;"), ""),IF($B$57&lt;Klisz_Verbräuche[[#Headers],[2026]],IF(COUNTIF($F84:Klisz_Verbräuche[[#This Row],[2025]],"&gt;0")&gt;0,IF(COUNTIF($F84:Klisz_Verbräuche[[#This Row],[2025]],"&gt;0")&gt;0,Klisz_Verbräuche[[#This Row],[2025]]*(1-$E84)^1, ""), ""),IF($B$57&gt;Klisz_Verbräuche[[#Headers],[2026]],Refsz_Verbräuche[[#This Row],[2026]],"")))</f>
        <v/>
      </c>
      <c r="R84" s="57" t="str">
        <f>IF(Klisz_Verbräuche[[#Headers],[2027]]=$B$57,IF(COUNTIF($F84:Klisz_Verbräuche[[#This Row],[2026]],"&gt;0")&gt;0, AVERAGEIF($F84:Klisz_Verbräuche[[#This Row],[2026]],"&lt;&gt;"), ""),IF($B$57&lt;Klisz_Verbräuche[[#Headers],[2027]],IF(COUNTIF($F84:Klisz_Verbräuche[[#This Row],[2026]],"&gt;0")&gt;0,IF(COUNTIF($F84:Klisz_Verbräuche[[#This Row],[2026]],"&gt;0")&gt;0,Klisz_Verbräuche[[#This Row],[2026]]*(1-$E84)^1, ""), ""),IF($B$57&gt;Klisz_Verbräuche[[#Headers],[2027]],Refsz_Verbräuche[[#This Row],[2027]],"")))</f>
        <v/>
      </c>
      <c r="S84" s="57" t="str">
        <f>IF(Klisz_Verbräuche[[#Headers],[2028]]=$B$57,IF(COUNTIF($F84:Klisz_Verbräuche[[#This Row],[2027]],"&gt;0")&gt;0, AVERAGEIF($F84:Klisz_Verbräuche[[#This Row],[2027]],"&lt;&gt;"), ""),IF($B$57&lt;Klisz_Verbräuche[[#Headers],[2028]],IF(COUNTIF($F84:Klisz_Verbräuche[[#This Row],[2027]],"&gt;0")&gt;0,IF(COUNTIF($F84:Klisz_Verbräuche[[#This Row],[2027]],"&gt;0")&gt;0,Klisz_Verbräuche[[#This Row],[2027]]*(1-$E84)^1, ""), ""),IF($B$57&gt;Klisz_Verbräuche[[#Headers],[2028]],Refsz_Verbräuche[[#This Row],[2028]],"")))</f>
        <v/>
      </c>
      <c r="T84" s="57" t="str">
        <f>IF(Klisz_Verbräuche[[#Headers],[2029]]=$B$57,IF(COUNTIF($F84:Klisz_Verbräuche[[#This Row],[2028]],"&gt;0")&gt;0, AVERAGEIF($F84:Klisz_Verbräuche[[#This Row],[2028]],"&lt;&gt;"), ""),IF($B$57&lt;Klisz_Verbräuche[[#Headers],[2029]],IF(COUNTIF($F84:Klisz_Verbräuche[[#This Row],[2028]],"&gt;0")&gt;0,IF(COUNTIF($F84:Klisz_Verbräuche[[#This Row],[2028]],"&gt;0")&gt;0,Klisz_Verbräuche[[#This Row],[2028]]*(1-$E84)^1, ""), ""),IF($B$57&gt;Klisz_Verbräuche[[#Headers],[2029]],Refsz_Verbräuche[[#This Row],[2029]],"")))</f>
        <v/>
      </c>
      <c r="U84" s="57" t="str">
        <f>IF(Klisz_Verbräuche[[#Headers],[2030]]=$B$57,IF(COUNTIF($F84:Klisz_Verbräuche[[#This Row],[2029]],"&gt;0")&gt;0, AVERAGEIF($F84:Klisz_Verbräuche[[#This Row],[2029]],"&lt;&gt;"), ""),IF($B$57&lt;Klisz_Verbräuche[[#Headers],[2030]],IF(COUNTIF($F84:Klisz_Verbräuche[[#This Row],[2029]],"&gt;0")&gt;0,IF(COUNTIF($F84:Klisz_Verbräuche[[#This Row],[2029]],"&gt;0")&gt;0,Klisz_Verbräuche[[#This Row],[2029]]*(1-$E84)^1, ""), ""),IF($B$57&gt;Klisz_Verbräuche[[#Headers],[2030]],Refsz_Verbräuche[[#This Row],[2030]],"")))</f>
        <v/>
      </c>
      <c r="V84" s="57" t="str">
        <f>IF(Klisz_Verbräuche[[#Headers],[2035]]=$B$57,IF(COUNTIF($F84:Klisz_Verbräuche[[#This Row],[2030]],"&gt;0")&gt;0, AVERAGEIF($F84:Klisz_Verbräuche[[#This Row],[2030]],"&lt;&gt;"), ""),IF($B$57&lt;Klisz_Verbräuche[[#Headers],[2035]],IF(COUNTIF($F84:Klisz_Verbräuche[[#This Row],[2030]],"&gt;0")&gt;0,IF(COUNTIF($F84:Klisz_Verbräuche[[#This Row],[2030]],"&gt;0")&gt;0,Klisz_Verbräuche[[#This Row],[2030]]*(1-$E84)^5, ""), ""),IF($B$57&gt;Klisz_Verbräuche[[#Headers],[2035]],Refsz_Verbräuche[[#This Row],[2035]],"")))</f>
        <v/>
      </c>
      <c r="W84" s="57" t="str">
        <f>IF(Klisz_Verbräuche[[#Headers],[2040]]=$B$57,IF(COUNTIF($F84:Klisz_Verbräuche[[#This Row],[2035]],"&gt;0")&gt;0, AVERAGEIF($F84:Klisz_Verbräuche[[#This Row],[2035]],"&lt;&gt;"), ""),IF($B$57&lt;Klisz_Verbräuche[[#Headers],[2040]],IF(COUNTIF($F84:Klisz_Verbräuche[[#This Row],[2035]],"&gt;0")&gt;0,IF(COUNTIF($F84:Klisz_Verbräuche[[#This Row],[2035]],"&gt;0")&gt;0,Klisz_Verbräuche[[#This Row],[2035]]*(1-$E84)^5, ""), ""),IF($B$57&gt;Klisz_Verbräuche[[#Headers],[2040]],Refsz_Verbräuche[[#This Row],[2040]],"")))</f>
        <v/>
      </c>
      <c r="X84" s="57" t="str">
        <f>IF(Klisz_Verbräuche[[#Headers],[2045]]=$B$57,IF(COUNTIF($F84:Klisz_Verbräuche[[#This Row],[2040]],"&gt;0")&gt;0, AVERAGEIF($F84:Klisz_Verbräuche[[#This Row],[2040]],"&lt;&gt;"), ""),IF($B$57&lt;Klisz_Verbräuche[[#Headers],[2045]],IF(COUNTIF($F84:Klisz_Verbräuche[[#This Row],[2040]],"&gt;0")&gt;0,IF(COUNTIF($F84:Klisz_Verbräuche[[#This Row],[2040]],"&gt;0")&gt;0,Klisz_Verbräuche[[#This Row],[2040]]*(1-$E84)^5, ""), ""),IF($B$57&gt;Klisz_Verbräuche[[#Headers],[2045]],Refsz_Verbräuche[[#This Row],[2045]],"")))</f>
        <v/>
      </c>
      <c r="Y84" s="57" t="str">
        <f>IF(Klisz_Verbräuche[[#Headers],[2050]]=$B$57,IF(COUNTIF($F84:Klisz_Verbräuche[[#This Row],[2045]],"&gt;0")&gt;0, AVERAGEIF($F84:Klisz_Verbräuche[[#This Row],[2045]],"&lt;&gt;"), ""),IF($B$57&lt;Klisz_Verbräuche[[#Headers],[2050]],IF(COUNTIF($F84:Klisz_Verbräuche[[#This Row],[2045]],"&gt;0")&gt;0,IF(COUNTIF($F84:Klisz_Verbräuche[[#This Row],[2045]],"&gt;0")&gt;0,Klisz_Verbräuche[[#This Row],[2045]]*(1-$E84)^5, ""), ""),IF($B$57&gt;Klisz_Verbräuche[[#Headers],[2050]],Refsz_Verbräuche[[#This Row],[2050]],"")))</f>
        <v/>
      </c>
      <c r="Z84" s="15"/>
    </row>
    <row r="85" spans="2:26" x14ac:dyDescent="0.35">
      <c r="B85" s="15">
        <v>25</v>
      </c>
      <c r="C85" s="54" t="str">
        <f>Refsz_Verbräuche[[#This Row],[Datenpunkt]]</f>
        <v>Wärme (individuelle Wärmepumpe)</v>
      </c>
      <c r="D85" s="29" t="str">
        <f>Refsz_Verbräuche[[#This Row],[Einheit]]</f>
        <v>MWh</v>
      </c>
      <c r="E85" s="122"/>
      <c r="F85" s="15" t="str">
        <f>IF(ISBLANK(Refsz_Verbräuche[[#This Row],[2015]]),"",Refsz_Verbräuche[[#This Row],[2015]])</f>
        <v/>
      </c>
      <c r="G85" s="15" t="str">
        <f>IF(ISBLANK(Refsz_Verbräuche[[#This Row],[2016]]),"",Refsz_Verbräuche[[#This Row],[2016]])</f>
        <v/>
      </c>
      <c r="H85" s="15" t="str">
        <f>IF(ISBLANK(Refsz_Verbräuche[[#This Row],[2017]]),"",Refsz_Verbräuche[[#This Row],[2017]])</f>
        <v/>
      </c>
      <c r="I85" s="15" t="str">
        <f>IF(ISBLANK(Refsz_Verbräuche[[#This Row],[2018]]),"",Refsz_Verbräuche[[#This Row],[2018]])</f>
        <v/>
      </c>
      <c r="J85" s="15" t="str">
        <f>IF(ISBLANK(Refsz_Verbräuche[[#This Row],[2019]]),"",Refsz_Verbräuche[[#This Row],[2019]])</f>
        <v/>
      </c>
      <c r="K85" s="15" t="str">
        <f>IF(ISBLANK(Refsz_Verbräuche[[#This Row],[2020]]),"",Refsz_Verbräuche[[#This Row],[2020]])</f>
        <v/>
      </c>
      <c r="L85" s="15" t="str">
        <f>IF(ISBLANK(Refsz_Verbräuche[[#This Row],[2021]]),"",Refsz_Verbräuche[[#This Row],[2021]])</f>
        <v/>
      </c>
      <c r="M85" s="57" t="str">
        <f>IF(Klisz_Verbräuche[[#Headers],[2022]]=$B$57,IF(COUNTIF($F85:Klisz_Verbräuche[[#This Row],[2021]],"&gt;0")&gt;0, AVERAGEIF($F85:Klisz_Verbräuche[[#This Row],[2021]],"&lt;&gt;"), ""),IF($B$57&lt;Klisz_Verbräuche[[#Headers],[2022]],IF(COUNTIF($F85:Klisz_Verbräuche[[#This Row],[2021]],"&gt;0")&gt;0,IF(COUNTIF($F85:Klisz_Verbräuche[[#This Row],[2021]],"&gt;0")&gt;0,Klisz_Verbräuche[[#This Row],[2021]]*(1-$E85)^1, ""), ""),IF($B$57&gt;Klisz_Verbräuche[[#Headers],[2022]],Refsz_Verbräuche[[#This Row],[2022]],"")))</f>
        <v/>
      </c>
      <c r="N85" s="57" t="str">
        <f>IF(Klisz_Verbräuche[[#Headers],[2023]]=$B$57,IF(COUNTIF($F85:Klisz_Verbräuche[[#This Row],[2022]],"&gt;0")&gt;0, AVERAGEIF($F85:Klisz_Verbräuche[[#This Row],[2022]],"&lt;&gt;"), ""),IF($B$57&lt;Klisz_Verbräuche[[#Headers],[2023]],IF(COUNTIF($F85:Klisz_Verbräuche[[#This Row],[2022]],"&gt;0")&gt;0,IF(COUNTIF($F85:Klisz_Verbräuche[[#This Row],[2022]],"&gt;0")&gt;0,Klisz_Verbräuche[[#This Row],[2022]]*(1-$E85)^1, ""), ""),IF($B$57&gt;Klisz_Verbräuche[[#Headers],[2023]],Refsz_Verbräuche[[#This Row],[2023]],"")))</f>
        <v/>
      </c>
      <c r="O85" s="57" t="str">
        <f>IF(Klisz_Verbräuche[[#Headers],[2024]]=$B$57,IF(COUNTIF($F85:Klisz_Verbräuche[[#This Row],[2023]],"&gt;0")&gt;0, AVERAGEIF($F85:Klisz_Verbräuche[[#This Row],[2023]],"&lt;&gt;"), ""),IF($B$57&lt;Klisz_Verbräuche[[#Headers],[2024]],IF(COUNTIF($F85:Klisz_Verbräuche[[#This Row],[2023]],"&gt;0")&gt;0,IF(COUNTIF($F85:Klisz_Verbräuche[[#This Row],[2023]],"&gt;0")&gt;0,Klisz_Verbräuche[[#This Row],[2023]]*(1-$E85)^1, ""), ""),IF($B$57&gt;Klisz_Verbräuche[[#Headers],[2024]],Refsz_Verbräuche[[#This Row],[2024]],"")))</f>
        <v/>
      </c>
      <c r="P85" s="57" t="str">
        <f>IF(Klisz_Verbräuche[[#Headers],[2025]]=$B$57,IF(COUNTIF($F85:Klisz_Verbräuche[[#This Row],[2024]],"&gt;0")&gt;0, AVERAGEIF($F85:Klisz_Verbräuche[[#This Row],[2024]],"&lt;&gt;"), ""),IF($B$57&lt;Klisz_Verbräuche[[#Headers],[2025]],IF(COUNTIF($F85:Klisz_Verbräuche[[#This Row],[2024]],"&gt;0")&gt;0,IF(COUNTIF($F85:Klisz_Verbräuche[[#This Row],[2024]],"&gt;0")&gt;0,Klisz_Verbräuche[[#This Row],[2024]]*(1-$E85)^1, ""), ""),IF($B$57&gt;Klisz_Verbräuche[[#Headers],[2025]],Refsz_Verbräuche[[#This Row],[2025]],"")))</f>
        <v/>
      </c>
      <c r="Q85" s="57" t="str">
        <f>IF(Klisz_Verbräuche[[#Headers],[2026]]=$B$57,IF(COUNTIF($F85:Klisz_Verbräuche[[#This Row],[2025]],"&gt;0")&gt;0, AVERAGEIF($F85:Klisz_Verbräuche[[#This Row],[2025]],"&lt;&gt;"), ""),IF($B$57&lt;Klisz_Verbräuche[[#Headers],[2026]],IF(COUNTIF($F85:Klisz_Verbräuche[[#This Row],[2025]],"&gt;0")&gt;0,IF(COUNTIF($F85:Klisz_Verbräuche[[#This Row],[2025]],"&gt;0")&gt;0,Klisz_Verbräuche[[#This Row],[2025]]*(1-$E85)^1, ""), ""),IF($B$57&gt;Klisz_Verbräuche[[#Headers],[2026]],Refsz_Verbräuche[[#This Row],[2026]],"")))</f>
        <v/>
      </c>
      <c r="R85" s="57" t="str">
        <f>IF(Klisz_Verbräuche[[#Headers],[2027]]=$B$57,IF(COUNTIF($F85:Klisz_Verbräuche[[#This Row],[2026]],"&gt;0")&gt;0, AVERAGEIF($F85:Klisz_Verbräuche[[#This Row],[2026]],"&lt;&gt;"), ""),IF($B$57&lt;Klisz_Verbräuche[[#Headers],[2027]],IF(COUNTIF($F85:Klisz_Verbräuche[[#This Row],[2026]],"&gt;0")&gt;0,IF(COUNTIF($F85:Klisz_Verbräuche[[#This Row],[2026]],"&gt;0")&gt;0,Klisz_Verbräuche[[#This Row],[2026]]*(1-$E85)^1, ""), ""),IF($B$57&gt;Klisz_Verbräuche[[#Headers],[2027]],Refsz_Verbräuche[[#This Row],[2027]],"")))</f>
        <v/>
      </c>
      <c r="S85" s="57" t="str">
        <f>IF(Klisz_Verbräuche[[#Headers],[2028]]=$B$57,IF(COUNTIF($F85:Klisz_Verbräuche[[#This Row],[2027]],"&gt;0")&gt;0, AVERAGEIF($F85:Klisz_Verbräuche[[#This Row],[2027]],"&lt;&gt;"), ""),IF($B$57&lt;Klisz_Verbräuche[[#Headers],[2028]],IF(COUNTIF($F85:Klisz_Verbräuche[[#This Row],[2027]],"&gt;0")&gt;0,IF(COUNTIF($F85:Klisz_Verbräuche[[#This Row],[2027]],"&gt;0")&gt;0,Klisz_Verbräuche[[#This Row],[2027]]*(1-$E85)^1, ""), ""),IF($B$57&gt;Klisz_Verbräuche[[#Headers],[2028]],Refsz_Verbräuche[[#This Row],[2028]],"")))</f>
        <v/>
      </c>
      <c r="T85" s="57" t="str">
        <f>IF(Klisz_Verbräuche[[#Headers],[2029]]=$B$57,IF(COUNTIF($F85:Klisz_Verbräuche[[#This Row],[2028]],"&gt;0")&gt;0, AVERAGEIF($F85:Klisz_Verbräuche[[#This Row],[2028]],"&lt;&gt;"), ""),IF($B$57&lt;Klisz_Verbräuche[[#Headers],[2029]],IF(COUNTIF($F85:Klisz_Verbräuche[[#This Row],[2028]],"&gt;0")&gt;0,IF(COUNTIF($F85:Klisz_Verbräuche[[#This Row],[2028]],"&gt;0")&gt;0,Klisz_Verbräuche[[#This Row],[2028]]*(1-$E85)^1, ""), ""),IF($B$57&gt;Klisz_Verbräuche[[#Headers],[2029]],Refsz_Verbräuche[[#This Row],[2029]],"")))</f>
        <v/>
      </c>
      <c r="U85" s="57" t="str">
        <f>IF(Klisz_Verbräuche[[#Headers],[2030]]=$B$57,IF(COUNTIF($F85:Klisz_Verbräuche[[#This Row],[2029]],"&gt;0")&gt;0, AVERAGEIF($F85:Klisz_Verbräuche[[#This Row],[2029]],"&lt;&gt;"), ""),IF($B$57&lt;Klisz_Verbräuche[[#Headers],[2030]],IF(COUNTIF($F85:Klisz_Verbräuche[[#This Row],[2029]],"&gt;0")&gt;0,IF(COUNTIF($F85:Klisz_Verbräuche[[#This Row],[2029]],"&gt;0")&gt;0,Klisz_Verbräuche[[#This Row],[2029]]*(1-$E85)^1, ""), ""),IF($B$57&gt;Klisz_Verbräuche[[#Headers],[2030]],Refsz_Verbräuche[[#This Row],[2030]],"")))</f>
        <v/>
      </c>
      <c r="V85" s="57" t="str">
        <f>IF(Klisz_Verbräuche[[#Headers],[2035]]=$B$57,IF(COUNTIF($F85:Klisz_Verbräuche[[#This Row],[2030]],"&gt;0")&gt;0, AVERAGEIF($F85:Klisz_Verbräuche[[#This Row],[2030]],"&lt;&gt;"), ""),IF($B$57&lt;Klisz_Verbräuche[[#Headers],[2035]],IF(COUNTIF($F85:Klisz_Verbräuche[[#This Row],[2030]],"&gt;0")&gt;0,IF(COUNTIF($F85:Klisz_Verbräuche[[#This Row],[2030]],"&gt;0")&gt;0,Klisz_Verbräuche[[#This Row],[2030]]*(1-$E85)^5, ""), ""),IF($B$57&gt;Klisz_Verbräuche[[#Headers],[2035]],Refsz_Verbräuche[[#This Row],[2035]],"")))</f>
        <v/>
      </c>
      <c r="W85" s="57" t="str">
        <f>IF(Klisz_Verbräuche[[#Headers],[2040]]=$B$57,IF(COUNTIF($F85:Klisz_Verbräuche[[#This Row],[2035]],"&gt;0")&gt;0, AVERAGEIF($F85:Klisz_Verbräuche[[#This Row],[2035]],"&lt;&gt;"), ""),IF($B$57&lt;Klisz_Verbräuche[[#Headers],[2040]],IF(COUNTIF($F85:Klisz_Verbräuche[[#This Row],[2035]],"&gt;0")&gt;0,IF(COUNTIF($F85:Klisz_Verbräuche[[#This Row],[2035]],"&gt;0")&gt;0,Klisz_Verbräuche[[#This Row],[2035]]*(1-$E85)^5, ""), ""),IF($B$57&gt;Klisz_Verbräuche[[#Headers],[2040]],Refsz_Verbräuche[[#This Row],[2040]],"")))</f>
        <v/>
      </c>
      <c r="X85" s="57" t="str">
        <f>IF(Klisz_Verbräuche[[#Headers],[2045]]=$B$57,IF(COUNTIF($F85:Klisz_Verbräuche[[#This Row],[2040]],"&gt;0")&gt;0, AVERAGEIF($F85:Klisz_Verbräuche[[#This Row],[2040]],"&lt;&gt;"), ""),IF($B$57&lt;Klisz_Verbräuche[[#Headers],[2045]],IF(COUNTIF($F85:Klisz_Verbräuche[[#This Row],[2040]],"&gt;0")&gt;0,IF(COUNTIF($F85:Klisz_Verbräuche[[#This Row],[2040]],"&gt;0")&gt;0,Klisz_Verbräuche[[#This Row],[2040]]*(1-$E85)^5, ""), ""),IF($B$57&gt;Klisz_Verbräuche[[#Headers],[2045]],Refsz_Verbräuche[[#This Row],[2045]],"")))</f>
        <v/>
      </c>
      <c r="Y85" s="57" t="str">
        <f>IF(Klisz_Verbräuche[[#Headers],[2050]]=$B$57,IF(COUNTIF($F85:Klisz_Verbräuche[[#This Row],[2045]],"&gt;0")&gt;0, AVERAGEIF($F85:Klisz_Verbräuche[[#This Row],[2045]],"&lt;&gt;"), ""),IF($B$57&lt;Klisz_Verbräuche[[#Headers],[2050]],IF(COUNTIF($F85:Klisz_Verbräuche[[#This Row],[2045]],"&gt;0")&gt;0,IF(COUNTIF($F85:Klisz_Verbräuche[[#This Row],[2045]],"&gt;0")&gt;0,Klisz_Verbräuche[[#This Row],[2045]]*(1-$E85)^5, ""), ""),IF($B$57&gt;Klisz_Verbräuche[[#Headers],[2050]],Refsz_Verbräuche[[#This Row],[2050]],"")))</f>
        <v/>
      </c>
      <c r="Z85" s="15"/>
    </row>
    <row r="86" spans="2:26" x14ac:dyDescent="0.35">
      <c r="B86" s="15">
        <v>26</v>
      </c>
      <c r="C86" s="54" t="str">
        <f>Refsz_Verbräuche[[#This Row],[Datenpunkt]]</f>
        <v>Kältemittel (R22)</v>
      </c>
      <c r="D86" s="29" t="str">
        <f>Refsz_Verbräuche[[#This Row],[Einheit]]</f>
        <v>kg</v>
      </c>
      <c r="E86" s="122"/>
      <c r="F86" s="15" t="str">
        <f>IF(ISBLANK(Refsz_Verbräuche[[#This Row],[2015]]),"",Refsz_Verbräuche[[#This Row],[2015]])</f>
        <v/>
      </c>
      <c r="G86" s="15" t="str">
        <f>IF(ISBLANK(Refsz_Verbräuche[[#This Row],[2016]]),"",Refsz_Verbräuche[[#This Row],[2016]])</f>
        <v/>
      </c>
      <c r="H86" s="15" t="str">
        <f>IF(ISBLANK(Refsz_Verbräuche[[#This Row],[2017]]),"",Refsz_Verbräuche[[#This Row],[2017]])</f>
        <v/>
      </c>
      <c r="I86" s="15" t="str">
        <f>IF(ISBLANK(Refsz_Verbräuche[[#This Row],[2018]]),"",Refsz_Verbräuche[[#This Row],[2018]])</f>
        <v/>
      </c>
      <c r="J86" s="15" t="str">
        <f>IF(ISBLANK(Refsz_Verbräuche[[#This Row],[2019]]),"",Refsz_Verbräuche[[#This Row],[2019]])</f>
        <v/>
      </c>
      <c r="K86" s="15" t="str">
        <f>IF(ISBLANK(Refsz_Verbräuche[[#This Row],[2020]]),"",Refsz_Verbräuche[[#This Row],[2020]])</f>
        <v/>
      </c>
      <c r="L86" s="15" t="str">
        <f>IF(ISBLANK(Refsz_Verbräuche[[#This Row],[2021]]),"",Refsz_Verbräuche[[#This Row],[2021]])</f>
        <v/>
      </c>
      <c r="M86" s="57" t="str">
        <f>IF(Klisz_Verbräuche[[#Headers],[2022]]=$B$57,IF(COUNTIF($F86:Klisz_Verbräuche[[#This Row],[2021]],"&gt;0")&gt;0, AVERAGEIF($F86:Klisz_Verbräuche[[#This Row],[2021]],"&lt;&gt;"), ""),IF($B$57&lt;Klisz_Verbräuche[[#Headers],[2022]],IF(COUNTIF($F86:Klisz_Verbräuche[[#This Row],[2021]],"&gt;0")&gt;0,IF(COUNTIF($F86:Klisz_Verbräuche[[#This Row],[2021]],"&gt;0")&gt;0,Klisz_Verbräuche[[#This Row],[2021]]*(1-$E86)^1, ""), ""),IF($B$57&gt;Klisz_Verbräuche[[#Headers],[2022]],Refsz_Verbräuche[[#This Row],[2022]],"")))</f>
        <v/>
      </c>
      <c r="N86" s="57" t="str">
        <f>IF(Klisz_Verbräuche[[#Headers],[2023]]=$B$57,IF(COUNTIF($F86:Klisz_Verbräuche[[#This Row],[2022]],"&gt;0")&gt;0, AVERAGEIF($F86:Klisz_Verbräuche[[#This Row],[2022]],"&lt;&gt;"), ""),IF($B$57&lt;Klisz_Verbräuche[[#Headers],[2023]],IF(COUNTIF($F86:Klisz_Verbräuche[[#This Row],[2022]],"&gt;0")&gt;0,IF(COUNTIF($F86:Klisz_Verbräuche[[#This Row],[2022]],"&gt;0")&gt;0,Klisz_Verbräuche[[#This Row],[2022]]*(1-$E86)^1, ""), ""),IF($B$57&gt;Klisz_Verbräuche[[#Headers],[2023]],Refsz_Verbräuche[[#This Row],[2023]],"")))</f>
        <v/>
      </c>
      <c r="O86" s="57" t="str">
        <f>IF(Klisz_Verbräuche[[#Headers],[2024]]=$B$57,IF(COUNTIF($F86:Klisz_Verbräuche[[#This Row],[2023]],"&gt;0")&gt;0, AVERAGEIF($F86:Klisz_Verbräuche[[#This Row],[2023]],"&lt;&gt;"), ""),IF($B$57&lt;Klisz_Verbräuche[[#Headers],[2024]],IF(COUNTIF($F86:Klisz_Verbräuche[[#This Row],[2023]],"&gt;0")&gt;0,IF(COUNTIF($F86:Klisz_Verbräuche[[#This Row],[2023]],"&gt;0")&gt;0,Klisz_Verbräuche[[#This Row],[2023]]*(1-$E86)^1, ""), ""),IF($B$57&gt;Klisz_Verbräuche[[#Headers],[2024]],Refsz_Verbräuche[[#This Row],[2024]],"")))</f>
        <v/>
      </c>
      <c r="P86" s="57" t="str">
        <f>IF(Klisz_Verbräuche[[#Headers],[2025]]=$B$57,IF(COUNTIF($F86:Klisz_Verbräuche[[#This Row],[2024]],"&gt;0")&gt;0, AVERAGEIF($F86:Klisz_Verbräuche[[#This Row],[2024]],"&lt;&gt;"), ""),IF($B$57&lt;Klisz_Verbräuche[[#Headers],[2025]],IF(COUNTIF($F86:Klisz_Verbräuche[[#This Row],[2024]],"&gt;0")&gt;0,IF(COUNTIF($F86:Klisz_Verbräuche[[#This Row],[2024]],"&gt;0")&gt;0,Klisz_Verbräuche[[#This Row],[2024]]*(1-$E86)^1, ""), ""),IF($B$57&gt;Klisz_Verbräuche[[#Headers],[2025]],Refsz_Verbräuche[[#This Row],[2025]],"")))</f>
        <v/>
      </c>
      <c r="Q86" s="57" t="str">
        <f>IF(Klisz_Verbräuche[[#Headers],[2026]]=$B$57,IF(COUNTIF($F86:Klisz_Verbräuche[[#This Row],[2025]],"&gt;0")&gt;0, AVERAGEIF($F86:Klisz_Verbräuche[[#This Row],[2025]],"&lt;&gt;"), ""),IF($B$57&lt;Klisz_Verbräuche[[#Headers],[2026]],IF(COUNTIF($F86:Klisz_Verbräuche[[#This Row],[2025]],"&gt;0")&gt;0,IF(COUNTIF($F86:Klisz_Verbräuche[[#This Row],[2025]],"&gt;0")&gt;0,Klisz_Verbräuche[[#This Row],[2025]]*(1-$E86)^1, ""), ""),IF($B$57&gt;Klisz_Verbräuche[[#Headers],[2026]],Refsz_Verbräuche[[#This Row],[2026]],"")))</f>
        <v/>
      </c>
      <c r="R86" s="57" t="str">
        <f>IF(Klisz_Verbräuche[[#Headers],[2027]]=$B$57,IF(COUNTIF($F86:Klisz_Verbräuche[[#This Row],[2026]],"&gt;0")&gt;0, AVERAGEIF($F86:Klisz_Verbräuche[[#This Row],[2026]],"&lt;&gt;"), ""),IF($B$57&lt;Klisz_Verbräuche[[#Headers],[2027]],IF(COUNTIF($F86:Klisz_Verbräuche[[#This Row],[2026]],"&gt;0")&gt;0,IF(COUNTIF($F86:Klisz_Verbräuche[[#This Row],[2026]],"&gt;0")&gt;0,Klisz_Verbräuche[[#This Row],[2026]]*(1-$E86)^1, ""), ""),IF($B$57&gt;Klisz_Verbräuche[[#Headers],[2027]],Refsz_Verbräuche[[#This Row],[2027]],"")))</f>
        <v/>
      </c>
      <c r="S86" s="57" t="str">
        <f>IF(Klisz_Verbräuche[[#Headers],[2028]]=$B$57,IF(COUNTIF($F86:Klisz_Verbräuche[[#This Row],[2027]],"&gt;0")&gt;0, AVERAGEIF($F86:Klisz_Verbräuche[[#This Row],[2027]],"&lt;&gt;"), ""),IF($B$57&lt;Klisz_Verbräuche[[#Headers],[2028]],IF(COUNTIF($F86:Klisz_Verbräuche[[#This Row],[2027]],"&gt;0")&gt;0,IF(COUNTIF($F86:Klisz_Verbräuche[[#This Row],[2027]],"&gt;0")&gt;0,Klisz_Verbräuche[[#This Row],[2027]]*(1-$E86)^1, ""), ""),IF($B$57&gt;Klisz_Verbräuche[[#Headers],[2028]],Refsz_Verbräuche[[#This Row],[2028]],"")))</f>
        <v/>
      </c>
      <c r="T86" s="57" t="str">
        <f>IF(Klisz_Verbräuche[[#Headers],[2029]]=$B$57,IF(COUNTIF($F86:Klisz_Verbräuche[[#This Row],[2028]],"&gt;0")&gt;0, AVERAGEIF($F86:Klisz_Verbräuche[[#This Row],[2028]],"&lt;&gt;"), ""),IF($B$57&lt;Klisz_Verbräuche[[#Headers],[2029]],IF(COUNTIF($F86:Klisz_Verbräuche[[#This Row],[2028]],"&gt;0")&gt;0,IF(COUNTIF($F86:Klisz_Verbräuche[[#This Row],[2028]],"&gt;0")&gt;0,Klisz_Verbräuche[[#This Row],[2028]]*(1-$E86)^1, ""), ""),IF($B$57&gt;Klisz_Verbräuche[[#Headers],[2029]],Refsz_Verbräuche[[#This Row],[2029]],"")))</f>
        <v/>
      </c>
      <c r="U86" s="57" t="str">
        <f>IF(Klisz_Verbräuche[[#Headers],[2030]]=$B$57,IF(COUNTIF($F86:Klisz_Verbräuche[[#This Row],[2029]],"&gt;0")&gt;0, AVERAGEIF($F86:Klisz_Verbräuche[[#This Row],[2029]],"&lt;&gt;"), ""),IF($B$57&lt;Klisz_Verbräuche[[#Headers],[2030]],IF(COUNTIF($F86:Klisz_Verbräuche[[#This Row],[2029]],"&gt;0")&gt;0,IF(COUNTIF($F86:Klisz_Verbräuche[[#This Row],[2029]],"&gt;0")&gt;0,Klisz_Verbräuche[[#This Row],[2029]]*(1-$E86)^1, ""), ""),IF($B$57&gt;Klisz_Verbräuche[[#Headers],[2030]],Refsz_Verbräuche[[#This Row],[2030]],"")))</f>
        <v/>
      </c>
      <c r="V86" s="57" t="str">
        <f>IF(Klisz_Verbräuche[[#Headers],[2035]]=$B$57,IF(COUNTIF($F86:Klisz_Verbräuche[[#This Row],[2030]],"&gt;0")&gt;0, AVERAGEIF($F86:Klisz_Verbräuche[[#This Row],[2030]],"&lt;&gt;"), ""),IF($B$57&lt;Klisz_Verbräuche[[#Headers],[2035]],IF(COUNTIF($F86:Klisz_Verbräuche[[#This Row],[2030]],"&gt;0")&gt;0,IF(COUNTIF($F86:Klisz_Verbräuche[[#This Row],[2030]],"&gt;0")&gt;0,Klisz_Verbräuche[[#This Row],[2030]]*(1-$E86)^5, ""), ""),IF($B$57&gt;Klisz_Verbräuche[[#Headers],[2035]],Refsz_Verbräuche[[#This Row],[2035]],"")))</f>
        <v/>
      </c>
      <c r="W86" s="57" t="str">
        <f>IF(Klisz_Verbräuche[[#Headers],[2040]]=$B$57,IF(COUNTIF($F86:Klisz_Verbräuche[[#This Row],[2035]],"&gt;0")&gt;0, AVERAGEIF($F86:Klisz_Verbräuche[[#This Row],[2035]],"&lt;&gt;"), ""),IF($B$57&lt;Klisz_Verbräuche[[#Headers],[2040]],IF(COUNTIF($F86:Klisz_Verbräuche[[#This Row],[2035]],"&gt;0")&gt;0,IF(COUNTIF($F86:Klisz_Verbräuche[[#This Row],[2035]],"&gt;0")&gt;0,Klisz_Verbräuche[[#This Row],[2035]]*(1-$E86)^5, ""), ""),IF($B$57&gt;Klisz_Verbräuche[[#Headers],[2040]],Refsz_Verbräuche[[#This Row],[2040]],"")))</f>
        <v/>
      </c>
      <c r="X86" s="57" t="str">
        <f>IF(Klisz_Verbräuche[[#Headers],[2045]]=$B$57,IF(COUNTIF($F86:Klisz_Verbräuche[[#This Row],[2040]],"&gt;0")&gt;0, AVERAGEIF($F86:Klisz_Verbräuche[[#This Row],[2040]],"&lt;&gt;"), ""),IF($B$57&lt;Klisz_Verbräuche[[#Headers],[2045]],IF(COUNTIF($F86:Klisz_Verbräuche[[#This Row],[2040]],"&gt;0")&gt;0,IF(COUNTIF($F86:Klisz_Verbräuche[[#This Row],[2040]],"&gt;0")&gt;0,Klisz_Verbräuche[[#This Row],[2040]]*(1-$E86)^5, ""), ""),IF($B$57&gt;Klisz_Verbräuche[[#Headers],[2045]],Refsz_Verbräuche[[#This Row],[2045]],"")))</f>
        <v/>
      </c>
      <c r="Y86" s="57" t="str">
        <f>IF(Klisz_Verbräuche[[#Headers],[2050]]=$B$57,IF(COUNTIF($F86:Klisz_Verbräuche[[#This Row],[2045]],"&gt;0")&gt;0, AVERAGEIF($F86:Klisz_Verbräuche[[#This Row],[2045]],"&lt;&gt;"), ""),IF($B$57&lt;Klisz_Verbräuche[[#Headers],[2050]],IF(COUNTIF($F86:Klisz_Verbräuche[[#This Row],[2045]],"&gt;0")&gt;0,IF(COUNTIF($F86:Klisz_Verbräuche[[#This Row],[2045]],"&gt;0")&gt;0,Klisz_Verbräuche[[#This Row],[2045]]*(1-$E86)^5, ""), ""),IF($B$57&gt;Klisz_Verbräuche[[#Headers],[2050]],Refsz_Verbräuche[[#This Row],[2050]],"")))</f>
        <v/>
      </c>
      <c r="Z86" s="15"/>
    </row>
    <row r="87" spans="2:26" x14ac:dyDescent="0.35">
      <c r="B87" s="15">
        <v>27</v>
      </c>
      <c r="C87" s="54" t="str">
        <f>Refsz_Verbräuche[[#This Row],[Datenpunkt]]</f>
        <v>Kältemittel (R134A)</v>
      </c>
      <c r="D87" s="29" t="str">
        <f>Refsz_Verbräuche[[#This Row],[Einheit]]</f>
        <v>kg</v>
      </c>
      <c r="E87" s="122"/>
      <c r="F87" s="15" t="str">
        <f>IF(ISBLANK(Refsz_Verbräuche[[#This Row],[2015]]),"",Refsz_Verbräuche[[#This Row],[2015]])</f>
        <v/>
      </c>
      <c r="G87" s="15" t="str">
        <f>IF(ISBLANK(Refsz_Verbräuche[[#This Row],[2016]]),"",Refsz_Verbräuche[[#This Row],[2016]])</f>
        <v/>
      </c>
      <c r="H87" s="15" t="str">
        <f>IF(ISBLANK(Refsz_Verbräuche[[#This Row],[2017]]),"",Refsz_Verbräuche[[#This Row],[2017]])</f>
        <v/>
      </c>
      <c r="I87" s="15" t="str">
        <f>IF(ISBLANK(Refsz_Verbräuche[[#This Row],[2018]]),"",Refsz_Verbräuche[[#This Row],[2018]])</f>
        <v/>
      </c>
      <c r="J87" s="15" t="str">
        <f>IF(ISBLANK(Refsz_Verbräuche[[#This Row],[2019]]),"",Refsz_Verbräuche[[#This Row],[2019]])</f>
        <v/>
      </c>
      <c r="K87" s="15" t="str">
        <f>IF(ISBLANK(Refsz_Verbräuche[[#This Row],[2020]]),"",Refsz_Verbräuche[[#This Row],[2020]])</f>
        <v/>
      </c>
      <c r="L87" s="15" t="str">
        <f>IF(ISBLANK(Refsz_Verbräuche[[#This Row],[2021]]),"",Refsz_Verbräuche[[#This Row],[2021]])</f>
        <v/>
      </c>
      <c r="M87" s="57" t="str">
        <f>IF(Klisz_Verbräuche[[#Headers],[2022]]=$B$57,IF(COUNTIF($F87:Klisz_Verbräuche[[#This Row],[2021]],"&gt;0")&gt;0, AVERAGEIF($F87:Klisz_Verbräuche[[#This Row],[2021]],"&lt;&gt;"), ""),IF($B$57&lt;Klisz_Verbräuche[[#Headers],[2022]],IF(COUNTIF($F87:Klisz_Verbräuche[[#This Row],[2021]],"&gt;0")&gt;0,IF(COUNTIF($F87:Klisz_Verbräuche[[#This Row],[2021]],"&gt;0")&gt;0,Klisz_Verbräuche[[#This Row],[2021]]*(1-$E87)^1, ""), ""),IF($B$57&gt;Klisz_Verbräuche[[#Headers],[2022]],Refsz_Verbräuche[[#This Row],[2022]],"")))</f>
        <v/>
      </c>
      <c r="N87" s="57" t="str">
        <f>IF(Klisz_Verbräuche[[#Headers],[2023]]=$B$57,IF(COUNTIF($F87:Klisz_Verbräuche[[#This Row],[2022]],"&gt;0")&gt;0, AVERAGEIF($F87:Klisz_Verbräuche[[#This Row],[2022]],"&lt;&gt;"), ""),IF($B$57&lt;Klisz_Verbräuche[[#Headers],[2023]],IF(COUNTIF($F87:Klisz_Verbräuche[[#This Row],[2022]],"&gt;0")&gt;0,IF(COUNTIF($F87:Klisz_Verbräuche[[#This Row],[2022]],"&gt;0")&gt;0,Klisz_Verbräuche[[#This Row],[2022]]*(1-$E87)^1, ""), ""),IF($B$57&gt;Klisz_Verbräuche[[#Headers],[2023]],Refsz_Verbräuche[[#This Row],[2023]],"")))</f>
        <v/>
      </c>
      <c r="O87" s="57" t="str">
        <f>IF(Klisz_Verbräuche[[#Headers],[2024]]=$B$57,IF(COUNTIF($F87:Klisz_Verbräuche[[#This Row],[2023]],"&gt;0")&gt;0, AVERAGEIF($F87:Klisz_Verbräuche[[#This Row],[2023]],"&lt;&gt;"), ""),IF($B$57&lt;Klisz_Verbräuche[[#Headers],[2024]],IF(COUNTIF($F87:Klisz_Verbräuche[[#This Row],[2023]],"&gt;0")&gt;0,IF(COUNTIF($F87:Klisz_Verbräuche[[#This Row],[2023]],"&gt;0")&gt;0,Klisz_Verbräuche[[#This Row],[2023]]*(1-$E87)^1, ""), ""),IF($B$57&gt;Klisz_Verbräuche[[#Headers],[2024]],Refsz_Verbräuche[[#This Row],[2024]],"")))</f>
        <v/>
      </c>
      <c r="P87" s="57" t="str">
        <f>IF(Klisz_Verbräuche[[#Headers],[2025]]=$B$57,IF(COUNTIF($F87:Klisz_Verbräuche[[#This Row],[2024]],"&gt;0")&gt;0, AVERAGEIF($F87:Klisz_Verbräuche[[#This Row],[2024]],"&lt;&gt;"), ""),IF($B$57&lt;Klisz_Verbräuche[[#Headers],[2025]],IF(COUNTIF($F87:Klisz_Verbräuche[[#This Row],[2024]],"&gt;0")&gt;0,IF(COUNTIF($F87:Klisz_Verbräuche[[#This Row],[2024]],"&gt;0")&gt;0,Klisz_Verbräuche[[#This Row],[2024]]*(1-$E87)^1, ""), ""),IF($B$57&gt;Klisz_Verbräuche[[#Headers],[2025]],Refsz_Verbräuche[[#This Row],[2025]],"")))</f>
        <v/>
      </c>
      <c r="Q87" s="57" t="str">
        <f>IF(Klisz_Verbräuche[[#Headers],[2026]]=$B$57,IF(COUNTIF($F87:Klisz_Verbräuche[[#This Row],[2025]],"&gt;0")&gt;0, AVERAGEIF($F87:Klisz_Verbräuche[[#This Row],[2025]],"&lt;&gt;"), ""),IF($B$57&lt;Klisz_Verbräuche[[#Headers],[2026]],IF(COUNTIF($F87:Klisz_Verbräuche[[#This Row],[2025]],"&gt;0")&gt;0,IF(COUNTIF($F87:Klisz_Verbräuche[[#This Row],[2025]],"&gt;0")&gt;0,Klisz_Verbräuche[[#This Row],[2025]]*(1-$E87)^1, ""), ""),IF($B$57&gt;Klisz_Verbräuche[[#Headers],[2026]],Refsz_Verbräuche[[#This Row],[2026]],"")))</f>
        <v/>
      </c>
      <c r="R87" s="57" t="str">
        <f>IF(Klisz_Verbräuche[[#Headers],[2027]]=$B$57,IF(COUNTIF($F87:Klisz_Verbräuche[[#This Row],[2026]],"&gt;0")&gt;0, AVERAGEIF($F87:Klisz_Verbräuche[[#This Row],[2026]],"&lt;&gt;"), ""),IF($B$57&lt;Klisz_Verbräuche[[#Headers],[2027]],IF(COUNTIF($F87:Klisz_Verbräuche[[#This Row],[2026]],"&gt;0")&gt;0,IF(COUNTIF($F87:Klisz_Verbräuche[[#This Row],[2026]],"&gt;0")&gt;0,Klisz_Verbräuche[[#This Row],[2026]]*(1-$E87)^1, ""), ""),IF($B$57&gt;Klisz_Verbräuche[[#Headers],[2027]],Refsz_Verbräuche[[#This Row],[2027]],"")))</f>
        <v/>
      </c>
      <c r="S87" s="57" t="str">
        <f>IF(Klisz_Verbräuche[[#Headers],[2028]]=$B$57,IF(COUNTIF($F87:Klisz_Verbräuche[[#This Row],[2027]],"&gt;0")&gt;0, AVERAGEIF($F87:Klisz_Verbräuche[[#This Row],[2027]],"&lt;&gt;"), ""),IF($B$57&lt;Klisz_Verbräuche[[#Headers],[2028]],IF(COUNTIF($F87:Klisz_Verbräuche[[#This Row],[2027]],"&gt;0")&gt;0,IF(COUNTIF($F87:Klisz_Verbräuche[[#This Row],[2027]],"&gt;0")&gt;0,Klisz_Verbräuche[[#This Row],[2027]]*(1-$E87)^1, ""), ""),IF($B$57&gt;Klisz_Verbräuche[[#Headers],[2028]],Refsz_Verbräuche[[#This Row],[2028]],"")))</f>
        <v/>
      </c>
      <c r="T87" s="57" t="str">
        <f>IF(Klisz_Verbräuche[[#Headers],[2029]]=$B$57,IF(COUNTIF($F87:Klisz_Verbräuche[[#This Row],[2028]],"&gt;0")&gt;0, AVERAGEIF($F87:Klisz_Verbräuche[[#This Row],[2028]],"&lt;&gt;"), ""),IF($B$57&lt;Klisz_Verbräuche[[#Headers],[2029]],IF(COUNTIF($F87:Klisz_Verbräuche[[#This Row],[2028]],"&gt;0")&gt;0,IF(COUNTIF($F87:Klisz_Verbräuche[[#This Row],[2028]],"&gt;0")&gt;0,Klisz_Verbräuche[[#This Row],[2028]]*(1-$E87)^1, ""), ""),IF($B$57&gt;Klisz_Verbräuche[[#Headers],[2029]],Refsz_Verbräuche[[#This Row],[2029]],"")))</f>
        <v/>
      </c>
      <c r="U87" s="57" t="str">
        <f>IF(Klisz_Verbräuche[[#Headers],[2030]]=$B$57,IF(COUNTIF($F87:Klisz_Verbräuche[[#This Row],[2029]],"&gt;0")&gt;0, AVERAGEIF($F87:Klisz_Verbräuche[[#This Row],[2029]],"&lt;&gt;"), ""),IF($B$57&lt;Klisz_Verbräuche[[#Headers],[2030]],IF(COUNTIF($F87:Klisz_Verbräuche[[#This Row],[2029]],"&gt;0")&gt;0,IF(COUNTIF($F87:Klisz_Verbräuche[[#This Row],[2029]],"&gt;0")&gt;0,Klisz_Verbräuche[[#This Row],[2029]]*(1-$E87)^1, ""), ""),IF($B$57&gt;Klisz_Verbräuche[[#Headers],[2030]],Refsz_Verbräuche[[#This Row],[2030]],"")))</f>
        <v/>
      </c>
      <c r="V87" s="57" t="str">
        <f>IF(Klisz_Verbräuche[[#Headers],[2035]]=$B$57,IF(COUNTIF($F87:Klisz_Verbräuche[[#This Row],[2030]],"&gt;0")&gt;0, AVERAGEIF($F87:Klisz_Verbräuche[[#This Row],[2030]],"&lt;&gt;"), ""),IF($B$57&lt;Klisz_Verbräuche[[#Headers],[2035]],IF(COUNTIF($F87:Klisz_Verbräuche[[#This Row],[2030]],"&gt;0")&gt;0,IF(COUNTIF($F87:Klisz_Verbräuche[[#This Row],[2030]],"&gt;0")&gt;0,Klisz_Verbräuche[[#This Row],[2030]]*(1-$E87)^5, ""), ""),IF($B$57&gt;Klisz_Verbräuche[[#Headers],[2035]],Refsz_Verbräuche[[#This Row],[2035]],"")))</f>
        <v/>
      </c>
      <c r="W87" s="57" t="str">
        <f>IF(Klisz_Verbräuche[[#Headers],[2040]]=$B$57,IF(COUNTIF($F87:Klisz_Verbräuche[[#This Row],[2035]],"&gt;0")&gt;0, AVERAGEIF($F87:Klisz_Verbräuche[[#This Row],[2035]],"&lt;&gt;"), ""),IF($B$57&lt;Klisz_Verbräuche[[#Headers],[2040]],IF(COUNTIF($F87:Klisz_Verbräuche[[#This Row],[2035]],"&gt;0")&gt;0,IF(COUNTIF($F87:Klisz_Verbräuche[[#This Row],[2035]],"&gt;0")&gt;0,Klisz_Verbräuche[[#This Row],[2035]]*(1-$E87)^5, ""), ""),IF($B$57&gt;Klisz_Verbräuche[[#Headers],[2040]],Refsz_Verbräuche[[#This Row],[2040]],"")))</f>
        <v/>
      </c>
      <c r="X87" s="57" t="str">
        <f>IF(Klisz_Verbräuche[[#Headers],[2045]]=$B$57,IF(COUNTIF($F87:Klisz_Verbräuche[[#This Row],[2040]],"&gt;0")&gt;0, AVERAGEIF($F87:Klisz_Verbräuche[[#This Row],[2040]],"&lt;&gt;"), ""),IF($B$57&lt;Klisz_Verbräuche[[#Headers],[2045]],IF(COUNTIF($F87:Klisz_Verbräuche[[#This Row],[2040]],"&gt;0")&gt;0,IF(COUNTIF($F87:Klisz_Verbräuche[[#This Row],[2040]],"&gt;0")&gt;0,Klisz_Verbräuche[[#This Row],[2040]]*(1-$E87)^5, ""), ""),IF($B$57&gt;Klisz_Verbräuche[[#Headers],[2045]],Refsz_Verbräuche[[#This Row],[2045]],"")))</f>
        <v/>
      </c>
      <c r="Y87" s="57" t="str">
        <f>IF(Klisz_Verbräuche[[#Headers],[2050]]=$B$57,IF(COUNTIF($F87:Klisz_Verbräuche[[#This Row],[2045]],"&gt;0")&gt;0, AVERAGEIF($F87:Klisz_Verbräuche[[#This Row],[2045]],"&lt;&gt;"), ""),IF($B$57&lt;Klisz_Verbräuche[[#Headers],[2050]],IF(COUNTIF($F87:Klisz_Verbräuche[[#This Row],[2045]],"&gt;0")&gt;0,IF(COUNTIF($F87:Klisz_Verbräuche[[#This Row],[2045]],"&gt;0")&gt;0,Klisz_Verbräuche[[#This Row],[2045]]*(1-$E87)^5, ""), ""),IF($B$57&gt;Klisz_Verbräuche[[#Headers],[2050]],Refsz_Verbräuche[[#This Row],[2050]],"")))</f>
        <v/>
      </c>
      <c r="Z87" s="15"/>
    </row>
    <row r="88" spans="2:26" x14ac:dyDescent="0.35">
      <c r="B88" s="15">
        <v>28</v>
      </c>
      <c r="C88" s="54" t="str">
        <f>Refsz_Verbräuche[[#This Row],[Datenpunkt]]</f>
        <v>Kältemittel (R404A)</v>
      </c>
      <c r="D88" s="29" t="str">
        <f>Refsz_Verbräuche[[#This Row],[Einheit]]</f>
        <v>kg</v>
      </c>
      <c r="E88" s="122"/>
      <c r="F88" s="15" t="str">
        <f>IF(ISBLANK(Refsz_Verbräuche[[#This Row],[2015]]),"",Refsz_Verbräuche[[#This Row],[2015]])</f>
        <v/>
      </c>
      <c r="G88" s="15" t="str">
        <f>IF(ISBLANK(Refsz_Verbräuche[[#This Row],[2016]]),"",Refsz_Verbräuche[[#This Row],[2016]])</f>
        <v/>
      </c>
      <c r="H88" s="15" t="str">
        <f>IF(ISBLANK(Refsz_Verbräuche[[#This Row],[2017]]),"",Refsz_Verbräuche[[#This Row],[2017]])</f>
        <v/>
      </c>
      <c r="I88" s="15" t="str">
        <f>IF(ISBLANK(Refsz_Verbräuche[[#This Row],[2018]]),"",Refsz_Verbräuche[[#This Row],[2018]])</f>
        <v/>
      </c>
      <c r="J88" s="15" t="str">
        <f>IF(ISBLANK(Refsz_Verbräuche[[#This Row],[2019]]),"",Refsz_Verbräuche[[#This Row],[2019]])</f>
        <v/>
      </c>
      <c r="K88" s="15" t="str">
        <f>IF(ISBLANK(Refsz_Verbräuche[[#This Row],[2020]]),"",Refsz_Verbräuche[[#This Row],[2020]])</f>
        <v/>
      </c>
      <c r="L88" s="15" t="str">
        <f>IF(ISBLANK(Refsz_Verbräuche[[#This Row],[2021]]),"",Refsz_Verbräuche[[#This Row],[2021]])</f>
        <v/>
      </c>
      <c r="M88" s="57" t="str">
        <f>IF(Klisz_Verbräuche[[#Headers],[2022]]=$B$57,IF(COUNTIF($F88:Klisz_Verbräuche[[#This Row],[2021]],"&gt;0")&gt;0, AVERAGEIF($F88:Klisz_Verbräuche[[#This Row],[2021]],"&lt;&gt;"), ""),IF($B$57&lt;Klisz_Verbräuche[[#Headers],[2022]],IF(COUNTIF($F88:Klisz_Verbräuche[[#This Row],[2021]],"&gt;0")&gt;0,IF(COUNTIF($F88:Klisz_Verbräuche[[#This Row],[2021]],"&gt;0")&gt;0,Klisz_Verbräuche[[#This Row],[2021]]*(1-$E88)^1, ""), ""),IF($B$57&gt;Klisz_Verbräuche[[#Headers],[2022]],Refsz_Verbräuche[[#This Row],[2022]],"")))</f>
        <v/>
      </c>
      <c r="N88" s="57" t="str">
        <f>IF(Klisz_Verbräuche[[#Headers],[2023]]=$B$57,IF(COUNTIF($F88:Klisz_Verbräuche[[#This Row],[2022]],"&gt;0")&gt;0, AVERAGEIF($F88:Klisz_Verbräuche[[#This Row],[2022]],"&lt;&gt;"), ""),IF($B$57&lt;Klisz_Verbräuche[[#Headers],[2023]],IF(COUNTIF($F88:Klisz_Verbräuche[[#This Row],[2022]],"&gt;0")&gt;0,IF(COUNTIF($F88:Klisz_Verbräuche[[#This Row],[2022]],"&gt;0")&gt;0,Klisz_Verbräuche[[#This Row],[2022]]*(1-$E88)^1, ""), ""),IF($B$57&gt;Klisz_Verbräuche[[#Headers],[2023]],Refsz_Verbräuche[[#This Row],[2023]],"")))</f>
        <v/>
      </c>
      <c r="O88" s="57" t="str">
        <f>IF(Klisz_Verbräuche[[#Headers],[2024]]=$B$57,IF(COUNTIF($F88:Klisz_Verbräuche[[#This Row],[2023]],"&gt;0")&gt;0, AVERAGEIF($F88:Klisz_Verbräuche[[#This Row],[2023]],"&lt;&gt;"), ""),IF($B$57&lt;Klisz_Verbräuche[[#Headers],[2024]],IF(COUNTIF($F88:Klisz_Verbräuche[[#This Row],[2023]],"&gt;0")&gt;0,IF(COUNTIF($F88:Klisz_Verbräuche[[#This Row],[2023]],"&gt;0")&gt;0,Klisz_Verbräuche[[#This Row],[2023]]*(1-$E88)^1, ""), ""),IF($B$57&gt;Klisz_Verbräuche[[#Headers],[2024]],Refsz_Verbräuche[[#This Row],[2024]],"")))</f>
        <v/>
      </c>
      <c r="P88" s="57" t="str">
        <f>IF(Klisz_Verbräuche[[#Headers],[2025]]=$B$57,IF(COUNTIF($F88:Klisz_Verbräuche[[#This Row],[2024]],"&gt;0")&gt;0, AVERAGEIF($F88:Klisz_Verbräuche[[#This Row],[2024]],"&lt;&gt;"), ""),IF($B$57&lt;Klisz_Verbräuche[[#Headers],[2025]],IF(COUNTIF($F88:Klisz_Verbräuche[[#This Row],[2024]],"&gt;0")&gt;0,IF(COUNTIF($F88:Klisz_Verbräuche[[#This Row],[2024]],"&gt;0")&gt;0,Klisz_Verbräuche[[#This Row],[2024]]*(1-$E88)^1, ""), ""),IF($B$57&gt;Klisz_Verbräuche[[#Headers],[2025]],Refsz_Verbräuche[[#This Row],[2025]],"")))</f>
        <v/>
      </c>
      <c r="Q88" s="57" t="str">
        <f>IF(Klisz_Verbräuche[[#Headers],[2026]]=$B$57,IF(COUNTIF($F88:Klisz_Verbräuche[[#This Row],[2025]],"&gt;0")&gt;0, AVERAGEIF($F88:Klisz_Verbräuche[[#This Row],[2025]],"&lt;&gt;"), ""),IF($B$57&lt;Klisz_Verbräuche[[#Headers],[2026]],IF(COUNTIF($F88:Klisz_Verbräuche[[#This Row],[2025]],"&gt;0")&gt;0,IF(COUNTIF($F88:Klisz_Verbräuche[[#This Row],[2025]],"&gt;0")&gt;0,Klisz_Verbräuche[[#This Row],[2025]]*(1-$E88)^1, ""), ""),IF($B$57&gt;Klisz_Verbräuche[[#Headers],[2026]],Refsz_Verbräuche[[#This Row],[2026]],"")))</f>
        <v/>
      </c>
      <c r="R88" s="57" t="str">
        <f>IF(Klisz_Verbräuche[[#Headers],[2027]]=$B$57,IF(COUNTIF($F88:Klisz_Verbräuche[[#This Row],[2026]],"&gt;0")&gt;0, AVERAGEIF($F88:Klisz_Verbräuche[[#This Row],[2026]],"&lt;&gt;"), ""),IF($B$57&lt;Klisz_Verbräuche[[#Headers],[2027]],IF(COUNTIF($F88:Klisz_Verbräuche[[#This Row],[2026]],"&gt;0")&gt;0,IF(COUNTIF($F88:Klisz_Verbräuche[[#This Row],[2026]],"&gt;0")&gt;0,Klisz_Verbräuche[[#This Row],[2026]]*(1-$E88)^1, ""), ""),IF($B$57&gt;Klisz_Verbräuche[[#Headers],[2027]],Refsz_Verbräuche[[#This Row],[2027]],"")))</f>
        <v/>
      </c>
      <c r="S88" s="57" t="str">
        <f>IF(Klisz_Verbräuche[[#Headers],[2028]]=$B$57,IF(COUNTIF($F88:Klisz_Verbräuche[[#This Row],[2027]],"&gt;0")&gt;0, AVERAGEIF($F88:Klisz_Verbräuche[[#This Row],[2027]],"&lt;&gt;"), ""),IF($B$57&lt;Klisz_Verbräuche[[#Headers],[2028]],IF(COUNTIF($F88:Klisz_Verbräuche[[#This Row],[2027]],"&gt;0")&gt;0,IF(COUNTIF($F88:Klisz_Verbräuche[[#This Row],[2027]],"&gt;0")&gt;0,Klisz_Verbräuche[[#This Row],[2027]]*(1-$E88)^1, ""), ""),IF($B$57&gt;Klisz_Verbräuche[[#Headers],[2028]],Refsz_Verbräuche[[#This Row],[2028]],"")))</f>
        <v/>
      </c>
      <c r="T88" s="57" t="str">
        <f>IF(Klisz_Verbräuche[[#Headers],[2029]]=$B$57,IF(COUNTIF($F88:Klisz_Verbräuche[[#This Row],[2028]],"&gt;0")&gt;0, AVERAGEIF($F88:Klisz_Verbräuche[[#This Row],[2028]],"&lt;&gt;"), ""),IF($B$57&lt;Klisz_Verbräuche[[#Headers],[2029]],IF(COUNTIF($F88:Klisz_Verbräuche[[#This Row],[2028]],"&gt;0")&gt;0,IF(COUNTIF($F88:Klisz_Verbräuche[[#This Row],[2028]],"&gt;0")&gt;0,Klisz_Verbräuche[[#This Row],[2028]]*(1-$E88)^1, ""), ""),IF($B$57&gt;Klisz_Verbräuche[[#Headers],[2029]],Refsz_Verbräuche[[#This Row],[2029]],"")))</f>
        <v/>
      </c>
      <c r="U88" s="57" t="str">
        <f>IF(Klisz_Verbräuche[[#Headers],[2030]]=$B$57,IF(COUNTIF($F88:Klisz_Verbräuche[[#This Row],[2029]],"&gt;0")&gt;0, AVERAGEIF($F88:Klisz_Verbräuche[[#This Row],[2029]],"&lt;&gt;"), ""),IF($B$57&lt;Klisz_Verbräuche[[#Headers],[2030]],IF(COUNTIF($F88:Klisz_Verbräuche[[#This Row],[2029]],"&gt;0")&gt;0,IF(COUNTIF($F88:Klisz_Verbräuche[[#This Row],[2029]],"&gt;0")&gt;0,Klisz_Verbräuche[[#This Row],[2029]]*(1-$E88)^1, ""), ""),IF($B$57&gt;Klisz_Verbräuche[[#Headers],[2030]],Refsz_Verbräuche[[#This Row],[2030]],"")))</f>
        <v/>
      </c>
      <c r="V88" s="57" t="str">
        <f>IF(Klisz_Verbräuche[[#Headers],[2035]]=$B$57,IF(COUNTIF($F88:Klisz_Verbräuche[[#This Row],[2030]],"&gt;0")&gt;0, AVERAGEIF($F88:Klisz_Verbräuche[[#This Row],[2030]],"&lt;&gt;"), ""),IF($B$57&lt;Klisz_Verbräuche[[#Headers],[2035]],IF(COUNTIF($F88:Klisz_Verbräuche[[#This Row],[2030]],"&gt;0")&gt;0,IF(COUNTIF($F88:Klisz_Verbräuche[[#This Row],[2030]],"&gt;0")&gt;0,Klisz_Verbräuche[[#This Row],[2030]]*(1-$E88)^5, ""), ""),IF($B$57&gt;Klisz_Verbräuche[[#Headers],[2035]],Refsz_Verbräuche[[#This Row],[2035]],"")))</f>
        <v/>
      </c>
      <c r="W88" s="57" t="str">
        <f>IF(Klisz_Verbräuche[[#Headers],[2040]]=$B$57,IF(COUNTIF($F88:Klisz_Verbräuche[[#This Row],[2035]],"&gt;0")&gt;0, AVERAGEIF($F88:Klisz_Verbräuche[[#This Row],[2035]],"&lt;&gt;"), ""),IF($B$57&lt;Klisz_Verbräuche[[#Headers],[2040]],IF(COUNTIF($F88:Klisz_Verbräuche[[#This Row],[2035]],"&gt;0")&gt;0,IF(COUNTIF($F88:Klisz_Verbräuche[[#This Row],[2035]],"&gt;0")&gt;0,Klisz_Verbräuche[[#This Row],[2035]]*(1-$E88)^5, ""), ""),IF($B$57&gt;Klisz_Verbräuche[[#Headers],[2040]],Refsz_Verbräuche[[#This Row],[2040]],"")))</f>
        <v/>
      </c>
      <c r="X88" s="57" t="str">
        <f>IF(Klisz_Verbräuche[[#Headers],[2045]]=$B$57,IF(COUNTIF($F88:Klisz_Verbräuche[[#This Row],[2040]],"&gt;0")&gt;0, AVERAGEIF($F88:Klisz_Verbräuche[[#This Row],[2040]],"&lt;&gt;"), ""),IF($B$57&lt;Klisz_Verbräuche[[#Headers],[2045]],IF(COUNTIF($F88:Klisz_Verbräuche[[#This Row],[2040]],"&gt;0")&gt;0,IF(COUNTIF($F88:Klisz_Verbräuche[[#This Row],[2040]],"&gt;0")&gt;0,Klisz_Verbräuche[[#This Row],[2040]]*(1-$E88)^5, ""), ""),IF($B$57&gt;Klisz_Verbräuche[[#Headers],[2045]],Refsz_Verbräuche[[#This Row],[2045]],"")))</f>
        <v/>
      </c>
      <c r="Y88" s="57" t="str">
        <f>IF(Klisz_Verbräuche[[#Headers],[2050]]=$B$57,IF(COUNTIF($F88:Klisz_Verbräuche[[#This Row],[2045]],"&gt;0")&gt;0, AVERAGEIF($F88:Klisz_Verbräuche[[#This Row],[2045]],"&lt;&gt;"), ""),IF($B$57&lt;Klisz_Verbräuche[[#Headers],[2050]],IF(COUNTIF($F88:Klisz_Verbräuche[[#This Row],[2045]],"&gt;0")&gt;0,IF(COUNTIF($F88:Klisz_Verbräuche[[#This Row],[2045]],"&gt;0")&gt;0,Klisz_Verbräuche[[#This Row],[2045]]*(1-$E88)^5, ""), ""),IF($B$57&gt;Klisz_Verbräuche[[#Headers],[2050]],Refsz_Verbräuche[[#This Row],[2050]],"")))</f>
        <v/>
      </c>
      <c r="Z88" s="15"/>
    </row>
    <row r="89" spans="2:26" x14ac:dyDescent="0.35">
      <c r="B89" s="15">
        <v>29</v>
      </c>
      <c r="C89" s="54" t="str">
        <f>Refsz_Verbräuche[[#This Row],[Datenpunkt]]</f>
        <v>Kältemittel (R410A)</v>
      </c>
      <c r="D89" s="29" t="str">
        <f>Refsz_Verbräuche[[#This Row],[Einheit]]</f>
        <v>kg</v>
      </c>
      <c r="E89" s="122"/>
      <c r="F89" s="15" t="str">
        <f>IF(ISBLANK(Refsz_Verbräuche[[#This Row],[2015]]),"",Refsz_Verbräuche[[#This Row],[2015]])</f>
        <v/>
      </c>
      <c r="G89" s="15" t="str">
        <f>IF(ISBLANK(Refsz_Verbräuche[[#This Row],[2016]]),"",Refsz_Verbräuche[[#This Row],[2016]])</f>
        <v/>
      </c>
      <c r="H89" s="15" t="str">
        <f>IF(ISBLANK(Refsz_Verbräuche[[#This Row],[2017]]),"",Refsz_Verbräuche[[#This Row],[2017]])</f>
        <v/>
      </c>
      <c r="I89" s="15" t="str">
        <f>IF(ISBLANK(Refsz_Verbräuche[[#This Row],[2018]]),"",Refsz_Verbräuche[[#This Row],[2018]])</f>
        <v/>
      </c>
      <c r="J89" s="15" t="str">
        <f>IF(ISBLANK(Refsz_Verbräuche[[#This Row],[2019]]),"",Refsz_Verbräuche[[#This Row],[2019]])</f>
        <v/>
      </c>
      <c r="K89" s="15" t="str">
        <f>IF(ISBLANK(Refsz_Verbräuche[[#This Row],[2020]]),"",Refsz_Verbräuche[[#This Row],[2020]])</f>
        <v/>
      </c>
      <c r="L89" s="15" t="str">
        <f>IF(ISBLANK(Refsz_Verbräuche[[#This Row],[2021]]),"",Refsz_Verbräuche[[#This Row],[2021]])</f>
        <v/>
      </c>
      <c r="M89" s="57" t="str">
        <f>IF(Klisz_Verbräuche[[#Headers],[2022]]=$B$57,IF(COUNTIF($F89:Klisz_Verbräuche[[#This Row],[2021]],"&gt;0")&gt;0, AVERAGEIF($F89:Klisz_Verbräuche[[#This Row],[2021]],"&lt;&gt;"), ""),IF($B$57&lt;Klisz_Verbräuche[[#Headers],[2022]],IF(COUNTIF($F89:Klisz_Verbräuche[[#This Row],[2021]],"&gt;0")&gt;0,IF(COUNTIF($F89:Klisz_Verbräuche[[#This Row],[2021]],"&gt;0")&gt;0,Klisz_Verbräuche[[#This Row],[2021]]*(1-$E89)^1, ""), ""),IF($B$57&gt;Klisz_Verbräuche[[#Headers],[2022]],Refsz_Verbräuche[[#This Row],[2022]],"")))</f>
        <v/>
      </c>
      <c r="N89" s="57" t="str">
        <f>IF(Klisz_Verbräuche[[#Headers],[2023]]=$B$57,IF(COUNTIF($F89:Klisz_Verbräuche[[#This Row],[2022]],"&gt;0")&gt;0, AVERAGEIF($F89:Klisz_Verbräuche[[#This Row],[2022]],"&lt;&gt;"), ""),IF($B$57&lt;Klisz_Verbräuche[[#Headers],[2023]],IF(COUNTIF($F89:Klisz_Verbräuche[[#This Row],[2022]],"&gt;0")&gt;0,IF(COUNTIF($F89:Klisz_Verbräuche[[#This Row],[2022]],"&gt;0")&gt;0,Klisz_Verbräuche[[#This Row],[2022]]*(1-$E89)^1, ""), ""),IF($B$57&gt;Klisz_Verbräuche[[#Headers],[2023]],Refsz_Verbräuche[[#This Row],[2023]],"")))</f>
        <v/>
      </c>
      <c r="O89" s="57" t="str">
        <f>IF(Klisz_Verbräuche[[#Headers],[2024]]=$B$57,IF(COUNTIF($F89:Klisz_Verbräuche[[#This Row],[2023]],"&gt;0")&gt;0, AVERAGEIF($F89:Klisz_Verbräuche[[#This Row],[2023]],"&lt;&gt;"), ""),IF($B$57&lt;Klisz_Verbräuche[[#Headers],[2024]],IF(COUNTIF($F89:Klisz_Verbräuche[[#This Row],[2023]],"&gt;0")&gt;0,IF(COUNTIF($F89:Klisz_Verbräuche[[#This Row],[2023]],"&gt;0")&gt;0,Klisz_Verbräuche[[#This Row],[2023]]*(1-$E89)^1, ""), ""),IF($B$57&gt;Klisz_Verbräuche[[#Headers],[2024]],Refsz_Verbräuche[[#This Row],[2024]],"")))</f>
        <v/>
      </c>
      <c r="P89" s="57" t="str">
        <f>IF(Klisz_Verbräuche[[#Headers],[2025]]=$B$57,IF(COUNTIF($F89:Klisz_Verbräuche[[#This Row],[2024]],"&gt;0")&gt;0, AVERAGEIF($F89:Klisz_Verbräuche[[#This Row],[2024]],"&lt;&gt;"), ""),IF($B$57&lt;Klisz_Verbräuche[[#Headers],[2025]],IF(COUNTIF($F89:Klisz_Verbräuche[[#This Row],[2024]],"&gt;0")&gt;0,IF(COUNTIF($F89:Klisz_Verbräuche[[#This Row],[2024]],"&gt;0")&gt;0,Klisz_Verbräuche[[#This Row],[2024]]*(1-$E89)^1, ""), ""),IF($B$57&gt;Klisz_Verbräuche[[#Headers],[2025]],Refsz_Verbräuche[[#This Row],[2025]],"")))</f>
        <v/>
      </c>
      <c r="Q89" s="57" t="str">
        <f>IF(Klisz_Verbräuche[[#Headers],[2026]]=$B$57,IF(COUNTIF($F89:Klisz_Verbräuche[[#This Row],[2025]],"&gt;0")&gt;0, AVERAGEIF($F89:Klisz_Verbräuche[[#This Row],[2025]],"&lt;&gt;"), ""),IF($B$57&lt;Klisz_Verbräuche[[#Headers],[2026]],IF(COUNTIF($F89:Klisz_Verbräuche[[#This Row],[2025]],"&gt;0")&gt;0,IF(COUNTIF($F89:Klisz_Verbräuche[[#This Row],[2025]],"&gt;0")&gt;0,Klisz_Verbräuche[[#This Row],[2025]]*(1-$E89)^1, ""), ""),IF($B$57&gt;Klisz_Verbräuche[[#Headers],[2026]],Refsz_Verbräuche[[#This Row],[2026]],"")))</f>
        <v/>
      </c>
      <c r="R89" s="57" t="str">
        <f>IF(Klisz_Verbräuche[[#Headers],[2027]]=$B$57,IF(COUNTIF($F89:Klisz_Verbräuche[[#This Row],[2026]],"&gt;0")&gt;0, AVERAGEIF($F89:Klisz_Verbräuche[[#This Row],[2026]],"&lt;&gt;"), ""),IF($B$57&lt;Klisz_Verbräuche[[#Headers],[2027]],IF(COUNTIF($F89:Klisz_Verbräuche[[#This Row],[2026]],"&gt;0")&gt;0,IF(COUNTIF($F89:Klisz_Verbräuche[[#This Row],[2026]],"&gt;0")&gt;0,Klisz_Verbräuche[[#This Row],[2026]]*(1-$E89)^1, ""), ""),IF($B$57&gt;Klisz_Verbräuche[[#Headers],[2027]],Refsz_Verbräuche[[#This Row],[2027]],"")))</f>
        <v/>
      </c>
      <c r="S89" s="57" t="str">
        <f>IF(Klisz_Verbräuche[[#Headers],[2028]]=$B$57,IF(COUNTIF($F89:Klisz_Verbräuche[[#This Row],[2027]],"&gt;0")&gt;0, AVERAGEIF($F89:Klisz_Verbräuche[[#This Row],[2027]],"&lt;&gt;"), ""),IF($B$57&lt;Klisz_Verbräuche[[#Headers],[2028]],IF(COUNTIF($F89:Klisz_Verbräuche[[#This Row],[2027]],"&gt;0")&gt;0,IF(COUNTIF($F89:Klisz_Verbräuche[[#This Row],[2027]],"&gt;0")&gt;0,Klisz_Verbräuche[[#This Row],[2027]]*(1-$E89)^1, ""), ""),IF($B$57&gt;Klisz_Verbräuche[[#Headers],[2028]],Refsz_Verbräuche[[#This Row],[2028]],"")))</f>
        <v/>
      </c>
      <c r="T89" s="57" t="str">
        <f>IF(Klisz_Verbräuche[[#Headers],[2029]]=$B$57,IF(COUNTIF($F89:Klisz_Verbräuche[[#This Row],[2028]],"&gt;0")&gt;0, AVERAGEIF($F89:Klisz_Verbräuche[[#This Row],[2028]],"&lt;&gt;"), ""),IF($B$57&lt;Klisz_Verbräuche[[#Headers],[2029]],IF(COUNTIF($F89:Klisz_Verbräuche[[#This Row],[2028]],"&gt;0")&gt;0,IF(COUNTIF($F89:Klisz_Verbräuche[[#This Row],[2028]],"&gt;0")&gt;0,Klisz_Verbräuche[[#This Row],[2028]]*(1-$E89)^1, ""), ""),IF($B$57&gt;Klisz_Verbräuche[[#Headers],[2029]],Refsz_Verbräuche[[#This Row],[2029]],"")))</f>
        <v/>
      </c>
      <c r="U89" s="57" t="str">
        <f>IF(Klisz_Verbräuche[[#Headers],[2030]]=$B$57,IF(COUNTIF($F89:Klisz_Verbräuche[[#This Row],[2029]],"&gt;0")&gt;0, AVERAGEIF($F89:Klisz_Verbräuche[[#This Row],[2029]],"&lt;&gt;"), ""),IF($B$57&lt;Klisz_Verbräuche[[#Headers],[2030]],IF(COUNTIF($F89:Klisz_Verbräuche[[#This Row],[2029]],"&gt;0")&gt;0,IF(COUNTIF($F89:Klisz_Verbräuche[[#This Row],[2029]],"&gt;0")&gt;0,Klisz_Verbräuche[[#This Row],[2029]]*(1-$E89)^1, ""), ""),IF($B$57&gt;Klisz_Verbräuche[[#Headers],[2030]],Refsz_Verbräuche[[#This Row],[2030]],"")))</f>
        <v/>
      </c>
      <c r="V89" s="57" t="str">
        <f>IF(Klisz_Verbräuche[[#Headers],[2035]]=$B$57,IF(COUNTIF($F89:Klisz_Verbräuche[[#This Row],[2030]],"&gt;0")&gt;0, AVERAGEIF($F89:Klisz_Verbräuche[[#This Row],[2030]],"&lt;&gt;"), ""),IF($B$57&lt;Klisz_Verbräuche[[#Headers],[2035]],IF(COUNTIF($F89:Klisz_Verbräuche[[#This Row],[2030]],"&gt;0")&gt;0,IF(COUNTIF($F89:Klisz_Verbräuche[[#This Row],[2030]],"&gt;0")&gt;0,Klisz_Verbräuche[[#This Row],[2030]]*(1-$E89)^5, ""), ""),IF($B$57&gt;Klisz_Verbräuche[[#Headers],[2035]],Refsz_Verbräuche[[#This Row],[2035]],"")))</f>
        <v/>
      </c>
      <c r="W89" s="57" t="str">
        <f>IF(Klisz_Verbräuche[[#Headers],[2040]]=$B$57,IF(COUNTIF($F89:Klisz_Verbräuche[[#This Row],[2035]],"&gt;0")&gt;0, AVERAGEIF($F89:Klisz_Verbräuche[[#This Row],[2035]],"&lt;&gt;"), ""),IF($B$57&lt;Klisz_Verbräuche[[#Headers],[2040]],IF(COUNTIF($F89:Klisz_Verbräuche[[#This Row],[2035]],"&gt;0")&gt;0,IF(COUNTIF($F89:Klisz_Verbräuche[[#This Row],[2035]],"&gt;0")&gt;0,Klisz_Verbräuche[[#This Row],[2035]]*(1-$E89)^5, ""), ""),IF($B$57&gt;Klisz_Verbräuche[[#Headers],[2040]],Refsz_Verbräuche[[#This Row],[2040]],"")))</f>
        <v/>
      </c>
      <c r="X89" s="57" t="str">
        <f>IF(Klisz_Verbräuche[[#Headers],[2045]]=$B$57,IF(COUNTIF($F89:Klisz_Verbräuche[[#This Row],[2040]],"&gt;0")&gt;0, AVERAGEIF($F89:Klisz_Verbräuche[[#This Row],[2040]],"&lt;&gt;"), ""),IF($B$57&lt;Klisz_Verbräuche[[#Headers],[2045]],IF(COUNTIF($F89:Klisz_Verbräuche[[#This Row],[2040]],"&gt;0")&gt;0,IF(COUNTIF($F89:Klisz_Verbräuche[[#This Row],[2040]],"&gt;0")&gt;0,Klisz_Verbräuche[[#This Row],[2040]]*(1-$E89)^5, ""), ""),IF($B$57&gt;Klisz_Verbräuche[[#Headers],[2045]],Refsz_Verbräuche[[#This Row],[2045]],"")))</f>
        <v/>
      </c>
      <c r="Y89" s="57" t="str">
        <f>IF(Klisz_Verbräuche[[#Headers],[2050]]=$B$57,IF(COUNTIF($F89:Klisz_Verbräuche[[#This Row],[2045]],"&gt;0")&gt;0, AVERAGEIF($F89:Klisz_Verbräuche[[#This Row],[2045]],"&lt;&gt;"), ""),IF($B$57&lt;Klisz_Verbräuche[[#Headers],[2050]],IF(COUNTIF($F89:Klisz_Verbräuche[[#This Row],[2045]],"&gt;0")&gt;0,IF(COUNTIF($F89:Klisz_Verbräuche[[#This Row],[2045]],"&gt;0")&gt;0,Klisz_Verbräuche[[#This Row],[2045]]*(1-$E89)^5, ""), ""),IF($B$57&gt;Klisz_Verbräuche[[#Headers],[2050]],Refsz_Verbräuche[[#This Row],[2050]],"")))</f>
        <v/>
      </c>
      <c r="Z89" s="15"/>
    </row>
    <row r="90" spans="2:26" x14ac:dyDescent="0.35">
      <c r="B90" s="15">
        <v>30</v>
      </c>
      <c r="C90" s="20">
        <f>Refsz_Verbräuche[[#This Row],[Datenpunkt]]</f>
        <v>0</v>
      </c>
      <c r="D90" s="29">
        <f>Refsz_Verbräuche[[#This Row],[Einheit]]</f>
        <v>0</v>
      </c>
      <c r="E90" s="122"/>
      <c r="F90" s="15" t="str">
        <f>IF(ISBLANK(Refsz_Verbräuche[[#This Row],[2015]]),"",Refsz_Verbräuche[[#This Row],[2015]])</f>
        <v/>
      </c>
      <c r="G90" s="15" t="str">
        <f>IF(ISBLANK(Refsz_Verbräuche[[#This Row],[2016]]),"",Refsz_Verbräuche[[#This Row],[2016]])</f>
        <v/>
      </c>
      <c r="H90" s="15" t="str">
        <f>IF(ISBLANK(Refsz_Verbräuche[[#This Row],[2017]]),"",Refsz_Verbräuche[[#This Row],[2017]])</f>
        <v/>
      </c>
      <c r="I90" s="15" t="str">
        <f>IF(ISBLANK(Refsz_Verbräuche[[#This Row],[2018]]),"",Refsz_Verbräuche[[#This Row],[2018]])</f>
        <v/>
      </c>
      <c r="J90" s="15" t="str">
        <f>IF(ISBLANK(Refsz_Verbräuche[[#This Row],[2019]]),"",Refsz_Verbräuche[[#This Row],[2019]])</f>
        <v/>
      </c>
      <c r="K90" s="15" t="str">
        <f>IF(ISBLANK(Refsz_Verbräuche[[#This Row],[2020]]),"",Refsz_Verbräuche[[#This Row],[2020]])</f>
        <v/>
      </c>
      <c r="L90" s="15" t="str">
        <f>IF(ISBLANK(Refsz_Verbräuche[[#This Row],[2021]]),"",Refsz_Verbräuche[[#This Row],[2021]])</f>
        <v/>
      </c>
      <c r="M90" s="57" t="str">
        <f>IF(Klisz_Verbräuche[[#Headers],[2022]]=$B$57,IF(COUNTIF($F90:Klisz_Verbräuche[[#This Row],[2021]],"&gt;0")&gt;0, AVERAGEIF($F90:Klisz_Verbräuche[[#This Row],[2021]],"&lt;&gt;"), ""),IF($B$57&lt;Klisz_Verbräuche[[#Headers],[2022]],IF(COUNTIF($F90:Klisz_Verbräuche[[#This Row],[2021]],"&gt;0")&gt;0,IF(COUNTIF($F90:Klisz_Verbräuche[[#This Row],[2021]],"&gt;0")&gt;0,Klisz_Verbräuche[[#This Row],[2021]]*(1-$E90)^1, ""), ""),IF($B$57&gt;Klisz_Verbräuche[[#Headers],[2022]],Refsz_Verbräuche[[#This Row],[2022]],"")))</f>
        <v/>
      </c>
      <c r="N90" s="57" t="str">
        <f>IF(Klisz_Verbräuche[[#Headers],[2023]]=$B$57,IF(COUNTIF($F90:Klisz_Verbräuche[[#This Row],[2022]],"&gt;0")&gt;0, AVERAGEIF($F90:Klisz_Verbräuche[[#This Row],[2022]],"&lt;&gt;"), ""),IF($B$57&lt;Klisz_Verbräuche[[#Headers],[2023]],IF(COUNTIF($F90:Klisz_Verbräuche[[#This Row],[2022]],"&gt;0")&gt;0,IF(COUNTIF($F90:Klisz_Verbräuche[[#This Row],[2022]],"&gt;0")&gt;0,Klisz_Verbräuche[[#This Row],[2022]]*(1-$E90)^1, ""), ""),IF($B$57&gt;Klisz_Verbräuche[[#Headers],[2023]],Refsz_Verbräuche[[#This Row],[2023]],"")))</f>
        <v/>
      </c>
      <c r="O90" s="57" t="str">
        <f>IF(Klisz_Verbräuche[[#Headers],[2024]]=$B$57,IF(COUNTIF($F90:Klisz_Verbräuche[[#This Row],[2023]],"&gt;0")&gt;0, AVERAGEIF($F90:Klisz_Verbräuche[[#This Row],[2023]],"&lt;&gt;"), ""),IF($B$57&lt;Klisz_Verbräuche[[#Headers],[2024]],IF(COUNTIF($F90:Klisz_Verbräuche[[#This Row],[2023]],"&gt;0")&gt;0,IF(COUNTIF($F90:Klisz_Verbräuche[[#This Row],[2023]],"&gt;0")&gt;0,Klisz_Verbräuche[[#This Row],[2023]]*(1-$E90)^1, ""), ""),IF($B$57&gt;Klisz_Verbräuche[[#Headers],[2024]],Refsz_Verbräuche[[#This Row],[2024]],"")))</f>
        <v/>
      </c>
      <c r="P90" s="57" t="str">
        <f>IF(Klisz_Verbräuche[[#Headers],[2025]]=$B$57,IF(COUNTIF($F90:Klisz_Verbräuche[[#This Row],[2024]],"&gt;0")&gt;0, AVERAGEIF($F90:Klisz_Verbräuche[[#This Row],[2024]],"&lt;&gt;"), ""),IF($B$57&lt;Klisz_Verbräuche[[#Headers],[2025]],IF(COUNTIF($F90:Klisz_Verbräuche[[#This Row],[2024]],"&gt;0")&gt;0,IF(COUNTIF($F90:Klisz_Verbräuche[[#This Row],[2024]],"&gt;0")&gt;0,Klisz_Verbräuche[[#This Row],[2024]]*(1-$E90)^1, ""), ""),IF($B$57&gt;Klisz_Verbräuche[[#Headers],[2025]],Refsz_Verbräuche[[#This Row],[2025]],"")))</f>
        <v/>
      </c>
      <c r="Q90" s="57" t="str">
        <f>IF(Klisz_Verbräuche[[#Headers],[2026]]=$B$57,IF(COUNTIF($F90:Klisz_Verbräuche[[#This Row],[2025]],"&gt;0")&gt;0, AVERAGEIF($F90:Klisz_Verbräuche[[#This Row],[2025]],"&lt;&gt;"), ""),IF($B$57&lt;Klisz_Verbräuche[[#Headers],[2026]],IF(COUNTIF($F90:Klisz_Verbräuche[[#This Row],[2025]],"&gt;0")&gt;0,IF(COUNTIF($F90:Klisz_Verbräuche[[#This Row],[2025]],"&gt;0")&gt;0,Klisz_Verbräuche[[#This Row],[2025]]*(1-$E90)^1, ""), ""),IF($B$57&gt;Klisz_Verbräuche[[#Headers],[2026]],Refsz_Verbräuche[[#This Row],[2026]],"")))</f>
        <v/>
      </c>
      <c r="R90" s="57" t="str">
        <f>IF(Klisz_Verbräuche[[#Headers],[2027]]=$B$57,IF(COUNTIF($F90:Klisz_Verbräuche[[#This Row],[2026]],"&gt;0")&gt;0, AVERAGEIF($F90:Klisz_Verbräuche[[#This Row],[2026]],"&lt;&gt;"), ""),IF($B$57&lt;Klisz_Verbräuche[[#Headers],[2027]],IF(COUNTIF($F90:Klisz_Verbräuche[[#This Row],[2026]],"&gt;0")&gt;0,IF(COUNTIF($F90:Klisz_Verbräuche[[#This Row],[2026]],"&gt;0")&gt;0,Klisz_Verbräuche[[#This Row],[2026]]*(1-$E90)^1, ""), ""),IF($B$57&gt;Klisz_Verbräuche[[#Headers],[2027]],Refsz_Verbräuche[[#This Row],[2027]],"")))</f>
        <v/>
      </c>
      <c r="S90" s="57" t="str">
        <f>IF(Klisz_Verbräuche[[#Headers],[2028]]=$B$57,IF(COUNTIF($F90:Klisz_Verbräuche[[#This Row],[2027]],"&gt;0")&gt;0, AVERAGEIF($F90:Klisz_Verbräuche[[#This Row],[2027]],"&lt;&gt;"), ""),IF($B$57&lt;Klisz_Verbräuche[[#Headers],[2028]],IF(COUNTIF($F90:Klisz_Verbräuche[[#This Row],[2027]],"&gt;0")&gt;0,IF(COUNTIF($F90:Klisz_Verbräuche[[#This Row],[2027]],"&gt;0")&gt;0,Klisz_Verbräuche[[#This Row],[2027]]*(1-$E90)^1, ""), ""),IF($B$57&gt;Klisz_Verbräuche[[#Headers],[2028]],Refsz_Verbräuche[[#This Row],[2028]],"")))</f>
        <v/>
      </c>
      <c r="T90" s="57" t="str">
        <f>IF(Klisz_Verbräuche[[#Headers],[2029]]=$B$57,IF(COUNTIF($F90:Klisz_Verbräuche[[#This Row],[2028]],"&gt;0")&gt;0, AVERAGEIF($F90:Klisz_Verbräuche[[#This Row],[2028]],"&lt;&gt;"), ""),IF($B$57&lt;Klisz_Verbräuche[[#Headers],[2029]],IF(COUNTIF($F90:Klisz_Verbräuche[[#This Row],[2028]],"&gt;0")&gt;0,IF(COUNTIF($F90:Klisz_Verbräuche[[#This Row],[2028]],"&gt;0")&gt;0,Klisz_Verbräuche[[#This Row],[2028]]*(1-$E90)^1, ""), ""),IF($B$57&gt;Klisz_Verbräuche[[#Headers],[2029]],Refsz_Verbräuche[[#This Row],[2029]],"")))</f>
        <v/>
      </c>
      <c r="U90" s="57" t="str">
        <f>IF(Klisz_Verbräuche[[#Headers],[2030]]=$B$57,IF(COUNTIF($F90:Klisz_Verbräuche[[#This Row],[2029]],"&gt;0")&gt;0, AVERAGEIF($F90:Klisz_Verbräuche[[#This Row],[2029]],"&lt;&gt;"), ""),IF($B$57&lt;Klisz_Verbräuche[[#Headers],[2030]],IF(COUNTIF($F90:Klisz_Verbräuche[[#This Row],[2029]],"&gt;0")&gt;0,IF(COUNTIF($F90:Klisz_Verbräuche[[#This Row],[2029]],"&gt;0")&gt;0,Klisz_Verbräuche[[#This Row],[2029]]*(1-$E90)^1, ""), ""),IF($B$57&gt;Klisz_Verbräuche[[#Headers],[2030]],Refsz_Verbräuche[[#This Row],[2030]],"")))</f>
        <v/>
      </c>
      <c r="V90" s="57" t="str">
        <f>IF(Klisz_Verbräuche[[#Headers],[2035]]=$B$57,IF(COUNTIF($F90:Klisz_Verbräuche[[#This Row],[2030]],"&gt;0")&gt;0, AVERAGEIF($F90:Klisz_Verbräuche[[#This Row],[2030]],"&lt;&gt;"), ""),IF($B$57&lt;Klisz_Verbräuche[[#Headers],[2035]],IF(COUNTIF($F90:Klisz_Verbräuche[[#This Row],[2030]],"&gt;0")&gt;0,IF(COUNTIF($F90:Klisz_Verbräuche[[#This Row],[2030]],"&gt;0")&gt;0,Klisz_Verbräuche[[#This Row],[2030]]*(1-$E90)^5, ""), ""),IF($B$57&gt;Klisz_Verbräuche[[#Headers],[2035]],Refsz_Verbräuche[[#This Row],[2035]],"")))</f>
        <v/>
      </c>
      <c r="W90" s="57" t="str">
        <f>IF(Klisz_Verbräuche[[#Headers],[2040]]=$B$57,IF(COUNTIF($F90:Klisz_Verbräuche[[#This Row],[2035]],"&gt;0")&gt;0, AVERAGEIF($F90:Klisz_Verbräuche[[#This Row],[2035]],"&lt;&gt;"), ""),IF($B$57&lt;Klisz_Verbräuche[[#Headers],[2040]],IF(COUNTIF($F90:Klisz_Verbräuche[[#This Row],[2035]],"&gt;0")&gt;0,IF(COUNTIF($F90:Klisz_Verbräuche[[#This Row],[2035]],"&gt;0")&gt;0,Klisz_Verbräuche[[#This Row],[2035]]*(1-$E90)^5, ""), ""),IF($B$57&gt;Klisz_Verbräuche[[#Headers],[2040]],Refsz_Verbräuche[[#This Row],[2040]],"")))</f>
        <v/>
      </c>
      <c r="X90" s="57" t="str">
        <f>IF(Klisz_Verbräuche[[#Headers],[2045]]=$B$57,IF(COUNTIF($F90:Klisz_Verbräuche[[#This Row],[2040]],"&gt;0")&gt;0, AVERAGEIF($F90:Klisz_Verbräuche[[#This Row],[2040]],"&lt;&gt;"), ""),IF($B$57&lt;Klisz_Verbräuche[[#Headers],[2045]],IF(COUNTIF($F90:Klisz_Verbräuche[[#This Row],[2040]],"&gt;0")&gt;0,IF(COUNTIF($F90:Klisz_Verbräuche[[#This Row],[2040]],"&gt;0")&gt;0,Klisz_Verbräuche[[#This Row],[2040]]*(1-$E90)^5, ""), ""),IF($B$57&gt;Klisz_Verbräuche[[#Headers],[2045]],Refsz_Verbräuche[[#This Row],[2045]],"")))</f>
        <v/>
      </c>
      <c r="Y90" s="57" t="str">
        <f>IF(Klisz_Verbräuche[[#Headers],[2050]]=$B$57,IF(COUNTIF($F90:Klisz_Verbräuche[[#This Row],[2045]],"&gt;0")&gt;0, AVERAGEIF($F90:Klisz_Verbräuche[[#This Row],[2045]],"&lt;&gt;"), ""),IF($B$57&lt;Klisz_Verbräuche[[#Headers],[2050]],IF(COUNTIF($F90:Klisz_Verbräuche[[#This Row],[2045]],"&gt;0")&gt;0,IF(COUNTIF($F90:Klisz_Verbräuche[[#This Row],[2045]],"&gt;0")&gt;0,Klisz_Verbräuche[[#This Row],[2045]]*(1-$E90)^5, ""), ""),IF($B$57&gt;Klisz_Verbräuche[[#Headers],[2050]],Refsz_Verbräuche[[#This Row],[2050]],"")))</f>
        <v/>
      </c>
      <c r="Z90" s="15"/>
    </row>
    <row r="91" spans="2:26" x14ac:dyDescent="0.35">
      <c r="B91" s="15">
        <v>31</v>
      </c>
      <c r="C91" s="54" t="str">
        <f>Refsz_Verbräuche[[#This Row],[Datenpunkt]]</f>
        <v>Fuhrpark (Diesel)</v>
      </c>
      <c r="D91" s="29" t="str">
        <f>Refsz_Verbräuche[[#This Row],[Einheit]]</f>
        <v>Fkm</v>
      </c>
      <c r="E91" s="122"/>
      <c r="F91" s="15" t="str">
        <f>IF(ISBLANK(Refsz_Verbräuche[[#This Row],[2015]]),"",Refsz_Verbräuche[[#This Row],[2015]])</f>
        <v/>
      </c>
      <c r="G91" s="15" t="str">
        <f>IF(ISBLANK(Refsz_Verbräuche[[#This Row],[2016]]),"",Refsz_Verbräuche[[#This Row],[2016]])</f>
        <v/>
      </c>
      <c r="H91" s="15" t="str">
        <f>IF(ISBLANK(Refsz_Verbräuche[[#This Row],[2017]]),"",Refsz_Verbräuche[[#This Row],[2017]])</f>
        <v/>
      </c>
      <c r="I91" s="15" t="str">
        <f>IF(ISBLANK(Refsz_Verbräuche[[#This Row],[2018]]),"",Refsz_Verbräuche[[#This Row],[2018]])</f>
        <v/>
      </c>
      <c r="J91" s="15" t="str">
        <f>IF(ISBLANK(Refsz_Verbräuche[[#This Row],[2019]]),"",Refsz_Verbräuche[[#This Row],[2019]])</f>
        <v/>
      </c>
      <c r="K91" s="15" t="str">
        <f>IF(ISBLANK(Refsz_Verbräuche[[#This Row],[2020]]),"",Refsz_Verbräuche[[#This Row],[2020]])</f>
        <v/>
      </c>
      <c r="L91" s="15" t="str">
        <f>IF(ISBLANK(Refsz_Verbräuche[[#This Row],[2021]]),"",Refsz_Verbräuche[[#This Row],[2021]])</f>
        <v/>
      </c>
      <c r="M91" s="57" t="str">
        <f>IF(Klisz_Verbräuche[[#Headers],[2022]]=$B$57,IF(COUNTIF($F91:Klisz_Verbräuche[[#This Row],[2021]],"&gt;0")&gt;0, AVERAGEIF($F91:Klisz_Verbräuche[[#This Row],[2021]],"&lt;&gt;"), ""),IF($B$57&lt;Klisz_Verbräuche[[#Headers],[2022]],IF(COUNTIF($F91:Klisz_Verbräuche[[#This Row],[2021]],"&gt;0")&gt;0,IF(COUNTIF($F91:Klisz_Verbräuche[[#This Row],[2021]],"&gt;0")&gt;0,Klisz_Verbräuche[[#This Row],[2021]]*(1-$E91)^1, ""), ""),IF($B$57&gt;Klisz_Verbräuche[[#Headers],[2022]],Refsz_Verbräuche[[#This Row],[2022]],"")))</f>
        <v/>
      </c>
      <c r="N91" s="57" t="str">
        <f>IF(Klisz_Verbräuche[[#Headers],[2023]]=$B$57,IF(COUNTIF($F91:Klisz_Verbräuche[[#This Row],[2022]],"&gt;0")&gt;0, AVERAGEIF($F91:Klisz_Verbräuche[[#This Row],[2022]],"&lt;&gt;"), ""),IF($B$57&lt;Klisz_Verbräuche[[#Headers],[2023]],IF(COUNTIF($F91:Klisz_Verbräuche[[#This Row],[2022]],"&gt;0")&gt;0,IF(COUNTIF($F91:Klisz_Verbräuche[[#This Row],[2022]],"&gt;0")&gt;0,Klisz_Verbräuche[[#This Row],[2022]]*(1-$E91)^1, ""), ""),IF($B$57&gt;Klisz_Verbräuche[[#Headers],[2023]],Refsz_Verbräuche[[#This Row],[2023]],"")))</f>
        <v/>
      </c>
      <c r="O91" s="57" t="str">
        <f>IF(Klisz_Verbräuche[[#Headers],[2024]]=$B$57,IF(COUNTIF($F91:Klisz_Verbräuche[[#This Row],[2023]],"&gt;0")&gt;0, AVERAGEIF($F91:Klisz_Verbräuche[[#This Row],[2023]],"&lt;&gt;"), ""),IF($B$57&lt;Klisz_Verbräuche[[#Headers],[2024]],IF(COUNTIF($F91:Klisz_Verbräuche[[#This Row],[2023]],"&gt;0")&gt;0,IF(COUNTIF($F91:Klisz_Verbräuche[[#This Row],[2023]],"&gt;0")&gt;0,Klisz_Verbräuche[[#This Row],[2023]]*(1-$E91)^1, ""), ""),IF($B$57&gt;Klisz_Verbräuche[[#Headers],[2024]],Refsz_Verbräuche[[#This Row],[2024]],"")))</f>
        <v/>
      </c>
      <c r="P91" s="57" t="str">
        <f>IF(Klisz_Verbräuche[[#Headers],[2025]]=$B$57,IF(COUNTIF($F91:Klisz_Verbräuche[[#This Row],[2024]],"&gt;0")&gt;0, AVERAGEIF($F91:Klisz_Verbräuche[[#This Row],[2024]],"&lt;&gt;"), ""),IF($B$57&lt;Klisz_Verbräuche[[#Headers],[2025]],IF(COUNTIF($F91:Klisz_Verbräuche[[#This Row],[2024]],"&gt;0")&gt;0,IF(COUNTIF($F91:Klisz_Verbräuche[[#This Row],[2024]],"&gt;0")&gt;0,Klisz_Verbräuche[[#This Row],[2024]]*(1-$E91)^1, ""), ""),IF($B$57&gt;Klisz_Verbräuche[[#Headers],[2025]],Refsz_Verbräuche[[#This Row],[2025]],"")))</f>
        <v/>
      </c>
      <c r="Q91" s="57" t="str">
        <f>IF(Klisz_Verbräuche[[#Headers],[2026]]=$B$57,IF(COUNTIF($F91:Klisz_Verbräuche[[#This Row],[2025]],"&gt;0")&gt;0, AVERAGEIF($F91:Klisz_Verbräuche[[#This Row],[2025]],"&lt;&gt;"), ""),IF($B$57&lt;Klisz_Verbräuche[[#Headers],[2026]],IF(COUNTIF($F91:Klisz_Verbräuche[[#This Row],[2025]],"&gt;0")&gt;0,IF(COUNTIF($F91:Klisz_Verbräuche[[#This Row],[2025]],"&gt;0")&gt;0,Klisz_Verbräuche[[#This Row],[2025]]*(1-$E91)^1, ""), ""),IF($B$57&gt;Klisz_Verbräuche[[#Headers],[2026]],Refsz_Verbräuche[[#This Row],[2026]],"")))</f>
        <v/>
      </c>
      <c r="R91" s="57" t="str">
        <f>IF(Klisz_Verbräuche[[#Headers],[2027]]=$B$57,IF(COUNTIF($F91:Klisz_Verbräuche[[#This Row],[2026]],"&gt;0")&gt;0, AVERAGEIF($F91:Klisz_Verbräuche[[#This Row],[2026]],"&lt;&gt;"), ""),IF($B$57&lt;Klisz_Verbräuche[[#Headers],[2027]],IF(COUNTIF($F91:Klisz_Verbräuche[[#This Row],[2026]],"&gt;0")&gt;0,IF(COUNTIF($F91:Klisz_Verbräuche[[#This Row],[2026]],"&gt;0")&gt;0,Klisz_Verbräuche[[#This Row],[2026]]*(1-$E91)^1, ""), ""),IF($B$57&gt;Klisz_Verbräuche[[#Headers],[2027]],Refsz_Verbräuche[[#This Row],[2027]],"")))</f>
        <v/>
      </c>
      <c r="S91" s="57" t="str">
        <f>IF(Klisz_Verbräuche[[#Headers],[2028]]=$B$57,IF(COUNTIF($F91:Klisz_Verbräuche[[#This Row],[2027]],"&gt;0")&gt;0, AVERAGEIF($F91:Klisz_Verbräuche[[#This Row],[2027]],"&lt;&gt;"), ""),IF($B$57&lt;Klisz_Verbräuche[[#Headers],[2028]],IF(COUNTIF($F91:Klisz_Verbräuche[[#This Row],[2027]],"&gt;0")&gt;0,IF(COUNTIF($F91:Klisz_Verbräuche[[#This Row],[2027]],"&gt;0")&gt;0,Klisz_Verbräuche[[#This Row],[2027]]*(1-$E91)^1, ""), ""),IF($B$57&gt;Klisz_Verbräuche[[#Headers],[2028]],Refsz_Verbräuche[[#This Row],[2028]],"")))</f>
        <v/>
      </c>
      <c r="T91" s="57" t="str">
        <f>IF(Klisz_Verbräuche[[#Headers],[2029]]=$B$57,IF(COUNTIF($F91:Klisz_Verbräuche[[#This Row],[2028]],"&gt;0")&gt;0, AVERAGEIF($F91:Klisz_Verbräuche[[#This Row],[2028]],"&lt;&gt;"), ""),IF($B$57&lt;Klisz_Verbräuche[[#Headers],[2029]],IF(COUNTIF($F91:Klisz_Verbräuche[[#This Row],[2028]],"&gt;0")&gt;0,IF(COUNTIF($F91:Klisz_Verbräuche[[#This Row],[2028]],"&gt;0")&gt;0,Klisz_Verbräuche[[#This Row],[2028]]*(1-$E91)^1, ""), ""),IF($B$57&gt;Klisz_Verbräuche[[#Headers],[2029]],Refsz_Verbräuche[[#This Row],[2029]],"")))</f>
        <v/>
      </c>
      <c r="U91" s="57" t="str">
        <f>IF(Klisz_Verbräuche[[#Headers],[2030]]=$B$57,IF(COUNTIF($F91:Klisz_Verbräuche[[#This Row],[2029]],"&gt;0")&gt;0, AVERAGEIF($F91:Klisz_Verbräuche[[#This Row],[2029]],"&lt;&gt;"), ""),IF($B$57&lt;Klisz_Verbräuche[[#Headers],[2030]],IF(COUNTIF($F91:Klisz_Verbräuche[[#This Row],[2029]],"&gt;0")&gt;0,IF(COUNTIF($F91:Klisz_Verbräuche[[#This Row],[2029]],"&gt;0")&gt;0,Klisz_Verbräuche[[#This Row],[2029]]*(1-$E91)^1, ""), ""),IF($B$57&gt;Klisz_Verbräuche[[#Headers],[2030]],Refsz_Verbräuche[[#This Row],[2030]],"")))</f>
        <v/>
      </c>
      <c r="V91" s="57" t="str">
        <f>IF(Klisz_Verbräuche[[#Headers],[2035]]=$B$57,IF(COUNTIF($F91:Klisz_Verbräuche[[#This Row],[2030]],"&gt;0")&gt;0, AVERAGEIF($F91:Klisz_Verbräuche[[#This Row],[2030]],"&lt;&gt;"), ""),IF($B$57&lt;Klisz_Verbräuche[[#Headers],[2035]],IF(COUNTIF($F91:Klisz_Verbräuche[[#This Row],[2030]],"&gt;0")&gt;0,IF(COUNTIF($F91:Klisz_Verbräuche[[#This Row],[2030]],"&gt;0")&gt;0,Klisz_Verbräuche[[#This Row],[2030]]*(1-$E91)^5, ""), ""),IF($B$57&gt;Klisz_Verbräuche[[#Headers],[2035]],Refsz_Verbräuche[[#This Row],[2035]],"")))</f>
        <v/>
      </c>
      <c r="W91" s="57" t="str">
        <f>IF(Klisz_Verbräuche[[#Headers],[2040]]=$B$57,IF(COUNTIF($F91:Klisz_Verbräuche[[#This Row],[2035]],"&gt;0")&gt;0, AVERAGEIF($F91:Klisz_Verbräuche[[#This Row],[2035]],"&lt;&gt;"), ""),IF($B$57&lt;Klisz_Verbräuche[[#Headers],[2040]],IF(COUNTIF($F91:Klisz_Verbräuche[[#This Row],[2035]],"&gt;0")&gt;0,IF(COUNTIF($F91:Klisz_Verbräuche[[#This Row],[2035]],"&gt;0")&gt;0,Klisz_Verbräuche[[#This Row],[2035]]*(1-$E91)^5, ""), ""),IF($B$57&gt;Klisz_Verbräuche[[#Headers],[2040]],Refsz_Verbräuche[[#This Row],[2040]],"")))</f>
        <v/>
      </c>
      <c r="X91" s="57" t="str">
        <f>IF(Klisz_Verbräuche[[#Headers],[2045]]=$B$57,IF(COUNTIF($F91:Klisz_Verbräuche[[#This Row],[2040]],"&gt;0")&gt;0, AVERAGEIF($F91:Klisz_Verbräuche[[#This Row],[2040]],"&lt;&gt;"), ""),IF($B$57&lt;Klisz_Verbräuche[[#Headers],[2045]],IF(COUNTIF($F91:Klisz_Verbräuche[[#This Row],[2040]],"&gt;0")&gt;0,IF(COUNTIF($F91:Klisz_Verbräuche[[#This Row],[2040]],"&gt;0")&gt;0,Klisz_Verbräuche[[#This Row],[2040]]*(1-$E91)^5, ""), ""),IF($B$57&gt;Klisz_Verbräuche[[#Headers],[2045]],Refsz_Verbräuche[[#This Row],[2045]],"")))</f>
        <v/>
      </c>
      <c r="Y91" s="57" t="str">
        <f>IF(Klisz_Verbräuche[[#Headers],[2050]]=$B$57,IF(COUNTIF($F91:Klisz_Verbräuche[[#This Row],[2045]],"&gt;0")&gt;0, AVERAGEIF($F91:Klisz_Verbräuche[[#This Row],[2045]],"&lt;&gt;"), ""),IF($B$57&lt;Klisz_Verbräuche[[#Headers],[2050]],IF(COUNTIF($F91:Klisz_Verbräuche[[#This Row],[2045]],"&gt;0")&gt;0,IF(COUNTIF($F91:Klisz_Verbräuche[[#This Row],[2045]],"&gt;0")&gt;0,Klisz_Verbräuche[[#This Row],[2045]]*(1-$E91)^5, ""), ""),IF($B$57&gt;Klisz_Verbräuche[[#Headers],[2050]],Refsz_Verbräuche[[#This Row],[2050]],"")))</f>
        <v/>
      </c>
      <c r="Z91" s="15"/>
    </row>
    <row r="92" spans="2:26" x14ac:dyDescent="0.35">
      <c r="B92" s="15">
        <v>32</v>
      </c>
      <c r="C92" s="54" t="str">
        <f>Refsz_Verbräuche[[#This Row],[Datenpunkt]]</f>
        <v>Fuhrpark (Benzin)</v>
      </c>
      <c r="D92" s="29" t="str">
        <f>Refsz_Verbräuche[[#This Row],[Einheit]]</f>
        <v>Fkm</v>
      </c>
      <c r="E92" s="122"/>
      <c r="F92" s="15" t="str">
        <f>IF(ISBLANK(Refsz_Verbräuche[[#This Row],[2015]]),"",Refsz_Verbräuche[[#This Row],[2015]])</f>
        <v/>
      </c>
      <c r="G92" s="15" t="str">
        <f>IF(ISBLANK(Refsz_Verbräuche[[#This Row],[2016]]),"",Refsz_Verbräuche[[#This Row],[2016]])</f>
        <v/>
      </c>
      <c r="H92" s="15" t="str">
        <f>IF(ISBLANK(Refsz_Verbräuche[[#This Row],[2017]]),"",Refsz_Verbräuche[[#This Row],[2017]])</f>
        <v/>
      </c>
      <c r="I92" s="15" t="str">
        <f>IF(ISBLANK(Refsz_Verbräuche[[#This Row],[2018]]),"",Refsz_Verbräuche[[#This Row],[2018]])</f>
        <v/>
      </c>
      <c r="J92" s="15" t="str">
        <f>IF(ISBLANK(Refsz_Verbräuche[[#This Row],[2019]]),"",Refsz_Verbräuche[[#This Row],[2019]])</f>
        <v/>
      </c>
      <c r="K92" s="15" t="str">
        <f>IF(ISBLANK(Refsz_Verbräuche[[#This Row],[2020]]),"",Refsz_Verbräuche[[#This Row],[2020]])</f>
        <v/>
      </c>
      <c r="L92" s="15" t="str">
        <f>IF(ISBLANK(Refsz_Verbräuche[[#This Row],[2021]]),"",Refsz_Verbräuche[[#This Row],[2021]])</f>
        <v/>
      </c>
      <c r="M92" s="57" t="str">
        <f>IF(Klisz_Verbräuche[[#Headers],[2022]]=$B$57,IF(COUNTIF($F92:Klisz_Verbräuche[[#This Row],[2021]],"&gt;0")&gt;0, AVERAGEIF($F92:Klisz_Verbräuche[[#This Row],[2021]],"&lt;&gt;"), ""),IF($B$57&lt;Klisz_Verbräuche[[#Headers],[2022]],IF(COUNTIF($F92:Klisz_Verbräuche[[#This Row],[2021]],"&gt;0")&gt;0,IF(COUNTIF($F92:Klisz_Verbräuche[[#This Row],[2021]],"&gt;0")&gt;0,Klisz_Verbräuche[[#This Row],[2021]]*(1-$E92)^1, ""), ""),IF($B$57&gt;Klisz_Verbräuche[[#Headers],[2022]],Refsz_Verbräuche[[#This Row],[2022]],"")))</f>
        <v/>
      </c>
      <c r="N92" s="57" t="str">
        <f>IF(Klisz_Verbräuche[[#Headers],[2023]]=$B$57,IF(COUNTIF($F92:Klisz_Verbräuche[[#This Row],[2022]],"&gt;0")&gt;0, AVERAGEIF($F92:Klisz_Verbräuche[[#This Row],[2022]],"&lt;&gt;"), ""),IF($B$57&lt;Klisz_Verbräuche[[#Headers],[2023]],IF(COUNTIF($F92:Klisz_Verbräuche[[#This Row],[2022]],"&gt;0")&gt;0,IF(COUNTIF($F92:Klisz_Verbräuche[[#This Row],[2022]],"&gt;0")&gt;0,Klisz_Verbräuche[[#This Row],[2022]]*(1-$E92)^1, ""), ""),IF($B$57&gt;Klisz_Verbräuche[[#Headers],[2023]],Refsz_Verbräuche[[#This Row],[2023]],"")))</f>
        <v/>
      </c>
      <c r="O92" s="57" t="str">
        <f>IF(Klisz_Verbräuche[[#Headers],[2024]]=$B$57,IF(COUNTIF($F92:Klisz_Verbräuche[[#This Row],[2023]],"&gt;0")&gt;0, AVERAGEIF($F92:Klisz_Verbräuche[[#This Row],[2023]],"&lt;&gt;"), ""),IF($B$57&lt;Klisz_Verbräuche[[#Headers],[2024]],IF(COUNTIF($F92:Klisz_Verbräuche[[#This Row],[2023]],"&gt;0")&gt;0,IF(COUNTIF($F92:Klisz_Verbräuche[[#This Row],[2023]],"&gt;0")&gt;0,Klisz_Verbräuche[[#This Row],[2023]]*(1-$E92)^1, ""), ""),IF($B$57&gt;Klisz_Verbräuche[[#Headers],[2024]],Refsz_Verbräuche[[#This Row],[2024]],"")))</f>
        <v/>
      </c>
      <c r="P92" s="57" t="str">
        <f>IF(Klisz_Verbräuche[[#Headers],[2025]]=$B$57,IF(COUNTIF($F92:Klisz_Verbräuche[[#This Row],[2024]],"&gt;0")&gt;0, AVERAGEIF($F92:Klisz_Verbräuche[[#This Row],[2024]],"&lt;&gt;"), ""),IF($B$57&lt;Klisz_Verbräuche[[#Headers],[2025]],IF(COUNTIF($F92:Klisz_Verbräuche[[#This Row],[2024]],"&gt;0")&gt;0,IF(COUNTIF($F92:Klisz_Verbräuche[[#This Row],[2024]],"&gt;0")&gt;0,Klisz_Verbräuche[[#This Row],[2024]]*(1-$E92)^1, ""), ""),IF($B$57&gt;Klisz_Verbräuche[[#Headers],[2025]],Refsz_Verbräuche[[#This Row],[2025]],"")))</f>
        <v/>
      </c>
      <c r="Q92" s="57" t="str">
        <f>IF(Klisz_Verbräuche[[#Headers],[2026]]=$B$57,IF(COUNTIF($F92:Klisz_Verbräuche[[#This Row],[2025]],"&gt;0")&gt;0, AVERAGEIF($F92:Klisz_Verbräuche[[#This Row],[2025]],"&lt;&gt;"), ""),IF($B$57&lt;Klisz_Verbräuche[[#Headers],[2026]],IF(COUNTIF($F92:Klisz_Verbräuche[[#This Row],[2025]],"&gt;0")&gt;0,IF(COUNTIF($F92:Klisz_Verbräuche[[#This Row],[2025]],"&gt;0")&gt;0,Klisz_Verbräuche[[#This Row],[2025]]*(1-$E92)^1, ""), ""),IF($B$57&gt;Klisz_Verbräuche[[#Headers],[2026]],Refsz_Verbräuche[[#This Row],[2026]],"")))</f>
        <v/>
      </c>
      <c r="R92" s="57" t="str">
        <f>IF(Klisz_Verbräuche[[#Headers],[2027]]=$B$57,IF(COUNTIF($F92:Klisz_Verbräuche[[#This Row],[2026]],"&gt;0")&gt;0, AVERAGEIF($F92:Klisz_Verbräuche[[#This Row],[2026]],"&lt;&gt;"), ""),IF($B$57&lt;Klisz_Verbräuche[[#Headers],[2027]],IF(COUNTIF($F92:Klisz_Verbräuche[[#This Row],[2026]],"&gt;0")&gt;0,IF(COUNTIF($F92:Klisz_Verbräuche[[#This Row],[2026]],"&gt;0")&gt;0,Klisz_Verbräuche[[#This Row],[2026]]*(1-$E92)^1, ""), ""),IF($B$57&gt;Klisz_Verbräuche[[#Headers],[2027]],Refsz_Verbräuche[[#This Row],[2027]],"")))</f>
        <v/>
      </c>
      <c r="S92" s="57" t="str">
        <f>IF(Klisz_Verbräuche[[#Headers],[2028]]=$B$57,IF(COUNTIF($F92:Klisz_Verbräuche[[#This Row],[2027]],"&gt;0")&gt;0, AVERAGEIF($F92:Klisz_Verbräuche[[#This Row],[2027]],"&lt;&gt;"), ""),IF($B$57&lt;Klisz_Verbräuche[[#Headers],[2028]],IF(COUNTIF($F92:Klisz_Verbräuche[[#This Row],[2027]],"&gt;0")&gt;0,IF(COUNTIF($F92:Klisz_Verbräuche[[#This Row],[2027]],"&gt;0")&gt;0,Klisz_Verbräuche[[#This Row],[2027]]*(1-$E92)^1, ""), ""),IF($B$57&gt;Klisz_Verbräuche[[#Headers],[2028]],Refsz_Verbräuche[[#This Row],[2028]],"")))</f>
        <v/>
      </c>
      <c r="T92" s="57" t="str">
        <f>IF(Klisz_Verbräuche[[#Headers],[2029]]=$B$57,IF(COUNTIF($F92:Klisz_Verbräuche[[#This Row],[2028]],"&gt;0")&gt;0, AVERAGEIF($F92:Klisz_Verbräuche[[#This Row],[2028]],"&lt;&gt;"), ""),IF($B$57&lt;Klisz_Verbräuche[[#Headers],[2029]],IF(COUNTIF($F92:Klisz_Verbräuche[[#This Row],[2028]],"&gt;0")&gt;0,IF(COUNTIF($F92:Klisz_Verbräuche[[#This Row],[2028]],"&gt;0")&gt;0,Klisz_Verbräuche[[#This Row],[2028]]*(1-$E92)^1, ""), ""),IF($B$57&gt;Klisz_Verbräuche[[#Headers],[2029]],Refsz_Verbräuche[[#This Row],[2029]],"")))</f>
        <v/>
      </c>
      <c r="U92" s="57" t="str">
        <f>IF(Klisz_Verbräuche[[#Headers],[2030]]=$B$57,IF(COUNTIF($F92:Klisz_Verbräuche[[#This Row],[2029]],"&gt;0")&gt;0, AVERAGEIF($F92:Klisz_Verbräuche[[#This Row],[2029]],"&lt;&gt;"), ""),IF($B$57&lt;Klisz_Verbräuche[[#Headers],[2030]],IF(COUNTIF($F92:Klisz_Verbräuche[[#This Row],[2029]],"&gt;0")&gt;0,IF(COUNTIF($F92:Klisz_Verbräuche[[#This Row],[2029]],"&gt;0")&gt;0,Klisz_Verbräuche[[#This Row],[2029]]*(1-$E92)^1, ""), ""),IF($B$57&gt;Klisz_Verbräuche[[#Headers],[2030]],Refsz_Verbräuche[[#This Row],[2030]],"")))</f>
        <v/>
      </c>
      <c r="V92" s="57" t="str">
        <f>IF(Klisz_Verbräuche[[#Headers],[2035]]=$B$57,IF(COUNTIF($F92:Klisz_Verbräuche[[#This Row],[2030]],"&gt;0")&gt;0, AVERAGEIF($F92:Klisz_Verbräuche[[#This Row],[2030]],"&lt;&gt;"), ""),IF($B$57&lt;Klisz_Verbräuche[[#Headers],[2035]],IF(COUNTIF($F92:Klisz_Verbräuche[[#This Row],[2030]],"&gt;0")&gt;0,IF(COUNTIF($F92:Klisz_Verbräuche[[#This Row],[2030]],"&gt;0")&gt;0,Klisz_Verbräuche[[#This Row],[2030]]*(1-$E92)^5, ""), ""),IF($B$57&gt;Klisz_Verbräuche[[#Headers],[2035]],Refsz_Verbräuche[[#This Row],[2035]],"")))</f>
        <v/>
      </c>
      <c r="W92" s="57" t="str">
        <f>IF(Klisz_Verbräuche[[#Headers],[2040]]=$B$57,IF(COUNTIF($F92:Klisz_Verbräuche[[#This Row],[2035]],"&gt;0")&gt;0, AVERAGEIF($F92:Klisz_Verbräuche[[#This Row],[2035]],"&lt;&gt;"), ""),IF($B$57&lt;Klisz_Verbräuche[[#Headers],[2040]],IF(COUNTIF($F92:Klisz_Verbräuche[[#This Row],[2035]],"&gt;0")&gt;0,IF(COUNTIF($F92:Klisz_Verbräuche[[#This Row],[2035]],"&gt;0")&gt;0,Klisz_Verbräuche[[#This Row],[2035]]*(1-$E92)^5, ""), ""),IF($B$57&gt;Klisz_Verbräuche[[#Headers],[2040]],Refsz_Verbräuche[[#This Row],[2040]],"")))</f>
        <v/>
      </c>
      <c r="X92" s="57" t="str">
        <f>IF(Klisz_Verbräuche[[#Headers],[2045]]=$B$57,IF(COUNTIF($F92:Klisz_Verbräuche[[#This Row],[2040]],"&gt;0")&gt;0, AVERAGEIF($F92:Klisz_Verbräuche[[#This Row],[2040]],"&lt;&gt;"), ""),IF($B$57&lt;Klisz_Verbräuche[[#Headers],[2045]],IF(COUNTIF($F92:Klisz_Verbräuche[[#This Row],[2040]],"&gt;0")&gt;0,IF(COUNTIF($F92:Klisz_Verbräuche[[#This Row],[2040]],"&gt;0")&gt;0,Klisz_Verbräuche[[#This Row],[2040]]*(1-$E92)^5, ""), ""),IF($B$57&gt;Klisz_Verbräuche[[#Headers],[2045]],Refsz_Verbräuche[[#This Row],[2045]],"")))</f>
        <v/>
      </c>
      <c r="Y92" s="57" t="str">
        <f>IF(Klisz_Verbräuche[[#Headers],[2050]]=$B$57,IF(COUNTIF($F92:Klisz_Verbräuche[[#This Row],[2045]],"&gt;0")&gt;0, AVERAGEIF($F92:Klisz_Verbräuche[[#This Row],[2045]],"&lt;&gt;"), ""),IF($B$57&lt;Klisz_Verbräuche[[#Headers],[2050]],IF(COUNTIF($F92:Klisz_Verbräuche[[#This Row],[2045]],"&gt;0")&gt;0,IF(COUNTIF($F92:Klisz_Verbräuche[[#This Row],[2045]],"&gt;0")&gt;0,Klisz_Verbräuche[[#This Row],[2045]]*(1-$E92)^5, ""), ""),IF($B$57&gt;Klisz_Verbräuche[[#Headers],[2050]],Refsz_Verbräuche[[#This Row],[2050]],"")))</f>
        <v/>
      </c>
      <c r="Z92" s="15"/>
    </row>
    <row r="93" spans="2:26" x14ac:dyDescent="0.35">
      <c r="B93" s="15">
        <v>33</v>
      </c>
      <c r="C93" s="54" t="str">
        <f>Refsz_Verbräuche[[#This Row],[Datenpunkt]]</f>
        <v>Fuhrpark (E-Auto/ BEV)</v>
      </c>
      <c r="D93" s="29" t="str">
        <f>Refsz_Verbräuche[[#This Row],[Einheit]]</f>
        <v>Fkm</v>
      </c>
      <c r="E93" s="122"/>
      <c r="F93" s="15" t="str">
        <f>IF(ISBLANK(Refsz_Verbräuche[[#This Row],[2015]]),"",Refsz_Verbräuche[[#This Row],[2015]])</f>
        <v/>
      </c>
      <c r="G93" s="15" t="str">
        <f>IF(ISBLANK(Refsz_Verbräuche[[#This Row],[2016]]),"",Refsz_Verbräuche[[#This Row],[2016]])</f>
        <v/>
      </c>
      <c r="H93" s="15" t="str">
        <f>IF(ISBLANK(Refsz_Verbräuche[[#This Row],[2017]]),"",Refsz_Verbräuche[[#This Row],[2017]])</f>
        <v/>
      </c>
      <c r="I93" s="15" t="str">
        <f>IF(ISBLANK(Refsz_Verbräuche[[#This Row],[2018]]),"",Refsz_Verbräuche[[#This Row],[2018]])</f>
        <v/>
      </c>
      <c r="J93" s="15" t="str">
        <f>IF(ISBLANK(Refsz_Verbräuche[[#This Row],[2019]]),"",Refsz_Verbräuche[[#This Row],[2019]])</f>
        <v/>
      </c>
      <c r="K93" s="15" t="str">
        <f>IF(ISBLANK(Refsz_Verbräuche[[#This Row],[2020]]),"",Refsz_Verbräuche[[#This Row],[2020]])</f>
        <v/>
      </c>
      <c r="L93" s="15" t="str">
        <f>IF(ISBLANK(Refsz_Verbräuche[[#This Row],[2021]]),"",Refsz_Verbräuche[[#This Row],[2021]])</f>
        <v/>
      </c>
      <c r="M93" s="57" t="str">
        <f>IF(Klisz_Verbräuche[[#Headers],[2022]]=$B$57,IF(COUNTIF($F93:Klisz_Verbräuche[[#This Row],[2021]],"&gt;0")&gt;0, AVERAGEIF($F93:Klisz_Verbräuche[[#This Row],[2021]],"&lt;&gt;"), ""),IF($B$57&lt;Klisz_Verbräuche[[#Headers],[2022]],IF(COUNTIF($F93:Klisz_Verbräuche[[#This Row],[2021]],"&gt;0")&gt;0,IF(COUNTIF($F93:Klisz_Verbräuche[[#This Row],[2021]],"&gt;0")&gt;0,Klisz_Verbräuche[[#This Row],[2021]]*(1-$E93)^1, ""), ""),IF($B$57&gt;Klisz_Verbräuche[[#Headers],[2022]],Refsz_Verbräuche[[#This Row],[2022]],"")))</f>
        <v/>
      </c>
      <c r="N93" s="57" t="str">
        <f>IF(Klisz_Verbräuche[[#Headers],[2023]]=$B$57,IF(COUNTIF($F93:Klisz_Verbräuche[[#This Row],[2022]],"&gt;0")&gt;0, AVERAGEIF($F93:Klisz_Verbräuche[[#This Row],[2022]],"&lt;&gt;"), ""),IF($B$57&lt;Klisz_Verbräuche[[#Headers],[2023]],IF(COUNTIF($F93:Klisz_Verbräuche[[#This Row],[2022]],"&gt;0")&gt;0,IF(COUNTIF($F93:Klisz_Verbräuche[[#This Row],[2022]],"&gt;0")&gt;0,Klisz_Verbräuche[[#This Row],[2022]]*(1-$E93)^1, ""), ""),IF($B$57&gt;Klisz_Verbräuche[[#Headers],[2023]],Refsz_Verbräuche[[#This Row],[2023]],"")))</f>
        <v/>
      </c>
      <c r="O93" s="57" t="str">
        <f>IF(Klisz_Verbräuche[[#Headers],[2024]]=$B$57,IF(COUNTIF($F93:Klisz_Verbräuche[[#This Row],[2023]],"&gt;0")&gt;0, AVERAGEIF($F93:Klisz_Verbräuche[[#This Row],[2023]],"&lt;&gt;"), ""),IF($B$57&lt;Klisz_Verbräuche[[#Headers],[2024]],IF(COUNTIF($F93:Klisz_Verbräuche[[#This Row],[2023]],"&gt;0")&gt;0,IF(COUNTIF($F93:Klisz_Verbräuche[[#This Row],[2023]],"&gt;0")&gt;0,Klisz_Verbräuche[[#This Row],[2023]]*(1-$E93)^1, ""), ""),IF($B$57&gt;Klisz_Verbräuche[[#Headers],[2024]],Refsz_Verbräuche[[#This Row],[2024]],"")))</f>
        <v/>
      </c>
      <c r="P93" s="57" t="str">
        <f>IF(Klisz_Verbräuche[[#Headers],[2025]]=$B$57,IF(COUNTIF($F93:Klisz_Verbräuche[[#This Row],[2024]],"&gt;0")&gt;0, AVERAGEIF($F93:Klisz_Verbräuche[[#This Row],[2024]],"&lt;&gt;"), ""),IF($B$57&lt;Klisz_Verbräuche[[#Headers],[2025]],IF(COUNTIF($F93:Klisz_Verbräuche[[#This Row],[2024]],"&gt;0")&gt;0,IF(COUNTIF($F93:Klisz_Verbräuche[[#This Row],[2024]],"&gt;0")&gt;0,Klisz_Verbräuche[[#This Row],[2024]]*(1-$E93)^1, ""), ""),IF($B$57&gt;Klisz_Verbräuche[[#Headers],[2025]],Refsz_Verbräuche[[#This Row],[2025]],"")))</f>
        <v/>
      </c>
      <c r="Q93" s="57" t="str">
        <f>IF(Klisz_Verbräuche[[#Headers],[2026]]=$B$57,IF(COUNTIF($F93:Klisz_Verbräuche[[#This Row],[2025]],"&gt;0")&gt;0, AVERAGEIF($F93:Klisz_Verbräuche[[#This Row],[2025]],"&lt;&gt;"), ""),IF($B$57&lt;Klisz_Verbräuche[[#Headers],[2026]],IF(COUNTIF($F93:Klisz_Verbräuche[[#This Row],[2025]],"&gt;0")&gt;0,IF(COUNTIF($F93:Klisz_Verbräuche[[#This Row],[2025]],"&gt;0")&gt;0,Klisz_Verbräuche[[#This Row],[2025]]*(1-$E93)^1, ""), ""),IF($B$57&gt;Klisz_Verbräuche[[#Headers],[2026]],Refsz_Verbräuche[[#This Row],[2026]],"")))</f>
        <v/>
      </c>
      <c r="R93" s="57" t="str">
        <f>IF(Klisz_Verbräuche[[#Headers],[2027]]=$B$57,IF(COUNTIF($F93:Klisz_Verbräuche[[#This Row],[2026]],"&gt;0")&gt;0, AVERAGEIF($F93:Klisz_Verbräuche[[#This Row],[2026]],"&lt;&gt;"), ""),IF($B$57&lt;Klisz_Verbräuche[[#Headers],[2027]],IF(COUNTIF($F93:Klisz_Verbräuche[[#This Row],[2026]],"&gt;0")&gt;0,IF(COUNTIF($F93:Klisz_Verbräuche[[#This Row],[2026]],"&gt;0")&gt;0,Klisz_Verbräuche[[#This Row],[2026]]*(1-$E93)^1, ""), ""),IF($B$57&gt;Klisz_Verbräuche[[#Headers],[2027]],Refsz_Verbräuche[[#This Row],[2027]],"")))</f>
        <v/>
      </c>
      <c r="S93" s="57" t="str">
        <f>IF(Klisz_Verbräuche[[#Headers],[2028]]=$B$57,IF(COUNTIF($F93:Klisz_Verbräuche[[#This Row],[2027]],"&gt;0")&gt;0, AVERAGEIF($F93:Klisz_Verbräuche[[#This Row],[2027]],"&lt;&gt;"), ""),IF($B$57&lt;Klisz_Verbräuche[[#Headers],[2028]],IF(COUNTIF($F93:Klisz_Verbräuche[[#This Row],[2027]],"&gt;0")&gt;0,IF(COUNTIF($F93:Klisz_Verbräuche[[#This Row],[2027]],"&gt;0")&gt;0,Klisz_Verbräuche[[#This Row],[2027]]*(1-$E93)^1, ""), ""),IF($B$57&gt;Klisz_Verbräuche[[#Headers],[2028]],Refsz_Verbräuche[[#This Row],[2028]],"")))</f>
        <v/>
      </c>
      <c r="T93" s="57" t="str">
        <f>IF(Klisz_Verbräuche[[#Headers],[2029]]=$B$57,IF(COUNTIF($F93:Klisz_Verbräuche[[#This Row],[2028]],"&gt;0")&gt;0, AVERAGEIF($F93:Klisz_Verbräuche[[#This Row],[2028]],"&lt;&gt;"), ""),IF($B$57&lt;Klisz_Verbräuche[[#Headers],[2029]],IF(COUNTIF($F93:Klisz_Verbräuche[[#This Row],[2028]],"&gt;0")&gt;0,IF(COUNTIF($F93:Klisz_Verbräuche[[#This Row],[2028]],"&gt;0")&gt;0,Klisz_Verbräuche[[#This Row],[2028]]*(1-$E93)^1, ""), ""),IF($B$57&gt;Klisz_Verbräuche[[#Headers],[2029]],Refsz_Verbräuche[[#This Row],[2029]],"")))</f>
        <v/>
      </c>
      <c r="U93" s="57" t="str">
        <f>IF(Klisz_Verbräuche[[#Headers],[2030]]=$B$57,IF(COUNTIF($F93:Klisz_Verbräuche[[#This Row],[2029]],"&gt;0")&gt;0, AVERAGEIF($F93:Klisz_Verbräuche[[#This Row],[2029]],"&lt;&gt;"), ""),IF($B$57&lt;Klisz_Verbräuche[[#Headers],[2030]],IF(COUNTIF($F93:Klisz_Verbräuche[[#This Row],[2029]],"&gt;0")&gt;0,IF(COUNTIF($F93:Klisz_Verbräuche[[#This Row],[2029]],"&gt;0")&gt;0,Klisz_Verbräuche[[#This Row],[2029]]*(1-$E93)^1, ""), ""),IF($B$57&gt;Klisz_Verbräuche[[#Headers],[2030]],Refsz_Verbräuche[[#This Row],[2030]],"")))</f>
        <v/>
      </c>
      <c r="V93" s="57" t="str">
        <f>IF(Klisz_Verbräuche[[#Headers],[2035]]=$B$57,IF(COUNTIF($F93:Klisz_Verbräuche[[#This Row],[2030]],"&gt;0")&gt;0, AVERAGEIF($F93:Klisz_Verbräuche[[#This Row],[2030]],"&lt;&gt;"), ""),IF($B$57&lt;Klisz_Verbräuche[[#Headers],[2035]],IF(COUNTIF($F93:Klisz_Verbräuche[[#This Row],[2030]],"&gt;0")&gt;0,IF(COUNTIF($F93:Klisz_Verbräuche[[#This Row],[2030]],"&gt;0")&gt;0,Klisz_Verbräuche[[#This Row],[2030]]*(1-$E93)^5, ""), ""),IF($B$57&gt;Klisz_Verbräuche[[#Headers],[2035]],Refsz_Verbräuche[[#This Row],[2035]],"")))</f>
        <v/>
      </c>
      <c r="W93" s="57" t="str">
        <f>IF(Klisz_Verbräuche[[#Headers],[2040]]=$B$57,IF(COUNTIF($F93:Klisz_Verbräuche[[#This Row],[2035]],"&gt;0")&gt;0, AVERAGEIF($F93:Klisz_Verbräuche[[#This Row],[2035]],"&lt;&gt;"), ""),IF($B$57&lt;Klisz_Verbräuche[[#Headers],[2040]],IF(COUNTIF($F93:Klisz_Verbräuche[[#This Row],[2035]],"&gt;0")&gt;0,IF(COUNTIF($F93:Klisz_Verbräuche[[#This Row],[2035]],"&gt;0")&gt;0,Klisz_Verbräuche[[#This Row],[2035]]*(1-$E93)^5, ""), ""),IF($B$57&gt;Klisz_Verbräuche[[#Headers],[2040]],Refsz_Verbräuche[[#This Row],[2040]],"")))</f>
        <v/>
      </c>
      <c r="X93" s="57" t="str">
        <f>IF(Klisz_Verbräuche[[#Headers],[2045]]=$B$57,IF(COUNTIF($F93:Klisz_Verbräuche[[#This Row],[2040]],"&gt;0")&gt;0, AVERAGEIF($F93:Klisz_Verbräuche[[#This Row],[2040]],"&lt;&gt;"), ""),IF($B$57&lt;Klisz_Verbräuche[[#Headers],[2045]],IF(COUNTIF($F93:Klisz_Verbräuche[[#This Row],[2040]],"&gt;0")&gt;0,IF(COUNTIF($F93:Klisz_Verbräuche[[#This Row],[2040]],"&gt;0")&gt;0,Klisz_Verbräuche[[#This Row],[2040]]*(1-$E93)^5, ""), ""),IF($B$57&gt;Klisz_Verbräuche[[#Headers],[2045]],Refsz_Verbräuche[[#This Row],[2045]],"")))</f>
        <v/>
      </c>
      <c r="Y93" s="57" t="str">
        <f>IF(Klisz_Verbräuche[[#Headers],[2050]]=$B$57,IF(COUNTIF($F93:Klisz_Verbräuche[[#This Row],[2045]],"&gt;0")&gt;0, AVERAGEIF($F93:Klisz_Verbräuche[[#This Row],[2045]],"&lt;&gt;"), ""),IF($B$57&lt;Klisz_Verbräuche[[#Headers],[2050]],IF(COUNTIF($F93:Klisz_Verbräuche[[#This Row],[2045]],"&gt;0")&gt;0,IF(COUNTIF($F93:Klisz_Verbräuche[[#This Row],[2045]],"&gt;0")&gt;0,Klisz_Verbräuche[[#This Row],[2045]]*(1-$E93)^5, ""), ""),IF($B$57&gt;Klisz_Verbräuche[[#Headers],[2050]],Refsz_Verbräuche[[#This Row],[2050]],"")))</f>
        <v/>
      </c>
      <c r="Z93" s="15"/>
    </row>
    <row r="94" spans="2:26" x14ac:dyDescent="0.35">
      <c r="B94" s="15">
        <v>34</v>
      </c>
      <c r="C94" s="54" t="str">
        <f>Refsz_Verbräuche[[#This Row],[Datenpunkt]]</f>
        <v>Fuhrpark (Wasserstoff/ FCEV)</v>
      </c>
      <c r="D94" s="29" t="str">
        <f>Refsz_Verbräuche[[#This Row],[Einheit]]</f>
        <v>Fkm</v>
      </c>
      <c r="E94" s="122"/>
      <c r="F94" s="15" t="str">
        <f>IF(ISBLANK(Refsz_Verbräuche[[#This Row],[2015]]),"",Refsz_Verbräuche[[#This Row],[2015]])</f>
        <v/>
      </c>
      <c r="G94" s="15" t="str">
        <f>IF(ISBLANK(Refsz_Verbräuche[[#This Row],[2016]]),"",Refsz_Verbräuche[[#This Row],[2016]])</f>
        <v/>
      </c>
      <c r="H94" s="15" t="str">
        <f>IF(ISBLANK(Refsz_Verbräuche[[#This Row],[2017]]),"",Refsz_Verbräuche[[#This Row],[2017]])</f>
        <v/>
      </c>
      <c r="I94" s="15" t="str">
        <f>IF(ISBLANK(Refsz_Verbräuche[[#This Row],[2018]]),"",Refsz_Verbräuche[[#This Row],[2018]])</f>
        <v/>
      </c>
      <c r="J94" s="15" t="str">
        <f>IF(ISBLANK(Refsz_Verbräuche[[#This Row],[2019]]),"",Refsz_Verbräuche[[#This Row],[2019]])</f>
        <v/>
      </c>
      <c r="K94" s="15" t="str">
        <f>IF(ISBLANK(Refsz_Verbräuche[[#This Row],[2020]]),"",Refsz_Verbräuche[[#This Row],[2020]])</f>
        <v/>
      </c>
      <c r="L94" s="15" t="str">
        <f>IF(ISBLANK(Refsz_Verbräuche[[#This Row],[2021]]),"",Refsz_Verbräuche[[#This Row],[2021]])</f>
        <v/>
      </c>
      <c r="M94" s="57" t="str">
        <f>IF(Klisz_Verbräuche[[#Headers],[2022]]=$B$57,IF(COUNTIF($F94:Klisz_Verbräuche[[#This Row],[2021]],"&gt;0")&gt;0, AVERAGEIF($F94:Klisz_Verbräuche[[#This Row],[2021]],"&lt;&gt;"), ""),IF($B$57&lt;Klisz_Verbräuche[[#Headers],[2022]],IF(COUNTIF($F94:Klisz_Verbräuche[[#This Row],[2021]],"&gt;0")&gt;0,IF(COUNTIF($F94:Klisz_Verbräuche[[#This Row],[2021]],"&gt;0")&gt;0,Klisz_Verbräuche[[#This Row],[2021]]*(1-$E94)^1, ""), ""),IF($B$57&gt;Klisz_Verbräuche[[#Headers],[2022]],Refsz_Verbräuche[[#This Row],[2022]],"")))</f>
        <v/>
      </c>
      <c r="N94" s="57" t="str">
        <f>IF(Klisz_Verbräuche[[#Headers],[2023]]=$B$57,IF(COUNTIF($F94:Klisz_Verbräuche[[#This Row],[2022]],"&gt;0")&gt;0, AVERAGEIF($F94:Klisz_Verbräuche[[#This Row],[2022]],"&lt;&gt;"), ""),IF($B$57&lt;Klisz_Verbräuche[[#Headers],[2023]],IF(COUNTIF($F94:Klisz_Verbräuche[[#This Row],[2022]],"&gt;0")&gt;0,IF(COUNTIF($F94:Klisz_Verbräuche[[#This Row],[2022]],"&gt;0")&gt;0,Klisz_Verbräuche[[#This Row],[2022]]*(1-$E94)^1, ""), ""),IF($B$57&gt;Klisz_Verbräuche[[#Headers],[2023]],Refsz_Verbräuche[[#This Row],[2023]],"")))</f>
        <v/>
      </c>
      <c r="O94" s="57" t="str">
        <f>IF(Klisz_Verbräuche[[#Headers],[2024]]=$B$57,IF(COUNTIF($F94:Klisz_Verbräuche[[#This Row],[2023]],"&gt;0")&gt;0, AVERAGEIF($F94:Klisz_Verbräuche[[#This Row],[2023]],"&lt;&gt;"), ""),IF($B$57&lt;Klisz_Verbräuche[[#Headers],[2024]],IF(COUNTIF($F94:Klisz_Verbräuche[[#This Row],[2023]],"&gt;0")&gt;0,IF(COUNTIF($F94:Klisz_Verbräuche[[#This Row],[2023]],"&gt;0")&gt;0,Klisz_Verbräuche[[#This Row],[2023]]*(1-$E94)^1, ""), ""),IF($B$57&gt;Klisz_Verbräuche[[#Headers],[2024]],Refsz_Verbräuche[[#This Row],[2024]],"")))</f>
        <v/>
      </c>
      <c r="P94" s="57" t="str">
        <f>IF(Klisz_Verbräuche[[#Headers],[2025]]=$B$57,IF(COUNTIF($F94:Klisz_Verbräuche[[#This Row],[2024]],"&gt;0")&gt;0, AVERAGEIF($F94:Klisz_Verbräuche[[#This Row],[2024]],"&lt;&gt;"), ""),IF($B$57&lt;Klisz_Verbräuche[[#Headers],[2025]],IF(COUNTIF($F94:Klisz_Verbräuche[[#This Row],[2024]],"&gt;0")&gt;0,IF(COUNTIF($F94:Klisz_Verbräuche[[#This Row],[2024]],"&gt;0")&gt;0,Klisz_Verbräuche[[#This Row],[2024]]*(1-$E94)^1, ""), ""),IF($B$57&gt;Klisz_Verbräuche[[#Headers],[2025]],Refsz_Verbräuche[[#This Row],[2025]],"")))</f>
        <v/>
      </c>
      <c r="Q94" s="57" t="str">
        <f>IF(Klisz_Verbräuche[[#Headers],[2026]]=$B$57,IF(COUNTIF($F94:Klisz_Verbräuche[[#This Row],[2025]],"&gt;0")&gt;0, AVERAGEIF($F94:Klisz_Verbräuche[[#This Row],[2025]],"&lt;&gt;"), ""),IF($B$57&lt;Klisz_Verbräuche[[#Headers],[2026]],IF(COUNTIF($F94:Klisz_Verbräuche[[#This Row],[2025]],"&gt;0")&gt;0,IF(COUNTIF($F94:Klisz_Verbräuche[[#This Row],[2025]],"&gt;0")&gt;0,Klisz_Verbräuche[[#This Row],[2025]]*(1-$E94)^1, ""), ""),IF($B$57&gt;Klisz_Verbräuche[[#Headers],[2026]],Refsz_Verbräuche[[#This Row],[2026]],"")))</f>
        <v/>
      </c>
      <c r="R94" s="57" t="str">
        <f>IF(Klisz_Verbräuche[[#Headers],[2027]]=$B$57,IF(COUNTIF($F94:Klisz_Verbräuche[[#This Row],[2026]],"&gt;0")&gt;0, AVERAGEIF($F94:Klisz_Verbräuche[[#This Row],[2026]],"&lt;&gt;"), ""),IF($B$57&lt;Klisz_Verbräuche[[#Headers],[2027]],IF(COUNTIF($F94:Klisz_Verbräuche[[#This Row],[2026]],"&gt;0")&gt;0,IF(COUNTIF($F94:Klisz_Verbräuche[[#This Row],[2026]],"&gt;0")&gt;0,Klisz_Verbräuche[[#This Row],[2026]]*(1-$E94)^1, ""), ""),IF($B$57&gt;Klisz_Verbräuche[[#Headers],[2027]],Refsz_Verbräuche[[#This Row],[2027]],"")))</f>
        <v/>
      </c>
      <c r="S94" s="57" t="str">
        <f>IF(Klisz_Verbräuche[[#Headers],[2028]]=$B$57,IF(COUNTIF($F94:Klisz_Verbräuche[[#This Row],[2027]],"&gt;0")&gt;0, AVERAGEIF($F94:Klisz_Verbräuche[[#This Row],[2027]],"&lt;&gt;"), ""),IF($B$57&lt;Klisz_Verbräuche[[#Headers],[2028]],IF(COUNTIF($F94:Klisz_Verbräuche[[#This Row],[2027]],"&gt;0")&gt;0,IF(COUNTIF($F94:Klisz_Verbräuche[[#This Row],[2027]],"&gt;0")&gt;0,Klisz_Verbräuche[[#This Row],[2027]]*(1-$E94)^1, ""), ""),IF($B$57&gt;Klisz_Verbräuche[[#Headers],[2028]],Refsz_Verbräuche[[#This Row],[2028]],"")))</f>
        <v/>
      </c>
      <c r="T94" s="57" t="str">
        <f>IF(Klisz_Verbräuche[[#Headers],[2029]]=$B$57,IF(COUNTIF($F94:Klisz_Verbräuche[[#This Row],[2028]],"&gt;0")&gt;0, AVERAGEIF($F94:Klisz_Verbräuche[[#This Row],[2028]],"&lt;&gt;"), ""),IF($B$57&lt;Klisz_Verbräuche[[#Headers],[2029]],IF(COUNTIF($F94:Klisz_Verbräuche[[#This Row],[2028]],"&gt;0")&gt;0,IF(COUNTIF($F94:Klisz_Verbräuche[[#This Row],[2028]],"&gt;0")&gt;0,Klisz_Verbräuche[[#This Row],[2028]]*(1-$E94)^1, ""), ""),IF($B$57&gt;Klisz_Verbräuche[[#Headers],[2029]],Refsz_Verbräuche[[#This Row],[2029]],"")))</f>
        <v/>
      </c>
      <c r="U94" s="57" t="str">
        <f>IF(Klisz_Verbräuche[[#Headers],[2030]]=$B$57,IF(COUNTIF($F94:Klisz_Verbräuche[[#This Row],[2029]],"&gt;0")&gt;0, AVERAGEIF($F94:Klisz_Verbräuche[[#This Row],[2029]],"&lt;&gt;"), ""),IF($B$57&lt;Klisz_Verbräuche[[#Headers],[2030]],IF(COUNTIF($F94:Klisz_Verbräuche[[#This Row],[2029]],"&gt;0")&gt;0,IF(COUNTIF($F94:Klisz_Verbräuche[[#This Row],[2029]],"&gt;0")&gt;0,Klisz_Verbräuche[[#This Row],[2029]]*(1-$E94)^1, ""), ""),IF($B$57&gt;Klisz_Verbräuche[[#Headers],[2030]],Refsz_Verbräuche[[#This Row],[2030]],"")))</f>
        <v/>
      </c>
      <c r="V94" s="57" t="str">
        <f>IF(Klisz_Verbräuche[[#Headers],[2035]]=$B$57,IF(COUNTIF($F94:Klisz_Verbräuche[[#This Row],[2030]],"&gt;0")&gt;0, AVERAGEIF($F94:Klisz_Verbräuche[[#This Row],[2030]],"&lt;&gt;"), ""),IF($B$57&lt;Klisz_Verbräuche[[#Headers],[2035]],IF(COUNTIF($F94:Klisz_Verbräuche[[#This Row],[2030]],"&gt;0")&gt;0,IF(COUNTIF($F94:Klisz_Verbräuche[[#This Row],[2030]],"&gt;0")&gt;0,Klisz_Verbräuche[[#This Row],[2030]]*(1-$E94)^5, ""), ""),IF($B$57&gt;Klisz_Verbräuche[[#Headers],[2035]],Refsz_Verbräuche[[#This Row],[2035]],"")))</f>
        <v/>
      </c>
      <c r="W94" s="57" t="str">
        <f>IF(Klisz_Verbräuche[[#Headers],[2040]]=$B$57,IF(COUNTIF($F94:Klisz_Verbräuche[[#This Row],[2035]],"&gt;0")&gt;0, AVERAGEIF($F94:Klisz_Verbräuche[[#This Row],[2035]],"&lt;&gt;"), ""),IF($B$57&lt;Klisz_Verbräuche[[#Headers],[2040]],IF(COUNTIF($F94:Klisz_Verbräuche[[#This Row],[2035]],"&gt;0")&gt;0,IF(COUNTIF($F94:Klisz_Verbräuche[[#This Row],[2035]],"&gt;0")&gt;0,Klisz_Verbräuche[[#This Row],[2035]]*(1-$E94)^5, ""), ""),IF($B$57&gt;Klisz_Verbräuche[[#Headers],[2040]],Refsz_Verbräuche[[#This Row],[2040]],"")))</f>
        <v/>
      </c>
      <c r="X94" s="57" t="str">
        <f>IF(Klisz_Verbräuche[[#Headers],[2045]]=$B$57,IF(COUNTIF($F94:Klisz_Verbräuche[[#This Row],[2040]],"&gt;0")&gt;0, AVERAGEIF($F94:Klisz_Verbräuche[[#This Row],[2040]],"&lt;&gt;"), ""),IF($B$57&lt;Klisz_Verbräuche[[#Headers],[2045]],IF(COUNTIF($F94:Klisz_Verbräuche[[#This Row],[2040]],"&gt;0")&gt;0,IF(COUNTIF($F94:Klisz_Verbräuche[[#This Row],[2040]],"&gt;0")&gt;0,Klisz_Verbräuche[[#This Row],[2040]]*(1-$E94)^5, ""), ""),IF($B$57&gt;Klisz_Verbräuche[[#Headers],[2045]],Refsz_Verbräuche[[#This Row],[2045]],"")))</f>
        <v/>
      </c>
      <c r="Y94" s="57" t="str">
        <f>IF(Klisz_Verbräuche[[#Headers],[2050]]=$B$57,IF(COUNTIF($F94:Klisz_Verbräuche[[#This Row],[2045]],"&gt;0")&gt;0, AVERAGEIF($F94:Klisz_Verbräuche[[#This Row],[2045]],"&lt;&gt;"), ""),IF($B$57&lt;Klisz_Verbräuche[[#Headers],[2050]],IF(COUNTIF($F94:Klisz_Verbräuche[[#This Row],[2045]],"&gt;0")&gt;0,IF(COUNTIF($F94:Klisz_Verbräuche[[#This Row],[2045]],"&gt;0")&gt;0,Klisz_Verbräuche[[#This Row],[2045]]*(1-$E94)^5, ""), ""),IF($B$57&gt;Klisz_Verbräuche[[#Headers],[2050]],Refsz_Verbräuche[[#This Row],[2050]],"")))</f>
        <v/>
      </c>
      <c r="Z94" s="15"/>
    </row>
    <row r="95" spans="2:26" x14ac:dyDescent="0.35">
      <c r="B95" s="15">
        <v>35</v>
      </c>
      <c r="C95" s="54" t="str">
        <f>Refsz_Verbräuche[[#This Row],[Datenpunkt]]</f>
        <v>Fuhrpark (CNG)</v>
      </c>
      <c r="D95" s="29" t="str">
        <f>Refsz_Verbräuche[[#This Row],[Einheit]]</f>
        <v>Fkm</v>
      </c>
      <c r="E95" s="122"/>
      <c r="F95" s="15" t="str">
        <f>IF(ISBLANK(Refsz_Verbräuche[[#This Row],[2015]]),"",Refsz_Verbräuche[[#This Row],[2015]])</f>
        <v/>
      </c>
      <c r="G95" s="15" t="str">
        <f>IF(ISBLANK(Refsz_Verbräuche[[#This Row],[2016]]),"",Refsz_Verbräuche[[#This Row],[2016]])</f>
        <v/>
      </c>
      <c r="H95" s="15" t="str">
        <f>IF(ISBLANK(Refsz_Verbräuche[[#This Row],[2017]]),"",Refsz_Verbräuche[[#This Row],[2017]])</f>
        <v/>
      </c>
      <c r="I95" s="15" t="str">
        <f>IF(ISBLANK(Refsz_Verbräuche[[#This Row],[2018]]),"",Refsz_Verbräuche[[#This Row],[2018]])</f>
        <v/>
      </c>
      <c r="J95" s="15" t="str">
        <f>IF(ISBLANK(Refsz_Verbräuche[[#This Row],[2019]]),"",Refsz_Verbräuche[[#This Row],[2019]])</f>
        <v/>
      </c>
      <c r="K95" s="15" t="str">
        <f>IF(ISBLANK(Refsz_Verbräuche[[#This Row],[2020]]),"",Refsz_Verbräuche[[#This Row],[2020]])</f>
        <v/>
      </c>
      <c r="L95" s="15" t="str">
        <f>IF(ISBLANK(Refsz_Verbräuche[[#This Row],[2021]]),"",Refsz_Verbräuche[[#This Row],[2021]])</f>
        <v/>
      </c>
      <c r="M95" s="57" t="str">
        <f>IF(Klisz_Verbräuche[[#Headers],[2022]]=$B$57,IF(COUNTIF($F95:Klisz_Verbräuche[[#This Row],[2021]],"&gt;0")&gt;0, AVERAGEIF($F95:Klisz_Verbräuche[[#This Row],[2021]],"&lt;&gt;"), ""),IF($B$57&lt;Klisz_Verbräuche[[#Headers],[2022]],IF(COUNTIF($F95:Klisz_Verbräuche[[#This Row],[2021]],"&gt;0")&gt;0,IF(COUNTIF($F95:Klisz_Verbräuche[[#This Row],[2021]],"&gt;0")&gt;0,Klisz_Verbräuche[[#This Row],[2021]]*(1-$E95)^1, ""), ""),IF($B$57&gt;Klisz_Verbräuche[[#Headers],[2022]],Refsz_Verbräuche[[#This Row],[2022]],"")))</f>
        <v/>
      </c>
      <c r="N95" s="57" t="str">
        <f>IF(Klisz_Verbräuche[[#Headers],[2023]]=$B$57,IF(COUNTIF($F95:Klisz_Verbräuche[[#This Row],[2022]],"&gt;0")&gt;0, AVERAGEIF($F95:Klisz_Verbräuche[[#This Row],[2022]],"&lt;&gt;"), ""),IF($B$57&lt;Klisz_Verbräuche[[#Headers],[2023]],IF(COUNTIF($F95:Klisz_Verbräuche[[#This Row],[2022]],"&gt;0")&gt;0,IF(COUNTIF($F95:Klisz_Verbräuche[[#This Row],[2022]],"&gt;0")&gt;0,Klisz_Verbräuche[[#This Row],[2022]]*(1-$E95)^1, ""), ""),IF($B$57&gt;Klisz_Verbräuche[[#Headers],[2023]],Refsz_Verbräuche[[#This Row],[2023]],"")))</f>
        <v/>
      </c>
      <c r="O95" s="57" t="str">
        <f>IF(Klisz_Verbräuche[[#Headers],[2024]]=$B$57,IF(COUNTIF($F95:Klisz_Verbräuche[[#This Row],[2023]],"&gt;0")&gt;0, AVERAGEIF($F95:Klisz_Verbräuche[[#This Row],[2023]],"&lt;&gt;"), ""),IF($B$57&lt;Klisz_Verbräuche[[#Headers],[2024]],IF(COUNTIF($F95:Klisz_Verbräuche[[#This Row],[2023]],"&gt;0")&gt;0,IF(COUNTIF($F95:Klisz_Verbräuche[[#This Row],[2023]],"&gt;0")&gt;0,Klisz_Verbräuche[[#This Row],[2023]]*(1-$E95)^1, ""), ""),IF($B$57&gt;Klisz_Verbräuche[[#Headers],[2024]],Refsz_Verbräuche[[#This Row],[2024]],"")))</f>
        <v/>
      </c>
      <c r="P95" s="57" t="str">
        <f>IF(Klisz_Verbräuche[[#Headers],[2025]]=$B$57,IF(COUNTIF($F95:Klisz_Verbräuche[[#This Row],[2024]],"&gt;0")&gt;0, AVERAGEIF($F95:Klisz_Verbräuche[[#This Row],[2024]],"&lt;&gt;"), ""),IF($B$57&lt;Klisz_Verbräuche[[#Headers],[2025]],IF(COUNTIF($F95:Klisz_Verbräuche[[#This Row],[2024]],"&gt;0")&gt;0,IF(COUNTIF($F95:Klisz_Verbräuche[[#This Row],[2024]],"&gt;0")&gt;0,Klisz_Verbräuche[[#This Row],[2024]]*(1-$E95)^1, ""), ""),IF($B$57&gt;Klisz_Verbräuche[[#Headers],[2025]],Refsz_Verbräuche[[#This Row],[2025]],"")))</f>
        <v/>
      </c>
      <c r="Q95" s="57" t="str">
        <f>IF(Klisz_Verbräuche[[#Headers],[2026]]=$B$57,IF(COUNTIF($F95:Klisz_Verbräuche[[#This Row],[2025]],"&gt;0")&gt;0, AVERAGEIF($F95:Klisz_Verbräuche[[#This Row],[2025]],"&lt;&gt;"), ""),IF($B$57&lt;Klisz_Verbräuche[[#Headers],[2026]],IF(COUNTIF($F95:Klisz_Verbräuche[[#This Row],[2025]],"&gt;0")&gt;0,IF(COUNTIF($F95:Klisz_Verbräuche[[#This Row],[2025]],"&gt;0")&gt;0,Klisz_Verbräuche[[#This Row],[2025]]*(1-$E95)^1, ""), ""),IF($B$57&gt;Klisz_Verbräuche[[#Headers],[2026]],Refsz_Verbräuche[[#This Row],[2026]],"")))</f>
        <v/>
      </c>
      <c r="R95" s="57" t="str">
        <f>IF(Klisz_Verbräuche[[#Headers],[2027]]=$B$57,IF(COUNTIF($F95:Klisz_Verbräuche[[#This Row],[2026]],"&gt;0")&gt;0, AVERAGEIF($F95:Klisz_Verbräuche[[#This Row],[2026]],"&lt;&gt;"), ""),IF($B$57&lt;Klisz_Verbräuche[[#Headers],[2027]],IF(COUNTIF($F95:Klisz_Verbräuche[[#This Row],[2026]],"&gt;0")&gt;0,IF(COUNTIF($F95:Klisz_Verbräuche[[#This Row],[2026]],"&gt;0")&gt;0,Klisz_Verbräuche[[#This Row],[2026]]*(1-$E95)^1, ""), ""),IF($B$57&gt;Klisz_Verbräuche[[#Headers],[2027]],Refsz_Verbräuche[[#This Row],[2027]],"")))</f>
        <v/>
      </c>
      <c r="S95" s="57" t="str">
        <f>IF(Klisz_Verbräuche[[#Headers],[2028]]=$B$57,IF(COUNTIF($F95:Klisz_Verbräuche[[#This Row],[2027]],"&gt;0")&gt;0, AVERAGEIF($F95:Klisz_Verbräuche[[#This Row],[2027]],"&lt;&gt;"), ""),IF($B$57&lt;Klisz_Verbräuche[[#Headers],[2028]],IF(COUNTIF($F95:Klisz_Verbräuche[[#This Row],[2027]],"&gt;0")&gt;0,IF(COUNTIF($F95:Klisz_Verbräuche[[#This Row],[2027]],"&gt;0")&gt;0,Klisz_Verbräuche[[#This Row],[2027]]*(1-$E95)^1, ""), ""),IF($B$57&gt;Klisz_Verbräuche[[#Headers],[2028]],Refsz_Verbräuche[[#This Row],[2028]],"")))</f>
        <v/>
      </c>
      <c r="T95" s="57" t="str">
        <f>IF(Klisz_Verbräuche[[#Headers],[2029]]=$B$57,IF(COUNTIF($F95:Klisz_Verbräuche[[#This Row],[2028]],"&gt;0")&gt;0, AVERAGEIF($F95:Klisz_Verbräuche[[#This Row],[2028]],"&lt;&gt;"), ""),IF($B$57&lt;Klisz_Verbräuche[[#Headers],[2029]],IF(COUNTIF($F95:Klisz_Verbräuche[[#This Row],[2028]],"&gt;0")&gt;0,IF(COUNTIF($F95:Klisz_Verbräuche[[#This Row],[2028]],"&gt;0")&gt;0,Klisz_Verbräuche[[#This Row],[2028]]*(1-$E95)^1, ""), ""),IF($B$57&gt;Klisz_Verbräuche[[#Headers],[2029]],Refsz_Verbräuche[[#This Row],[2029]],"")))</f>
        <v/>
      </c>
      <c r="U95" s="57" t="str">
        <f>IF(Klisz_Verbräuche[[#Headers],[2030]]=$B$57,IF(COUNTIF($F95:Klisz_Verbräuche[[#This Row],[2029]],"&gt;0")&gt;0, AVERAGEIF($F95:Klisz_Verbräuche[[#This Row],[2029]],"&lt;&gt;"), ""),IF($B$57&lt;Klisz_Verbräuche[[#Headers],[2030]],IF(COUNTIF($F95:Klisz_Verbräuche[[#This Row],[2029]],"&gt;0")&gt;0,IF(COUNTIF($F95:Klisz_Verbräuche[[#This Row],[2029]],"&gt;0")&gt;0,Klisz_Verbräuche[[#This Row],[2029]]*(1-$E95)^1, ""), ""),IF($B$57&gt;Klisz_Verbräuche[[#Headers],[2030]],Refsz_Verbräuche[[#This Row],[2030]],"")))</f>
        <v/>
      </c>
      <c r="V95" s="57" t="str">
        <f>IF(Klisz_Verbräuche[[#Headers],[2035]]=$B$57,IF(COUNTIF($F95:Klisz_Verbräuche[[#This Row],[2030]],"&gt;0")&gt;0, AVERAGEIF($F95:Klisz_Verbräuche[[#This Row],[2030]],"&lt;&gt;"), ""),IF($B$57&lt;Klisz_Verbräuche[[#Headers],[2035]],IF(COUNTIF($F95:Klisz_Verbräuche[[#This Row],[2030]],"&gt;0")&gt;0,IF(COUNTIF($F95:Klisz_Verbräuche[[#This Row],[2030]],"&gt;0")&gt;0,Klisz_Verbräuche[[#This Row],[2030]]*(1-$E95)^5, ""), ""),IF($B$57&gt;Klisz_Verbräuche[[#Headers],[2035]],Refsz_Verbräuche[[#This Row],[2035]],"")))</f>
        <v/>
      </c>
      <c r="W95" s="57" t="str">
        <f>IF(Klisz_Verbräuche[[#Headers],[2040]]=$B$57,IF(COUNTIF($F95:Klisz_Verbräuche[[#This Row],[2035]],"&gt;0")&gt;0, AVERAGEIF($F95:Klisz_Verbräuche[[#This Row],[2035]],"&lt;&gt;"), ""),IF($B$57&lt;Klisz_Verbräuche[[#Headers],[2040]],IF(COUNTIF($F95:Klisz_Verbräuche[[#This Row],[2035]],"&gt;0")&gt;0,IF(COUNTIF($F95:Klisz_Verbräuche[[#This Row],[2035]],"&gt;0")&gt;0,Klisz_Verbräuche[[#This Row],[2035]]*(1-$E95)^5, ""), ""),IF($B$57&gt;Klisz_Verbräuche[[#Headers],[2040]],Refsz_Verbräuche[[#This Row],[2040]],"")))</f>
        <v/>
      </c>
      <c r="X95" s="57" t="str">
        <f>IF(Klisz_Verbräuche[[#Headers],[2045]]=$B$57,IF(COUNTIF($F95:Klisz_Verbräuche[[#This Row],[2040]],"&gt;0")&gt;0, AVERAGEIF($F95:Klisz_Verbräuche[[#This Row],[2040]],"&lt;&gt;"), ""),IF($B$57&lt;Klisz_Verbräuche[[#Headers],[2045]],IF(COUNTIF($F95:Klisz_Verbräuche[[#This Row],[2040]],"&gt;0")&gt;0,IF(COUNTIF($F95:Klisz_Verbräuche[[#This Row],[2040]],"&gt;0")&gt;0,Klisz_Verbräuche[[#This Row],[2040]]*(1-$E95)^5, ""), ""),IF($B$57&gt;Klisz_Verbräuche[[#Headers],[2045]],Refsz_Verbräuche[[#This Row],[2045]],"")))</f>
        <v/>
      </c>
      <c r="Y95" s="57" t="str">
        <f>IF(Klisz_Verbräuche[[#Headers],[2050]]=$B$57,IF(COUNTIF($F95:Klisz_Verbräuche[[#This Row],[2045]],"&gt;0")&gt;0, AVERAGEIF($F95:Klisz_Verbräuche[[#This Row],[2045]],"&lt;&gt;"), ""),IF($B$57&lt;Klisz_Verbräuche[[#Headers],[2050]],IF(COUNTIF($F95:Klisz_Verbräuche[[#This Row],[2045]],"&gt;0")&gt;0,IF(COUNTIF($F95:Klisz_Verbräuche[[#This Row],[2045]],"&gt;0")&gt;0,Klisz_Verbräuche[[#This Row],[2045]]*(1-$E95)^5, ""), ""),IF($B$57&gt;Klisz_Verbräuche[[#Headers],[2050]],Refsz_Verbräuche[[#This Row],[2050]],"")))</f>
        <v/>
      </c>
      <c r="Z95" s="15"/>
    </row>
    <row r="96" spans="2:26" x14ac:dyDescent="0.35">
      <c r="B96" s="15">
        <v>36</v>
      </c>
      <c r="C96" s="54" t="str">
        <f>Refsz_Verbräuche[[#This Row],[Datenpunkt]]</f>
        <v>Fuhrpark (Plug-In-Hybrid, PHEV)</v>
      </c>
      <c r="D96" s="29" t="str">
        <f>Refsz_Verbräuche[[#This Row],[Einheit]]</f>
        <v>Fkm</v>
      </c>
      <c r="E96" s="122"/>
      <c r="F96" s="15" t="str">
        <f>IF(ISBLANK(Refsz_Verbräuche[[#This Row],[2015]]),"",Refsz_Verbräuche[[#This Row],[2015]])</f>
        <v/>
      </c>
      <c r="G96" s="15" t="str">
        <f>IF(ISBLANK(Refsz_Verbräuche[[#This Row],[2016]]),"",Refsz_Verbräuche[[#This Row],[2016]])</f>
        <v/>
      </c>
      <c r="H96" s="15" t="str">
        <f>IF(ISBLANK(Refsz_Verbräuche[[#This Row],[2017]]),"",Refsz_Verbräuche[[#This Row],[2017]])</f>
        <v/>
      </c>
      <c r="I96" s="15" t="str">
        <f>IF(ISBLANK(Refsz_Verbräuche[[#This Row],[2018]]),"",Refsz_Verbräuche[[#This Row],[2018]])</f>
        <v/>
      </c>
      <c r="J96" s="15" t="str">
        <f>IF(ISBLANK(Refsz_Verbräuche[[#This Row],[2019]]),"",Refsz_Verbräuche[[#This Row],[2019]])</f>
        <v/>
      </c>
      <c r="K96" s="15" t="str">
        <f>IF(ISBLANK(Refsz_Verbräuche[[#This Row],[2020]]),"",Refsz_Verbräuche[[#This Row],[2020]])</f>
        <v/>
      </c>
      <c r="L96" s="15" t="str">
        <f>IF(ISBLANK(Refsz_Verbräuche[[#This Row],[2021]]),"",Refsz_Verbräuche[[#This Row],[2021]])</f>
        <v/>
      </c>
      <c r="M96" s="57" t="str">
        <f>IF(Klisz_Verbräuche[[#Headers],[2022]]=$B$57,IF(COUNTIF($F96:Klisz_Verbräuche[[#This Row],[2021]],"&gt;0")&gt;0, AVERAGEIF($F96:Klisz_Verbräuche[[#This Row],[2021]],"&lt;&gt;"), ""),IF($B$57&lt;Klisz_Verbräuche[[#Headers],[2022]],IF(COUNTIF($F96:Klisz_Verbräuche[[#This Row],[2021]],"&gt;0")&gt;0,IF(COUNTIF($F96:Klisz_Verbräuche[[#This Row],[2021]],"&gt;0")&gt;0,Klisz_Verbräuche[[#This Row],[2021]]*(1-$E96)^1, ""), ""),IF($B$57&gt;Klisz_Verbräuche[[#Headers],[2022]],Refsz_Verbräuche[[#This Row],[2022]],"")))</f>
        <v/>
      </c>
      <c r="N96" s="57" t="str">
        <f>IF(Klisz_Verbräuche[[#Headers],[2023]]=$B$57,IF(COUNTIF($F96:Klisz_Verbräuche[[#This Row],[2022]],"&gt;0")&gt;0, AVERAGEIF($F96:Klisz_Verbräuche[[#This Row],[2022]],"&lt;&gt;"), ""),IF($B$57&lt;Klisz_Verbräuche[[#Headers],[2023]],IF(COUNTIF($F96:Klisz_Verbräuche[[#This Row],[2022]],"&gt;0")&gt;0,IF(COUNTIF($F96:Klisz_Verbräuche[[#This Row],[2022]],"&gt;0")&gt;0,Klisz_Verbräuche[[#This Row],[2022]]*(1-$E96)^1, ""), ""),IF($B$57&gt;Klisz_Verbräuche[[#Headers],[2023]],Refsz_Verbräuche[[#This Row],[2023]],"")))</f>
        <v/>
      </c>
      <c r="O96" s="57" t="str">
        <f>IF(Klisz_Verbräuche[[#Headers],[2024]]=$B$57,IF(COUNTIF($F96:Klisz_Verbräuche[[#This Row],[2023]],"&gt;0")&gt;0, AVERAGEIF($F96:Klisz_Verbräuche[[#This Row],[2023]],"&lt;&gt;"), ""),IF($B$57&lt;Klisz_Verbräuche[[#Headers],[2024]],IF(COUNTIF($F96:Klisz_Verbräuche[[#This Row],[2023]],"&gt;0")&gt;0,IF(COUNTIF($F96:Klisz_Verbräuche[[#This Row],[2023]],"&gt;0")&gt;0,Klisz_Verbräuche[[#This Row],[2023]]*(1-$E96)^1, ""), ""),IF($B$57&gt;Klisz_Verbräuche[[#Headers],[2024]],Refsz_Verbräuche[[#This Row],[2024]],"")))</f>
        <v/>
      </c>
      <c r="P96" s="57" t="str">
        <f>IF(Klisz_Verbräuche[[#Headers],[2025]]=$B$57,IF(COUNTIF($F96:Klisz_Verbräuche[[#This Row],[2024]],"&gt;0")&gt;0, AVERAGEIF($F96:Klisz_Verbräuche[[#This Row],[2024]],"&lt;&gt;"), ""),IF($B$57&lt;Klisz_Verbräuche[[#Headers],[2025]],IF(COUNTIF($F96:Klisz_Verbräuche[[#This Row],[2024]],"&gt;0")&gt;0,IF(COUNTIF($F96:Klisz_Verbräuche[[#This Row],[2024]],"&gt;0")&gt;0,Klisz_Verbräuche[[#This Row],[2024]]*(1-$E96)^1, ""), ""),IF($B$57&gt;Klisz_Verbräuche[[#Headers],[2025]],Refsz_Verbräuche[[#This Row],[2025]],"")))</f>
        <v/>
      </c>
      <c r="Q96" s="57" t="str">
        <f>IF(Klisz_Verbräuche[[#Headers],[2026]]=$B$57,IF(COUNTIF($F96:Klisz_Verbräuche[[#This Row],[2025]],"&gt;0")&gt;0, AVERAGEIF($F96:Klisz_Verbräuche[[#This Row],[2025]],"&lt;&gt;"), ""),IF($B$57&lt;Klisz_Verbräuche[[#Headers],[2026]],IF(COUNTIF($F96:Klisz_Verbräuche[[#This Row],[2025]],"&gt;0")&gt;0,IF(COUNTIF($F96:Klisz_Verbräuche[[#This Row],[2025]],"&gt;0")&gt;0,Klisz_Verbräuche[[#This Row],[2025]]*(1-$E96)^1, ""), ""),IF($B$57&gt;Klisz_Verbräuche[[#Headers],[2026]],Refsz_Verbräuche[[#This Row],[2026]],"")))</f>
        <v/>
      </c>
      <c r="R96" s="57" t="str">
        <f>IF(Klisz_Verbräuche[[#Headers],[2027]]=$B$57,IF(COUNTIF($F96:Klisz_Verbräuche[[#This Row],[2026]],"&gt;0")&gt;0, AVERAGEIF($F96:Klisz_Verbräuche[[#This Row],[2026]],"&lt;&gt;"), ""),IF($B$57&lt;Klisz_Verbräuche[[#Headers],[2027]],IF(COUNTIF($F96:Klisz_Verbräuche[[#This Row],[2026]],"&gt;0")&gt;0,IF(COUNTIF($F96:Klisz_Verbräuche[[#This Row],[2026]],"&gt;0")&gt;0,Klisz_Verbräuche[[#This Row],[2026]]*(1-$E96)^1, ""), ""),IF($B$57&gt;Klisz_Verbräuche[[#Headers],[2027]],Refsz_Verbräuche[[#This Row],[2027]],"")))</f>
        <v/>
      </c>
      <c r="S96" s="57" t="str">
        <f>IF(Klisz_Verbräuche[[#Headers],[2028]]=$B$57,IF(COUNTIF($F96:Klisz_Verbräuche[[#This Row],[2027]],"&gt;0")&gt;0, AVERAGEIF($F96:Klisz_Verbräuche[[#This Row],[2027]],"&lt;&gt;"), ""),IF($B$57&lt;Klisz_Verbräuche[[#Headers],[2028]],IF(COUNTIF($F96:Klisz_Verbräuche[[#This Row],[2027]],"&gt;0")&gt;0,IF(COUNTIF($F96:Klisz_Verbräuche[[#This Row],[2027]],"&gt;0")&gt;0,Klisz_Verbräuche[[#This Row],[2027]]*(1-$E96)^1, ""), ""),IF($B$57&gt;Klisz_Verbräuche[[#Headers],[2028]],Refsz_Verbräuche[[#This Row],[2028]],"")))</f>
        <v/>
      </c>
      <c r="T96" s="57" t="str">
        <f>IF(Klisz_Verbräuche[[#Headers],[2029]]=$B$57,IF(COUNTIF($F96:Klisz_Verbräuche[[#This Row],[2028]],"&gt;0")&gt;0, AVERAGEIF($F96:Klisz_Verbräuche[[#This Row],[2028]],"&lt;&gt;"), ""),IF($B$57&lt;Klisz_Verbräuche[[#Headers],[2029]],IF(COUNTIF($F96:Klisz_Verbräuche[[#This Row],[2028]],"&gt;0")&gt;0,IF(COUNTIF($F96:Klisz_Verbräuche[[#This Row],[2028]],"&gt;0")&gt;0,Klisz_Verbräuche[[#This Row],[2028]]*(1-$E96)^1, ""), ""),IF($B$57&gt;Klisz_Verbräuche[[#Headers],[2029]],Refsz_Verbräuche[[#This Row],[2029]],"")))</f>
        <v/>
      </c>
      <c r="U96" s="57" t="str">
        <f>IF(Klisz_Verbräuche[[#Headers],[2030]]=$B$57,IF(COUNTIF($F96:Klisz_Verbräuche[[#This Row],[2029]],"&gt;0")&gt;0, AVERAGEIF($F96:Klisz_Verbräuche[[#This Row],[2029]],"&lt;&gt;"), ""),IF($B$57&lt;Klisz_Verbräuche[[#Headers],[2030]],IF(COUNTIF($F96:Klisz_Verbräuche[[#This Row],[2029]],"&gt;0")&gt;0,IF(COUNTIF($F96:Klisz_Verbräuche[[#This Row],[2029]],"&gt;0")&gt;0,Klisz_Verbräuche[[#This Row],[2029]]*(1-$E96)^1, ""), ""),IF($B$57&gt;Klisz_Verbräuche[[#Headers],[2030]],Refsz_Verbräuche[[#This Row],[2030]],"")))</f>
        <v/>
      </c>
      <c r="V96" s="57" t="str">
        <f>IF(Klisz_Verbräuche[[#Headers],[2035]]=$B$57,IF(COUNTIF($F96:Klisz_Verbräuche[[#This Row],[2030]],"&gt;0")&gt;0, AVERAGEIF($F96:Klisz_Verbräuche[[#This Row],[2030]],"&lt;&gt;"), ""),IF($B$57&lt;Klisz_Verbräuche[[#Headers],[2035]],IF(COUNTIF($F96:Klisz_Verbräuche[[#This Row],[2030]],"&gt;0")&gt;0,IF(COUNTIF($F96:Klisz_Verbräuche[[#This Row],[2030]],"&gt;0")&gt;0,Klisz_Verbräuche[[#This Row],[2030]]*(1-$E96)^5, ""), ""),IF($B$57&gt;Klisz_Verbräuche[[#Headers],[2035]],Refsz_Verbräuche[[#This Row],[2035]],"")))</f>
        <v/>
      </c>
      <c r="W96" s="57" t="str">
        <f>IF(Klisz_Verbräuche[[#Headers],[2040]]=$B$57,IF(COUNTIF($F96:Klisz_Verbräuche[[#This Row],[2035]],"&gt;0")&gt;0, AVERAGEIF($F96:Klisz_Verbräuche[[#This Row],[2035]],"&lt;&gt;"), ""),IF($B$57&lt;Klisz_Verbräuche[[#Headers],[2040]],IF(COUNTIF($F96:Klisz_Verbräuche[[#This Row],[2035]],"&gt;0")&gt;0,IF(COUNTIF($F96:Klisz_Verbräuche[[#This Row],[2035]],"&gt;0")&gt;0,Klisz_Verbräuche[[#This Row],[2035]]*(1-$E96)^5, ""), ""),IF($B$57&gt;Klisz_Verbräuche[[#Headers],[2040]],Refsz_Verbräuche[[#This Row],[2040]],"")))</f>
        <v/>
      </c>
      <c r="X96" s="57" t="str">
        <f>IF(Klisz_Verbräuche[[#Headers],[2045]]=$B$57,IF(COUNTIF($F96:Klisz_Verbräuche[[#This Row],[2040]],"&gt;0")&gt;0, AVERAGEIF($F96:Klisz_Verbräuche[[#This Row],[2040]],"&lt;&gt;"), ""),IF($B$57&lt;Klisz_Verbräuche[[#Headers],[2045]],IF(COUNTIF($F96:Klisz_Verbräuche[[#This Row],[2040]],"&gt;0")&gt;0,IF(COUNTIF($F96:Klisz_Verbräuche[[#This Row],[2040]],"&gt;0")&gt;0,Klisz_Verbräuche[[#This Row],[2040]]*(1-$E96)^5, ""), ""),IF($B$57&gt;Klisz_Verbräuche[[#Headers],[2045]],Refsz_Verbräuche[[#This Row],[2045]],"")))</f>
        <v/>
      </c>
      <c r="Y96" s="57" t="str">
        <f>IF(Klisz_Verbräuche[[#Headers],[2050]]=$B$57,IF(COUNTIF($F96:Klisz_Verbräuche[[#This Row],[2045]],"&gt;0")&gt;0, AVERAGEIF($F96:Klisz_Verbräuche[[#This Row],[2045]],"&lt;&gt;"), ""),IF($B$57&lt;Klisz_Verbräuche[[#Headers],[2050]],IF(COUNTIF($F96:Klisz_Verbräuche[[#This Row],[2045]],"&gt;0")&gt;0,IF(COUNTIF($F96:Klisz_Verbräuche[[#This Row],[2045]],"&gt;0")&gt;0,Klisz_Verbräuche[[#This Row],[2045]]*(1-$E96)^5, ""), ""),IF($B$57&gt;Klisz_Verbräuche[[#Headers],[2050]],Refsz_Verbräuche[[#This Row],[2050]],"")))</f>
        <v/>
      </c>
      <c r="Z96" s="15"/>
    </row>
    <row r="97" spans="2:26" x14ac:dyDescent="0.35">
      <c r="B97" s="15">
        <v>37</v>
      </c>
      <c r="C97" s="20">
        <f>Refsz_Verbräuche[[#This Row],[Datenpunkt]]</f>
        <v>0</v>
      </c>
      <c r="D97" s="29">
        <f>Refsz_Verbräuche[[#This Row],[Einheit]]</f>
        <v>0</v>
      </c>
      <c r="E97" s="122"/>
      <c r="F97" s="15" t="str">
        <f>IF(ISBLANK(Refsz_Verbräuche[[#This Row],[2015]]),"",Refsz_Verbräuche[[#This Row],[2015]])</f>
        <v/>
      </c>
      <c r="G97" s="15" t="str">
        <f>IF(ISBLANK(Refsz_Verbräuche[[#This Row],[2016]]),"",Refsz_Verbräuche[[#This Row],[2016]])</f>
        <v/>
      </c>
      <c r="H97" s="15" t="str">
        <f>IF(ISBLANK(Refsz_Verbräuche[[#This Row],[2017]]),"",Refsz_Verbräuche[[#This Row],[2017]])</f>
        <v/>
      </c>
      <c r="I97" s="15" t="str">
        <f>IF(ISBLANK(Refsz_Verbräuche[[#This Row],[2018]]),"",Refsz_Verbräuche[[#This Row],[2018]])</f>
        <v/>
      </c>
      <c r="J97" s="15" t="str">
        <f>IF(ISBLANK(Refsz_Verbräuche[[#This Row],[2019]]),"",Refsz_Verbräuche[[#This Row],[2019]])</f>
        <v/>
      </c>
      <c r="K97" s="15" t="str">
        <f>IF(ISBLANK(Refsz_Verbräuche[[#This Row],[2020]]),"",Refsz_Verbräuche[[#This Row],[2020]])</f>
        <v/>
      </c>
      <c r="L97" s="15" t="str">
        <f>IF(ISBLANK(Refsz_Verbräuche[[#This Row],[2021]]),"",Refsz_Verbräuche[[#This Row],[2021]])</f>
        <v/>
      </c>
      <c r="M97" s="57" t="str">
        <f>IF(Klisz_Verbräuche[[#Headers],[2022]]=$B$57,IF(COUNTIF($F97:Klisz_Verbräuche[[#This Row],[2021]],"&gt;0")&gt;0, AVERAGEIF($F97:Klisz_Verbräuche[[#This Row],[2021]],"&lt;&gt;"), ""),IF($B$57&lt;Klisz_Verbräuche[[#Headers],[2022]],IF(COUNTIF($F97:Klisz_Verbräuche[[#This Row],[2021]],"&gt;0")&gt;0,IF(COUNTIF($F97:Klisz_Verbräuche[[#This Row],[2021]],"&gt;0")&gt;0,Klisz_Verbräuche[[#This Row],[2021]]*(1-$E97)^1, ""), ""),IF($B$57&gt;Klisz_Verbräuche[[#Headers],[2022]],Refsz_Verbräuche[[#This Row],[2022]],"")))</f>
        <v/>
      </c>
      <c r="N97" s="57" t="str">
        <f>IF(Klisz_Verbräuche[[#Headers],[2023]]=$B$57,IF(COUNTIF($F97:Klisz_Verbräuche[[#This Row],[2022]],"&gt;0")&gt;0, AVERAGEIF($F97:Klisz_Verbräuche[[#This Row],[2022]],"&lt;&gt;"), ""),IF($B$57&lt;Klisz_Verbräuche[[#Headers],[2023]],IF(COUNTIF($F97:Klisz_Verbräuche[[#This Row],[2022]],"&gt;0")&gt;0,IF(COUNTIF($F97:Klisz_Verbräuche[[#This Row],[2022]],"&gt;0")&gt;0,Klisz_Verbräuche[[#This Row],[2022]]*(1-$E97)^1, ""), ""),IF($B$57&gt;Klisz_Verbräuche[[#Headers],[2023]],Refsz_Verbräuche[[#This Row],[2023]],"")))</f>
        <v/>
      </c>
      <c r="O97" s="57" t="str">
        <f>IF(Klisz_Verbräuche[[#Headers],[2024]]=$B$57,IF(COUNTIF($F97:Klisz_Verbräuche[[#This Row],[2023]],"&gt;0")&gt;0, AVERAGEIF($F97:Klisz_Verbräuche[[#This Row],[2023]],"&lt;&gt;"), ""),IF($B$57&lt;Klisz_Verbräuche[[#Headers],[2024]],IF(COUNTIF($F97:Klisz_Verbräuche[[#This Row],[2023]],"&gt;0")&gt;0,IF(COUNTIF($F97:Klisz_Verbräuche[[#This Row],[2023]],"&gt;0")&gt;0,Klisz_Verbräuche[[#This Row],[2023]]*(1-$E97)^1, ""), ""),IF($B$57&gt;Klisz_Verbräuche[[#Headers],[2024]],Refsz_Verbräuche[[#This Row],[2024]],"")))</f>
        <v/>
      </c>
      <c r="P97" s="57" t="str">
        <f>IF(Klisz_Verbräuche[[#Headers],[2025]]=$B$57,IF(COUNTIF($F97:Klisz_Verbräuche[[#This Row],[2024]],"&gt;0")&gt;0, AVERAGEIF($F97:Klisz_Verbräuche[[#This Row],[2024]],"&lt;&gt;"), ""),IF($B$57&lt;Klisz_Verbräuche[[#Headers],[2025]],IF(COUNTIF($F97:Klisz_Verbräuche[[#This Row],[2024]],"&gt;0")&gt;0,IF(COUNTIF($F97:Klisz_Verbräuche[[#This Row],[2024]],"&gt;0")&gt;0,Klisz_Verbräuche[[#This Row],[2024]]*(1-$E97)^1, ""), ""),IF($B$57&gt;Klisz_Verbräuche[[#Headers],[2025]],Refsz_Verbräuche[[#This Row],[2025]],"")))</f>
        <v/>
      </c>
      <c r="Q97" s="57" t="str">
        <f>IF(Klisz_Verbräuche[[#Headers],[2026]]=$B$57,IF(COUNTIF($F97:Klisz_Verbräuche[[#This Row],[2025]],"&gt;0")&gt;0, AVERAGEIF($F97:Klisz_Verbräuche[[#This Row],[2025]],"&lt;&gt;"), ""),IF($B$57&lt;Klisz_Verbräuche[[#Headers],[2026]],IF(COUNTIF($F97:Klisz_Verbräuche[[#This Row],[2025]],"&gt;0")&gt;0,IF(COUNTIF($F97:Klisz_Verbräuche[[#This Row],[2025]],"&gt;0")&gt;0,Klisz_Verbräuche[[#This Row],[2025]]*(1-$E97)^1, ""), ""),IF($B$57&gt;Klisz_Verbräuche[[#Headers],[2026]],Refsz_Verbräuche[[#This Row],[2026]],"")))</f>
        <v/>
      </c>
      <c r="R97" s="57" t="str">
        <f>IF(Klisz_Verbräuche[[#Headers],[2027]]=$B$57,IF(COUNTIF($F97:Klisz_Verbräuche[[#This Row],[2026]],"&gt;0")&gt;0, AVERAGEIF($F97:Klisz_Verbräuche[[#This Row],[2026]],"&lt;&gt;"), ""),IF($B$57&lt;Klisz_Verbräuche[[#Headers],[2027]],IF(COUNTIF($F97:Klisz_Verbräuche[[#This Row],[2026]],"&gt;0")&gt;0,IF(COUNTIF($F97:Klisz_Verbräuche[[#This Row],[2026]],"&gt;0")&gt;0,Klisz_Verbräuche[[#This Row],[2026]]*(1-$E97)^1, ""), ""),IF($B$57&gt;Klisz_Verbräuche[[#Headers],[2027]],Refsz_Verbräuche[[#This Row],[2027]],"")))</f>
        <v/>
      </c>
      <c r="S97" s="57" t="str">
        <f>IF(Klisz_Verbräuche[[#Headers],[2028]]=$B$57,IF(COUNTIF($F97:Klisz_Verbräuche[[#This Row],[2027]],"&gt;0")&gt;0, AVERAGEIF($F97:Klisz_Verbräuche[[#This Row],[2027]],"&lt;&gt;"), ""),IF($B$57&lt;Klisz_Verbräuche[[#Headers],[2028]],IF(COUNTIF($F97:Klisz_Verbräuche[[#This Row],[2027]],"&gt;0")&gt;0,IF(COUNTIF($F97:Klisz_Verbräuche[[#This Row],[2027]],"&gt;0")&gt;0,Klisz_Verbräuche[[#This Row],[2027]]*(1-$E97)^1, ""), ""),IF($B$57&gt;Klisz_Verbräuche[[#Headers],[2028]],Refsz_Verbräuche[[#This Row],[2028]],"")))</f>
        <v/>
      </c>
      <c r="T97" s="57" t="str">
        <f>IF(Klisz_Verbräuche[[#Headers],[2029]]=$B$57,IF(COUNTIF($F97:Klisz_Verbräuche[[#This Row],[2028]],"&gt;0")&gt;0, AVERAGEIF($F97:Klisz_Verbräuche[[#This Row],[2028]],"&lt;&gt;"), ""),IF($B$57&lt;Klisz_Verbräuche[[#Headers],[2029]],IF(COUNTIF($F97:Klisz_Verbräuche[[#This Row],[2028]],"&gt;0")&gt;0,IF(COUNTIF($F97:Klisz_Verbräuche[[#This Row],[2028]],"&gt;0")&gt;0,Klisz_Verbräuche[[#This Row],[2028]]*(1-$E97)^1, ""), ""),IF($B$57&gt;Klisz_Verbräuche[[#Headers],[2029]],Refsz_Verbräuche[[#This Row],[2029]],"")))</f>
        <v/>
      </c>
      <c r="U97" s="57" t="str">
        <f>IF(Klisz_Verbräuche[[#Headers],[2030]]=$B$57,IF(COUNTIF($F97:Klisz_Verbräuche[[#This Row],[2029]],"&gt;0")&gt;0, AVERAGEIF($F97:Klisz_Verbräuche[[#This Row],[2029]],"&lt;&gt;"), ""),IF($B$57&lt;Klisz_Verbräuche[[#Headers],[2030]],IF(COUNTIF($F97:Klisz_Verbräuche[[#This Row],[2029]],"&gt;0")&gt;0,IF(COUNTIF($F97:Klisz_Verbräuche[[#This Row],[2029]],"&gt;0")&gt;0,Klisz_Verbräuche[[#This Row],[2029]]*(1-$E97)^1, ""), ""),IF($B$57&gt;Klisz_Verbräuche[[#Headers],[2030]],Refsz_Verbräuche[[#This Row],[2030]],"")))</f>
        <v/>
      </c>
      <c r="V97" s="57" t="str">
        <f>IF(Klisz_Verbräuche[[#Headers],[2035]]=$B$57,IF(COUNTIF($F97:Klisz_Verbräuche[[#This Row],[2030]],"&gt;0")&gt;0, AVERAGEIF($F97:Klisz_Verbräuche[[#This Row],[2030]],"&lt;&gt;"), ""),IF($B$57&lt;Klisz_Verbräuche[[#Headers],[2035]],IF(COUNTIF($F97:Klisz_Verbräuche[[#This Row],[2030]],"&gt;0")&gt;0,IF(COUNTIF($F97:Klisz_Verbräuche[[#This Row],[2030]],"&gt;0")&gt;0,Klisz_Verbräuche[[#This Row],[2030]]*(1-$E97)^5, ""), ""),IF($B$57&gt;Klisz_Verbräuche[[#Headers],[2035]],Refsz_Verbräuche[[#This Row],[2035]],"")))</f>
        <v/>
      </c>
      <c r="W97" s="57" t="str">
        <f>IF(Klisz_Verbräuche[[#Headers],[2040]]=$B$57,IF(COUNTIF($F97:Klisz_Verbräuche[[#This Row],[2035]],"&gt;0")&gt;0, AVERAGEIF($F97:Klisz_Verbräuche[[#This Row],[2035]],"&lt;&gt;"), ""),IF($B$57&lt;Klisz_Verbräuche[[#Headers],[2040]],IF(COUNTIF($F97:Klisz_Verbräuche[[#This Row],[2035]],"&gt;0")&gt;0,IF(COUNTIF($F97:Klisz_Verbräuche[[#This Row],[2035]],"&gt;0")&gt;0,Klisz_Verbräuche[[#This Row],[2035]]*(1-$E97)^5, ""), ""),IF($B$57&gt;Klisz_Verbräuche[[#Headers],[2040]],Refsz_Verbräuche[[#This Row],[2040]],"")))</f>
        <v/>
      </c>
      <c r="X97" s="57" t="str">
        <f>IF(Klisz_Verbräuche[[#Headers],[2045]]=$B$57,IF(COUNTIF($F97:Klisz_Verbräuche[[#This Row],[2040]],"&gt;0")&gt;0, AVERAGEIF($F97:Klisz_Verbräuche[[#This Row],[2040]],"&lt;&gt;"), ""),IF($B$57&lt;Klisz_Verbräuche[[#Headers],[2045]],IF(COUNTIF($F97:Klisz_Verbräuche[[#This Row],[2040]],"&gt;0")&gt;0,IF(COUNTIF($F97:Klisz_Verbräuche[[#This Row],[2040]],"&gt;0")&gt;0,Klisz_Verbräuche[[#This Row],[2040]]*(1-$E97)^5, ""), ""),IF($B$57&gt;Klisz_Verbräuche[[#Headers],[2045]],Refsz_Verbräuche[[#This Row],[2045]],"")))</f>
        <v/>
      </c>
      <c r="Y97" s="57" t="str">
        <f>IF(Klisz_Verbräuche[[#Headers],[2050]]=$B$57,IF(COUNTIF($F97:Klisz_Verbräuche[[#This Row],[2045]],"&gt;0")&gt;0, AVERAGEIF($F97:Klisz_Verbräuche[[#This Row],[2045]],"&lt;&gt;"), ""),IF($B$57&lt;Klisz_Verbräuche[[#Headers],[2050]],IF(COUNTIF($F97:Klisz_Verbräuche[[#This Row],[2045]],"&gt;0")&gt;0,IF(COUNTIF($F97:Klisz_Verbräuche[[#This Row],[2045]],"&gt;0")&gt;0,Klisz_Verbräuche[[#This Row],[2045]]*(1-$E97)^5, ""), ""),IF($B$57&gt;Klisz_Verbräuche[[#Headers],[2050]],Refsz_Verbräuche[[#This Row],[2050]],"")))</f>
        <v/>
      </c>
      <c r="Z97" s="15"/>
    </row>
    <row r="98" spans="2:26" x14ac:dyDescent="0.35">
      <c r="B98" s="15">
        <v>38</v>
      </c>
      <c r="C98" s="20" t="str">
        <f>Refsz_Verbräuche[[#This Row],[Datenpunkt]]</f>
        <v>DR - Flugreisen</v>
      </c>
      <c r="D98" s="29" t="str">
        <f>Refsz_Verbräuche[[#This Row],[Einheit]]</f>
        <v>Pkm</v>
      </c>
      <c r="E98" s="122"/>
      <c r="F98" s="15" t="str">
        <f>IF(ISBLANK(Refsz_Verbräuche[[#This Row],[2015]]),"",Refsz_Verbräuche[[#This Row],[2015]])</f>
        <v/>
      </c>
      <c r="G98" s="15" t="str">
        <f>IF(ISBLANK(Refsz_Verbräuche[[#This Row],[2016]]),"",Refsz_Verbräuche[[#This Row],[2016]])</f>
        <v/>
      </c>
      <c r="H98" s="15" t="str">
        <f>IF(ISBLANK(Refsz_Verbräuche[[#This Row],[2017]]),"",Refsz_Verbräuche[[#This Row],[2017]])</f>
        <v/>
      </c>
      <c r="I98" s="15" t="str">
        <f>IF(ISBLANK(Refsz_Verbräuche[[#This Row],[2018]]),"",Refsz_Verbräuche[[#This Row],[2018]])</f>
        <v/>
      </c>
      <c r="J98" s="15" t="str">
        <f>IF(ISBLANK(Refsz_Verbräuche[[#This Row],[2019]]),"",Refsz_Verbräuche[[#This Row],[2019]])</f>
        <v/>
      </c>
      <c r="K98" s="15" t="str">
        <f>IF(ISBLANK(Refsz_Verbräuche[[#This Row],[2020]]),"",Refsz_Verbräuche[[#This Row],[2020]])</f>
        <v/>
      </c>
      <c r="L98" s="15" t="str">
        <f>IF(ISBLANK(Refsz_Verbräuche[[#This Row],[2021]]),"",Refsz_Verbräuche[[#This Row],[2021]])</f>
        <v/>
      </c>
      <c r="M98" s="57" t="str">
        <f>IF(Klisz_Verbräuche[[#Headers],[2022]]=$B$57,IF(COUNTIF($F98:Klisz_Verbräuche[[#This Row],[2021]],"&gt;0")&gt;0, AVERAGEIF($F98:Klisz_Verbräuche[[#This Row],[2021]],"&lt;&gt;"), ""),IF($B$57&lt;Klisz_Verbräuche[[#Headers],[2022]],IF(COUNTIF($F98:Klisz_Verbräuche[[#This Row],[2021]],"&gt;0")&gt;0,IF(COUNTIF($F98:Klisz_Verbräuche[[#This Row],[2021]],"&gt;0")&gt;0,Klisz_Verbräuche[[#This Row],[2021]]*(1-$E98)^1, ""), ""),IF($B$57&gt;Klisz_Verbräuche[[#Headers],[2022]],Refsz_Verbräuche[[#This Row],[2022]],"")))</f>
        <v/>
      </c>
      <c r="N98" s="57" t="str">
        <f>IF(Klisz_Verbräuche[[#Headers],[2023]]=$B$57,IF(COUNTIF($F98:Klisz_Verbräuche[[#This Row],[2022]],"&gt;0")&gt;0, AVERAGEIF($F98:Klisz_Verbräuche[[#This Row],[2022]],"&lt;&gt;"), ""),IF($B$57&lt;Klisz_Verbräuche[[#Headers],[2023]],IF(COUNTIF($F98:Klisz_Verbräuche[[#This Row],[2022]],"&gt;0")&gt;0,IF(COUNTIF($F98:Klisz_Verbräuche[[#This Row],[2022]],"&gt;0")&gt;0,Klisz_Verbräuche[[#This Row],[2022]]*(1-$E98)^1, ""), ""),IF($B$57&gt;Klisz_Verbräuche[[#Headers],[2023]],Refsz_Verbräuche[[#This Row],[2023]],"")))</f>
        <v/>
      </c>
      <c r="O98" s="57" t="str">
        <f>IF(Klisz_Verbräuche[[#Headers],[2024]]=$B$57,IF(COUNTIF($F98:Klisz_Verbräuche[[#This Row],[2023]],"&gt;0")&gt;0, AVERAGEIF($F98:Klisz_Verbräuche[[#This Row],[2023]],"&lt;&gt;"), ""),IF($B$57&lt;Klisz_Verbräuche[[#Headers],[2024]],IF(COUNTIF($F98:Klisz_Verbräuche[[#This Row],[2023]],"&gt;0")&gt;0,IF(COUNTIF($F98:Klisz_Verbräuche[[#This Row],[2023]],"&gt;0")&gt;0,Klisz_Verbräuche[[#This Row],[2023]]*(1-$E98)^1, ""), ""),IF($B$57&gt;Klisz_Verbräuche[[#Headers],[2024]],Refsz_Verbräuche[[#This Row],[2024]],"")))</f>
        <v/>
      </c>
      <c r="P98" s="57" t="str">
        <f>IF(Klisz_Verbräuche[[#Headers],[2025]]=$B$57,IF(COUNTIF($F98:Klisz_Verbräuche[[#This Row],[2024]],"&gt;0")&gt;0, AVERAGEIF($F98:Klisz_Verbräuche[[#This Row],[2024]],"&lt;&gt;"), ""),IF($B$57&lt;Klisz_Verbräuche[[#Headers],[2025]],IF(COUNTIF($F98:Klisz_Verbräuche[[#This Row],[2024]],"&gt;0")&gt;0,IF(COUNTIF($F98:Klisz_Verbräuche[[#This Row],[2024]],"&gt;0")&gt;0,Klisz_Verbräuche[[#This Row],[2024]]*(1-$E98)^1, ""), ""),IF($B$57&gt;Klisz_Verbräuche[[#Headers],[2025]],Refsz_Verbräuche[[#This Row],[2025]],"")))</f>
        <v/>
      </c>
      <c r="Q98" s="57" t="str">
        <f>IF(Klisz_Verbräuche[[#Headers],[2026]]=$B$57,IF(COUNTIF($F98:Klisz_Verbräuche[[#This Row],[2025]],"&gt;0")&gt;0, AVERAGEIF($F98:Klisz_Verbräuche[[#This Row],[2025]],"&lt;&gt;"), ""),IF($B$57&lt;Klisz_Verbräuche[[#Headers],[2026]],IF(COUNTIF($F98:Klisz_Verbräuche[[#This Row],[2025]],"&gt;0")&gt;0,IF(COUNTIF($F98:Klisz_Verbräuche[[#This Row],[2025]],"&gt;0")&gt;0,Klisz_Verbräuche[[#This Row],[2025]]*(1-$E98)^1, ""), ""),IF($B$57&gt;Klisz_Verbräuche[[#Headers],[2026]],Refsz_Verbräuche[[#This Row],[2026]],"")))</f>
        <v/>
      </c>
      <c r="R98" s="57" t="str">
        <f>IF(Klisz_Verbräuche[[#Headers],[2027]]=$B$57,IF(COUNTIF($F98:Klisz_Verbräuche[[#This Row],[2026]],"&gt;0")&gt;0, AVERAGEIF($F98:Klisz_Verbräuche[[#This Row],[2026]],"&lt;&gt;"), ""),IF($B$57&lt;Klisz_Verbräuche[[#Headers],[2027]],IF(COUNTIF($F98:Klisz_Verbräuche[[#This Row],[2026]],"&gt;0")&gt;0,IF(COUNTIF($F98:Klisz_Verbräuche[[#This Row],[2026]],"&gt;0")&gt;0,Klisz_Verbräuche[[#This Row],[2026]]*(1-$E98)^1, ""), ""),IF($B$57&gt;Klisz_Verbräuche[[#Headers],[2027]],Refsz_Verbräuche[[#This Row],[2027]],"")))</f>
        <v/>
      </c>
      <c r="S98" s="57" t="str">
        <f>IF(Klisz_Verbräuche[[#Headers],[2028]]=$B$57,IF(COUNTIF($F98:Klisz_Verbräuche[[#This Row],[2027]],"&gt;0")&gt;0, AVERAGEIF($F98:Klisz_Verbräuche[[#This Row],[2027]],"&lt;&gt;"), ""),IF($B$57&lt;Klisz_Verbräuche[[#Headers],[2028]],IF(COUNTIF($F98:Klisz_Verbräuche[[#This Row],[2027]],"&gt;0")&gt;0,IF(COUNTIF($F98:Klisz_Verbräuche[[#This Row],[2027]],"&gt;0")&gt;0,Klisz_Verbräuche[[#This Row],[2027]]*(1-$E98)^1, ""), ""),IF($B$57&gt;Klisz_Verbräuche[[#Headers],[2028]],Refsz_Verbräuche[[#This Row],[2028]],"")))</f>
        <v/>
      </c>
      <c r="T98" s="57" t="str">
        <f>IF(Klisz_Verbräuche[[#Headers],[2029]]=$B$57,IF(COUNTIF($F98:Klisz_Verbräuche[[#This Row],[2028]],"&gt;0")&gt;0, AVERAGEIF($F98:Klisz_Verbräuche[[#This Row],[2028]],"&lt;&gt;"), ""),IF($B$57&lt;Klisz_Verbräuche[[#Headers],[2029]],IF(COUNTIF($F98:Klisz_Verbräuche[[#This Row],[2028]],"&gt;0")&gt;0,IF(COUNTIF($F98:Klisz_Verbräuche[[#This Row],[2028]],"&gt;0")&gt;0,Klisz_Verbräuche[[#This Row],[2028]]*(1-$E98)^1, ""), ""),IF($B$57&gt;Klisz_Verbräuche[[#Headers],[2029]],Refsz_Verbräuche[[#This Row],[2029]],"")))</f>
        <v/>
      </c>
      <c r="U98" s="57" t="str">
        <f>IF(Klisz_Verbräuche[[#Headers],[2030]]=$B$57,IF(COUNTIF($F98:Klisz_Verbräuche[[#This Row],[2029]],"&gt;0")&gt;0, AVERAGEIF($F98:Klisz_Verbräuche[[#This Row],[2029]],"&lt;&gt;"), ""),IF($B$57&lt;Klisz_Verbräuche[[#Headers],[2030]],IF(COUNTIF($F98:Klisz_Verbräuche[[#This Row],[2029]],"&gt;0")&gt;0,IF(COUNTIF($F98:Klisz_Verbräuche[[#This Row],[2029]],"&gt;0")&gt;0,Klisz_Verbräuche[[#This Row],[2029]]*(1-$E98)^1, ""), ""),IF($B$57&gt;Klisz_Verbräuche[[#Headers],[2030]],Refsz_Verbräuche[[#This Row],[2030]],"")))</f>
        <v/>
      </c>
      <c r="V98" s="57" t="str">
        <f>IF(Klisz_Verbräuche[[#Headers],[2035]]=$B$57,IF(COUNTIF($F98:Klisz_Verbräuche[[#This Row],[2030]],"&gt;0")&gt;0, AVERAGEIF($F98:Klisz_Verbräuche[[#This Row],[2030]],"&lt;&gt;"), ""),IF($B$57&lt;Klisz_Verbräuche[[#Headers],[2035]],IF(COUNTIF($F98:Klisz_Verbräuche[[#This Row],[2030]],"&gt;0")&gt;0,IF(COUNTIF($F98:Klisz_Verbräuche[[#This Row],[2030]],"&gt;0")&gt;0,Klisz_Verbräuche[[#This Row],[2030]]*(1-$E98)^5, ""), ""),IF($B$57&gt;Klisz_Verbräuche[[#Headers],[2035]],Refsz_Verbräuche[[#This Row],[2035]],"")))</f>
        <v/>
      </c>
      <c r="W98" s="57" t="str">
        <f>IF(Klisz_Verbräuche[[#Headers],[2040]]=$B$57,IF(COUNTIF($F98:Klisz_Verbräuche[[#This Row],[2035]],"&gt;0")&gt;0, AVERAGEIF($F98:Klisz_Verbräuche[[#This Row],[2035]],"&lt;&gt;"), ""),IF($B$57&lt;Klisz_Verbräuche[[#Headers],[2040]],IF(COUNTIF($F98:Klisz_Verbräuche[[#This Row],[2035]],"&gt;0")&gt;0,IF(COUNTIF($F98:Klisz_Verbräuche[[#This Row],[2035]],"&gt;0")&gt;0,Klisz_Verbräuche[[#This Row],[2035]]*(1-$E98)^5, ""), ""),IF($B$57&gt;Klisz_Verbräuche[[#Headers],[2040]],Refsz_Verbräuche[[#This Row],[2040]],"")))</f>
        <v/>
      </c>
      <c r="X98" s="57" t="str">
        <f>IF(Klisz_Verbräuche[[#Headers],[2045]]=$B$57,IF(COUNTIF($F98:Klisz_Verbräuche[[#This Row],[2040]],"&gt;0")&gt;0, AVERAGEIF($F98:Klisz_Verbräuche[[#This Row],[2040]],"&lt;&gt;"), ""),IF($B$57&lt;Klisz_Verbräuche[[#Headers],[2045]],IF(COUNTIF($F98:Klisz_Verbräuche[[#This Row],[2040]],"&gt;0")&gt;0,IF(COUNTIF($F98:Klisz_Verbräuche[[#This Row],[2040]],"&gt;0")&gt;0,Klisz_Verbräuche[[#This Row],[2040]]*(1-$E98)^5, ""), ""),IF($B$57&gt;Klisz_Verbräuche[[#Headers],[2045]],Refsz_Verbräuche[[#This Row],[2045]],"")))</f>
        <v/>
      </c>
      <c r="Y98" s="57" t="str">
        <f>IF(Klisz_Verbräuche[[#Headers],[2050]]=$B$57,IF(COUNTIF($F98:Klisz_Verbräuche[[#This Row],[2045]],"&gt;0")&gt;0, AVERAGEIF($F98:Klisz_Verbräuche[[#This Row],[2045]],"&lt;&gt;"), ""),IF($B$57&lt;Klisz_Verbräuche[[#Headers],[2050]],IF(COUNTIF($F98:Klisz_Verbräuche[[#This Row],[2045]],"&gt;0")&gt;0,IF(COUNTIF($F98:Klisz_Verbräuche[[#This Row],[2045]],"&gt;0")&gt;0,Klisz_Verbräuche[[#This Row],[2045]]*(1-$E98)^5, ""), ""),IF($B$57&gt;Klisz_Verbräuche[[#Headers],[2050]],Refsz_Verbräuche[[#This Row],[2050]],"")))</f>
        <v/>
      </c>
      <c r="Z98" s="15"/>
    </row>
    <row r="99" spans="2:26" x14ac:dyDescent="0.35">
      <c r="B99" s="15">
        <v>39</v>
      </c>
      <c r="C99" s="20" t="str">
        <f>Refsz_Verbräuche[[#This Row],[Datenpunkt]]</f>
        <v>DR - Eisenbahn (Fernverkehr)</v>
      </c>
      <c r="D99" s="29" t="str">
        <f>Refsz_Verbräuche[[#This Row],[Einheit]]</f>
        <v>Pkm</v>
      </c>
      <c r="E99" s="122"/>
      <c r="F99" s="15" t="str">
        <f>IF(ISBLANK(Refsz_Verbräuche[[#This Row],[2015]]),"",Refsz_Verbräuche[[#This Row],[2015]])</f>
        <v/>
      </c>
      <c r="G99" s="15" t="str">
        <f>IF(ISBLANK(Refsz_Verbräuche[[#This Row],[2016]]),"",Refsz_Verbräuche[[#This Row],[2016]])</f>
        <v/>
      </c>
      <c r="H99" s="15" t="str">
        <f>IF(ISBLANK(Refsz_Verbräuche[[#This Row],[2017]]),"",Refsz_Verbräuche[[#This Row],[2017]])</f>
        <v/>
      </c>
      <c r="I99" s="15" t="str">
        <f>IF(ISBLANK(Refsz_Verbräuche[[#This Row],[2018]]),"",Refsz_Verbräuche[[#This Row],[2018]])</f>
        <v/>
      </c>
      <c r="J99" s="15" t="str">
        <f>IF(ISBLANK(Refsz_Verbräuche[[#This Row],[2019]]),"",Refsz_Verbräuche[[#This Row],[2019]])</f>
        <v/>
      </c>
      <c r="K99" s="15" t="str">
        <f>IF(ISBLANK(Refsz_Verbräuche[[#This Row],[2020]]),"",Refsz_Verbräuche[[#This Row],[2020]])</f>
        <v/>
      </c>
      <c r="L99" s="15" t="str">
        <f>IF(ISBLANK(Refsz_Verbräuche[[#This Row],[2021]]),"",Refsz_Verbräuche[[#This Row],[2021]])</f>
        <v/>
      </c>
      <c r="M99" s="57" t="str">
        <f>IF(Klisz_Verbräuche[[#Headers],[2022]]=$B$57,IF(COUNTIF($F99:Klisz_Verbräuche[[#This Row],[2021]],"&gt;0")&gt;0, AVERAGEIF($F99:Klisz_Verbräuche[[#This Row],[2021]],"&lt;&gt;"), ""),IF($B$57&lt;Klisz_Verbräuche[[#Headers],[2022]],IF(COUNTIF($F99:Klisz_Verbräuche[[#This Row],[2021]],"&gt;0")&gt;0,IF(COUNTIF($F99:Klisz_Verbräuche[[#This Row],[2021]],"&gt;0")&gt;0,Klisz_Verbräuche[[#This Row],[2021]]*(1-$E99)^1, ""), ""),IF($B$57&gt;Klisz_Verbräuche[[#Headers],[2022]],Refsz_Verbräuche[[#This Row],[2022]],"")))</f>
        <v/>
      </c>
      <c r="N99" s="57" t="str">
        <f>IF(Klisz_Verbräuche[[#Headers],[2023]]=$B$57,IF(COUNTIF($F99:Klisz_Verbräuche[[#This Row],[2022]],"&gt;0")&gt;0, AVERAGEIF($F99:Klisz_Verbräuche[[#This Row],[2022]],"&lt;&gt;"), ""),IF($B$57&lt;Klisz_Verbräuche[[#Headers],[2023]],IF(COUNTIF($F99:Klisz_Verbräuche[[#This Row],[2022]],"&gt;0")&gt;0,IF(COUNTIF($F99:Klisz_Verbräuche[[#This Row],[2022]],"&gt;0")&gt;0,Klisz_Verbräuche[[#This Row],[2022]]*(1-$E99)^1, ""), ""),IF($B$57&gt;Klisz_Verbräuche[[#Headers],[2023]],Refsz_Verbräuche[[#This Row],[2023]],"")))</f>
        <v/>
      </c>
      <c r="O99" s="57" t="str">
        <f>IF(Klisz_Verbräuche[[#Headers],[2024]]=$B$57,IF(COUNTIF($F99:Klisz_Verbräuche[[#This Row],[2023]],"&gt;0")&gt;0, AVERAGEIF($F99:Klisz_Verbräuche[[#This Row],[2023]],"&lt;&gt;"), ""),IF($B$57&lt;Klisz_Verbräuche[[#Headers],[2024]],IF(COUNTIF($F99:Klisz_Verbräuche[[#This Row],[2023]],"&gt;0")&gt;0,IF(COUNTIF($F99:Klisz_Verbräuche[[#This Row],[2023]],"&gt;0")&gt;0,Klisz_Verbräuche[[#This Row],[2023]]*(1-$E99)^1, ""), ""),IF($B$57&gt;Klisz_Verbräuche[[#Headers],[2024]],Refsz_Verbräuche[[#This Row],[2024]],"")))</f>
        <v/>
      </c>
      <c r="P99" s="57" t="str">
        <f>IF(Klisz_Verbräuche[[#Headers],[2025]]=$B$57,IF(COUNTIF($F99:Klisz_Verbräuche[[#This Row],[2024]],"&gt;0")&gt;0, AVERAGEIF($F99:Klisz_Verbräuche[[#This Row],[2024]],"&lt;&gt;"), ""),IF($B$57&lt;Klisz_Verbräuche[[#Headers],[2025]],IF(COUNTIF($F99:Klisz_Verbräuche[[#This Row],[2024]],"&gt;0")&gt;0,IF(COUNTIF($F99:Klisz_Verbräuche[[#This Row],[2024]],"&gt;0")&gt;0,Klisz_Verbräuche[[#This Row],[2024]]*(1-$E99)^1, ""), ""),IF($B$57&gt;Klisz_Verbräuche[[#Headers],[2025]],Refsz_Verbräuche[[#This Row],[2025]],"")))</f>
        <v/>
      </c>
      <c r="Q99" s="57" t="str">
        <f>IF(Klisz_Verbräuche[[#Headers],[2026]]=$B$57,IF(COUNTIF($F99:Klisz_Verbräuche[[#This Row],[2025]],"&gt;0")&gt;0, AVERAGEIF($F99:Klisz_Verbräuche[[#This Row],[2025]],"&lt;&gt;"), ""),IF($B$57&lt;Klisz_Verbräuche[[#Headers],[2026]],IF(COUNTIF($F99:Klisz_Verbräuche[[#This Row],[2025]],"&gt;0")&gt;0,IF(COUNTIF($F99:Klisz_Verbräuche[[#This Row],[2025]],"&gt;0")&gt;0,Klisz_Verbräuche[[#This Row],[2025]]*(1-$E99)^1, ""), ""),IF($B$57&gt;Klisz_Verbräuche[[#Headers],[2026]],Refsz_Verbräuche[[#This Row],[2026]],"")))</f>
        <v/>
      </c>
      <c r="R99" s="57" t="str">
        <f>IF(Klisz_Verbräuche[[#Headers],[2027]]=$B$57,IF(COUNTIF($F99:Klisz_Verbräuche[[#This Row],[2026]],"&gt;0")&gt;0, AVERAGEIF($F99:Klisz_Verbräuche[[#This Row],[2026]],"&lt;&gt;"), ""),IF($B$57&lt;Klisz_Verbräuche[[#Headers],[2027]],IF(COUNTIF($F99:Klisz_Verbräuche[[#This Row],[2026]],"&gt;0")&gt;0,IF(COUNTIF($F99:Klisz_Verbräuche[[#This Row],[2026]],"&gt;0")&gt;0,Klisz_Verbräuche[[#This Row],[2026]]*(1-$E99)^1, ""), ""),IF($B$57&gt;Klisz_Verbräuche[[#Headers],[2027]],Refsz_Verbräuche[[#This Row],[2027]],"")))</f>
        <v/>
      </c>
      <c r="S99" s="57" t="str">
        <f>IF(Klisz_Verbräuche[[#Headers],[2028]]=$B$57,IF(COUNTIF($F99:Klisz_Verbräuche[[#This Row],[2027]],"&gt;0")&gt;0, AVERAGEIF($F99:Klisz_Verbräuche[[#This Row],[2027]],"&lt;&gt;"), ""),IF($B$57&lt;Klisz_Verbräuche[[#Headers],[2028]],IF(COUNTIF($F99:Klisz_Verbräuche[[#This Row],[2027]],"&gt;0")&gt;0,IF(COUNTIF($F99:Klisz_Verbräuche[[#This Row],[2027]],"&gt;0")&gt;0,Klisz_Verbräuche[[#This Row],[2027]]*(1-$E99)^1, ""), ""),IF($B$57&gt;Klisz_Verbräuche[[#Headers],[2028]],Refsz_Verbräuche[[#This Row],[2028]],"")))</f>
        <v/>
      </c>
      <c r="T99" s="57" t="str">
        <f>IF(Klisz_Verbräuche[[#Headers],[2029]]=$B$57,IF(COUNTIF($F99:Klisz_Verbräuche[[#This Row],[2028]],"&gt;0")&gt;0, AVERAGEIF($F99:Klisz_Verbräuche[[#This Row],[2028]],"&lt;&gt;"), ""),IF($B$57&lt;Klisz_Verbräuche[[#Headers],[2029]],IF(COUNTIF($F99:Klisz_Verbräuche[[#This Row],[2028]],"&gt;0")&gt;0,IF(COUNTIF($F99:Klisz_Verbräuche[[#This Row],[2028]],"&gt;0")&gt;0,Klisz_Verbräuche[[#This Row],[2028]]*(1-$E99)^1, ""), ""),IF($B$57&gt;Klisz_Verbräuche[[#Headers],[2029]],Refsz_Verbräuche[[#This Row],[2029]],"")))</f>
        <v/>
      </c>
      <c r="U99" s="57" t="str">
        <f>IF(Klisz_Verbräuche[[#Headers],[2030]]=$B$57,IF(COUNTIF($F99:Klisz_Verbräuche[[#This Row],[2029]],"&gt;0")&gt;0, AVERAGEIF($F99:Klisz_Verbräuche[[#This Row],[2029]],"&lt;&gt;"), ""),IF($B$57&lt;Klisz_Verbräuche[[#Headers],[2030]],IF(COUNTIF($F99:Klisz_Verbräuche[[#This Row],[2029]],"&gt;0")&gt;0,IF(COUNTIF($F99:Klisz_Verbräuche[[#This Row],[2029]],"&gt;0")&gt;0,Klisz_Verbräuche[[#This Row],[2029]]*(1-$E99)^1, ""), ""),IF($B$57&gt;Klisz_Verbräuche[[#Headers],[2030]],Refsz_Verbräuche[[#This Row],[2030]],"")))</f>
        <v/>
      </c>
      <c r="V99" s="57" t="str">
        <f>IF(Klisz_Verbräuche[[#Headers],[2035]]=$B$57,IF(COUNTIF($F99:Klisz_Verbräuche[[#This Row],[2030]],"&gt;0")&gt;0, AVERAGEIF($F99:Klisz_Verbräuche[[#This Row],[2030]],"&lt;&gt;"), ""),IF($B$57&lt;Klisz_Verbräuche[[#Headers],[2035]],IF(COUNTIF($F99:Klisz_Verbräuche[[#This Row],[2030]],"&gt;0")&gt;0,IF(COUNTIF($F99:Klisz_Verbräuche[[#This Row],[2030]],"&gt;0")&gt;0,Klisz_Verbräuche[[#This Row],[2030]]*(1-$E99)^5, ""), ""),IF($B$57&gt;Klisz_Verbräuche[[#Headers],[2035]],Refsz_Verbräuche[[#This Row],[2035]],"")))</f>
        <v/>
      </c>
      <c r="W99" s="57" t="str">
        <f>IF(Klisz_Verbräuche[[#Headers],[2040]]=$B$57,IF(COUNTIF($F99:Klisz_Verbräuche[[#This Row],[2035]],"&gt;0")&gt;0, AVERAGEIF($F99:Klisz_Verbräuche[[#This Row],[2035]],"&lt;&gt;"), ""),IF($B$57&lt;Klisz_Verbräuche[[#Headers],[2040]],IF(COUNTIF($F99:Klisz_Verbräuche[[#This Row],[2035]],"&gt;0")&gt;0,IF(COUNTIF($F99:Klisz_Verbräuche[[#This Row],[2035]],"&gt;0")&gt;0,Klisz_Verbräuche[[#This Row],[2035]]*(1-$E99)^5, ""), ""),IF($B$57&gt;Klisz_Verbräuche[[#Headers],[2040]],Refsz_Verbräuche[[#This Row],[2040]],"")))</f>
        <v/>
      </c>
      <c r="X99" s="57" t="str">
        <f>IF(Klisz_Verbräuche[[#Headers],[2045]]=$B$57,IF(COUNTIF($F99:Klisz_Verbräuche[[#This Row],[2040]],"&gt;0")&gt;0, AVERAGEIF($F99:Klisz_Verbräuche[[#This Row],[2040]],"&lt;&gt;"), ""),IF($B$57&lt;Klisz_Verbräuche[[#Headers],[2045]],IF(COUNTIF($F99:Klisz_Verbräuche[[#This Row],[2040]],"&gt;0")&gt;0,IF(COUNTIF($F99:Klisz_Verbräuche[[#This Row],[2040]],"&gt;0")&gt;0,Klisz_Verbräuche[[#This Row],[2040]]*(1-$E99)^5, ""), ""),IF($B$57&gt;Klisz_Verbräuche[[#Headers],[2045]],Refsz_Verbräuche[[#This Row],[2045]],"")))</f>
        <v/>
      </c>
      <c r="Y99" s="57" t="str">
        <f>IF(Klisz_Verbräuche[[#Headers],[2050]]=$B$57,IF(COUNTIF($F99:Klisz_Verbräuche[[#This Row],[2045]],"&gt;0")&gt;0, AVERAGEIF($F99:Klisz_Verbräuche[[#This Row],[2045]],"&lt;&gt;"), ""),IF($B$57&lt;Klisz_Verbräuche[[#Headers],[2050]],IF(COUNTIF($F99:Klisz_Verbräuche[[#This Row],[2045]],"&gt;0")&gt;0,IF(COUNTIF($F99:Klisz_Verbräuche[[#This Row],[2045]],"&gt;0")&gt;0,Klisz_Verbräuche[[#This Row],[2045]]*(1-$E99)^5, ""), ""),IF($B$57&gt;Klisz_Verbräuche[[#Headers],[2050]],Refsz_Verbräuche[[#This Row],[2050]],"")))</f>
        <v/>
      </c>
      <c r="Z99" s="15"/>
    </row>
    <row r="100" spans="2:26" x14ac:dyDescent="0.35">
      <c r="B100" s="15">
        <v>40</v>
      </c>
      <c r="C100" s="20" t="str">
        <f>Refsz_Verbräuche[[#This Row],[Datenpunkt]]</f>
        <v>DR - Eisenbahn (Nahverkehr)</v>
      </c>
      <c r="D100" s="29" t="str">
        <f>Refsz_Verbräuche[[#This Row],[Einheit]]</f>
        <v>Pkm</v>
      </c>
      <c r="E100" s="122"/>
      <c r="F100" s="15" t="str">
        <f>IF(ISBLANK(Refsz_Verbräuche[[#This Row],[2015]]),"",Refsz_Verbräuche[[#This Row],[2015]])</f>
        <v/>
      </c>
      <c r="G100" s="15" t="str">
        <f>IF(ISBLANK(Refsz_Verbräuche[[#This Row],[2016]]),"",Refsz_Verbräuche[[#This Row],[2016]])</f>
        <v/>
      </c>
      <c r="H100" s="15" t="str">
        <f>IF(ISBLANK(Refsz_Verbräuche[[#This Row],[2017]]),"",Refsz_Verbräuche[[#This Row],[2017]])</f>
        <v/>
      </c>
      <c r="I100" s="15" t="str">
        <f>IF(ISBLANK(Refsz_Verbräuche[[#This Row],[2018]]),"",Refsz_Verbräuche[[#This Row],[2018]])</f>
        <v/>
      </c>
      <c r="J100" s="15" t="str">
        <f>IF(ISBLANK(Refsz_Verbräuche[[#This Row],[2019]]),"",Refsz_Verbräuche[[#This Row],[2019]])</f>
        <v/>
      </c>
      <c r="K100" s="15" t="str">
        <f>IF(ISBLANK(Refsz_Verbräuche[[#This Row],[2020]]),"",Refsz_Verbräuche[[#This Row],[2020]])</f>
        <v/>
      </c>
      <c r="L100" s="15" t="str">
        <f>IF(ISBLANK(Refsz_Verbräuche[[#This Row],[2021]]),"",Refsz_Verbräuche[[#This Row],[2021]])</f>
        <v/>
      </c>
      <c r="M100" s="57" t="str">
        <f>IF(Klisz_Verbräuche[[#Headers],[2022]]=$B$57,IF(COUNTIF($F100:Klisz_Verbräuche[[#This Row],[2021]],"&gt;0")&gt;0, AVERAGEIF($F100:Klisz_Verbräuche[[#This Row],[2021]],"&lt;&gt;"), ""),IF($B$57&lt;Klisz_Verbräuche[[#Headers],[2022]],IF(COUNTIF($F100:Klisz_Verbräuche[[#This Row],[2021]],"&gt;0")&gt;0,IF(COUNTIF($F100:Klisz_Verbräuche[[#This Row],[2021]],"&gt;0")&gt;0,Klisz_Verbräuche[[#This Row],[2021]]*(1-$E100)^1, ""), ""),IF($B$57&gt;Klisz_Verbräuche[[#Headers],[2022]],Refsz_Verbräuche[[#This Row],[2022]],"")))</f>
        <v/>
      </c>
      <c r="N100" s="57" t="str">
        <f>IF(Klisz_Verbräuche[[#Headers],[2023]]=$B$57,IF(COUNTIF($F100:Klisz_Verbräuche[[#This Row],[2022]],"&gt;0")&gt;0, AVERAGEIF($F100:Klisz_Verbräuche[[#This Row],[2022]],"&lt;&gt;"), ""),IF($B$57&lt;Klisz_Verbräuche[[#Headers],[2023]],IF(COUNTIF($F100:Klisz_Verbräuche[[#This Row],[2022]],"&gt;0")&gt;0,IF(COUNTIF($F100:Klisz_Verbräuche[[#This Row],[2022]],"&gt;0")&gt;0,Klisz_Verbräuche[[#This Row],[2022]]*(1-$E100)^1, ""), ""),IF($B$57&gt;Klisz_Verbräuche[[#Headers],[2023]],Refsz_Verbräuche[[#This Row],[2023]],"")))</f>
        <v/>
      </c>
      <c r="O100" s="57" t="str">
        <f>IF(Klisz_Verbräuche[[#Headers],[2024]]=$B$57,IF(COUNTIF($F100:Klisz_Verbräuche[[#This Row],[2023]],"&gt;0")&gt;0, AVERAGEIF($F100:Klisz_Verbräuche[[#This Row],[2023]],"&lt;&gt;"), ""),IF($B$57&lt;Klisz_Verbräuche[[#Headers],[2024]],IF(COUNTIF($F100:Klisz_Verbräuche[[#This Row],[2023]],"&gt;0")&gt;0,IF(COUNTIF($F100:Klisz_Verbräuche[[#This Row],[2023]],"&gt;0")&gt;0,Klisz_Verbräuche[[#This Row],[2023]]*(1-$E100)^1, ""), ""),IF($B$57&gt;Klisz_Verbräuche[[#Headers],[2024]],Refsz_Verbräuche[[#This Row],[2024]],"")))</f>
        <v/>
      </c>
      <c r="P100" s="57" t="str">
        <f>IF(Klisz_Verbräuche[[#Headers],[2025]]=$B$57,IF(COUNTIF($F100:Klisz_Verbräuche[[#This Row],[2024]],"&gt;0")&gt;0, AVERAGEIF($F100:Klisz_Verbräuche[[#This Row],[2024]],"&lt;&gt;"), ""),IF($B$57&lt;Klisz_Verbräuche[[#Headers],[2025]],IF(COUNTIF($F100:Klisz_Verbräuche[[#This Row],[2024]],"&gt;0")&gt;0,IF(COUNTIF($F100:Klisz_Verbräuche[[#This Row],[2024]],"&gt;0")&gt;0,Klisz_Verbräuche[[#This Row],[2024]]*(1-$E100)^1, ""), ""),IF($B$57&gt;Klisz_Verbräuche[[#Headers],[2025]],Refsz_Verbräuche[[#This Row],[2025]],"")))</f>
        <v/>
      </c>
      <c r="Q100" s="57" t="str">
        <f>IF(Klisz_Verbräuche[[#Headers],[2026]]=$B$57,IF(COUNTIF($F100:Klisz_Verbräuche[[#This Row],[2025]],"&gt;0")&gt;0, AVERAGEIF($F100:Klisz_Verbräuche[[#This Row],[2025]],"&lt;&gt;"), ""),IF($B$57&lt;Klisz_Verbräuche[[#Headers],[2026]],IF(COUNTIF($F100:Klisz_Verbräuche[[#This Row],[2025]],"&gt;0")&gt;0,IF(COUNTIF($F100:Klisz_Verbräuche[[#This Row],[2025]],"&gt;0")&gt;0,Klisz_Verbräuche[[#This Row],[2025]]*(1-$E100)^1, ""), ""),IF($B$57&gt;Klisz_Verbräuche[[#Headers],[2026]],Refsz_Verbräuche[[#This Row],[2026]],"")))</f>
        <v/>
      </c>
      <c r="R100" s="57" t="str">
        <f>IF(Klisz_Verbräuche[[#Headers],[2027]]=$B$57,IF(COUNTIF($F100:Klisz_Verbräuche[[#This Row],[2026]],"&gt;0")&gt;0, AVERAGEIF($F100:Klisz_Verbräuche[[#This Row],[2026]],"&lt;&gt;"), ""),IF($B$57&lt;Klisz_Verbräuche[[#Headers],[2027]],IF(COUNTIF($F100:Klisz_Verbräuche[[#This Row],[2026]],"&gt;0")&gt;0,IF(COUNTIF($F100:Klisz_Verbräuche[[#This Row],[2026]],"&gt;0")&gt;0,Klisz_Verbräuche[[#This Row],[2026]]*(1-$E100)^1, ""), ""),IF($B$57&gt;Klisz_Verbräuche[[#Headers],[2027]],Refsz_Verbräuche[[#This Row],[2027]],"")))</f>
        <v/>
      </c>
      <c r="S100" s="57" t="str">
        <f>IF(Klisz_Verbräuche[[#Headers],[2028]]=$B$57,IF(COUNTIF($F100:Klisz_Verbräuche[[#This Row],[2027]],"&gt;0")&gt;0, AVERAGEIF($F100:Klisz_Verbräuche[[#This Row],[2027]],"&lt;&gt;"), ""),IF($B$57&lt;Klisz_Verbräuche[[#Headers],[2028]],IF(COUNTIF($F100:Klisz_Verbräuche[[#This Row],[2027]],"&gt;0")&gt;0,IF(COUNTIF($F100:Klisz_Verbräuche[[#This Row],[2027]],"&gt;0")&gt;0,Klisz_Verbräuche[[#This Row],[2027]]*(1-$E100)^1, ""), ""),IF($B$57&gt;Klisz_Verbräuche[[#Headers],[2028]],Refsz_Verbräuche[[#This Row],[2028]],"")))</f>
        <v/>
      </c>
      <c r="T100" s="57" t="str">
        <f>IF(Klisz_Verbräuche[[#Headers],[2029]]=$B$57,IF(COUNTIF($F100:Klisz_Verbräuche[[#This Row],[2028]],"&gt;0")&gt;0, AVERAGEIF($F100:Klisz_Verbräuche[[#This Row],[2028]],"&lt;&gt;"), ""),IF($B$57&lt;Klisz_Verbräuche[[#Headers],[2029]],IF(COUNTIF($F100:Klisz_Verbräuche[[#This Row],[2028]],"&gt;0")&gt;0,IF(COUNTIF($F100:Klisz_Verbräuche[[#This Row],[2028]],"&gt;0")&gt;0,Klisz_Verbräuche[[#This Row],[2028]]*(1-$E100)^1, ""), ""),IF($B$57&gt;Klisz_Verbräuche[[#Headers],[2029]],Refsz_Verbräuche[[#This Row],[2029]],"")))</f>
        <v/>
      </c>
      <c r="U100" s="57" t="str">
        <f>IF(Klisz_Verbräuche[[#Headers],[2030]]=$B$57,IF(COUNTIF($F100:Klisz_Verbräuche[[#This Row],[2029]],"&gt;0")&gt;0, AVERAGEIF($F100:Klisz_Verbräuche[[#This Row],[2029]],"&lt;&gt;"), ""),IF($B$57&lt;Klisz_Verbräuche[[#Headers],[2030]],IF(COUNTIF($F100:Klisz_Verbräuche[[#This Row],[2029]],"&gt;0")&gt;0,IF(COUNTIF($F100:Klisz_Verbräuche[[#This Row],[2029]],"&gt;0")&gt;0,Klisz_Verbräuche[[#This Row],[2029]]*(1-$E100)^1, ""), ""),IF($B$57&gt;Klisz_Verbräuche[[#Headers],[2030]],Refsz_Verbräuche[[#This Row],[2030]],"")))</f>
        <v/>
      </c>
      <c r="V100" s="57" t="str">
        <f>IF(Klisz_Verbräuche[[#Headers],[2035]]=$B$57,IF(COUNTIF($F100:Klisz_Verbräuche[[#This Row],[2030]],"&gt;0")&gt;0, AVERAGEIF($F100:Klisz_Verbräuche[[#This Row],[2030]],"&lt;&gt;"), ""),IF($B$57&lt;Klisz_Verbräuche[[#Headers],[2035]],IF(COUNTIF($F100:Klisz_Verbräuche[[#This Row],[2030]],"&gt;0")&gt;0,IF(COUNTIF($F100:Klisz_Verbräuche[[#This Row],[2030]],"&gt;0")&gt;0,Klisz_Verbräuche[[#This Row],[2030]]*(1-$E100)^5, ""), ""),IF($B$57&gt;Klisz_Verbräuche[[#Headers],[2035]],Refsz_Verbräuche[[#This Row],[2035]],"")))</f>
        <v/>
      </c>
      <c r="W100" s="57" t="str">
        <f>IF(Klisz_Verbräuche[[#Headers],[2040]]=$B$57,IF(COUNTIF($F100:Klisz_Verbräuche[[#This Row],[2035]],"&gt;0")&gt;0, AVERAGEIF($F100:Klisz_Verbräuche[[#This Row],[2035]],"&lt;&gt;"), ""),IF($B$57&lt;Klisz_Verbräuche[[#Headers],[2040]],IF(COUNTIF($F100:Klisz_Verbräuche[[#This Row],[2035]],"&gt;0")&gt;0,IF(COUNTIF($F100:Klisz_Verbräuche[[#This Row],[2035]],"&gt;0")&gt;0,Klisz_Verbräuche[[#This Row],[2035]]*(1-$E100)^5, ""), ""),IF($B$57&gt;Klisz_Verbräuche[[#Headers],[2040]],Refsz_Verbräuche[[#This Row],[2040]],"")))</f>
        <v/>
      </c>
      <c r="X100" s="57" t="str">
        <f>IF(Klisz_Verbräuche[[#Headers],[2045]]=$B$57,IF(COUNTIF($F100:Klisz_Verbräuche[[#This Row],[2040]],"&gt;0")&gt;0, AVERAGEIF($F100:Klisz_Verbräuche[[#This Row],[2040]],"&lt;&gt;"), ""),IF($B$57&lt;Klisz_Verbräuche[[#Headers],[2045]],IF(COUNTIF($F100:Klisz_Verbräuche[[#This Row],[2040]],"&gt;0")&gt;0,IF(COUNTIF($F100:Klisz_Verbräuche[[#This Row],[2040]],"&gt;0")&gt;0,Klisz_Verbräuche[[#This Row],[2040]]*(1-$E100)^5, ""), ""),IF($B$57&gt;Klisz_Verbräuche[[#Headers],[2045]],Refsz_Verbräuche[[#This Row],[2045]],"")))</f>
        <v/>
      </c>
      <c r="Y100" s="57" t="str">
        <f>IF(Klisz_Verbräuche[[#Headers],[2050]]=$B$57,IF(COUNTIF($F100:Klisz_Verbräuche[[#This Row],[2045]],"&gt;0")&gt;0, AVERAGEIF($F100:Klisz_Verbräuche[[#This Row],[2045]],"&lt;&gt;"), ""),IF($B$57&lt;Klisz_Verbräuche[[#Headers],[2050]],IF(COUNTIF($F100:Klisz_Verbräuche[[#This Row],[2045]],"&gt;0")&gt;0,IF(COUNTIF($F100:Klisz_Verbräuche[[#This Row],[2045]],"&gt;0")&gt;0,Klisz_Verbräuche[[#This Row],[2045]]*(1-$E100)^5, ""), ""),IF($B$57&gt;Klisz_Verbräuche[[#Headers],[2050]],Refsz_Verbräuche[[#This Row],[2050]],"")))</f>
        <v/>
      </c>
      <c r="Z100" s="15"/>
    </row>
    <row r="101" spans="2:26" x14ac:dyDescent="0.35">
      <c r="B101" s="15">
        <v>41</v>
      </c>
      <c r="C101" s="20" t="str">
        <f>Refsz_Verbräuche[[#This Row],[Datenpunkt]]</f>
        <v>DR - Reisebus, Linienbus (Fernverkehr)</v>
      </c>
      <c r="D101" s="29" t="str">
        <f>Refsz_Verbräuche[[#This Row],[Einheit]]</f>
        <v>Pkm</v>
      </c>
      <c r="E101" s="122"/>
      <c r="F101" s="15" t="str">
        <f>IF(ISBLANK(Refsz_Verbräuche[[#This Row],[2015]]),"",Refsz_Verbräuche[[#This Row],[2015]])</f>
        <v/>
      </c>
      <c r="G101" s="15" t="str">
        <f>IF(ISBLANK(Refsz_Verbräuche[[#This Row],[2016]]),"",Refsz_Verbräuche[[#This Row],[2016]])</f>
        <v/>
      </c>
      <c r="H101" s="15" t="str">
        <f>IF(ISBLANK(Refsz_Verbräuche[[#This Row],[2017]]),"",Refsz_Verbräuche[[#This Row],[2017]])</f>
        <v/>
      </c>
      <c r="I101" s="15" t="str">
        <f>IF(ISBLANK(Refsz_Verbräuche[[#This Row],[2018]]),"",Refsz_Verbräuche[[#This Row],[2018]])</f>
        <v/>
      </c>
      <c r="J101" s="15" t="str">
        <f>IF(ISBLANK(Refsz_Verbräuche[[#This Row],[2019]]),"",Refsz_Verbräuche[[#This Row],[2019]])</f>
        <v/>
      </c>
      <c r="K101" s="15" t="str">
        <f>IF(ISBLANK(Refsz_Verbräuche[[#This Row],[2020]]),"",Refsz_Verbräuche[[#This Row],[2020]])</f>
        <v/>
      </c>
      <c r="L101" s="15" t="str">
        <f>IF(ISBLANK(Refsz_Verbräuche[[#This Row],[2021]]),"",Refsz_Verbräuche[[#This Row],[2021]])</f>
        <v/>
      </c>
      <c r="M101" s="57" t="str">
        <f>IF(Klisz_Verbräuche[[#Headers],[2022]]=$B$57,IF(COUNTIF($F101:Klisz_Verbräuche[[#This Row],[2021]],"&gt;0")&gt;0, AVERAGEIF($F101:Klisz_Verbräuche[[#This Row],[2021]],"&lt;&gt;"), ""),IF($B$57&lt;Klisz_Verbräuche[[#Headers],[2022]],IF(COUNTIF($F101:Klisz_Verbräuche[[#This Row],[2021]],"&gt;0")&gt;0,IF(COUNTIF($F101:Klisz_Verbräuche[[#This Row],[2021]],"&gt;0")&gt;0,Klisz_Verbräuche[[#This Row],[2021]]*(1-$E101)^1, ""), ""),IF($B$57&gt;Klisz_Verbräuche[[#Headers],[2022]],Refsz_Verbräuche[[#This Row],[2022]],"")))</f>
        <v/>
      </c>
      <c r="N101" s="57" t="str">
        <f>IF(Klisz_Verbräuche[[#Headers],[2023]]=$B$57,IF(COUNTIF($F101:Klisz_Verbräuche[[#This Row],[2022]],"&gt;0")&gt;0, AVERAGEIF($F101:Klisz_Verbräuche[[#This Row],[2022]],"&lt;&gt;"), ""),IF($B$57&lt;Klisz_Verbräuche[[#Headers],[2023]],IF(COUNTIF($F101:Klisz_Verbräuche[[#This Row],[2022]],"&gt;0")&gt;0,IF(COUNTIF($F101:Klisz_Verbräuche[[#This Row],[2022]],"&gt;0")&gt;0,Klisz_Verbräuche[[#This Row],[2022]]*(1-$E101)^1, ""), ""),IF($B$57&gt;Klisz_Verbräuche[[#Headers],[2023]],Refsz_Verbräuche[[#This Row],[2023]],"")))</f>
        <v/>
      </c>
      <c r="O101" s="57" t="str">
        <f>IF(Klisz_Verbräuche[[#Headers],[2024]]=$B$57,IF(COUNTIF($F101:Klisz_Verbräuche[[#This Row],[2023]],"&gt;0")&gt;0, AVERAGEIF($F101:Klisz_Verbräuche[[#This Row],[2023]],"&lt;&gt;"), ""),IF($B$57&lt;Klisz_Verbräuche[[#Headers],[2024]],IF(COUNTIF($F101:Klisz_Verbräuche[[#This Row],[2023]],"&gt;0")&gt;0,IF(COUNTIF($F101:Klisz_Verbräuche[[#This Row],[2023]],"&gt;0")&gt;0,Klisz_Verbräuche[[#This Row],[2023]]*(1-$E101)^1, ""), ""),IF($B$57&gt;Klisz_Verbräuche[[#Headers],[2024]],Refsz_Verbräuche[[#This Row],[2024]],"")))</f>
        <v/>
      </c>
      <c r="P101" s="57" t="str">
        <f>IF(Klisz_Verbräuche[[#Headers],[2025]]=$B$57,IF(COUNTIF($F101:Klisz_Verbräuche[[#This Row],[2024]],"&gt;0")&gt;0, AVERAGEIF($F101:Klisz_Verbräuche[[#This Row],[2024]],"&lt;&gt;"), ""),IF($B$57&lt;Klisz_Verbräuche[[#Headers],[2025]],IF(COUNTIF($F101:Klisz_Verbräuche[[#This Row],[2024]],"&gt;0")&gt;0,IF(COUNTIF($F101:Klisz_Verbräuche[[#This Row],[2024]],"&gt;0")&gt;0,Klisz_Verbräuche[[#This Row],[2024]]*(1-$E101)^1, ""), ""),IF($B$57&gt;Klisz_Verbräuche[[#Headers],[2025]],Refsz_Verbräuche[[#This Row],[2025]],"")))</f>
        <v/>
      </c>
      <c r="Q101" s="57" t="str">
        <f>IF(Klisz_Verbräuche[[#Headers],[2026]]=$B$57,IF(COUNTIF($F101:Klisz_Verbräuche[[#This Row],[2025]],"&gt;0")&gt;0, AVERAGEIF($F101:Klisz_Verbräuche[[#This Row],[2025]],"&lt;&gt;"), ""),IF($B$57&lt;Klisz_Verbräuche[[#Headers],[2026]],IF(COUNTIF($F101:Klisz_Verbräuche[[#This Row],[2025]],"&gt;0")&gt;0,IF(COUNTIF($F101:Klisz_Verbräuche[[#This Row],[2025]],"&gt;0")&gt;0,Klisz_Verbräuche[[#This Row],[2025]]*(1-$E101)^1, ""), ""),IF($B$57&gt;Klisz_Verbräuche[[#Headers],[2026]],Refsz_Verbräuche[[#This Row],[2026]],"")))</f>
        <v/>
      </c>
      <c r="R101" s="57" t="str">
        <f>IF(Klisz_Verbräuche[[#Headers],[2027]]=$B$57,IF(COUNTIF($F101:Klisz_Verbräuche[[#This Row],[2026]],"&gt;0")&gt;0, AVERAGEIF($F101:Klisz_Verbräuche[[#This Row],[2026]],"&lt;&gt;"), ""),IF($B$57&lt;Klisz_Verbräuche[[#Headers],[2027]],IF(COUNTIF($F101:Klisz_Verbräuche[[#This Row],[2026]],"&gt;0")&gt;0,IF(COUNTIF($F101:Klisz_Verbräuche[[#This Row],[2026]],"&gt;0")&gt;0,Klisz_Verbräuche[[#This Row],[2026]]*(1-$E101)^1, ""), ""),IF($B$57&gt;Klisz_Verbräuche[[#Headers],[2027]],Refsz_Verbräuche[[#This Row],[2027]],"")))</f>
        <v/>
      </c>
      <c r="S101" s="57" t="str">
        <f>IF(Klisz_Verbräuche[[#Headers],[2028]]=$B$57,IF(COUNTIF($F101:Klisz_Verbräuche[[#This Row],[2027]],"&gt;0")&gt;0, AVERAGEIF($F101:Klisz_Verbräuche[[#This Row],[2027]],"&lt;&gt;"), ""),IF($B$57&lt;Klisz_Verbräuche[[#Headers],[2028]],IF(COUNTIF($F101:Klisz_Verbräuche[[#This Row],[2027]],"&gt;0")&gt;0,IF(COUNTIF($F101:Klisz_Verbräuche[[#This Row],[2027]],"&gt;0")&gt;0,Klisz_Verbräuche[[#This Row],[2027]]*(1-$E101)^1, ""), ""),IF($B$57&gt;Klisz_Verbräuche[[#Headers],[2028]],Refsz_Verbräuche[[#This Row],[2028]],"")))</f>
        <v/>
      </c>
      <c r="T101" s="57" t="str">
        <f>IF(Klisz_Verbräuche[[#Headers],[2029]]=$B$57,IF(COUNTIF($F101:Klisz_Verbräuche[[#This Row],[2028]],"&gt;0")&gt;0, AVERAGEIF($F101:Klisz_Verbräuche[[#This Row],[2028]],"&lt;&gt;"), ""),IF($B$57&lt;Klisz_Verbräuche[[#Headers],[2029]],IF(COUNTIF($F101:Klisz_Verbräuche[[#This Row],[2028]],"&gt;0")&gt;0,IF(COUNTIF($F101:Klisz_Verbräuche[[#This Row],[2028]],"&gt;0")&gt;0,Klisz_Verbräuche[[#This Row],[2028]]*(1-$E101)^1, ""), ""),IF($B$57&gt;Klisz_Verbräuche[[#Headers],[2029]],Refsz_Verbräuche[[#This Row],[2029]],"")))</f>
        <v/>
      </c>
      <c r="U101" s="57" t="str">
        <f>IF(Klisz_Verbräuche[[#Headers],[2030]]=$B$57,IF(COUNTIF($F101:Klisz_Verbräuche[[#This Row],[2029]],"&gt;0")&gt;0, AVERAGEIF($F101:Klisz_Verbräuche[[#This Row],[2029]],"&lt;&gt;"), ""),IF($B$57&lt;Klisz_Verbräuche[[#Headers],[2030]],IF(COUNTIF($F101:Klisz_Verbräuche[[#This Row],[2029]],"&gt;0")&gt;0,IF(COUNTIF($F101:Klisz_Verbräuche[[#This Row],[2029]],"&gt;0")&gt;0,Klisz_Verbräuche[[#This Row],[2029]]*(1-$E101)^1, ""), ""),IF($B$57&gt;Klisz_Verbräuche[[#Headers],[2030]],Refsz_Verbräuche[[#This Row],[2030]],"")))</f>
        <v/>
      </c>
      <c r="V101" s="57" t="str">
        <f>IF(Klisz_Verbräuche[[#Headers],[2035]]=$B$57,IF(COUNTIF($F101:Klisz_Verbräuche[[#This Row],[2030]],"&gt;0")&gt;0, AVERAGEIF($F101:Klisz_Verbräuche[[#This Row],[2030]],"&lt;&gt;"), ""),IF($B$57&lt;Klisz_Verbräuche[[#Headers],[2035]],IF(COUNTIF($F101:Klisz_Verbräuche[[#This Row],[2030]],"&gt;0")&gt;0,IF(COUNTIF($F101:Klisz_Verbräuche[[#This Row],[2030]],"&gt;0")&gt;0,Klisz_Verbräuche[[#This Row],[2030]]*(1-$E101)^5, ""), ""),IF($B$57&gt;Klisz_Verbräuche[[#Headers],[2035]],Refsz_Verbräuche[[#This Row],[2035]],"")))</f>
        <v/>
      </c>
      <c r="W101" s="57" t="str">
        <f>IF(Klisz_Verbräuche[[#Headers],[2040]]=$B$57,IF(COUNTIF($F101:Klisz_Verbräuche[[#This Row],[2035]],"&gt;0")&gt;0, AVERAGEIF($F101:Klisz_Verbräuche[[#This Row],[2035]],"&lt;&gt;"), ""),IF($B$57&lt;Klisz_Verbräuche[[#Headers],[2040]],IF(COUNTIF($F101:Klisz_Verbräuche[[#This Row],[2035]],"&gt;0")&gt;0,IF(COUNTIF($F101:Klisz_Verbräuche[[#This Row],[2035]],"&gt;0")&gt;0,Klisz_Verbräuche[[#This Row],[2035]]*(1-$E101)^5, ""), ""),IF($B$57&gt;Klisz_Verbräuche[[#Headers],[2040]],Refsz_Verbräuche[[#This Row],[2040]],"")))</f>
        <v/>
      </c>
      <c r="X101" s="57" t="str">
        <f>IF(Klisz_Verbräuche[[#Headers],[2045]]=$B$57,IF(COUNTIF($F101:Klisz_Verbräuche[[#This Row],[2040]],"&gt;0")&gt;0, AVERAGEIF($F101:Klisz_Verbräuche[[#This Row],[2040]],"&lt;&gt;"), ""),IF($B$57&lt;Klisz_Verbräuche[[#Headers],[2045]],IF(COUNTIF($F101:Klisz_Verbräuche[[#This Row],[2040]],"&gt;0")&gt;0,IF(COUNTIF($F101:Klisz_Verbräuche[[#This Row],[2040]],"&gt;0")&gt;0,Klisz_Verbräuche[[#This Row],[2040]]*(1-$E101)^5, ""), ""),IF($B$57&gt;Klisz_Verbräuche[[#Headers],[2045]],Refsz_Verbräuche[[#This Row],[2045]],"")))</f>
        <v/>
      </c>
      <c r="Y101" s="57" t="str">
        <f>IF(Klisz_Verbräuche[[#Headers],[2050]]=$B$57,IF(COUNTIF($F101:Klisz_Verbräuche[[#This Row],[2045]],"&gt;0")&gt;0, AVERAGEIF($F101:Klisz_Verbräuche[[#This Row],[2045]],"&lt;&gt;"), ""),IF($B$57&lt;Klisz_Verbräuche[[#Headers],[2050]],IF(COUNTIF($F101:Klisz_Verbräuche[[#This Row],[2045]],"&gt;0")&gt;0,IF(COUNTIF($F101:Klisz_Verbräuche[[#This Row],[2045]],"&gt;0")&gt;0,Klisz_Verbräuche[[#This Row],[2045]]*(1-$E101)^5, ""), ""),IF($B$57&gt;Klisz_Verbräuche[[#Headers],[2050]],Refsz_Verbräuche[[#This Row],[2050]],"")))</f>
        <v/>
      </c>
      <c r="Z101" s="15"/>
    </row>
    <row r="102" spans="2:26" x14ac:dyDescent="0.35">
      <c r="B102" s="15">
        <v>42</v>
      </c>
      <c r="C102" s="20" t="str">
        <f>Refsz_Verbräuche[[#This Row],[Datenpunkt]]</f>
        <v>DR - Linienbus (Nahverkehr)</v>
      </c>
      <c r="D102" s="29" t="str">
        <f>Refsz_Verbräuche[[#This Row],[Einheit]]</f>
        <v>Pkm</v>
      </c>
      <c r="E102" s="122"/>
      <c r="F102" s="15" t="str">
        <f>IF(ISBLANK(Refsz_Verbräuche[[#This Row],[2015]]),"",Refsz_Verbräuche[[#This Row],[2015]])</f>
        <v/>
      </c>
      <c r="G102" s="15" t="str">
        <f>IF(ISBLANK(Refsz_Verbräuche[[#This Row],[2016]]),"",Refsz_Verbräuche[[#This Row],[2016]])</f>
        <v/>
      </c>
      <c r="H102" s="15" t="str">
        <f>IF(ISBLANK(Refsz_Verbräuche[[#This Row],[2017]]),"",Refsz_Verbräuche[[#This Row],[2017]])</f>
        <v/>
      </c>
      <c r="I102" s="15" t="str">
        <f>IF(ISBLANK(Refsz_Verbräuche[[#This Row],[2018]]),"",Refsz_Verbräuche[[#This Row],[2018]])</f>
        <v/>
      </c>
      <c r="J102" s="15" t="str">
        <f>IF(ISBLANK(Refsz_Verbräuche[[#This Row],[2019]]),"",Refsz_Verbräuche[[#This Row],[2019]])</f>
        <v/>
      </c>
      <c r="K102" s="15" t="str">
        <f>IF(ISBLANK(Refsz_Verbräuche[[#This Row],[2020]]),"",Refsz_Verbräuche[[#This Row],[2020]])</f>
        <v/>
      </c>
      <c r="L102" s="15" t="str">
        <f>IF(ISBLANK(Refsz_Verbräuche[[#This Row],[2021]]),"",Refsz_Verbräuche[[#This Row],[2021]])</f>
        <v/>
      </c>
      <c r="M102" s="57" t="str">
        <f>IF(Klisz_Verbräuche[[#Headers],[2022]]=$B$57,IF(COUNTIF($F102:Klisz_Verbräuche[[#This Row],[2021]],"&gt;0")&gt;0, AVERAGEIF($F102:Klisz_Verbräuche[[#This Row],[2021]],"&lt;&gt;"), ""),IF($B$57&lt;Klisz_Verbräuche[[#Headers],[2022]],IF(COUNTIF($F102:Klisz_Verbräuche[[#This Row],[2021]],"&gt;0")&gt;0,IF(COUNTIF($F102:Klisz_Verbräuche[[#This Row],[2021]],"&gt;0")&gt;0,Klisz_Verbräuche[[#This Row],[2021]]*(1-$E102)^1, ""), ""),IF($B$57&gt;Klisz_Verbräuche[[#Headers],[2022]],Refsz_Verbräuche[[#This Row],[2022]],"")))</f>
        <v/>
      </c>
      <c r="N102" s="57" t="str">
        <f>IF(Klisz_Verbräuche[[#Headers],[2023]]=$B$57,IF(COUNTIF($F102:Klisz_Verbräuche[[#This Row],[2022]],"&gt;0")&gt;0, AVERAGEIF($F102:Klisz_Verbräuche[[#This Row],[2022]],"&lt;&gt;"), ""),IF($B$57&lt;Klisz_Verbräuche[[#Headers],[2023]],IF(COUNTIF($F102:Klisz_Verbräuche[[#This Row],[2022]],"&gt;0")&gt;0,IF(COUNTIF($F102:Klisz_Verbräuche[[#This Row],[2022]],"&gt;0")&gt;0,Klisz_Verbräuche[[#This Row],[2022]]*(1-$E102)^1, ""), ""),IF($B$57&gt;Klisz_Verbräuche[[#Headers],[2023]],Refsz_Verbräuche[[#This Row],[2023]],"")))</f>
        <v/>
      </c>
      <c r="O102" s="57" t="str">
        <f>IF(Klisz_Verbräuche[[#Headers],[2024]]=$B$57,IF(COUNTIF($F102:Klisz_Verbräuche[[#This Row],[2023]],"&gt;0")&gt;0, AVERAGEIF($F102:Klisz_Verbräuche[[#This Row],[2023]],"&lt;&gt;"), ""),IF($B$57&lt;Klisz_Verbräuche[[#Headers],[2024]],IF(COUNTIF($F102:Klisz_Verbräuche[[#This Row],[2023]],"&gt;0")&gt;0,IF(COUNTIF($F102:Klisz_Verbräuche[[#This Row],[2023]],"&gt;0")&gt;0,Klisz_Verbräuche[[#This Row],[2023]]*(1-$E102)^1, ""), ""),IF($B$57&gt;Klisz_Verbräuche[[#Headers],[2024]],Refsz_Verbräuche[[#This Row],[2024]],"")))</f>
        <v/>
      </c>
      <c r="P102" s="57" t="str">
        <f>IF(Klisz_Verbräuche[[#Headers],[2025]]=$B$57,IF(COUNTIF($F102:Klisz_Verbräuche[[#This Row],[2024]],"&gt;0")&gt;0, AVERAGEIF($F102:Klisz_Verbräuche[[#This Row],[2024]],"&lt;&gt;"), ""),IF($B$57&lt;Klisz_Verbräuche[[#Headers],[2025]],IF(COUNTIF($F102:Klisz_Verbräuche[[#This Row],[2024]],"&gt;0")&gt;0,IF(COUNTIF($F102:Klisz_Verbräuche[[#This Row],[2024]],"&gt;0")&gt;0,Klisz_Verbräuche[[#This Row],[2024]]*(1-$E102)^1, ""), ""),IF($B$57&gt;Klisz_Verbräuche[[#Headers],[2025]],Refsz_Verbräuche[[#This Row],[2025]],"")))</f>
        <v/>
      </c>
      <c r="Q102" s="57" t="str">
        <f>IF(Klisz_Verbräuche[[#Headers],[2026]]=$B$57,IF(COUNTIF($F102:Klisz_Verbräuche[[#This Row],[2025]],"&gt;0")&gt;0, AVERAGEIF($F102:Klisz_Verbräuche[[#This Row],[2025]],"&lt;&gt;"), ""),IF($B$57&lt;Klisz_Verbräuche[[#Headers],[2026]],IF(COUNTIF($F102:Klisz_Verbräuche[[#This Row],[2025]],"&gt;0")&gt;0,IF(COUNTIF($F102:Klisz_Verbräuche[[#This Row],[2025]],"&gt;0")&gt;0,Klisz_Verbräuche[[#This Row],[2025]]*(1-$E102)^1, ""), ""),IF($B$57&gt;Klisz_Verbräuche[[#Headers],[2026]],Refsz_Verbräuche[[#This Row],[2026]],"")))</f>
        <v/>
      </c>
      <c r="R102" s="57" t="str">
        <f>IF(Klisz_Verbräuche[[#Headers],[2027]]=$B$57,IF(COUNTIF($F102:Klisz_Verbräuche[[#This Row],[2026]],"&gt;0")&gt;0, AVERAGEIF($F102:Klisz_Verbräuche[[#This Row],[2026]],"&lt;&gt;"), ""),IF($B$57&lt;Klisz_Verbräuche[[#Headers],[2027]],IF(COUNTIF($F102:Klisz_Verbräuche[[#This Row],[2026]],"&gt;0")&gt;0,IF(COUNTIF($F102:Klisz_Verbräuche[[#This Row],[2026]],"&gt;0")&gt;0,Klisz_Verbräuche[[#This Row],[2026]]*(1-$E102)^1, ""), ""),IF($B$57&gt;Klisz_Verbräuche[[#Headers],[2027]],Refsz_Verbräuche[[#This Row],[2027]],"")))</f>
        <v/>
      </c>
      <c r="S102" s="57" t="str">
        <f>IF(Klisz_Verbräuche[[#Headers],[2028]]=$B$57,IF(COUNTIF($F102:Klisz_Verbräuche[[#This Row],[2027]],"&gt;0")&gt;0, AVERAGEIF($F102:Klisz_Verbräuche[[#This Row],[2027]],"&lt;&gt;"), ""),IF($B$57&lt;Klisz_Verbräuche[[#Headers],[2028]],IF(COUNTIF($F102:Klisz_Verbräuche[[#This Row],[2027]],"&gt;0")&gt;0,IF(COUNTIF($F102:Klisz_Verbräuche[[#This Row],[2027]],"&gt;0")&gt;0,Klisz_Verbräuche[[#This Row],[2027]]*(1-$E102)^1, ""), ""),IF($B$57&gt;Klisz_Verbräuche[[#Headers],[2028]],Refsz_Verbräuche[[#This Row],[2028]],"")))</f>
        <v/>
      </c>
      <c r="T102" s="57" t="str">
        <f>IF(Klisz_Verbräuche[[#Headers],[2029]]=$B$57,IF(COUNTIF($F102:Klisz_Verbräuche[[#This Row],[2028]],"&gt;0")&gt;0, AVERAGEIF($F102:Klisz_Verbräuche[[#This Row],[2028]],"&lt;&gt;"), ""),IF($B$57&lt;Klisz_Verbräuche[[#Headers],[2029]],IF(COUNTIF($F102:Klisz_Verbräuche[[#This Row],[2028]],"&gt;0")&gt;0,IF(COUNTIF($F102:Klisz_Verbräuche[[#This Row],[2028]],"&gt;0")&gt;0,Klisz_Verbräuche[[#This Row],[2028]]*(1-$E102)^1, ""), ""),IF($B$57&gt;Klisz_Verbräuche[[#Headers],[2029]],Refsz_Verbräuche[[#This Row],[2029]],"")))</f>
        <v/>
      </c>
      <c r="U102" s="57" t="str">
        <f>IF(Klisz_Verbräuche[[#Headers],[2030]]=$B$57,IF(COUNTIF($F102:Klisz_Verbräuche[[#This Row],[2029]],"&gt;0")&gt;0, AVERAGEIF($F102:Klisz_Verbräuche[[#This Row],[2029]],"&lt;&gt;"), ""),IF($B$57&lt;Klisz_Verbräuche[[#Headers],[2030]],IF(COUNTIF($F102:Klisz_Verbräuche[[#This Row],[2029]],"&gt;0")&gt;0,IF(COUNTIF($F102:Klisz_Verbräuche[[#This Row],[2029]],"&gt;0")&gt;0,Klisz_Verbräuche[[#This Row],[2029]]*(1-$E102)^1, ""), ""),IF($B$57&gt;Klisz_Verbräuche[[#Headers],[2030]],Refsz_Verbräuche[[#This Row],[2030]],"")))</f>
        <v/>
      </c>
      <c r="V102" s="57" t="str">
        <f>IF(Klisz_Verbräuche[[#Headers],[2035]]=$B$57,IF(COUNTIF($F102:Klisz_Verbräuche[[#This Row],[2030]],"&gt;0")&gt;0, AVERAGEIF($F102:Klisz_Verbräuche[[#This Row],[2030]],"&lt;&gt;"), ""),IF($B$57&lt;Klisz_Verbräuche[[#Headers],[2035]],IF(COUNTIF($F102:Klisz_Verbräuche[[#This Row],[2030]],"&gt;0")&gt;0,IF(COUNTIF($F102:Klisz_Verbräuche[[#This Row],[2030]],"&gt;0")&gt;0,Klisz_Verbräuche[[#This Row],[2030]]*(1-$E102)^5, ""), ""),IF($B$57&gt;Klisz_Verbräuche[[#Headers],[2035]],Refsz_Verbräuche[[#This Row],[2035]],"")))</f>
        <v/>
      </c>
      <c r="W102" s="57" t="str">
        <f>IF(Klisz_Verbräuche[[#Headers],[2040]]=$B$57,IF(COUNTIF($F102:Klisz_Verbräuche[[#This Row],[2035]],"&gt;0")&gt;0, AVERAGEIF($F102:Klisz_Verbräuche[[#This Row],[2035]],"&lt;&gt;"), ""),IF($B$57&lt;Klisz_Verbräuche[[#Headers],[2040]],IF(COUNTIF($F102:Klisz_Verbräuche[[#This Row],[2035]],"&gt;0")&gt;0,IF(COUNTIF($F102:Klisz_Verbräuche[[#This Row],[2035]],"&gt;0")&gt;0,Klisz_Verbräuche[[#This Row],[2035]]*(1-$E102)^5, ""), ""),IF($B$57&gt;Klisz_Verbräuche[[#Headers],[2040]],Refsz_Verbräuche[[#This Row],[2040]],"")))</f>
        <v/>
      </c>
      <c r="X102" s="57" t="str">
        <f>IF(Klisz_Verbräuche[[#Headers],[2045]]=$B$57,IF(COUNTIF($F102:Klisz_Verbräuche[[#This Row],[2040]],"&gt;0")&gt;0, AVERAGEIF($F102:Klisz_Verbräuche[[#This Row],[2040]],"&lt;&gt;"), ""),IF($B$57&lt;Klisz_Verbräuche[[#Headers],[2045]],IF(COUNTIF($F102:Klisz_Verbräuche[[#This Row],[2040]],"&gt;0")&gt;0,IF(COUNTIF($F102:Klisz_Verbräuche[[#This Row],[2040]],"&gt;0")&gt;0,Klisz_Verbräuche[[#This Row],[2040]]*(1-$E102)^5, ""), ""),IF($B$57&gt;Klisz_Verbräuche[[#Headers],[2045]],Refsz_Verbräuche[[#This Row],[2045]],"")))</f>
        <v/>
      </c>
      <c r="Y102" s="57" t="str">
        <f>IF(Klisz_Verbräuche[[#Headers],[2050]]=$B$57,IF(COUNTIF($F102:Klisz_Verbräuche[[#This Row],[2045]],"&gt;0")&gt;0, AVERAGEIF($F102:Klisz_Verbräuche[[#This Row],[2045]],"&lt;&gt;"), ""),IF($B$57&lt;Klisz_Verbräuche[[#Headers],[2050]],IF(COUNTIF($F102:Klisz_Verbräuche[[#This Row],[2045]],"&gt;0")&gt;0,IF(COUNTIF($F102:Klisz_Verbräuche[[#This Row],[2045]],"&gt;0")&gt;0,Klisz_Verbräuche[[#This Row],[2045]]*(1-$E102)^5, ""), ""),IF($B$57&gt;Klisz_Verbräuche[[#Headers],[2050]],Refsz_Verbräuche[[#This Row],[2050]],"")))</f>
        <v/>
      </c>
      <c r="Z102" s="15"/>
    </row>
    <row r="103" spans="2:26" x14ac:dyDescent="0.35">
      <c r="B103" s="15">
        <v>43</v>
      </c>
      <c r="C103" s="20" t="str">
        <f>Refsz_Verbräuche[[#This Row],[Datenpunkt]]</f>
        <v>DR - Privater PKW (alle Antriebsarten)</v>
      </c>
      <c r="D103" s="29" t="str">
        <f>Refsz_Verbräuche[[#This Row],[Einheit]]</f>
        <v>Fkm</v>
      </c>
      <c r="E103" s="122"/>
      <c r="F103" s="15" t="str">
        <f>IF(ISBLANK(Refsz_Verbräuche[[#This Row],[2015]]),"",Refsz_Verbräuche[[#This Row],[2015]])</f>
        <v/>
      </c>
      <c r="G103" s="15" t="str">
        <f>IF(ISBLANK(Refsz_Verbräuche[[#This Row],[2016]]),"",Refsz_Verbräuche[[#This Row],[2016]])</f>
        <v/>
      </c>
      <c r="H103" s="15" t="str">
        <f>IF(ISBLANK(Refsz_Verbräuche[[#This Row],[2017]]),"",Refsz_Verbräuche[[#This Row],[2017]])</f>
        <v/>
      </c>
      <c r="I103" s="15" t="str">
        <f>IF(ISBLANK(Refsz_Verbräuche[[#This Row],[2018]]),"",Refsz_Verbräuche[[#This Row],[2018]])</f>
        <v/>
      </c>
      <c r="J103" s="15" t="str">
        <f>IF(ISBLANK(Refsz_Verbräuche[[#This Row],[2019]]),"",Refsz_Verbräuche[[#This Row],[2019]])</f>
        <v/>
      </c>
      <c r="K103" s="15" t="str">
        <f>IF(ISBLANK(Refsz_Verbräuche[[#This Row],[2020]]),"",Refsz_Verbräuche[[#This Row],[2020]])</f>
        <v/>
      </c>
      <c r="L103" s="15" t="str">
        <f>IF(ISBLANK(Refsz_Verbräuche[[#This Row],[2021]]),"",Refsz_Verbräuche[[#This Row],[2021]])</f>
        <v/>
      </c>
      <c r="M103" s="57" t="str">
        <f>IF(Klisz_Verbräuche[[#Headers],[2022]]=$B$57,IF(COUNTIF($F103:Klisz_Verbräuche[[#This Row],[2021]],"&gt;0")&gt;0, AVERAGEIF($F103:Klisz_Verbräuche[[#This Row],[2021]],"&lt;&gt;"), ""),IF($B$57&lt;Klisz_Verbräuche[[#Headers],[2022]],IF(COUNTIF($F103:Klisz_Verbräuche[[#This Row],[2021]],"&gt;0")&gt;0,IF(COUNTIF($F103:Klisz_Verbräuche[[#This Row],[2021]],"&gt;0")&gt;0,Klisz_Verbräuche[[#This Row],[2021]]*(1-$E103)^1, ""), ""),IF($B$57&gt;Klisz_Verbräuche[[#Headers],[2022]],Refsz_Verbräuche[[#This Row],[2022]],"")))</f>
        <v/>
      </c>
      <c r="N103" s="57" t="str">
        <f>IF(Klisz_Verbräuche[[#Headers],[2023]]=$B$57,IF(COUNTIF($F103:Klisz_Verbräuche[[#This Row],[2022]],"&gt;0")&gt;0, AVERAGEIF($F103:Klisz_Verbräuche[[#This Row],[2022]],"&lt;&gt;"), ""),IF($B$57&lt;Klisz_Verbräuche[[#Headers],[2023]],IF(COUNTIF($F103:Klisz_Verbräuche[[#This Row],[2022]],"&gt;0")&gt;0,IF(COUNTIF($F103:Klisz_Verbräuche[[#This Row],[2022]],"&gt;0")&gt;0,Klisz_Verbräuche[[#This Row],[2022]]*(1-$E103)^1, ""), ""),IF($B$57&gt;Klisz_Verbräuche[[#Headers],[2023]],Refsz_Verbräuche[[#This Row],[2023]],"")))</f>
        <v/>
      </c>
      <c r="O103" s="57" t="str">
        <f>IF(Klisz_Verbräuche[[#Headers],[2024]]=$B$57,IF(COUNTIF($F103:Klisz_Verbräuche[[#This Row],[2023]],"&gt;0")&gt;0, AVERAGEIF($F103:Klisz_Verbräuche[[#This Row],[2023]],"&lt;&gt;"), ""),IF($B$57&lt;Klisz_Verbräuche[[#Headers],[2024]],IF(COUNTIF($F103:Klisz_Verbräuche[[#This Row],[2023]],"&gt;0")&gt;0,IF(COUNTIF($F103:Klisz_Verbräuche[[#This Row],[2023]],"&gt;0")&gt;0,Klisz_Verbräuche[[#This Row],[2023]]*(1-$E103)^1, ""), ""),IF($B$57&gt;Klisz_Verbräuche[[#Headers],[2024]],Refsz_Verbräuche[[#This Row],[2024]],"")))</f>
        <v/>
      </c>
      <c r="P103" s="57" t="str">
        <f>IF(Klisz_Verbräuche[[#Headers],[2025]]=$B$57,IF(COUNTIF($F103:Klisz_Verbräuche[[#This Row],[2024]],"&gt;0")&gt;0, AVERAGEIF($F103:Klisz_Verbräuche[[#This Row],[2024]],"&lt;&gt;"), ""),IF($B$57&lt;Klisz_Verbräuche[[#Headers],[2025]],IF(COUNTIF($F103:Klisz_Verbräuche[[#This Row],[2024]],"&gt;0")&gt;0,IF(COUNTIF($F103:Klisz_Verbräuche[[#This Row],[2024]],"&gt;0")&gt;0,Klisz_Verbräuche[[#This Row],[2024]]*(1-$E103)^1, ""), ""),IF($B$57&gt;Klisz_Verbräuche[[#Headers],[2025]],Refsz_Verbräuche[[#This Row],[2025]],"")))</f>
        <v/>
      </c>
      <c r="Q103" s="57" t="str">
        <f>IF(Klisz_Verbräuche[[#Headers],[2026]]=$B$57,IF(COUNTIF($F103:Klisz_Verbräuche[[#This Row],[2025]],"&gt;0")&gt;0, AVERAGEIF($F103:Klisz_Verbräuche[[#This Row],[2025]],"&lt;&gt;"), ""),IF($B$57&lt;Klisz_Verbräuche[[#Headers],[2026]],IF(COUNTIF($F103:Klisz_Verbräuche[[#This Row],[2025]],"&gt;0")&gt;0,IF(COUNTIF($F103:Klisz_Verbräuche[[#This Row],[2025]],"&gt;0")&gt;0,Klisz_Verbräuche[[#This Row],[2025]]*(1-$E103)^1, ""), ""),IF($B$57&gt;Klisz_Verbräuche[[#Headers],[2026]],Refsz_Verbräuche[[#This Row],[2026]],"")))</f>
        <v/>
      </c>
      <c r="R103" s="57" t="str">
        <f>IF(Klisz_Verbräuche[[#Headers],[2027]]=$B$57,IF(COUNTIF($F103:Klisz_Verbräuche[[#This Row],[2026]],"&gt;0")&gt;0, AVERAGEIF($F103:Klisz_Verbräuche[[#This Row],[2026]],"&lt;&gt;"), ""),IF($B$57&lt;Klisz_Verbräuche[[#Headers],[2027]],IF(COUNTIF($F103:Klisz_Verbräuche[[#This Row],[2026]],"&gt;0")&gt;0,IF(COUNTIF($F103:Klisz_Verbräuche[[#This Row],[2026]],"&gt;0")&gt;0,Klisz_Verbräuche[[#This Row],[2026]]*(1-$E103)^1, ""), ""),IF($B$57&gt;Klisz_Verbräuche[[#Headers],[2027]],Refsz_Verbräuche[[#This Row],[2027]],"")))</f>
        <v/>
      </c>
      <c r="S103" s="57" t="str">
        <f>IF(Klisz_Verbräuche[[#Headers],[2028]]=$B$57,IF(COUNTIF($F103:Klisz_Verbräuche[[#This Row],[2027]],"&gt;0")&gt;0, AVERAGEIF($F103:Klisz_Verbräuche[[#This Row],[2027]],"&lt;&gt;"), ""),IF($B$57&lt;Klisz_Verbräuche[[#Headers],[2028]],IF(COUNTIF($F103:Klisz_Verbräuche[[#This Row],[2027]],"&gt;0")&gt;0,IF(COUNTIF($F103:Klisz_Verbräuche[[#This Row],[2027]],"&gt;0")&gt;0,Klisz_Verbräuche[[#This Row],[2027]]*(1-$E103)^1, ""), ""),IF($B$57&gt;Klisz_Verbräuche[[#Headers],[2028]],Refsz_Verbräuche[[#This Row],[2028]],"")))</f>
        <v/>
      </c>
      <c r="T103" s="57" t="str">
        <f>IF(Klisz_Verbräuche[[#Headers],[2029]]=$B$57,IF(COUNTIF($F103:Klisz_Verbräuche[[#This Row],[2028]],"&gt;0")&gt;0, AVERAGEIF($F103:Klisz_Verbräuche[[#This Row],[2028]],"&lt;&gt;"), ""),IF($B$57&lt;Klisz_Verbräuche[[#Headers],[2029]],IF(COUNTIF($F103:Klisz_Verbräuche[[#This Row],[2028]],"&gt;0")&gt;0,IF(COUNTIF($F103:Klisz_Verbräuche[[#This Row],[2028]],"&gt;0")&gt;0,Klisz_Verbräuche[[#This Row],[2028]]*(1-$E103)^1, ""), ""),IF($B$57&gt;Klisz_Verbräuche[[#Headers],[2029]],Refsz_Verbräuche[[#This Row],[2029]],"")))</f>
        <v/>
      </c>
      <c r="U103" s="57" t="str">
        <f>IF(Klisz_Verbräuche[[#Headers],[2030]]=$B$57,IF(COUNTIF($F103:Klisz_Verbräuche[[#This Row],[2029]],"&gt;0")&gt;0, AVERAGEIF($F103:Klisz_Verbräuche[[#This Row],[2029]],"&lt;&gt;"), ""),IF($B$57&lt;Klisz_Verbräuche[[#Headers],[2030]],IF(COUNTIF($F103:Klisz_Verbräuche[[#This Row],[2029]],"&gt;0")&gt;0,IF(COUNTIF($F103:Klisz_Verbräuche[[#This Row],[2029]],"&gt;0")&gt;0,Klisz_Verbräuche[[#This Row],[2029]]*(1-$E103)^1, ""), ""),IF($B$57&gt;Klisz_Verbräuche[[#Headers],[2030]],Refsz_Verbräuche[[#This Row],[2030]],"")))</f>
        <v/>
      </c>
      <c r="V103" s="57" t="str">
        <f>IF(Klisz_Verbräuche[[#Headers],[2035]]=$B$57,IF(COUNTIF($F103:Klisz_Verbräuche[[#This Row],[2030]],"&gt;0")&gt;0, AVERAGEIF($F103:Klisz_Verbräuche[[#This Row],[2030]],"&lt;&gt;"), ""),IF($B$57&lt;Klisz_Verbräuche[[#Headers],[2035]],IF(COUNTIF($F103:Klisz_Verbräuche[[#This Row],[2030]],"&gt;0")&gt;0,IF(COUNTIF($F103:Klisz_Verbräuche[[#This Row],[2030]],"&gt;0")&gt;0,Klisz_Verbräuche[[#This Row],[2030]]*(1-$E103)^5, ""), ""),IF($B$57&gt;Klisz_Verbräuche[[#Headers],[2035]],Refsz_Verbräuche[[#This Row],[2035]],"")))</f>
        <v/>
      </c>
      <c r="W103" s="57" t="str">
        <f>IF(Klisz_Verbräuche[[#Headers],[2040]]=$B$57,IF(COUNTIF($F103:Klisz_Verbräuche[[#This Row],[2035]],"&gt;0")&gt;0, AVERAGEIF($F103:Klisz_Verbräuche[[#This Row],[2035]],"&lt;&gt;"), ""),IF($B$57&lt;Klisz_Verbräuche[[#Headers],[2040]],IF(COUNTIF($F103:Klisz_Verbräuche[[#This Row],[2035]],"&gt;0")&gt;0,IF(COUNTIF($F103:Klisz_Verbräuche[[#This Row],[2035]],"&gt;0")&gt;0,Klisz_Verbräuche[[#This Row],[2035]]*(1-$E103)^5, ""), ""),IF($B$57&gt;Klisz_Verbräuche[[#Headers],[2040]],Refsz_Verbräuche[[#This Row],[2040]],"")))</f>
        <v/>
      </c>
      <c r="X103" s="57" t="str">
        <f>IF(Klisz_Verbräuche[[#Headers],[2045]]=$B$57,IF(COUNTIF($F103:Klisz_Verbräuche[[#This Row],[2040]],"&gt;0")&gt;0, AVERAGEIF($F103:Klisz_Verbräuche[[#This Row],[2040]],"&lt;&gt;"), ""),IF($B$57&lt;Klisz_Verbräuche[[#Headers],[2045]],IF(COUNTIF($F103:Klisz_Verbräuche[[#This Row],[2040]],"&gt;0")&gt;0,IF(COUNTIF($F103:Klisz_Verbräuche[[#This Row],[2040]],"&gt;0")&gt;0,Klisz_Verbräuche[[#This Row],[2040]]*(1-$E103)^5, ""), ""),IF($B$57&gt;Klisz_Verbräuche[[#Headers],[2045]],Refsz_Verbräuche[[#This Row],[2045]],"")))</f>
        <v/>
      </c>
      <c r="Y103" s="57" t="str">
        <f>IF(Klisz_Verbräuche[[#Headers],[2050]]=$B$57,IF(COUNTIF($F103:Klisz_Verbräuche[[#This Row],[2045]],"&gt;0")&gt;0, AVERAGEIF($F103:Klisz_Verbräuche[[#This Row],[2045]],"&lt;&gt;"), ""),IF($B$57&lt;Klisz_Verbräuche[[#Headers],[2050]],IF(COUNTIF($F103:Klisz_Verbräuche[[#This Row],[2045]],"&gt;0")&gt;0,IF(COUNTIF($F103:Klisz_Verbräuche[[#This Row],[2045]],"&gt;0")&gt;0,Klisz_Verbräuche[[#This Row],[2045]]*(1-$E103)^5, ""), ""),IF($B$57&gt;Klisz_Verbräuche[[#Headers],[2050]],Refsz_Verbräuche[[#This Row],[2050]],"")))</f>
        <v/>
      </c>
      <c r="Z103" s="15"/>
    </row>
    <row r="104" spans="2:26" x14ac:dyDescent="0.35">
      <c r="B104" s="15">
        <v>44</v>
      </c>
      <c r="C104" s="20" t="str">
        <f>Refsz_Verbräuche[[#This Row],[Datenpunkt]]</f>
        <v>DR - Privater PKW (Diesel)</v>
      </c>
      <c r="D104" s="29" t="str">
        <f>Refsz_Verbräuche[[#This Row],[Einheit]]</f>
        <v>Fkm</v>
      </c>
      <c r="E104" s="122"/>
      <c r="F104" s="15" t="str">
        <f>IF(ISBLANK(Refsz_Verbräuche[[#This Row],[2015]]),"",Refsz_Verbräuche[[#This Row],[2015]])</f>
        <v/>
      </c>
      <c r="G104" s="15" t="str">
        <f>IF(ISBLANK(Refsz_Verbräuche[[#This Row],[2016]]),"",Refsz_Verbräuche[[#This Row],[2016]])</f>
        <v/>
      </c>
      <c r="H104" s="15" t="str">
        <f>IF(ISBLANK(Refsz_Verbräuche[[#This Row],[2017]]),"",Refsz_Verbräuche[[#This Row],[2017]])</f>
        <v/>
      </c>
      <c r="I104" s="15" t="str">
        <f>IF(ISBLANK(Refsz_Verbräuche[[#This Row],[2018]]),"",Refsz_Verbräuche[[#This Row],[2018]])</f>
        <v/>
      </c>
      <c r="J104" s="15" t="str">
        <f>IF(ISBLANK(Refsz_Verbräuche[[#This Row],[2019]]),"",Refsz_Verbräuche[[#This Row],[2019]])</f>
        <v/>
      </c>
      <c r="K104" s="15" t="str">
        <f>IF(ISBLANK(Refsz_Verbräuche[[#This Row],[2020]]),"",Refsz_Verbräuche[[#This Row],[2020]])</f>
        <v/>
      </c>
      <c r="L104" s="15" t="str">
        <f>IF(ISBLANK(Refsz_Verbräuche[[#This Row],[2021]]),"",Refsz_Verbräuche[[#This Row],[2021]])</f>
        <v/>
      </c>
      <c r="M104" s="57" t="str">
        <f>IF(Klisz_Verbräuche[[#Headers],[2022]]=$B$57,IF(COUNTIF($F104:Klisz_Verbräuche[[#This Row],[2021]],"&gt;0")&gt;0, AVERAGEIF($F104:Klisz_Verbräuche[[#This Row],[2021]],"&lt;&gt;"), ""),IF($B$57&lt;Klisz_Verbräuche[[#Headers],[2022]],IF(COUNTIF($F104:Klisz_Verbräuche[[#This Row],[2021]],"&gt;0")&gt;0,IF(COUNTIF($F104:Klisz_Verbräuche[[#This Row],[2021]],"&gt;0")&gt;0,Klisz_Verbräuche[[#This Row],[2021]]*(1-$E104)^1, ""), ""),IF($B$57&gt;Klisz_Verbräuche[[#Headers],[2022]],Refsz_Verbräuche[[#This Row],[2022]],"")))</f>
        <v/>
      </c>
      <c r="N104" s="57" t="str">
        <f>IF(Klisz_Verbräuche[[#Headers],[2023]]=$B$57,IF(COUNTIF($F104:Klisz_Verbräuche[[#This Row],[2022]],"&gt;0")&gt;0, AVERAGEIF($F104:Klisz_Verbräuche[[#This Row],[2022]],"&lt;&gt;"), ""),IF($B$57&lt;Klisz_Verbräuche[[#Headers],[2023]],IF(COUNTIF($F104:Klisz_Verbräuche[[#This Row],[2022]],"&gt;0")&gt;0,IF(COUNTIF($F104:Klisz_Verbräuche[[#This Row],[2022]],"&gt;0")&gt;0,Klisz_Verbräuche[[#This Row],[2022]]*(1-$E104)^1, ""), ""),IF($B$57&gt;Klisz_Verbräuche[[#Headers],[2023]],Refsz_Verbräuche[[#This Row],[2023]],"")))</f>
        <v/>
      </c>
      <c r="O104" s="57" t="str">
        <f>IF(Klisz_Verbräuche[[#Headers],[2024]]=$B$57,IF(COUNTIF($F104:Klisz_Verbräuche[[#This Row],[2023]],"&gt;0")&gt;0, AVERAGEIF($F104:Klisz_Verbräuche[[#This Row],[2023]],"&lt;&gt;"), ""),IF($B$57&lt;Klisz_Verbräuche[[#Headers],[2024]],IF(COUNTIF($F104:Klisz_Verbräuche[[#This Row],[2023]],"&gt;0")&gt;0,IF(COUNTIF($F104:Klisz_Verbräuche[[#This Row],[2023]],"&gt;0")&gt;0,Klisz_Verbräuche[[#This Row],[2023]]*(1-$E104)^1, ""), ""),IF($B$57&gt;Klisz_Verbräuche[[#Headers],[2024]],Refsz_Verbräuche[[#This Row],[2024]],"")))</f>
        <v/>
      </c>
      <c r="P104" s="57" t="str">
        <f>IF(Klisz_Verbräuche[[#Headers],[2025]]=$B$57,IF(COUNTIF($F104:Klisz_Verbräuche[[#This Row],[2024]],"&gt;0")&gt;0, AVERAGEIF($F104:Klisz_Verbräuche[[#This Row],[2024]],"&lt;&gt;"), ""),IF($B$57&lt;Klisz_Verbräuche[[#Headers],[2025]],IF(COUNTIF($F104:Klisz_Verbräuche[[#This Row],[2024]],"&gt;0")&gt;0,IF(COUNTIF($F104:Klisz_Verbräuche[[#This Row],[2024]],"&gt;0")&gt;0,Klisz_Verbräuche[[#This Row],[2024]]*(1-$E104)^1, ""), ""),IF($B$57&gt;Klisz_Verbräuche[[#Headers],[2025]],Refsz_Verbräuche[[#This Row],[2025]],"")))</f>
        <v/>
      </c>
      <c r="Q104" s="57" t="str">
        <f>IF(Klisz_Verbräuche[[#Headers],[2026]]=$B$57,IF(COUNTIF($F104:Klisz_Verbräuche[[#This Row],[2025]],"&gt;0")&gt;0, AVERAGEIF($F104:Klisz_Verbräuche[[#This Row],[2025]],"&lt;&gt;"), ""),IF($B$57&lt;Klisz_Verbräuche[[#Headers],[2026]],IF(COUNTIF($F104:Klisz_Verbräuche[[#This Row],[2025]],"&gt;0")&gt;0,IF(COUNTIF($F104:Klisz_Verbräuche[[#This Row],[2025]],"&gt;0")&gt;0,Klisz_Verbräuche[[#This Row],[2025]]*(1-$E104)^1, ""), ""),IF($B$57&gt;Klisz_Verbräuche[[#Headers],[2026]],Refsz_Verbräuche[[#This Row],[2026]],"")))</f>
        <v/>
      </c>
      <c r="R104" s="57" t="str">
        <f>IF(Klisz_Verbräuche[[#Headers],[2027]]=$B$57,IF(COUNTIF($F104:Klisz_Verbräuche[[#This Row],[2026]],"&gt;0")&gt;0, AVERAGEIF($F104:Klisz_Verbräuche[[#This Row],[2026]],"&lt;&gt;"), ""),IF($B$57&lt;Klisz_Verbräuche[[#Headers],[2027]],IF(COUNTIF($F104:Klisz_Verbräuche[[#This Row],[2026]],"&gt;0")&gt;0,IF(COUNTIF($F104:Klisz_Verbräuche[[#This Row],[2026]],"&gt;0")&gt;0,Klisz_Verbräuche[[#This Row],[2026]]*(1-$E104)^1, ""), ""),IF($B$57&gt;Klisz_Verbräuche[[#Headers],[2027]],Refsz_Verbräuche[[#This Row],[2027]],"")))</f>
        <v/>
      </c>
      <c r="S104" s="57" t="str">
        <f>IF(Klisz_Verbräuche[[#Headers],[2028]]=$B$57,IF(COUNTIF($F104:Klisz_Verbräuche[[#This Row],[2027]],"&gt;0")&gt;0, AVERAGEIF($F104:Klisz_Verbräuche[[#This Row],[2027]],"&lt;&gt;"), ""),IF($B$57&lt;Klisz_Verbräuche[[#Headers],[2028]],IF(COUNTIF($F104:Klisz_Verbräuche[[#This Row],[2027]],"&gt;0")&gt;0,IF(COUNTIF($F104:Klisz_Verbräuche[[#This Row],[2027]],"&gt;0")&gt;0,Klisz_Verbräuche[[#This Row],[2027]]*(1-$E104)^1, ""), ""),IF($B$57&gt;Klisz_Verbräuche[[#Headers],[2028]],Refsz_Verbräuche[[#This Row],[2028]],"")))</f>
        <v/>
      </c>
      <c r="T104" s="57" t="str">
        <f>IF(Klisz_Verbräuche[[#Headers],[2029]]=$B$57,IF(COUNTIF($F104:Klisz_Verbräuche[[#This Row],[2028]],"&gt;0")&gt;0, AVERAGEIF($F104:Klisz_Verbräuche[[#This Row],[2028]],"&lt;&gt;"), ""),IF($B$57&lt;Klisz_Verbräuche[[#Headers],[2029]],IF(COUNTIF($F104:Klisz_Verbräuche[[#This Row],[2028]],"&gt;0")&gt;0,IF(COUNTIF($F104:Klisz_Verbräuche[[#This Row],[2028]],"&gt;0")&gt;0,Klisz_Verbräuche[[#This Row],[2028]]*(1-$E104)^1, ""), ""),IF($B$57&gt;Klisz_Verbräuche[[#Headers],[2029]],Refsz_Verbräuche[[#This Row],[2029]],"")))</f>
        <v/>
      </c>
      <c r="U104" s="57" t="str">
        <f>IF(Klisz_Verbräuche[[#Headers],[2030]]=$B$57,IF(COUNTIF($F104:Klisz_Verbräuche[[#This Row],[2029]],"&gt;0")&gt;0, AVERAGEIF($F104:Klisz_Verbräuche[[#This Row],[2029]],"&lt;&gt;"), ""),IF($B$57&lt;Klisz_Verbräuche[[#Headers],[2030]],IF(COUNTIF($F104:Klisz_Verbräuche[[#This Row],[2029]],"&gt;0")&gt;0,IF(COUNTIF($F104:Klisz_Verbräuche[[#This Row],[2029]],"&gt;0")&gt;0,Klisz_Verbräuche[[#This Row],[2029]]*(1-$E104)^1, ""), ""),IF($B$57&gt;Klisz_Verbräuche[[#Headers],[2030]],Refsz_Verbräuche[[#This Row],[2030]],"")))</f>
        <v/>
      </c>
      <c r="V104" s="57" t="str">
        <f>IF(Klisz_Verbräuche[[#Headers],[2035]]=$B$57,IF(COUNTIF($F104:Klisz_Verbräuche[[#This Row],[2030]],"&gt;0")&gt;0, AVERAGEIF($F104:Klisz_Verbräuche[[#This Row],[2030]],"&lt;&gt;"), ""),IF($B$57&lt;Klisz_Verbräuche[[#Headers],[2035]],IF(COUNTIF($F104:Klisz_Verbräuche[[#This Row],[2030]],"&gt;0")&gt;0,IF(COUNTIF($F104:Klisz_Verbräuche[[#This Row],[2030]],"&gt;0")&gt;0,Klisz_Verbräuche[[#This Row],[2030]]*(1-$E104)^5, ""), ""),IF($B$57&gt;Klisz_Verbräuche[[#Headers],[2035]],Refsz_Verbräuche[[#This Row],[2035]],"")))</f>
        <v/>
      </c>
      <c r="W104" s="57" t="str">
        <f>IF(Klisz_Verbräuche[[#Headers],[2040]]=$B$57,IF(COUNTIF($F104:Klisz_Verbräuche[[#This Row],[2035]],"&gt;0")&gt;0, AVERAGEIF($F104:Klisz_Verbräuche[[#This Row],[2035]],"&lt;&gt;"), ""),IF($B$57&lt;Klisz_Verbräuche[[#Headers],[2040]],IF(COUNTIF($F104:Klisz_Verbräuche[[#This Row],[2035]],"&gt;0")&gt;0,IF(COUNTIF($F104:Klisz_Verbräuche[[#This Row],[2035]],"&gt;0")&gt;0,Klisz_Verbräuche[[#This Row],[2035]]*(1-$E104)^5, ""), ""),IF($B$57&gt;Klisz_Verbräuche[[#Headers],[2040]],Refsz_Verbräuche[[#This Row],[2040]],"")))</f>
        <v/>
      </c>
      <c r="X104" s="57" t="str">
        <f>IF(Klisz_Verbräuche[[#Headers],[2045]]=$B$57,IF(COUNTIF($F104:Klisz_Verbräuche[[#This Row],[2040]],"&gt;0")&gt;0, AVERAGEIF($F104:Klisz_Verbräuche[[#This Row],[2040]],"&lt;&gt;"), ""),IF($B$57&lt;Klisz_Verbräuche[[#Headers],[2045]],IF(COUNTIF($F104:Klisz_Verbräuche[[#This Row],[2040]],"&gt;0")&gt;0,IF(COUNTIF($F104:Klisz_Verbräuche[[#This Row],[2040]],"&gt;0")&gt;0,Klisz_Verbräuche[[#This Row],[2040]]*(1-$E104)^5, ""), ""),IF($B$57&gt;Klisz_Verbräuche[[#Headers],[2045]],Refsz_Verbräuche[[#This Row],[2045]],"")))</f>
        <v/>
      </c>
      <c r="Y104" s="57" t="str">
        <f>IF(Klisz_Verbräuche[[#Headers],[2050]]=$B$57,IF(COUNTIF($F104:Klisz_Verbräuche[[#This Row],[2045]],"&gt;0")&gt;0, AVERAGEIF($F104:Klisz_Verbräuche[[#This Row],[2045]],"&lt;&gt;"), ""),IF($B$57&lt;Klisz_Verbräuche[[#Headers],[2050]],IF(COUNTIF($F104:Klisz_Verbräuche[[#This Row],[2045]],"&gt;0")&gt;0,IF(COUNTIF($F104:Klisz_Verbräuche[[#This Row],[2045]],"&gt;0")&gt;0,Klisz_Verbräuche[[#This Row],[2045]]*(1-$E104)^5, ""), ""),IF($B$57&gt;Klisz_Verbräuche[[#Headers],[2050]],Refsz_Verbräuche[[#This Row],[2050]],"")))</f>
        <v/>
      </c>
      <c r="Z104" s="15"/>
    </row>
    <row r="105" spans="2:26" x14ac:dyDescent="0.35">
      <c r="B105" s="15">
        <v>45</v>
      </c>
      <c r="C105" s="20" t="str">
        <f>Refsz_Verbräuche[[#This Row],[Datenpunkt]]</f>
        <v>DR - Privater PKW (Benzin)</v>
      </c>
      <c r="D105" s="29" t="str">
        <f>Refsz_Verbräuche[[#This Row],[Einheit]]</f>
        <v>Fkm</v>
      </c>
      <c r="E105" s="122"/>
      <c r="F105" s="15" t="str">
        <f>IF(ISBLANK(Refsz_Verbräuche[[#This Row],[2015]]),"",Refsz_Verbräuche[[#This Row],[2015]])</f>
        <v/>
      </c>
      <c r="G105" s="15" t="str">
        <f>IF(ISBLANK(Refsz_Verbräuche[[#This Row],[2016]]),"",Refsz_Verbräuche[[#This Row],[2016]])</f>
        <v/>
      </c>
      <c r="H105" s="15" t="str">
        <f>IF(ISBLANK(Refsz_Verbräuche[[#This Row],[2017]]),"",Refsz_Verbräuche[[#This Row],[2017]])</f>
        <v/>
      </c>
      <c r="I105" s="15" t="str">
        <f>IF(ISBLANK(Refsz_Verbräuche[[#This Row],[2018]]),"",Refsz_Verbräuche[[#This Row],[2018]])</f>
        <v/>
      </c>
      <c r="J105" s="15" t="str">
        <f>IF(ISBLANK(Refsz_Verbräuche[[#This Row],[2019]]),"",Refsz_Verbräuche[[#This Row],[2019]])</f>
        <v/>
      </c>
      <c r="K105" s="15" t="str">
        <f>IF(ISBLANK(Refsz_Verbräuche[[#This Row],[2020]]),"",Refsz_Verbräuche[[#This Row],[2020]])</f>
        <v/>
      </c>
      <c r="L105" s="15" t="str">
        <f>IF(ISBLANK(Refsz_Verbräuche[[#This Row],[2021]]),"",Refsz_Verbräuche[[#This Row],[2021]])</f>
        <v/>
      </c>
      <c r="M105" s="57" t="str">
        <f>IF(Klisz_Verbräuche[[#Headers],[2022]]=$B$57,IF(COUNTIF($F105:Klisz_Verbräuche[[#This Row],[2021]],"&gt;0")&gt;0, AVERAGEIF($F105:Klisz_Verbräuche[[#This Row],[2021]],"&lt;&gt;"), ""),IF($B$57&lt;Klisz_Verbräuche[[#Headers],[2022]],IF(COUNTIF($F105:Klisz_Verbräuche[[#This Row],[2021]],"&gt;0")&gt;0,IF(COUNTIF($F105:Klisz_Verbräuche[[#This Row],[2021]],"&gt;0")&gt;0,Klisz_Verbräuche[[#This Row],[2021]]*(1-$E105)^1, ""), ""),IF($B$57&gt;Klisz_Verbräuche[[#Headers],[2022]],Refsz_Verbräuche[[#This Row],[2022]],"")))</f>
        <v/>
      </c>
      <c r="N105" s="57" t="str">
        <f>IF(Klisz_Verbräuche[[#Headers],[2023]]=$B$57,IF(COUNTIF($F105:Klisz_Verbräuche[[#This Row],[2022]],"&gt;0")&gt;0, AVERAGEIF($F105:Klisz_Verbräuche[[#This Row],[2022]],"&lt;&gt;"), ""),IF($B$57&lt;Klisz_Verbräuche[[#Headers],[2023]],IF(COUNTIF($F105:Klisz_Verbräuche[[#This Row],[2022]],"&gt;0")&gt;0,IF(COUNTIF($F105:Klisz_Verbräuche[[#This Row],[2022]],"&gt;0")&gt;0,Klisz_Verbräuche[[#This Row],[2022]]*(1-$E105)^1, ""), ""),IF($B$57&gt;Klisz_Verbräuche[[#Headers],[2023]],Refsz_Verbräuche[[#This Row],[2023]],"")))</f>
        <v/>
      </c>
      <c r="O105" s="57" t="str">
        <f>IF(Klisz_Verbräuche[[#Headers],[2024]]=$B$57,IF(COUNTIF($F105:Klisz_Verbräuche[[#This Row],[2023]],"&gt;0")&gt;0, AVERAGEIF($F105:Klisz_Verbräuche[[#This Row],[2023]],"&lt;&gt;"), ""),IF($B$57&lt;Klisz_Verbräuche[[#Headers],[2024]],IF(COUNTIF($F105:Klisz_Verbräuche[[#This Row],[2023]],"&gt;0")&gt;0,IF(COUNTIF($F105:Klisz_Verbräuche[[#This Row],[2023]],"&gt;0")&gt;0,Klisz_Verbräuche[[#This Row],[2023]]*(1-$E105)^1, ""), ""),IF($B$57&gt;Klisz_Verbräuche[[#Headers],[2024]],Refsz_Verbräuche[[#This Row],[2024]],"")))</f>
        <v/>
      </c>
      <c r="P105" s="57" t="str">
        <f>IF(Klisz_Verbräuche[[#Headers],[2025]]=$B$57,IF(COUNTIF($F105:Klisz_Verbräuche[[#This Row],[2024]],"&gt;0")&gt;0, AVERAGEIF($F105:Klisz_Verbräuche[[#This Row],[2024]],"&lt;&gt;"), ""),IF($B$57&lt;Klisz_Verbräuche[[#Headers],[2025]],IF(COUNTIF($F105:Klisz_Verbräuche[[#This Row],[2024]],"&gt;0")&gt;0,IF(COUNTIF($F105:Klisz_Verbräuche[[#This Row],[2024]],"&gt;0")&gt;0,Klisz_Verbräuche[[#This Row],[2024]]*(1-$E105)^1, ""), ""),IF($B$57&gt;Klisz_Verbräuche[[#Headers],[2025]],Refsz_Verbräuche[[#This Row],[2025]],"")))</f>
        <v/>
      </c>
      <c r="Q105" s="57" t="str">
        <f>IF(Klisz_Verbräuche[[#Headers],[2026]]=$B$57,IF(COUNTIF($F105:Klisz_Verbräuche[[#This Row],[2025]],"&gt;0")&gt;0, AVERAGEIF($F105:Klisz_Verbräuche[[#This Row],[2025]],"&lt;&gt;"), ""),IF($B$57&lt;Klisz_Verbräuche[[#Headers],[2026]],IF(COUNTIF($F105:Klisz_Verbräuche[[#This Row],[2025]],"&gt;0")&gt;0,IF(COUNTIF($F105:Klisz_Verbräuche[[#This Row],[2025]],"&gt;0")&gt;0,Klisz_Verbräuche[[#This Row],[2025]]*(1-$E105)^1, ""), ""),IF($B$57&gt;Klisz_Verbräuche[[#Headers],[2026]],Refsz_Verbräuche[[#This Row],[2026]],"")))</f>
        <v/>
      </c>
      <c r="R105" s="57" t="str">
        <f>IF(Klisz_Verbräuche[[#Headers],[2027]]=$B$57,IF(COUNTIF($F105:Klisz_Verbräuche[[#This Row],[2026]],"&gt;0")&gt;0, AVERAGEIF($F105:Klisz_Verbräuche[[#This Row],[2026]],"&lt;&gt;"), ""),IF($B$57&lt;Klisz_Verbräuche[[#Headers],[2027]],IF(COUNTIF($F105:Klisz_Verbräuche[[#This Row],[2026]],"&gt;0")&gt;0,IF(COUNTIF($F105:Klisz_Verbräuche[[#This Row],[2026]],"&gt;0")&gt;0,Klisz_Verbräuche[[#This Row],[2026]]*(1-$E105)^1, ""), ""),IF($B$57&gt;Klisz_Verbräuche[[#Headers],[2027]],Refsz_Verbräuche[[#This Row],[2027]],"")))</f>
        <v/>
      </c>
      <c r="S105" s="57" t="str">
        <f>IF(Klisz_Verbräuche[[#Headers],[2028]]=$B$57,IF(COUNTIF($F105:Klisz_Verbräuche[[#This Row],[2027]],"&gt;0")&gt;0, AVERAGEIF($F105:Klisz_Verbräuche[[#This Row],[2027]],"&lt;&gt;"), ""),IF($B$57&lt;Klisz_Verbräuche[[#Headers],[2028]],IF(COUNTIF($F105:Klisz_Verbräuche[[#This Row],[2027]],"&gt;0")&gt;0,IF(COUNTIF($F105:Klisz_Verbräuche[[#This Row],[2027]],"&gt;0")&gt;0,Klisz_Verbräuche[[#This Row],[2027]]*(1-$E105)^1, ""), ""),IF($B$57&gt;Klisz_Verbräuche[[#Headers],[2028]],Refsz_Verbräuche[[#This Row],[2028]],"")))</f>
        <v/>
      </c>
      <c r="T105" s="57" t="str">
        <f>IF(Klisz_Verbräuche[[#Headers],[2029]]=$B$57,IF(COUNTIF($F105:Klisz_Verbräuche[[#This Row],[2028]],"&gt;0")&gt;0, AVERAGEIF($F105:Klisz_Verbräuche[[#This Row],[2028]],"&lt;&gt;"), ""),IF($B$57&lt;Klisz_Verbräuche[[#Headers],[2029]],IF(COUNTIF($F105:Klisz_Verbräuche[[#This Row],[2028]],"&gt;0")&gt;0,IF(COUNTIF($F105:Klisz_Verbräuche[[#This Row],[2028]],"&gt;0")&gt;0,Klisz_Verbräuche[[#This Row],[2028]]*(1-$E105)^1, ""), ""),IF($B$57&gt;Klisz_Verbräuche[[#Headers],[2029]],Refsz_Verbräuche[[#This Row],[2029]],"")))</f>
        <v/>
      </c>
      <c r="U105" s="57" t="str">
        <f>IF(Klisz_Verbräuche[[#Headers],[2030]]=$B$57,IF(COUNTIF($F105:Klisz_Verbräuche[[#This Row],[2029]],"&gt;0")&gt;0, AVERAGEIF($F105:Klisz_Verbräuche[[#This Row],[2029]],"&lt;&gt;"), ""),IF($B$57&lt;Klisz_Verbräuche[[#Headers],[2030]],IF(COUNTIF($F105:Klisz_Verbräuche[[#This Row],[2029]],"&gt;0")&gt;0,IF(COUNTIF($F105:Klisz_Verbräuche[[#This Row],[2029]],"&gt;0")&gt;0,Klisz_Verbräuche[[#This Row],[2029]]*(1-$E105)^1, ""), ""),IF($B$57&gt;Klisz_Verbräuche[[#Headers],[2030]],Refsz_Verbräuche[[#This Row],[2030]],"")))</f>
        <v/>
      </c>
      <c r="V105" s="57" t="str">
        <f>IF(Klisz_Verbräuche[[#Headers],[2035]]=$B$57,IF(COUNTIF($F105:Klisz_Verbräuche[[#This Row],[2030]],"&gt;0")&gt;0, AVERAGEIF($F105:Klisz_Verbräuche[[#This Row],[2030]],"&lt;&gt;"), ""),IF($B$57&lt;Klisz_Verbräuche[[#Headers],[2035]],IF(COUNTIF($F105:Klisz_Verbräuche[[#This Row],[2030]],"&gt;0")&gt;0,IF(COUNTIF($F105:Klisz_Verbräuche[[#This Row],[2030]],"&gt;0")&gt;0,Klisz_Verbräuche[[#This Row],[2030]]*(1-$E105)^5, ""), ""),IF($B$57&gt;Klisz_Verbräuche[[#Headers],[2035]],Refsz_Verbräuche[[#This Row],[2035]],"")))</f>
        <v/>
      </c>
      <c r="W105" s="57" t="str">
        <f>IF(Klisz_Verbräuche[[#Headers],[2040]]=$B$57,IF(COUNTIF($F105:Klisz_Verbräuche[[#This Row],[2035]],"&gt;0")&gt;0, AVERAGEIF($F105:Klisz_Verbräuche[[#This Row],[2035]],"&lt;&gt;"), ""),IF($B$57&lt;Klisz_Verbräuche[[#Headers],[2040]],IF(COUNTIF($F105:Klisz_Verbräuche[[#This Row],[2035]],"&gt;0")&gt;0,IF(COUNTIF($F105:Klisz_Verbräuche[[#This Row],[2035]],"&gt;0")&gt;0,Klisz_Verbräuche[[#This Row],[2035]]*(1-$E105)^5, ""), ""),IF($B$57&gt;Klisz_Verbräuche[[#Headers],[2040]],Refsz_Verbräuche[[#This Row],[2040]],"")))</f>
        <v/>
      </c>
      <c r="X105" s="57" t="str">
        <f>IF(Klisz_Verbräuche[[#Headers],[2045]]=$B$57,IF(COUNTIF($F105:Klisz_Verbräuche[[#This Row],[2040]],"&gt;0")&gt;0, AVERAGEIF($F105:Klisz_Verbräuche[[#This Row],[2040]],"&lt;&gt;"), ""),IF($B$57&lt;Klisz_Verbräuche[[#Headers],[2045]],IF(COUNTIF($F105:Klisz_Verbräuche[[#This Row],[2040]],"&gt;0")&gt;0,IF(COUNTIF($F105:Klisz_Verbräuche[[#This Row],[2040]],"&gt;0")&gt;0,Klisz_Verbräuche[[#This Row],[2040]]*(1-$E105)^5, ""), ""),IF($B$57&gt;Klisz_Verbräuche[[#Headers],[2045]],Refsz_Verbräuche[[#This Row],[2045]],"")))</f>
        <v/>
      </c>
      <c r="Y105" s="57" t="str">
        <f>IF(Klisz_Verbräuche[[#Headers],[2050]]=$B$57,IF(COUNTIF($F105:Klisz_Verbräuche[[#This Row],[2045]],"&gt;0")&gt;0, AVERAGEIF($F105:Klisz_Verbräuche[[#This Row],[2045]],"&lt;&gt;"), ""),IF($B$57&lt;Klisz_Verbräuche[[#Headers],[2050]],IF(COUNTIF($F105:Klisz_Verbräuche[[#This Row],[2045]],"&gt;0")&gt;0,IF(COUNTIF($F105:Klisz_Verbräuche[[#This Row],[2045]],"&gt;0")&gt;0,Klisz_Verbräuche[[#This Row],[2045]]*(1-$E105)^5, ""), ""),IF($B$57&gt;Klisz_Verbräuche[[#Headers],[2050]],Refsz_Verbräuche[[#This Row],[2050]],"")))</f>
        <v/>
      </c>
      <c r="Z105" s="15"/>
    </row>
    <row r="106" spans="2:26" x14ac:dyDescent="0.35">
      <c r="B106" s="15">
        <v>46</v>
      </c>
      <c r="C106" s="20" t="str">
        <f>Refsz_Verbräuche[[#This Row],[Datenpunkt]]</f>
        <v>DR - Mietwägen (Diesel)</v>
      </c>
      <c r="D106" s="29" t="str">
        <f>Refsz_Verbräuche[[#This Row],[Einheit]]</f>
        <v>Fkm</v>
      </c>
      <c r="E106" s="122"/>
      <c r="F106" s="15" t="str">
        <f>IF(ISBLANK(Refsz_Verbräuche[[#This Row],[2015]]),"",Refsz_Verbräuche[[#This Row],[2015]])</f>
        <v/>
      </c>
      <c r="G106" s="15" t="str">
        <f>IF(ISBLANK(Refsz_Verbräuche[[#This Row],[2016]]),"",Refsz_Verbräuche[[#This Row],[2016]])</f>
        <v/>
      </c>
      <c r="H106" s="15" t="str">
        <f>IF(ISBLANK(Refsz_Verbräuche[[#This Row],[2017]]),"",Refsz_Verbräuche[[#This Row],[2017]])</f>
        <v/>
      </c>
      <c r="I106" s="15" t="str">
        <f>IF(ISBLANK(Refsz_Verbräuche[[#This Row],[2018]]),"",Refsz_Verbräuche[[#This Row],[2018]])</f>
        <v/>
      </c>
      <c r="J106" s="15" t="str">
        <f>IF(ISBLANK(Refsz_Verbräuche[[#This Row],[2019]]),"",Refsz_Verbräuche[[#This Row],[2019]])</f>
        <v/>
      </c>
      <c r="K106" s="15" t="str">
        <f>IF(ISBLANK(Refsz_Verbräuche[[#This Row],[2020]]),"",Refsz_Verbräuche[[#This Row],[2020]])</f>
        <v/>
      </c>
      <c r="L106" s="15" t="str">
        <f>IF(ISBLANK(Refsz_Verbräuche[[#This Row],[2021]]),"",Refsz_Verbräuche[[#This Row],[2021]])</f>
        <v/>
      </c>
      <c r="M106" s="57" t="str">
        <f>IF(Klisz_Verbräuche[[#Headers],[2022]]=$B$57,IF(COUNTIF($F106:Klisz_Verbräuche[[#This Row],[2021]],"&gt;0")&gt;0, AVERAGEIF($F106:Klisz_Verbräuche[[#This Row],[2021]],"&lt;&gt;"), ""),IF($B$57&lt;Klisz_Verbräuche[[#Headers],[2022]],IF(COUNTIF($F106:Klisz_Verbräuche[[#This Row],[2021]],"&gt;0")&gt;0,IF(COUNTIF($F106:Klisz_Verbräuche[[#This Row],[2021]],"&gt;0")&gt;0,Klisz_Verbräuche[[#This Row],[2021]]*(1-$E106)^1, ""), ""),IF($B$57&gt;Klisz_Verbräuche[[#Headers],[2022]],Refsz_Verbräuche[[#This Row],[2022]],"")))</f>
        <v/>
      </c>
      <c r="N106" s="57" t="str">
        <f>IF(Klisz_Verbräuche[[#Headers],[2023]]=$B$57,IF(COUNTIF($F106:Klisz_Verbräuche[[#This Row],[2022]],"&gt;0")&gt;0, AVERAGEIF($F106:Klisz_Verbräuche[[#This Row],[2022]],"&lt;&gt;"), ""),IF($B$57&lt;Klisz_Verbräuche[[#Headers],[2023]],IF(COUNTIF($F106:Klisz_Verbräuche[[#This Row],[2022]],"&gt;0")&gt;0,IF(COUNTIF($F106:Klisz_Verbräuche[[#This Row],[2022]],"&gt;0")&gt;0,Klisz_Verbräuche[[#This Row],[2022]]*(1-$E106)^1, ""), ""),IF($B$57&gt;Klisz_Verbräuche[[#Headers],[2023]],Refsz_Verbräuche[[#This Row],[2023]],"")))</f>
        <v/>
      </c>
      <c r="O106" s="57" t="str">
        <f>IF(Klisz_Verbräuche[[#Headers],[2024]]=$B$57,IF(COUNTIF($F106:Klisz_Verbräuche[[#This Row],[2023]],"&gt;0")&gt;0, AVERAGEIF($F106:Klisz_Verbräuche[[#This Row],[2023]],"&lt;&gt;"), ""),IF($B$57&lt;Klisz_Verbräuche[[#Headers],[2024]],IF(COUNTIF($F106:Klisz_Verbräuche[[#This Row],[2023]],"&gt;0")&gt;0,IF(COUNTIF($F106:Klisz_Verbräuche[[#This Row],[2023]],"&gt;0")&gt;0,Klisz_Verbräuche[[#This Row],[2023]]*(1-$E106)^1, ""), ""),IF($B$57&gt;Klisz_Verbräuche[[#Headers],[2024]],Refsz_Verbräuche[[#This Row],[2024]],"")))</f>
        <v/>
      </c>
      <c r="P106" s="57" t="str">
        <f>IF(Klisz_Verbräuche[[#Headers],[2025]]=$B$57,IF(COUNTIF($F106:Klisz_Verbräuche[[#This Row],[2024]],"&gt;0")&gt;0, AVERAGEIF($F106:Klisz_Verbräuche[[#This Row],[2024]],"&lt;&gt;"), ""),IF($B$57&lt;Klisz_Verbräuche[[#Headers],[2025]],IF(COUNTIF($F106:Klisz_Verbräuche[[#This Row],[2024]],"&gt;0")&gt;0,IF(COUNTIF($F106:Klisz_Verbräuche[[#This Row],[2024]],"&gt;0")&gt;0,Klisz_Verbräuche[[#This Row],[2024]]*(1-$E106)^1, ""), ""),IF($B$57&gt;Klisz_Verbräuche[[#Headers],[2025]],Refsz_Verbräuche[[#This Row],[2025]],"")))</f>
        <v/>
      </c>
      <c r="Q106" s="57" t="str">
        <f>IF(Klisz_Verbräuche[[#Headers],[2026]]=$B$57,IF(COUNTIF($F106:Klisz_Verbräuche[[#This Row],[2025]],"&gt;0")&gt;0, AVERAGEIF($F106:Klisz_Verbräuche[[#This Row],[2025]],"&lt;&gt;"), ""),IF($B$57&lt;Klisz_Verbräuche[[#Headers],[2026]],IF(COUNTIF($F106:Klisz_Verbräuche[[#This Row],[2025]],"&gt;0")&gt;0,IF(COUNTIF($F106:Klisz_Verbräuche[[#This Row],[2025]],"&gt;0")&gt;0,Klisz_Verbräuche[[#This Row],[2025]]*(1-$E106)^1, ""), ""),IF($B$57&gt;Klisz_Verbräuche[[#Headers],[2026]],Refsz_Verbräuche[[#This Row],[2026]],"")))</f>
        <v/>
      </c>
      <c r="R106" s="57" t="str">
        <f>IF(Klisz_Verbräuche[[#Headers],[2027]]=$B$57,IF(COUNTIF($F106:Klisz_Verbräuche[[#This Row],[2026]],"&gt;0")&gt;0, AVERAGEIF($F106:Klisz_Verbräuche[[#This Row],[2026]],"&lt;&gt;"), ""),IF($B$57&lt;Klisz_Verbräuche[[#Headers],[2027]],IF(COUNTIF($F106:Klisz_Verbräuche[[#This Row],[2026]],"&gt;0")&gt;0,IF(COUNTIF($F106:Klisz_Verbräuche[[#This Row],[2026]],"&gt;0")&gt;0,Klisz_Verbräuche[[#This Row],[2026]]*(1-$E106)^1, ""), ""),IF($B$57&gt;Klisz_Verbräuche[[#Headers],[2027]],Refsz_Verbräuche[[#This Row],[2027]],"")))</f>
        <v/>
      </c>
      <c r="S106" s="57" t="str">
        <f>IF(Klisz_Verbräuche[[#Headers],[2028]]=$B$57,IF(COUNTIF($F106:Klisz_Verbräuche[[#This Row],[2027]],"&gt;0")&gt;0, AVERAGEIF($F106:Klisz_Verbräuche[[#This Row],[2027]],"&lt;&gt;"), ""),IF($B$57&lt;Klisz_Verbräuche[[#Headers],[2028]],IF(COUNTIF($F106:Klisz_Verbräuche[[#This Row],[2027]],"&gt;0")&gt;0,IF(COUNTIF($F106:Klisz_Verbräuche[[#This Row],[2027]],"&gt;0")&gt;0,Klisz_Verbräuche[[#This Row],[2027]]*(1-$E106)^1, ""), ""),IF($B$57&gt;Klisz_Verbräuche[[#Headers],[2028]],Refsz_Verbräuche[[#This Row],[2028]],"")))</f>
        <v/>
      </c>
      <c r="T106" s="57" t="str">
        <f>IF(Klisz_Verbräuche[[#Headers],[2029]]=$B$57,IF(COUNTIF($F106:Klisz_Verbräuche[[#This Row],[2028]],"&gt;0")&gt;0, AVERAGEIF($F106:Klisz_Verbräuche[[#This Row],[2028]],"&lt;&gt;"), ""),IF($B$57&lt;Klisz_Verbräuche[[#Headers],[2029]],IF(COUNTIF($F106:Klisz_Verbräuche[[#This Row],[2028]],"&gt;0")&gt;0,IF(COUNTIF($F106:Klisz_Verbräuche[[#This Row],[2028]],"&gt;0")&gt;0,Klisz_Verbräuche[[#This Row],[2028]]*(1-$E106)^1, ""), ""),IF($B$57&gt;Klisz_Verbräuche[[#Headers],[2029]],Refsz_Verbräuche[[#This Row],[2029]],"")))</f>
        <v/>
      </c>
      <c r="U106" s="57" t="str">
        <f>IF(Klisz_Verbräuche[[#Headers],[2030]]=$B$57,IF(COUNTIF($F106:Klisz_Verbräuche[[#This Row],[2029]],"&gt;0")&gt;0, AVERAGEIF($F106:Klisz_Verbräuche[[#This Row],[2029]],"&lt;&gt;"), ""),IF($B$57&lt;Klisz_Verbräuche[[#Headers],[2030]],IF(COUNTIF($F106:Klisz_Verbräuche[[#This Row],[2029]],"&gt;0")&gt;0,IF(COUNTIF($F106:Klisz_Verbräuche[[#This Row],[2029]],"&gt;0")&gt;0,Klisz_Verbräuche[[#This Row],[2029]]*(1-$E106)^1, ""), ""),IF($B$57&gt;Klisz_Verbräuche[[#Headers],[2030]],Refsz_Verbräuche[[#This Row],[2030]],"")))</f>
        <v/>
      </c>
      <c r="V106" s="57" t="str">
        <f>IF(Klisz_Verbräuche[[#Headers],[2035]]=$B$57,IF(COUNTIF($F106:Klisz_Verbräuche[[#This Row],[2030]],"&gt;0")&gt;0, AVERAGEIF($F106:Klisz_Verbräuche[[#This Row],[2030]],"&lt;&gt;"), ""),IF($B$57&lt;Klisz_Verbräuche[[#Headers],[2035]],IF(COUNTIF($F106:Klisz_Verbräuche[[#This Row],[2030]],"&gt;0")&gt;0,IF(COUNTIF($F106:Klisz_Verbräuche[[#This Row],[2030]],"&gt;0")&gt;0,Klisz_Verbräuche[[#This Row],[2030]]*(1-$E106)^5, ""), ""),IF($B$57&gt;Klisz_Verbräuche[[#Headers],[2035]],Refsz_Verbräuche[[#This Row],[2035]],"")))</f>
        <v/>
      </c>
      <c r="W106" s="57" t="str">
        <f>IF(Klisz_Verbräuche[[#Headers],[2040]]=$B$57,IF(COUNTIF($F106:Klisz_Verbräuche[[#This Row],[2035]],"&gt;0")&gt;0, AVERAGEIF($F106:Klisz_Verbräuche[[#This Row],[2035]],"&lt;&gt;"), ""),IF($B$57&lt;Klisz_Verbräuche[[#Headers],[2040]],IF(COUNTIF($F106:Klisz_Verbräuche[[#This Row],[2035]],"&gt;0")&gt;0,IF(COUNTIF($F106:Klisz_Verbräuche[[#This Row],[2035]],"&gt;0")&gt;0,Klisz_Verbräuche[[#This Row],[2035]]*(1-$E106)^5, ""), ""),IF($B$57&gt;Klisz_Verbräuche[[#Headers],[2040]],Refsz_Verbräuche[[#This Row],[2040]],"")))</f>
        <v/>
      </c>
      <c r="X106" s="57" t="str">
        <f>IF(Klisz_Verbräuche[[#Headers],[2045]]=$B$57,IF(COUNTIF($F106:Klisz_Verbräuche[[#This Row],[2040]],"&gt;0")&gt;0, AVERAGEIF($F106:Klisz_Verbräuche[[#This Row],[2040]],"&lt;&gt;"), ""),IF($B$57&lt;Klisz_Verbräuche[[#Headers],[2045]],IF(COUNTIF($F106:Klisz_Verbräuche[[#This Row],[2040]],"&gt;0")&gt;0,IF(COUNTIF($F106:Klisz_Verbräuche[[#This Row],[2040]],"&gt;0")&gt;0,Klisz_Verbräuche[[#This Row],[2040]]*(1-$E106)^5, ""), ""),IF($B$57&gt;Klisz_Verbräuche[[#Headers],[2045]],Refsz_Verbräuche[[#This Row],[2045]],"")))</f>
        <v/>
      </c>
      <c r="Y106" s="57" t="str">
        <f>IF(Klisz_Verbräuche[[#Headers],[2050]]=$B$57,IF(COUNTIF($F106:Klisz_Verbräuche[[#This Row],[2045]],"&gt;0")&gt;0, AVERAGEIF($F106:Klisz_Verbräuche[[#This Row],[2045]],"&lt;&gt;"), ""),IF($B$57&lt;Klisz_Verbräuche[[#Headers],[2050]],IF(COUNTIF($F106:Klisz_Verbräuche[[#This Row],[2045]],"&gt;0")&gt;0,IF(COUNTIF($F106:Klisz_Verbräuche[[#This Row],[2045]],"&gt;0")&gt;0,Klisz_Verbräuche[[#This Row],[2045]]*(1-$E106)^5, ""), ""),IF($B$57&gt;Klisz_Verbräuche[[#Headers],[2050]],Refsz_Verbräuche[[#This Row],[2050]],"")))</f>
        <v/>
      </c>
      <c r="Z106" s="15"/>
    </row>
    <row r="107" spans="2:26" x14ac:dyDescent="0.35">
      <c r="B107" s="15">
        <v>47</v>
      </c>
      <c r="C107" s="20" t="str">
        <f>Refsz_Verbräuche[[#This Row],[Datenpunkt]]</f>
        <v>DR - Mietwägen (Benzin)</v>
      </c>
      <c r="D107" s="29" t="str">
        <f>Refsz_Verbräuche[[#This Row],[Einheit]]</f>
        <v>Fkm</v>
      </c>
      <c r="E107" s="122"/>
      <c r="F107" s="15" t="str">
        <f>IF(ISBLANK(Refsz_Verbräuche[[#This Row],[2015]]),"",Refsz_Verbräuche[[#This Row],[2015]])</f>
        <v/>
      </c>
      <c r="G107" s="15" t="str">
        <f>IF(ISBLANK(Refsz_Verbräuche[[#This Row],[2016]]),"",Refsz_Verbräuche[[#This Row],[2016]])</f>
        <v/>
      </c>
      <c r="H107" s="15" t="str">
        <f>IF(ISBLANK(Refsz_Verbräuche[[#This Row],[2017]]),"",Refsz_Verbräuche[[#This Row],[2017]])</f>
        <v/>
      </c>
      <c r="I107" s="15" t="str">
        <f>IF(ISBLANK(Refsz_Verbräuche[[#This Row],[2018]]),"",Refsz_Verbräuche[[#This Row],[2018]])</f>
        <v/>
      </c>
      <c r="J107" s="15" t="str">
        <f>IF(ISBLANK(Refsz_Verbräuche[[#This Row],[2019]]),"",Refsz_Verbräuche[[#This Row],[2019]])</f>
        <v/>
      </c>
      <c r="K107" s="15" t="str">
        <f>IF(ISBLANK(Refsz_Verbräuche[[#This Row],[2020]]),"",Refsz_Verbräuche[[#This Row],[2020]])</f>
        <v/>
      </c>
      <c r="L107" s="15" t="str">
        <f>IF(ISBLANK(Refsz_Verbräuche[[#This Row],[2021]]),"",Refsz_Verbräuche[[#This Row],[2021]])</f>
        <v/>
      </c>
      <c r="M107" s="57" t="str">
        <f>IF(Klisz_Verbräuche[[#Headers],[2022]]=$B$57,IF(COUNTIF($F107:Klisz_Verbräuche[[#This Row],[2021]],"&gt;0")&gt;0, AVERAGEIF($F107:Klisz_Verbräuche[[#This Row],[2021]],"&lt;&gt;"), ""),IF($B$57&lt;Klisz_Verbräuche[[#Headers],[2022]],IF(COUNTIF($F107:Klisz_Verbräuche[[#This Row],[2021]],"&gt;0")&gt;0,IF(COUNTIF($F107:Klisz_Verbräuche[[#This Row],[2021]],"&gt;0")&gt;0,Klisz_Verbräuche[[#This Row],[2021]]*(1-$E107)^1, ""), ""),IF($B$57&gt;Klisz_Verbräuche[[#Headers],[2022]],Refsz_Verbräuche[[#This Row],[2022]],"")))</f>
        <v/>
      </c>
      <c r="N107" s="57" t="str">
        <f>IF(Klisz_Verbräuche[[#Headers],[2023]]=$B$57,IF(COUNTIF($F107:Klisz_Verbräuche[[#This Row],[2022]],"&gt;0")&gt;0, AVERAGEIF($F107:Klisz_Verbräuche[[#This Row],[2022]],"&lt;&gt;"), ""),IF($B$57&lt;Klisz_Verbräuche[[#Headers],[2023]],IF(COUNTIF($F107:Klisz_Verbräuche[[#This Row],[2022]],"&gt;0")&gt;0,IF(COUNTIF($F107:Klisz_Verbräuche[[#This Row],[2022]],"&gt;0")&gt;0,Klisz_Verbräuche[[#This Row],[2022]]*(1-$E107)^1, ""), ""),IF($B$57&gt;Klisz_Verbräuche[[#Headers],[2023]],Refsz_Verbräuche[[#This Row],[2023]],"")))</f>
        <v/>
      </c>
      <c r="O107" s="57" t="str">
        <f>IF(Klisz_Verbräuche[[#Headers],[2024]]=$B$57,IF(COUNTIF($F107:Klisz_Verbräuche[[#This Row],[2023]],"&gt;0")&gt;0, AVERAGEIF($F107:Klisz_Verbräuche[[#This Row],[2023]],"&lt;&gt;"), ""),IF($B$57&lt;Klisz_Verbräuche[[#Headers],[2024]],IF(COUNTIF($F107:Klisz_Verbräuche[[#This Row],[2023]],"&gt;0")&gt;0,IF(COUNTIF($F107:Klisz_Verbräuche[[#This Row],[2023]],"&gt;0")&gt;0,Klisz_Verbräuche[[#This Row],[2023]]*(1-$E107)^1, ""), ""),IF($B$57&gt;Klisz_Verbräuche[[#Headers],[2024]],Refsz_Verbräuche[[#This Row],[2024]],"")))</f>
        <v/>
      </c>
      <c r="P107" s="57" t="str">
        <f>IF(Klisz_Verbräuche[[#Headers],[2025]]=$B$57,IF(COUNTIF($F107:Klisz_Verbräuche[[#This Row],[2024]],"&gt;0")&gt;0, AVERAGEIF($F107:Klisz_Verbräuche[[#This Row],[2024]],"&lt;&gt;"), ""),IF($B$57&lt;Klisz_Verbräuche[[#Headers],[2025]],IF(COUNTIF($F107:Klisz_Verbräuche[[#This Row],[2024]],"&gt;0")&gt;0,IF(COUNTIF($F107:Klisz_Verbräuche[[#This Row],[2024]],"&gt;0")&gt;0,Klisz_Verbräuche[[#This Row],[2024]]*(1-$E107)^1, ""), ""),IF($B$57&gt;Klisz_Verbräuche[[#Headers],[2025]],Refsz_Verbräuche[[#This Row],[2025]],"")))</f>
        <v/>
      </c>
      <c r="Q107" s="57" t="str">
        <f>IF(Klisz_Verbräuche[[#Headers],[2026]]=$B$57,IF(COUNTIF($F107:Klisz_Verbräuche[[#This Row],[2025]],"&gt;0")&gt;0, AVERAGEIF($F107:Klisz_Verbräuche[[#This Row],[2025]],"&lt;&gt;"), ""),IF($B$57&lt;Klisz_Verbräuche[[#Headers],[2026]],IF(COUNTIF($F107:Klisz_Verbräuche[[#This Row],[2025]],"&gt;0")&gt;0,IF(COUNTIF($F107:Klisz_Verbräuche[[#This Row],[2025]],"&gt;0")&gt;0,Klisz_Verbräuche[[#This Row],[2025]]*(1-$E107)^1, ""), ""),IF($B$57&gt;Klisz_Verbräuche[[#Headers],[2026]],Refsz_Verbräuche[[#This Row],[2026]],"")))</f>
        <v/>
      </c>
      <c r="R107" s="57" t="str">
        <f>IF(Klisz_Verbräuche[[#Headers],[2027]]=$B$57,IF(COUNTIF($F107:Klisz_Verbräuche[[#This Row],[2026]],"&gt;0")&gt;0, AVERAGEIF($F107:Klisz_Verbräuche[[#This Row],[2026]],"&lt;&gt;"), ""),IF($B$57&lt;Klisz_Verbräuche[[#Headers],[2027]],IF(COUNTIF($F107:Klisz_Verbräuche[[#This Row],[2026]],"&gt;0")&gt;0,IF(COUNTIF($F107:Klisz_Verbräuche[[#This Row],[2026]],"&gt;0")&gt;0,Klisz_Verbräuche[[#This Row],[2026]]*(1-$E107)^1, ""), ""),IF($B$57&gt;Klisz_Verbräuche[[#Headers],[2027]],Refsz_Verbräuche[[#This Row],[2027]],"")))</f>
        <v/>
      </c>
      <c r="S107" s="57" t="str">
        <f>IF(Klisz_Verbräuche[[#Headers],[2028]]=$B$57,IF(COUNTIF($F107:Klisz_Verbräuche[[#This Row],[2027]],"&gt;0")&gt;0, AVERAGEIF($F107:Klisz_Verbräuche[[#This Row],[2027]],"&lt;&gt;"), ""),IF($B$57&lt;Klisz_Verbräuche[[#Headers],[2028]],IF(COUNTIF($F107:Klisz_Verbräuche[[#This Row],[2027]],"&gt;0")&gt;0,IF(COUNTIF($F107:Klisz_Verbräuche[[#This Row],[2027]],"&gt;0")&gt;0,Klisz_Verbräuche[[#This Row],[2027]]*(1-$E107)^1, ""), ""),IF($B$57&gt;Klisz_Verbräuche[[#Headers],[2028]],Refsz_Verbräuche[[#This Row],[2028]],"")))</f>
        <v/>
      </c>
      <c r="T107" s="57" t="str">
        <f>IF(Klisz_Verbräuche[[#Headers],[2029]]=$B$57,IF(COUNTIF($F107:Klisz_Verbräuche[[#This Row],[2028]],"&gt;0")&gt;0, AVERAGEIF($F107:Klisz_Verbräuche[[#This Row],[2028]],"&lt;&gt;"), ""),IF($B$57&lt;Klisz_Verbräuche[[#Headers],[2029]],IF(COUNTIF($F107:Klisz_Verbräuche[[#This Row],[2028]],"&gt;0")&gt;0,IF(COUNTIF($F107:Klisz_Verbräuche[[#This Row],[2028]],"&gt;0")&gt;0,Klisz_Verbräuche[[#This Row],[2028]]*(1-$E107)^1, ""), ""),IF($B$57&gt;Klisz_Verbräuche[[#Headers],[2029]],Refsz_Verbräuche[[#This Row],[2029]],"")))</f>
        <v/>
      </c>
      <c r="U107" s="57" t="str">
        <f>IF(Klisz_Verbräuche[[#Headers],[2030]]=$B$57,IF(COUNTIF($F107:Klisz_Verbräuche[[#This Row],[2029]],"&gt;0")&gt;0, AVERAGEIF($F107:Klisz_Verbräuche[[#This Row],[2029]],"&lt;&gt;"), ""),IF($B$57&lt;Klisz_Verbräuche[[#Headers],[2030]],IF(COUNTIF($F107:Klisz_Verbräuche[[#This Row],[2029]],"&gt;0")&gt;0,IF(COUNTIF($F107:Klisz_Verbräuche[[#This Row],[2029]],"&gt;0")&gt;0,Klisz_Verbräuche[[#This Row],[2029]]*(1-$E107)^1, ""), ""),IF($B$57&gt;Klisz_Verbräuche[[#Headers],[2030]],Refsz_Verbräuche[[#This Row],[2030]],"")))</f>
        <v/>
      </c>
      <c r="V107" s="57" t="str">
        <f>IF(Klisz_Verbräuche[[#Headers],[2035]]=$B$57,IF(COUNTIF($F107:Klisz_Verbräuche[[#This Row],[2030]],"&gt;0")&gt;0, AVERAGEIF($F107:Klisz_Verbräuche[[#This Row],[2030]],"&lt;&gt;"), ""),IF($B$57&lt;Klisz_Verbräuche[[#Headers],[2035]],IF(COUNTIF($F107:Klisz_Verbräuche[[#This Row],[2030]],"&gt;0")&gt;0,IF(COUNTIF($F107:Klisz_Verbräuche[[#This Row],[2030]],"&gt;0")&gt;0,Klisz_Verbräuche[[#This Row],[2030]]*(1-$E107)^5, ""), ""),IF($B$57&gt;Klisz_Verbräuche[[#Headers],[2035]],Refsz_Verbräuche[[#This Row],[2035]],"")))</f>
        <v/>
      </c>
      <c r="W107" s="57" t="str">
        <f>IF(Klisz_Verbräuche[[#Headers],[2040]]=$B$57,IF(COUNTIF($F107:Klisz_Verbräuche[[#This Row],[2035]],"&gt;0")&gt;0, AVERAGEIF($F107:Klisz_Verbräuche[[#This Row],[2035]],"&lt;&gt;"), ""),IF($B$57&lt;Klisz_Verbräuche[[#Headers],[2040]],IF(COUNTIF($F107:Klisz_Verbräuche[[#This Row],[2035]],"&gt;0")&gt;0,IF(COUNTIF($F107:Klisz_Verbräuche[[#This Row],[2035]],"&gt;0")&gt;0,Klisz_Verbräuche[[#This Row],[2035]]*(1-$E107)^5, ""), ""),IF($B$57&gt;Klisz_Verbräuche[[#Headers],[2040]],Refsz_Verbräuche[[#This Row],[2040]],"")))</f>
        <v/>
      </c>
      <c r="X107" s="57" t="str">
        <f>IF(Klisz_Verbräuche[[#Headers],[2045]]=$B$57,IF(COUNTIF($F107:Klisz_Verbräuche[[#This Row],[2040]],"&gt;0")&gt;0, AVERAGEIF($F107:Klisz_Verbräuche[[#This Row],[2040]],"&lt;&gt;"), ""),IF($B$57&lt;Klisz_Verbräuche[[#Headers],[2045]],IF(COUNTIF($F107:Klisz_Verbräuche[[#This Row],[2040]],"&gt;0")&gt;0,IF(COUNTIF($F107:Klisz_Verbräuche[[#This Row],[2040]],"&gt;0")&gt;0,Klisz_Verbräuche[[#This Row],[2040]]*(1-$E107)^5, ""), ""),IF($B$57&gt;Klisz_Verbräuche[[#Headers],[2045]],Refsz_Verbräuche[[#This Row],[2045]],"")))</f>
        <v/>
      </c>
      <c r="Y107" s="57" t="str">
        <f>IF(Klisz_Verbräuche[[#Headers],[2050]]=$B$57,IF(COUNTIF($F107:Klisz_Verbräuche[[#This Row],[2045]],"&gt;0")&gt;0, AVERAGEIF($F107:Klisz_Verbräuche[[#This Row],[2045]],"&lt;&gt;"), ""),IF($B$57&lt;Klisz_Verbräuche[[#Headers],[2050]],IF(COUNTIF($F107:Klisz_Verbräuche[[#This Row],[2045]],"&gt;0")&gt;0,IF(COUNTIF($F107:Klisz_Verbräuche[[#This Row],[2045]],"&gt;0")&gt;0,Klisz_Verbräuche[[#This Row],[2045]]*(1-$E107)^5, ""), ""),IF($B$57&gt;Klisz_Verbräuche[[#Headers],[2050]],Refsz_Verbräuche[[#This Row],[2050]],"")))</f>
        <v/>
      </c>
      <c r="Z107" s="15"/>
    </row>
    <row r="108" spans="2:26" x14ac:dyDescent="0.35">
      <c r="B108" s="15">
        <v>48</v>
      </c>
      <c r="C108" s="20" t="str">
        <f>Refsz_Verbräuche[[#This Row],[Datenpunkt]]</f>
        <v>DR - Mietwägen (E-Auto/ BEV)</v>
      </c>
      <c r="D108" s="29" t="str">
        <f>Refsz_Verbräuche[[#This Row],[Einheit]]</f>
        <v>Fkm</v>
      </c>
      <c r="E108" s="122"/>
      <c r="F108" s="15" t="str">
        <f>IF(ISBLANK(Refsz_Verbräuche[[#This Row],[2015]]),"",Refsz_Verbräuche[[#This Row],[2015]])</f>
        <v/>
      </c>
      <c r="G108" s="15" t="str">
        <f>IF(ISBLANK(Refsz_Verbräuche[[#This Row],[2016]]),"",Refsz_Verbräuche[[#This Row],[2016]])</f>
        <v/>
      </c>
      <c r="H108" s="15" t="str">
        <f>IF(ISBLANK(Refsz_Verbräuche[[#This Row],[2017]]),"",Refsz_Verbräuche[[#This Row],[2017]])</f>
        <v/>
      </c>
      <c r="I108" s="15" t="str">
        <f>IF(ISBLANK(Refsz_Verbräuche[[#This Row],[2018]]),"",Refsz_Verbräuche[[#This Row],[2018]])</f>
        <v/>
      </c>
      <c r="J108" s="15" t="str">
        <f>IF(ISBLANK(Refsz_Verbräuche[[#This Row],[2019]]),"",Refsz_Verbräuche[[#This Row],[2019]])</f>
        <v/>
      </c>
      <c r="K108" s="15" t="str">
        <f>IF(ISBLANK(Refsz_Verbräuche[[#This Row],[2020]]),"",Refsz_Verbräuche[[#This Row],[2020]])</f>
        <v/>
      </c>
      <c r="L108" s="15" t="str">
        <f>IF(ISBLANK(Refsz_Verbräuche[[#This Row],[2021]]),"",Refsz_Verbräuche[[#This Row],[2021]])</f>
        <v/>
      </c>
      <c r="M108" s="57" t="str">
        <f>IF(Klisz_Verbräuche[[#Headers],[2022]]=$B$57,IF(COUNTIF($F108:Klisz_Verbräuche[[#This Row],[2021]],"&gt;0")&gt;0, AVERAGEIF($F108:Klisz_Verbräuche[[#This Row],[2021]],"&lt;&gt;"), ""),IF($B$57&lt;Klisz_Verbräuche[[#Headers],[2022]],IF(COUNTIF($F108:Klisz_Verbräuche[[#This Row],[2021]],"&gt;0")&gt;0,IF(COUNTIF($F108:Klisz_Verbräuche[[#This Row],[2021]],"&gt;0")&gt;0,Klisz_Verbräuche[[#This Row],[2021]]*(1-$E108)^1, ""), ""),IF($B$57&gt;Klisz_Verbräuche[[#Headers],[2022]],Refsz_Verbräuche[[#This Row],[2022]],"")))</f>
        <v/>
      </c>
      <c r="N108" s="57" t="str">
        <f>IF(Klisz_Verbräuche[[#Headers],[2023]]=$B$57,IF(COUNTIF($F108:Klisz_Verbräuche[[#This Row],[2022]],"&gt;0")&gt;0, AVERAGEIF($F108:Klisz_Verbräuche[[#This Row],[2022]],"&lt;&gt;"), ""),IF($B$57&lt;Klisz_Verbräuche[[#Headers],[2023]],IF(COUNTIF($F108:Klisz_Verbräuche[[#This Row],[2022]],"&gt;0")&gt;0,IF(COUNTIF($F108:Klisz_Verbräuche[[#This Row],[2022]],"&gt;0")&gt;0,Klisz_Verbräuche[[#This Row],[2022]]*(1-$E108)^1, ""), ""),IF($B$57&gt;Klisz_Verbräuche[[#Headers],[2023]],Refsz_Verbräuche[[#This Row],[2023]],"")))</f>
        <v/>
      </c>
      <c r="O108" s="57" t="str">
        <f>IF(Klisz_Verbräuche[[#Headers],[2024]]=$B$57,IF(COUNTIF($F108:Klisz_Verbräuche[[#This Row],[2023]],"&gt;0")&gt;0, AVERAGEIF($F108:Klisz_Verbräuche[[#This Row],[2023]],"&lt;&gt;"), ""),IF($B$57&lt;Klisz_Verbräuche[[#Headers],[2024]],IF(COUNTIF($F108:Klisz_Verbräuche[[#This Row],[2023]],"&gt;0")&gt;0,IF(COUNTIF($F108:Klisz_Verbräuche[[#This Row],[2023]],"&gt;0")&gt;0,Klisz_Verbräuche[[#This Row],[2023]]*(1-$E108)^1, ""), ""),IF($B$57&gt;Klisz_Verbräuche[[#Headers],[2024]],Refsz_Verbräuche[[#This Row],[2024]],"")))</f>
        <v/>
      </c>
      <c r="P108" s="57" t="str">
        <f>IF(Klisz_Verbräuche[[#Headers],[2025]]=$B$57,IF(COUNTIF($F108:Klisz_Verbräuche[[#This Row],[2024]],"&gt;0")&gt;0, AVERAGEIF($F108:Klisz_Verbräuche[[#This Row],[2024]],"&lt;&gt;"), ""),IF($B$57&lt;Klisz_Verbräuche[[#Headers],[2025]],IF(COUNTIF($F108:Klisz_Verbräuche[[#This Row],[2024]],"&gt;0")&gt;0,IF(COUNTIF($F108:Klisz_Verbräuche[[#This Row],[2024]],"&gt;0")&gt;0,Klisz_Verbräuche[[#This Row],[2024]]*(1-$E108)^1, ""), ""),IF($B$57&gt;Klisz_Verbräuche[[#Headers],[2025]],Refsz_Verbräuche[[#This Row],[2025]],"")))</f>
        <v/>
      </c>
      <c r="Q108" s="57" t="str">
        <f>IF(Klisz_Verbräuche[[#Headers],[2026]]=$B$57,IF(COUNTIF($F108:Klisz_Verbräuche[[#This Row],[2025]],"&gt;0")&gt;0, AVERAGEIF($F108:Klisz_Verbräuche[[#This Row],[2025]],"&lt;&gt;"), ""),IF($B$57&lt;Klisz_Verbräuche[[#Headers],[2026]],IF(COUNTIF($F108:Klisz_Verbräuche[[#This Row],[2025]],"&gt;0")&gt;0,IF(COUNTIF($F108:Klisz_Verbräuche[[#This Row],[2025]],"&gt;0")&gt;0,Klisz_Verbräuche[[#This Row],[2025]]*(1-$E108)^1, ""), ""),IF($B$57&gt;Klisz_Verbräuche[[#Headers],[2026]],Refsz_Verbräuche[[#This Row],[2026]],"")))</f>
        <v/>
      </c>
      <c r="R108" s="57" t="str">
        <f>IF(Klisz_Verbräuche[[#Headers],[2027]]=$B$57,IF(COUNTIF($F108:Klisz_Verbräuche[[#This Row],[2026]],"&gt;0")&gt;0, AVERAGEIF($F108:Klisz_Verbräuche[[#This Row],[2026]],"&lt;&gt;"), ""),IF($B$57&lt;Klisz_Verbräuche[[#Headers],[2027]],IF(COUNTIF($F108:Klisz_Verbräuche[[#This Row],[2026]],"&gt;0")&gt;0,IF(COUNTIF($F108:Klisz_Verbräuche[[#This Row],[2026]],"&gt;0")&gt;0,Klisz_Verbräuche[[#This Row],[2026]]*(1-$E108)^1, ""), ""),IF($B$57&gt;Klisz_Verbräuche[[#Headers],[2027]],Refsz_Verbräuche[[#This Row],[2027]],"")))</f>
        <v/>
      </c>
      <c r="S108" s="57" t="str">
        <f>IF(Klisz_Verbräuche[[#Headers],[2028]]=$B$57,IF(COUNTIF($F108:Klisz_Verbräuche[[#This Row],[2027]],"&gt;0")&gt;0, AVERAGEIF($F108:Klisz_Verbräuche[[#This Row],[2027]],"&lt;&gt;"), ""),IF($B$57&lt;Klisz_Verbräuche[[#Headers],[2028]],IF(COUNTIF($F108:Klisz_Verbräuche[[#This Row],[2027]],"&gt;0")&gt;0,IF(COUNTIF($F108:Klisz_Verbräuche[[#This Row],[2027]],"&gt;0")&gt;0,Klisz_Verbräuche[[#This Row],[2027]]*(1-$E108)^1, ""), ""),IF($B$57&gt;Klisz_Verbräuche[[#Headers],[2028]],Refsz_Verbräuche[[#This Row],[2028]],"")))</f>
        <v/>
      </c>
      <c r="T108" s="57" t="str">
        <f>IF(Klisz_Verbräuche[[#Headers],[2029]]=$B$57,IF(COUNTIF($F108:Klisz_Verbräuche[[#This Row],[2028]],"&gt;0")&gt;0, AVERAGEIF($F108:Klisz_Verbräuche[[#This Row],[2028]],"&lt;&gt;"), ""),IF($B$57&lt;Klisz_Verbräuche[[#Headers],[2029]],IF(COUNTIF($F108:Klisz_Verbräuche[[#This Row],[2028]],"&gt;0")&gt;0,IF(COUNTIF($F108:Klisz_Verbräuche[[#This Row],[2028]],"&gt;0")&gt;0,Klisz_Verbräuche[[#This Row],[2028]]*(1-$E108)^1, ""), ""),IF($B$57&gt;Klisz_Verbräuche[[#Headers],[2029]],Refsz_Verbräuche[[#This Row],[2029]],"")))</f>
        <v/>
      </c>
      <c r="U108" s="57" t="str">
        <f>IF(Klisz_Verbräuche[[#Headers],[2030]]=$B$57,IF(COUNTIF($F108:Klisz_Verbräuche[[#This Row],[2029]],"&gt;0")&gt;0, AVERAGEIF($F108:Klisz_Verbräuche[[#This Row],[2029]],"&lt;&gt;"), ""),IF($B$57&lt;Klisz_Verbräuche[[#Headers],[2030]],IF(COUNTIF($F108:Klisz_Verbräuche[[#This Row],[2029]],"&gt;0")&gt;0,IF(COUNTIF($F108:Klisz_Verbräuche[[#This Row],[2029]],"&gt;0")&gt;0,Klisz_Verbräuche[[#This Row],[2029]]*(1-$E108)^1, ""), ""),IF($B$57&gt;Klisz_Verbräuche[[#Headers],[2030]],Refsz_Verbräuche[[#This Row],[2030]],"")))</f>
        <v/>
      </c>
      <c r="V108" s="57" t="str">
        <f>IF(Klisz_Verbräuche[[#Headers],[2035]]=$B$57,IF(COUNTIF($F108:Klisz_Verbräuche[[#This Row],[2030]],"&gt;0")&gt;0, AVERAGEIF($F108:Klisz_Verbräuche[[#This Row],[2030]],"&lt;&gt;"), ""),IF($B$57&lt;Klisz_Verbräuche[[#Headers],[2035]],IF(COUNTIF($F108:Klisz_Verbräuche[[#This Row],[2030]],"&gt;0")&gt;0,IF(COUNTIF($F108:Klisz_Verbräuche[[#This Row],[2030]],"&gt;0")&gt;0,Klisz_Verbräuche[[#This Row],[2030]]*(1-$E108)^5, ""), ""),IF($B$57&gt;Klisz_Verbräuche[[#Headers],[2035]],Refsz_Verbräuche[[#This Row],[2035]],"")))</f>
        <v/>
      </c>
      <c r="W108" s="57" t="str">
        <f>IF(Klisz_Verbräuche[[#Headers],[2040]]=$B$57,IF(COUNTIF($F108:Klisz_Verbräuche[[#This Row],[2035]],"&gt;0")&gt;0, AVERAGEIF($F108:Klisz_Verbräuche[[#This Row],[2035]],"&lt;&gt;"), ""),IF($B$57&lt;Klisz_Verbräuche[[#Headers],[2040]],IF(COUNTIF($F108:Klisz_Verbräuche[[#This Row],[2035]],"&gt;0")&gt;0,IF(COUNTIF($F108:Klisz_Verbräuche[[#This Row],[2035]],"&gt;0")&gt;0,Klisz_Verbräuche[[#This Row],[2035]]*(1-$E108)^5, ""), ""),IF($B$57&gt;Klisz_Verbräuche[[#Headers],[2040]],Refsz_Verbräuche[[#This Row],[2040]],"")))</f>
        <v/>
      </c>
      <c r="X108" s="57" t="str">
        <f>IF(Klisz_Verbräuche[[#Headers],[2045]]=$B$57,IF(COUNTIF($F108:Klisz_Verbräuche[[#This Row],[2040]],"&gt;0")&gt;0, AVERAGEIF($F108:Klisz_Verbräuche[[#This Row],[2040]],"&lt;&gt;"), ""),IF($B$57&lt;Klisz_Verbräuche[[#Headers],[2045]],IF(COUNTIF($F108:Klisz_Verbräuche[[#This Row],[2040]],"&gt;0")&gt;0,IF(COUNTIF($F108:Klisz_Verbräuche[[#This Row],[2040]],"&gt;0")&gt;0,Klisz_Verbräuche[[#This Row],[2040]]*(1-$E108)^5, ""), ""),IF($B$57&gt;Klisz_Verbräuche[[#Headers],[2045]],Refsz_Verbräuche[[#This Row],[2045]],"")))</f>
        <v/>
      </c>
      <c r="Y108" s="57" t="str">
        <f>IF(Klisz_Verbräuche[[#Headers],[2050]]=$B$57,IF(COUNTIF($F108:Klisz_Verbräuche[[#This Row],[2045]],"&gt;0")&gt;0, AVERAGEIF($F108:Klisz_Verbräuche[[#This Row],[2045]],"&lt;&gt;"), ""),IF($B$57&lt;Klisz_Verbräuche[[#Headers],[2050]],IF(COUNTIF($F108:Klisz_Verbräuche[[#This Row],[2045]],"&gt;0")&gt;0,IF(COUNTIF($F108:Klisz_Verbräuche[[#This Row],[2045]],"&gt;0")&gt;0,Klisz_Verbräuche[[#This Row],[2045]]*(1-$E108)^5, ""), ""),IF($B$57&gt;Klisz_Verbräuche[[#Headers],[2050]],Refsz_Verbräuche[[#This Row],[2050]],"")))</f>
        <v/>
      </c>
      <c r="Z108" s="15"/>
    </row>
    <row r="109" spans="2:26" x14ac:dyDescent="0.35">
      <c r="B109" s="15">
        <v>49</v>
      </c>
      <c r="C109" s="20" t="str">
        <f>Refsz_Verbräuche[[#This Row],[Datenpunkt]]</f>
        <v>DR - Mietwägen (Wasserstoff/ FCEV)</v>
      </c>
      <c r="D109" s="29" t="str">
        <f>Refsz_Verbräuche[[#This Row],[Einheit]]</f>
        <v>Fkm</v>
      </c>
      <c r="E109" s="122"/>
      <c r="F109" s="15" t="str">
        <f>IF(ISBLANK(Refsz_Verbräuche[[#This Row],[2015]]),"",Refsz_Verbräuche[[#This Row],[2015]])</f>
        <v/>
      </c>
      <c r="G109" s="15" t="str">
        <f>IF(ISBLANK(Refsz_Verbräuche[[#This Row],[2016]]),"",Refsz_Verbräuche[[#This Row],[2016]])</f>
        <v/>
      </c>
      <c r="H109" s="15" t="str">
        <f>IF(ISBLANK(Refsz_Verbräuche[[#This Row],[2017]]),"",Refsz_Verbräuche[[#This Row],[2017]])</f>
        <v/>
      </c>
      <c r="I109" s="15" t="str">
        <f>IF(ISBLANK(Refsz_Verbräuche[[#This Row],[2018]]),"",Refsz_Verbräuche[[#This Row],[2018]])</f>
        <v/>
      </c>
      <c r="J109" s="15" t="str">
        <f>IF(ISBLANK(Refsz_Verbräuche[[#This Row],[2019]]),"",Refsz_Verbräuche[[#This Row],[2019]])</f>
        <v/>
      </c>
      <c r="K109" s="15" t="str">
        <f>IF(ISBLANK(Refsz_Verbräuche[[#This Row],[2020]]),"",Refsz_Verbräuche[[#This Row],[2020]])</f>
        <v/>
      </c>
      <c r="L109" s="15" t="str">
        <f>IF(ISBLANK(Refsz_Verbräuche[[#This Row],[2021]]),"",Refsz_Verbräuche[[#This Row],[2021]])</f>
        <v/>
      </c>
      <c r="M109" s="57" t="str">
        <f>IF(Klisz_Verbräuche[[#Headers],[2022]]=$B$57,IF(COUNTIF($F109:Klisz_Verbräuche[[#This Row],[2021]],"&gt;0")&gt;0, AVERAGEIF($F109:Klisz_Verbräuche[[#This Row],[2021]],"&lt;&gt;"), ""),IF($B$57&lt;Klisz_Verbräuche[[#Headers],[2022]],IF(COUNTIF($F109:Klisz_Verbräuche[[#This Row],[2021]],"&gt;0")&gt;0,IF(COUNTIF($F109:Klisz_Verbräuche[[#This Row],[2021]],"&gt;0")&gt;0,Klisz_Verbräuche[[#This Row],[2021]]*(1-$E109)^1, ""), ""),IF($B$57&gt;Klisz_Verbräuche[[#Headers],[2022]],Refsz_Verbräuche[[#This Row],[2022]],"")))</f>
        <v/>
      </c>
      <c r="N109" s="57" t="str">
        <f>IF(Klisz_Verbräuche[[#Headers],[2023]]=$B$57,IF(COUNTIF($F109:Klisz_Verbräuche[[#This Row],[2022]],"&gt;0")&gt;0, AVERAGEIF($F109:Klisz_Verbräuche[[#This Row],[2022]],"&lt;&gt;"), ""),IF($B$57&lt;Klisz_Verbräuche[[#Headers],[2023]],IF(COUNTIF($F109:Klisz_Verbräuche[[#This Row],[2022]],"&gt;0")&gt;0,IF(COUNTIF($F109:Klisz_Verbräuche[[#This Row],[2022]],"&gt;0")&gt;0,Klisz_Verbräuche[[#This Row],[2022]]*(1-$E109)^1, ""), ""),IF($B$57&gt;Klisz_Verbräuche[[#Headers],[2023]],Refsz_Verbräuche[[#This Row],[2023]],"")))</f>
        <v/>
      </c>
      <c r="O109" s="57" t="str">
        <f>IF(Klisz_Verbräuche[[#Headers],[2024]]=$B$57,IF(COUNTIF($F109:Klisz_Verbräuche[[#This Row],[2023]],"&gt;0")&gt;0, AVERAGEIF($F109:Klisz_Verbräuche[[#This Row],[2023]],"&lt;&gt;"), ""),IF($B$57&lt;Klisz_Verbräuche[[#Headers],[2024]],IF(COUNTIF($F109:Klisz_Verbräuche[[#This Row],[2023]],"&gt;0")&gt;0,IF(COUNTIF($F109:Klisz_Verbräuche[[#This Row],[2023]],"&gt;0")&gt;0,Klisz_Verbräuche[[#This Row],[2023]]*(1-$E109)^1, ""), ""),IF($B$57&gt;Klisz_Verbräuche[[#Headers],[2024]],Refsz_Verbräuche[[#This Row],[2024]],"")))</f>
        <v/>
      </c>
      <c r="P109" s="57" t="str">
        <f>IF(Klisz_Verbräuche[[#Headers],[2025]]=$B$57,IF(COUNTIF($F109:Klisz_Verbräuche[[#This Row],[2024]],"&gt;0")&gt;0, AVERAGEIF($F109:Klisz_Verbräuche[[#This Row],[2024]],"&lt;&gt;"), ""),IF($B$57&lt;Klisz_Verbräuche[[#Headers],[2025]],IF(COUNTIF($F109:Klisz_Verbräuche[[#This Row],[2024]],"&gt;0")&gt;0,IF(COUNTIF($F109:Klisz_Verbräuche[[#This Row],[2024]],"&gt;0")&gt;0,Klisz_Verbräuche[[#This Row],[2024]]*(1-$E109)^1, ""), ""),IF($B$57&gt;Klisz_Verbräuche[[#Headers],[2025]],Refsz_Verbräuche[[#This Row],[2025]],"")))</f>
        <v/>
      </c>
      <c r="Q109" s="57" t="str">
        <f>IF(Klisz_Verbräuche[[#Headers],[2026]]=$B$57,IF(COUNTIF($F109:Klisz_Verbräuche[[#This Row],[2025]],"&gt;0")&gt;0, AVERAGEIF($F109:Klisz_Verbräuche[[#This Row],[2025]],"&lt;&gt;"), ""),IF($B$57&lt;Klisz_Verbräuche[[#Headers],[2026]],IF(COUNTIF($F109:Klisz_Verbräuche[[#This Row],[2025]],"&gt;0")&gt;0,IF(COUNTIF($F109:Klisz_Verbräuche[[#This Row],[2025]],"&gt;0")&gt;0,Klisz_Verbräuche[[#This Row],[2025]]*(1-$E109)^1, ""), ""),IF($B$57&gt;Klisz_Verbräuche[[#Headers],[2026]],Refsz_Verbräuche[[#This Row],[2026]],"")))</f>
        <v/>
      </c>
      <c r="R109" s="57" t="str">
        <f>IF(Klisz_Verbräuche[[#Headers],[2027]]=$B$57,IF(COUNTIF($F109:Klisz_Verbräuche[[#This Row],[2026]],"&gt;0")&gt;0, AVERAGEIF($F109:Klisz_Verbräuche[[#This Row],[2026]],"&lt;&gt;"), ""),IF($B$57&lt;Klisz_Verbräuche[[#Headers],[2027]],IF(COUNTIF($F109:Klisz_Verbräuche[[#This Row],[2026]],"&gt;0")&gt;0,IF(COUNTIF($F109:Klisz_Verbräuche[[#This Row],[2026]],"&gt;0")&gt;0,Klisz_Verbräuche[[#This Row],[2026]]*(1-$E109)^1, ""), ""),IF($B$57&gt;Klisz_Verbräuche[[#Headers],[2027]],Refsz_Verbräuche[[#This Row],[2027]],"")))</f>
        <v/>
      </c>
      <c r="S109" s="57" t="str">
        <f>IF(Klisz_Verbräuche[[#Headers],[2028]]=$B$57,IF(COUNTIF($F109:Klisz_Verbräuche[[#This Row],[2027]],"&gt;0")&gt;0, AVERAGEIF($F109:Klisz_Verbräuche[[#This Row],[2027]],"&lt;&gt;"), ""),IF($B$57&lt;Klisz_Verbräuche[[#Headers],[2028]],IF(COUNTIF($F109:Klisz_Verbräuche[[#This Row],[2027]],"&gt;0")&gt;0,IF(COUNTIF($F109:Klisz_Verbräuche[[#This Row],[2027]],"&gt;0")&gt;0,Klisz_Verbräuche[[#This Row],[2027]]*(1-$E109)^1, ""), ""),IF($B$57&gt;Klisz_Verbräuche[[#Headers],[2028]],Refsz_Verbräuche[[#This Row],[2028]],"")))</f>
        <v/>
      </c>
      <c r="T109" s="57" t="str">
        <f>IF(Klisz_Verbräuche[[#Headers],[2029]]=$B$57,IF(COUNTIF($F109:Klisz_Verbräuche[[#This Row],[2028]],"&gt;0")&gt;0, AVERAGEIF($F109:Klisz_Verbräuche[[#This Row],[2028]],"&lt;&gt;"), ""),IF($B$57&lt;Klisz_Verbräuche[[#Headers],[2029]],IF(COUNTIF($F109:Klisz_Verbräuche[[#This Row],[2028]],"&gt;0")&gt;0,IF(COUNTIF($F109:Klisz_Verbräuche[[#This Row],[2028]],"&gt;0")&gt;0,Klisz_Verbräuche[[#This Row],[2028]]*(1-$E109)^1, ""), ""),IF($B$57&gt;Klisz_Verbräuche[[#Headers],[2029]],Refsz_Verbräuche[[#This Row],[2029]],"")))</f>
        <v/>
      </c>
      <c r="U109" s="57" t="str">
        <f>IF(Klisz_Verbräuche[[#Headers],[2030]]=$B$57,IF(COUNTIF($F109:Klisz_Verbräuche[[#This Row],[2029]],"&gt;0")&gt;0, AVERAGEIF($F109:Klisz_Verbräuche[[#This Row],[2029]],"&lt;&gt;"), ""),IF($B$57&lt;Klisz_Verbräuche[[#Headers],[2030]],IF(COUNTIF($F109:Klisz_Verbräuche[[#This Row],[2029]],"&gt;0")&gt;0,IF(COUNTIF($F109:Klisz_Verbräuche[[#This Row],[2029]],"&gt;0")&gt;0,Klisz_Verbräuche[[#This Row],[2029]]*(1-$E109)^1, ""), ""),IF($B$57&gt;Klisz_Verbräuche[[#Headers],[2030]],Refsz_Verbräuche[[#This Row],[2030]],"")))</f>
        <v/>
      </c>
      <c r="V109" s="57" t="str">
        <f>IF(Klisz_Verbräuche[[#Headers],[2035]]=$B$57,IF(COUNTIF($F109:Klisz_Verbräuche[[#This Row],[2030]],"&gt;0")&gt;0, AVERAGEIF($F109:Klisz_Verbräuche[[#This Row],[2030]],"&lt;&gt;"), ""),IF($B$57&lt;Klisz_Verbräuche[[#Headers],[2035]],IF(COUNTIF($F109:Klisz_Verbräuche[[#This Row],[2030]],"&gt;0")&gt;0,IF(COUNTIF($F109:Klisz_Verbräuche[[#This Row],[2030]],"&gt;0")&gt;0,Klisz_Verbräuche[[#This Row],[2030]]*(1-$E109)^5, ""), ""),IF($B$57&gt;Klisz_Verbräuche[[#Headers],[2035]],Refsz_Verbräuche[[#This Row],[2035]],"")))</f>
        <v/>
      </c>
      <c r="W109" s="57" t="str">
        <f>IF(Klisz_Verbräuche[[#Headers],[2040]]=$B$57,IF(COUNTIF($F109:Klisz_Verbräuche[[#This Row],[2035]],"&gt;0")&gt;0, AVERAGEIF($F109:Klisz_Verbräuche[[#This Row],[2035]],"&lt;&gt;"), ""),IF($B$57&lt;Klisz_Verbräuche[[#Headers],[2040]],IF(COUNTIF($F109:Klisz_Verbräuche[[#This Row],[2035]],"&gt;0")&gt;0,IF(COUNTIF($F109:Klisz_Verbräuche[[#This Row],[2035]],"&gt;0")&gt;0,Klisz_Verbräuche[[#This Row],[2035]]*(1-$E109)^5, ""), ""),IF($B$57&gt;Klisz_Verbräuche[[#Headers],[2040]],Refsz_Verbräuche[[#This Row],[2040]],"")))</f>
        <v/>
      </c>
      <c r="X109" s="57" t="str">
        <f>IF(Klisz_Verbräuche[[#Headers],[2045]]=$B$57,IF(COUNTIF($F109:Klisz_Verbräuche[[#This Row],[2040]],"&gt;0")&gt;0, AVERAGEIF($F109:Klisz_Verbräuche[[#This Row],[2040]],"&lt;&gt;"), ""),IF($B$57&lt;Klisz_Verbräuche[[#Headers],[2045]],IF(COUNTIF($F109:Klisz_Verbräuche[[#This Row],[2040]],"&gt;0")&gt;0,IF(COUNTIF($F109:Klisz_Verbräuche[[#This Row],[2040]],"&gt;0")&gt;0,Klisz_Verbräuche[[#This Row],[2040]]*(1-$E109)^5, ""), ""),IF($B$57&gt;Klisz_Verbräuche[[#Headers],[2045]],Refsz_Verbräuche[[#This Row],[2045]],"")))</f>
        <v/>
      </c>
      <c r="Y109" s="57" t="str">
        <f>IF(Klisz_Verbräuche[[#Headers],[2050]]=$B$57,IF(COUNTIF($F109:Klisz_Verbräuche[[#This Row],[2045]],"&gt;0")&gt;0, AVERAGEIF($F109:Klisz_Verbräuche[[#This Row],[2045]],"&lt;&gt;"), ""),IF($B$57&lt;Klisz_Verbräuche[[#Headers],[2050]],IF(COUNTIF($F109:Klisz_Verbräuche[[#This Row],[2045]],"&gt;0")&gt;0,IF(COUNTIF($F109:Klisz_Verbräuche[[#This Row],[2045]],"&gt;0")&gt;0,Klisz_Verbräuche[[#This Row],[2045]]*(1-$E109)^5, ""), ""),IF($B$57&gt;Klisz_Verbräuche[[#Headers],[2050]],Refsz_Verbräuche[[#This Row],[2050]],"")))</f>
        <v/>
      </c>
      <c r="Z109" s="15"/>
    </row>
    <row r="110" spans="2:26" x14ac:dyDescent="0.35">
      <c r="B110" s="15">
        <v>50</v>
      </c>
      <c r="C110" s="20" t="str">
        <f>Refsz_Verbräuche[[#This Row],[Datenpunkt]]</f>
        <v>DR - Mietwägen (CNG)</v>
      </c>
      <c r="D110" s="29" t="str">
        <f>Refsz_Verbräuche[[#This Row],[Einheit]]</f>
        <v>Fkm</v>
      </c>
      <c r="E110" s="122"/>
      <c r="F110" s="15" t="str">
        <f>IF(ISBLANK(Refsz_Verbräuche[[#This Row],[2015]]),"",Refsz_Verbräuche[[#This Row],[2015]])</f>
        <v/>
      </c>
      <c r="G110" s="15" t="str">
        <f>IF(ISBLANK(Refsz_Verbräuche[[#This Row],[2016]]),"",Refsz_Verbräuche[[#This Row],[2016]])</f>
        <v/>
      </c>
      <c r="H110" s="15" t="str">
        <f>IF(ISBLANK(Refsz_Verbräuche[[#This Row],[2017]]),"",Refsz_Verbräuche[[#This Row],[2017]])</f>
        <v/>
      </c>
      <c r="I110" s="15" t="str">
        <f>IF(ISBLANK(Refsz_Verbräuche[[#This Row],[2018]]),"",Refsz_Verbräuche[[#This Row],[2018]])</f>
        <v/>
      </c>
      <c r="J110" s="15" t="str">
        <f>IF(ISBLANK(Refsz_Verbräuche[[#This Row],[2019]]),"",Refsz_Verbräuche[[#This Row],[2019]])</f>
        <v/>
      </c>
      <c r="K110" s="15" t="str">
        <f>IF(ISBLANK(Refsz_Verbräuche[[#This Row],[2020]]),"",Refsz_Verbräuche[[#This Row],[2020]])</f>
        <v/>
      </c>
      <c r="L110" s="15" t="str">
        <f>IF(ISBLANK(Refsz_Verbräuche[[#This Row],[2021]]),"",Refsz_Verbräuche[[#This Row],[2021]])</f>
        <v/>
      </c>
      <c r="M110" s="57" t="str">
        <f>IF(Klisz_Verbräuche[[#Headers],[2022]]=$B$57,IF(COUNTIF($F110:Klisz_Verbräuche[[#This Row],[2021]],"&gt;0")&gt;0, AVERAGEIF($F110:Klisz_Verbräuche[[#This Row],[2021]],"&lt;&gt;"), ""),IF($B$57&lt;Klisz_Verbräuche[[#Headers],[2022]],IF(COUNTIF($F110:Klisz_Verbräuche[[#This Row],[2021]],"&gt;0")&gt;0,IF(COUNTIF($F110:Klisz_Verbräuche[[#This Row],[2021]],"&gt;0")&gt;0,Klisz_Verbräuche[[#This Row],[2021]]*(1-$E110)^1, ""), ""),IF($B$57&gt;Klisz_Verbräuche[[#Headers],[2022]],Refsz_Verbräuche[[#This Row],[2022]],"")))</f>
        <v/>
      </c>
      <c r="N110" s="57" t="str">
        <f>IF(Klisz_Verbräuche[[#Headers],[2023]]=$B$57,IF(COUNTIF($F110:Klisz_Verbräuche[[#This Row],[2022]],"&gt;0")&gt;0, AVERAGEIF($F110:Klisz_Verbräuche[[#This Row],[2022]],"&lt;&gt;"), ""),IF($B$57&lt;Klisz_Verbräuche[[#Headers],[2023]],IF(COUNTIF($F110:Klisz_Verbräuche[[#This Row],[2022]],"&gt;0")&gt;0,IF(COUNTIF($F110:Klisz_Verbräuche[[#This Row],[2022]],"&gt;0")&gt;0,Klisz_Verbräuche[[#This Row],[2022]]*(1-$E110)^1, ""), ""),IF($B$57&gt;Klisz_Verbräuche[[#Headers],[2023]],Refsz_Verbräuche[[#This Row],[2023]],"")))</f>
        <v/>
      </c>
      <c r="O110" s="57" t="str">
        <f>IF(Klisz_Verbräuche[[#Headers],[2024]]=$B$57,IF(COUNTIF($F110:Klisz_Verbräuche[[#This Row],[2023]],"&gt;0")&gt;0, AVERAGEIF($F110:Klisz_Verbräuche[[#This Row],[2023]],"&lt;&gt;"), ""),IF($B$57&lt;Klisz_Verbräuche[[#Headers],[2024]],IF(COUNTIF($F110:Klisz_Verbräuche[[#This Row],[2023]],"&gt;0")&gt;0,IF(COUNTIF($F110:Klisz_Verbräuche[[#This Row],[2023]],"&gt;0")&gt;0,Klisz_Verbräuche[[#This Row],[2023]]*(1-$E110)^1, ""), ""),IF($B$57&gt;Klisz_Verbräuche[[#Headers],[2024]],Refsz_Verbräuche[[#This Row],[2024]],"")))</f>
        <v/>
      </c>
      <c r="P110" s="57" t="str">
        <f>IF(Klisz_Verbräuche[[#Headers],[2025]]=$B$57,IF(COUNTIF($F110:Klisz_Verbräuche[[#This Row],[2024]],"&gt;0")&gt;0, AVERAGEIF($F110:Klisz_Verbräuche[[#This Row],[2024]],"&lt;&gt;"), ""),IF($B$57&lt;Klisz_Verbräuche[[#Headers],[2025]],IF(COUNTIF($F110:Klisz_Verbräuche[[#This Row],[2024]],"&gt;0")&gt;0,IF(COUNTIF($F110:Klisz_Verbräuche[[#This Row],[2024]],"&gt;0")&gt;0,Klisz_Verbräuche[[#This Row],[2024]]*(1-$E110)^1, ""), ""),IF($B$57&gt;Klisz_Verbräuche[[#Headers],[2025]],Refsz_Verbräuche[[#This Row],[2025]],"")))</f>
        <v/>
      </c>
      <c r="Q110" s="57" t="str">
        <f>IF(Klisz_Verbräuche[[#Headers],[2026]]=$B$57,IF(COUNTIF($F110:Klisz_Verbräuche[[#This Row],[2025]],"&gt;0")&gt;0, AVERAGEIF($F110:Klisz_Verbräuche[[#This Row],[2025]],"&lt;&gt;"), ""),IF($B$57&lt;Klisz_Verbräuche[[#Headers],[2026]],IF(COUNTIF($F110:Klisz_Verbräuche[[#This Row],[2025]],"&gt;0")&gt;0,IF(COUNTIF($F110:Klisz_Verbräuche[[#This Row],[2025]],"&gt;0")&gt;0,Klisz_Verbräuche[[#This Row],[2025]]*(1-$E110)^1, ""), ""),IF($B$57&gt;Klisz_Verbräuche[[#Headers],[2026]],Refsz_Verbräuche[[#This Row],[2026]],"")))</f>
        <v/>
      </c>
      <c r="R110" s="57" t="str">
        <f>IF(Klisz_Verbräuche[[#Headers],[2027]]=$B$57,IF(COUNTIF($F110:Klisz_Verbräuche[[#This Row],[2026]],"&gt;0")&gt;0, AVERAGEIF($F110:Klisz_Verbräuche[[#This Row],[2026]],"&lt;&gt;"), ""),IF($B$57&lt;Klisz_Verbräuche[[#Headers],[2027]],IF(COUNTIF($F110:Klisz_Verbräuche[[#This Row],[2026]],"&gt;0")&gt;0,IF(COUNTIF($F110:Klisz_Verbräuche[[#This Row],[2026]],"&gt;0")&gt;0,Klisz_Verbräuche[[#This Row],[2026]]*(1-$E110)^1, ""), ""),IF($B$57&gt;Klisz_Verbräuche[[#Headers],[2027]],Refsz_Verbräuche[[#This Row],[2027]],"")))</f>
        <v/>
      </c>
      <c r="S110" s="57" t="str">
        <f>IF(Klisz_Verbräuche[[#Headers],[2028]]=$B$57,IF(COUNTIF($F110:Klisz_Verbräuche[[#This Row],[2027]],"&gt;0")&gt;0, AVERAGEIF($F110:Klisz_Verbräuche[[#This Row],[2027]],"&lt;&gt;"), ""),IF($B$57&lt;Klisz_Verbräuche[[#Headers],[2028]],IF(COUNTIF($F110:Klisz_Verbräuche[[#This Row],[2027]],"&gt;0")&gt;0,IF(COUNTIF($F110:Klisz_Verbräuche[[#This Row],[2027]],"&gt;0")&gt;0,Klisz_Verbräuche[[#This Row],[2027]]*(1-$E110)^1, ""), ""),IF($B$57&gt;Klisz_Verbräuche[[#Headers],[2028]],Refsz_Verbräuche[[#This Row],[2028]],"")))</f>
        <v/>
      </c>
      <c r="T110" s="57" t="str">
        <f>IF(Klisz_Verbräuche[[#Headers],[2029]]=$B$57,IF(COUNTIF($F110:Klisz_Verbräuche[[#This Row],[2028]],"&gt;0")&gt;0, AVERAGEIF($F110:Klisz_Verbräuche[[#This Row],[2028]],"&lt;&gt;"), ""),IF($B$57&lt;Klisz_Verbräuche[[#Headers],[2029]],IF(COUNTIF($F110:Klisz_Verbräuche[[#This Row],[2028]],"&gt;0")&gt;0,IF(COUNTIF($F110:Klisz_Verbräuche[[#This Row],[2028]],"&gt;0")&gt;0,Klisz_Verbräuche[[#This Row],[2028]]*(1-$E110)^1, ""), ""),IF($B$57&gt;Klisz_Verbräuche[[#Headers],[2029]],Refsz_Verbräuche[[#This Row],[2029]],"")))</f>
        <v/>
      </c>
      <c r="U110" s="57" t="str">
        <f>IF(Klisz_Verbräuche[[#Headers],[2030]]=$B$57,IF(COUNTIF($F110:Klisz_Verbräuche[[#This Row],[2029]],"&gt;0")&gt;0, AVERAGEIF($F110:Klisz_Verbräuche[[#This Row],[2029]],"&lt;&gt;"), ""),IF($B$57&lt;Klisz_Verbräuche[[#Headers],[2030]],IF(COUNTIF($F110:Klisz_Verbräuche[[#This Row],[2029]],"&gt;0")&gt;0,IF(COUNTIF($F110:Klisz_Verbräuche[[#This Row],[2029]],"&gt;0")&gt;0,Klisz_Verbräuche[[#This Row],[2029]]*(1-$E110)^1, ""), ""),IF($B$57&gt;Klisz_Verbräuche[[#Headers],[2030]],Refsz_Verbräuche[[#This Row],[2030]],"")))</f>
        <v/>
      </c>
      <c r="V110" s="57" t="str">
        <f>IF(Klisz_Verbräuche[[#Headers],[2035]]=$B$57,IF(COUNTIF($F110:Klisz_Verbräuche[[#This Row],[2030]],"&gt;0")&gt;0, AVERAGEIF($F110:Klisz_Verbräuche[[#This Row],[2030]],"&lt;&gt;"), ""),IF($B$57&lt;Klisz_Verbräuche[[#Headers],[2035]],IF(COUNTIF($F110:Klisz_Verbräuche[[#This Row],[2030]],"&gt;0")&gt;0,IF(COUNTIF($F110:Klisz_Verbräuche[[#This Row],[2030]],"&gt;0")&gt;0,Klisz_Verbräuche[[#This Row],[2030]]*(1-$E110)^5, ""), ""),IF($B$57&gt;Klisz_Verbräuche[[#Headers],[2035]],Refsz_Verbräuche[[#This Row],[2035]],"")))</f>
        <v/>
      </c>
      <c r="W110" s="57" t="str">
        <f>IF(Klisz_Verbräuche[[#Headers],[2040]]=$B$57,IF(COUNTIF($F110:Klisz_Verbräuche[[#This Row],[2035]],"&gt;0")&gt;0, AVERAGEIF($F110:Klisz_Verbräuche[[#This Row],[2035]],"&lt;&gt;"), ""),IF($B$57&lt;Klisz_Verbräuche[[#Headers],[2040]],IF(COUNTIF($F110:Klisz_Verbräuche[[#This Row],[2035]],"&gt;0")&gt;0,IF(COUNTIF($F110:Klisz_Verbräuche[[#This Row],[2035]],"&gt;0")&gt;0,Klisz_Verbräuche[[#This Row],[2035]]*(1-$E110)^5, ""), ""),IF($B$57&gt;Klisz_Verbräuche[[#Headers],[2040]],Refsz_Verbräuche[[#This Row],[2040]],"")))</f>
        <v/>
      </c>
      <c r="X110" s="57" t="str">
        <f>IF(Klisz_Verbräuche[[#Headers],[2045]]=$B$57,IF(COUNTIF($F110:Klisz_Verbräuche[[#This Row],[2040]],"&gt;0")&gt;0, AVERAGEIF($F110:Klisz_Verbräuche[[#This Row],[2040]],"&lt;&gt;"), ""),IF($B$57&lt;Klisz_Verbräuche[[#Headers],[2045]],IF(COUNTIF($F110:Klisz_Verbräuche[[#This Row],[2040]],"&gt;0")&gt;0,IF(COUNTIF($F110:Klisz_Verbräuche[[#This Row],[2040]],"&gt;0")&gt;0,Klisz_Verbräuche[[#This Row],[2040]]*(1-$E110)^5, ""), ""),IF($B$57&gt;Klisz_Verbräuche[[#Headers],[2045]],Refsz_Verbräuche[[#This Row],[2045]],"")))</f>
        <v/>
      </c>
      <c r="Y110" s="57" t="str">
        <f>IF(Klisz_Verbräuche[[#Headers],[2050]]=$B$57,IF(COUNTIF($F110:Klisz_Verbräuche[[#This Row],[2045]],"&gt;0")&gt;0, AVERAGEIF($F110:Klisz_Verbräuche[[#This Row],[2045]],"&lt;&gt;"), ""),IF($B$57&lt;Klisz_Verbräuche[[#Headers],[2050]],IF(COUNTIF($F110:Klisz_Verbräuche[[#This Row],[2045]],"&gt;0")&gt;0,IF(COUNTIF($F110:Klisz_Verbräuche[[#This Row],[2045]],"&gt;0")&gt;0,Klisz_Verbräuche[[#This Row],[2045]]*(1-$E110)^5, ""), ""),IF($B$57&gt;Klisz_Verbräuche[[#Headers],[2050]],Refsz_Verbräuche[[#This Row],[2050]],"")))</f>
        <v/>
      </c>
      <c r="Z110" s="15"/>
    </row>
    <row r="111" spans="2:26" x14ac:dyDescent="0.35">
      <c r="B111" s="15">
        <v>51</v>
      </c>
      <c r="C111" s="20" t="str">
        <f>Refsz_Verbräuche[[#This Row],[Datenpunkt]]</f>
        <v>DR - Mietwägen (Plug-In-Hybrid/ PHEV)</v>
      </c>
      <c r="D111" s="29" t="str">
        <f>Refsz_Verbräuche[[#This Row],[Einheit]]</f>
        <v>Fkm</v>
      </c>
      <c r="E111" s="122"/>
      <c r="F111" s="15" t="str">
        <f>IF(ISBLANK(Refsz_Verbräuche[[#This Row],[2015]]),"",Refsz_Verbräuche[[#This Row],[2015]])</f>
        <v/>
      </c>
      <c r="G111" s="15" t="str">
        <f>IF(ISBLANK(Refsz_Verbräuche[[#This Row],[2016]]),"",Refsz_Verbräuche[[#This Row],[2016]])</f>
        <v/>
      </c>
      <c r="H111" s="15" t="str">
        <f>IF(ISBLANK(Refsz_Verbräuche[[#This Row],[2017]]),"",Refsz_Verbräuche[[#This Row],[2017]])</f>
        <v/>
      </c>
      <c r="I111" s="15" t="str">
        <f>IF(ISBLANK(Refsz_Verbräuche[[#This Row],[2018]]),"",Refsz_Verbräuche[[#This Row],[2018]])</f>
        <v/>
      </c>
      <c r="J111" s="15" t="str">
        <f>IF(ISBLANK(Refsz_Verbräuche[[#This Row],[2019]]),"",Refsz_Verbräuche[[#This Row],[2019]])</f>
        <v/>
      </c>
      <c r="K111" s="15" t="str">
        <f>IF(ISBLANK(Refsz_Verbräuche[[#This Row],[2020]]),"",Refsz_Verbräuche[[#This Row],[2020]])</f>
        <v/>
      </c>
      <c r="L111" s="15" t="str">
        <f>IF(ISBLANK(Refsz_Verbräuche[[#This Row],[2021]]),"",Refsz_Verbräuche[[#This Row],[2021]])</f>
        <v/>
      </c>
      <c r="M111" s="57" t="str">
        <f>IF(Klisz_Verbräuche[[#Headers],[2022]]=$B$57,IF(COUNTIF($F111:Klisz_Verbräuche[[#This Row],[2021]],"&gt;0")&gt;0, AVERAGEIF($F111:Klisz_Verbräuche[[#This Row],[2021]],"&lt;&gt;"), ""),IF($B$57&lt;Klisz_Verbräuche[[#Headers],[2022]],IF(COUNTIF($F111:Klisz_Verbräuche[[#This Row],[2021]],"&gt;0")&gt;0,IF(COUNTIF($F111:Klisz_Verbräuche[[#This Row],[2021]],"&gt;0")&gt;0,Klisz_Verbräuche[[#This Row],[2021]]*(1-$E111)^1, ""), ""),IF($B$57&gt;Klisz_Verbräuche[[#Headers],[2022]],Refsz_Verbräuche[[#This Row],[2022]],"")))</f>
        <v/>
      </c>
      <c r="N111" s="57" t="str">
        <f>IF(Klisz_Verbräuche[[#Headers],[2023]]=$B$57,IF(COUNTIF($F111:Klisz_Verbräuche[[#This Row],[2022]],"&gt;0")&gt;0, AVERAGEIF($F111:Klisz_Verbräuche[[#This Row],[2022]],"&lt;&gt;"), ""),IF($B$57&lt;Klisz_Verbräuche[[#Headers],[2023]],IF(COUNTIF($F111:Klisz_Verbräuche[[#This Row],[2022]],"&gt;0")&gt;0,IF(COUNTIF($F111:Klisz_Verbräuche[[#This Row],[2022]],"&gt;0")&gt;0,Klisz_Verbräuche[[#This Row],[2022]]*(1-$E111)^1, ""), ""),IF($B$57&gt;Klisz_Verbräuche[[#Headers],[2023]],Refsz_Verbräuche[[#This Row],[2023]],"")))</f>
        <v/>
      </c>
      <c r="O111" s="57" t="str">
        <f>IF(Klisz_Verbräuche[[#Headers],[2024]]=$B$57,IF(COUNTIF($F111:Klisz_Verbräuche[[#This Row],[2023]],"&gt;0")&gt;0, AVERAGEIF($F111:Klisz_Verbräuche[[#This Row],[2023]],"&lt;&gt;"), ""),IF($B$57&lt;Klisz_Verbräuche[[#Headers],[2024]],IF(COUNTIF($F111:Klisz_Verbräuche[[#This Row],[2023]],"&gt;0")&gt;0,IF(COUNTIF($F111:Klisz_Verbräuche[[#This Row],[2023]],"&gt;0")&gt;0,Klisz_Verbräuche[[#This Row],[2023]]*(1-$E111)^1, ""), ""),IF($B$57&gt;Klisz_Verbräuche[[#Headers],[2024]],Refsz_Verbräuche[[#This Row],[2024]],"")))</f>
        <v/>
      </c>
      <c r="P111" s="57" t="str">
        <f>IF(Klisz_Verbräuche[[#Headers],[2025]]=$B$57,IF(COUNTIF($F111:Klisz_Verbräuche[[#This Row],[2024]],"&gt;0")&gt;0, AVERAGEIF($F111:Klisz_Verbräuche[[#This Row],[2024]],"&lt;&gt;"), ""),IF($B$57&lt;Klisz_Verbräuche[[#Headers],[2025]],IF(COUNTIF($F111:Klisz_Verbräuche[[#This Row],[2024]],"&gt;0")&gt;0,IF(COUNTIF($F111:Klisz_Verbräuche[[#This Row],[2024]],"&gt;0")&gt;0,Klisz_Verbräuche[[#This Row],[2024]]*(1-$E111)^1, ""), ""),IF($B$57&gt;Klisz_Verbräuche[[#Headers],[2025]],Refsz_Verbräuche[[#This Row],[2025]],"")))</f>
        <v/>
      </c>
      <c r="Q111" s="57" t="str">
        <f>IF(Klisz_Verbräuche[[#Headers],[2026]]=$B$57,IF(COUNTIF($F111:Klisz_Verbräuche[[#This Row],[2025]],"&gt;0")&gt;0, AVERAGEIF($F111:Klisz_Verbräuche[[#This Row],[2025]],"&lt;&gt;"), ""),IF($B$57&lt;Klisz_Verbräuche[[#Headers],[2026]],IF(COUNTIF($F111:Klisz_Verbräuche[[#This Row],[2025]],"&gt;0")&gt;0,IF(COUNTIF($F111:Klisz_Verbräuche[[#This Row],[2025]],"&gt;0")&gt;0,Klisz_Verbräuche[[#This Row],[2025]]*(1-$E111)^1, ""), ""),IF($B$57&gt;Klisz_Verbräuche[[#Headers],[2026]],Refsz_Verbräuche[[#This Row],[2026]],"")))</f>
        <v/>
      </c>
      <c r="R111" s="57" t="str">
        <f>IF(Klisz_Verbräuche[[#Headers],[2027]]=$B$57,IF(COUNTIF($F111:Klisz_Verbräuche[[#This Row],[2026]],"&gt;0")&gt;0, AVERAGEIF($F111:Klisz_Verbräuche[[#This Row],[2026]],"&lt;&gt;"), ""),IF($B$57&lt;Klisz_Verbräuche[[#Headers],[2027]],IF(COUNTIF($F111:Klisz_Verbräuche[[#This Row],[2026]],"&gt;0")&gt;0,IF(COUNTIF($F111:Klisz_Verbräuche[[#This Row],[2026]],"&gt;0")&gt;0,Klisz_Verbräuche[[#This Row],[2026]]*(1-$E111)^1, ""), ""),IF($B$57&gt;Klisz_Verbräuche[[#Headers],[2027]],Refsz_Verbräuche[[#This Row],[2027]],"")))</f>
        <v/>
      </c>
      <c r="S111" s="57" t="str">
        <f>IF(Klisz_Verbräuche[[#Headers],[2028]]=$B$57,IF(COUNTIF($F111:Klisz_Verbräuche[[#This Row],[2027]],"&gt;0")&gt;0, AVERAGEIF($F111:Klisz_Verbräuche[[#This Row],[2027]],"&lt;&gt;"), ""),IF($B$57&lt;Klisz_Verbräuche[[#Headers],[2028]],IF(COUNTIF($F111:Klisz_Verbräuche[[#This Row],[2027]],"&gt;0")&gt;0,IF(COUNTIF($F111:Klisz_Verbräuche[[#This Row],[2027]],"&gt;0")&gt;0,Klisz_Verbräuche[[#This Row],[2027]]*(1-$E111)^1, ""), ""),IF($B$57&gt;Klisz_Verbräuche[[#Headers],[2028]],Refsz_Verbräuche[[#This Row],[2028]],"")))</f>
        <v/>
      </c>
      <c r="T111" s="57" t="str">
        <f>IF(Klisz_Verbräuche[[#Headers],[2029]]=$B$57,IF(COUNTIF($F111:Klisz_Verbräuche[[#This Row],[2028]],"&gt;0")&gt;0, AVERAGEIF($F111:Klisz_Verbräuche[[#This Row],[2028]],"&lt;&gt;"), ""),IF($B$57&lt;Klisz_Verbräuche[[#Headers],[2029]],IF(COUNTIF($F111:Klisz_Verbräuche[[#This Row],[2028]],"&gt;0")&gt;0,IF(COUNTIF($F111:Klisz_Verbräuche[[#This Row],[2028]],"&gt;0")&gt;0,Klisz_Verbräuche[[#This Row],[2028]]*(1-$E111)^1, ""), ""),IF($B$57&gt;Klisz_Verbräuche[[#Headers],[2029]],Refsz_Verbräuche[[#This Row],[2029]],"")))</f>
        <v/>
      </c>
      <c r="U111" s="57" t="str">
        <f>IF(Klisz_Verbräuche[[#Headers],[2030]]=$B$57,IF(COUNTIF($F111:Klisz_Verbräuche[[#This Row],[2029]],"&gt;0")&gt;0, AVERAGEIF($F111:Klisz_Verbräuche[[#This Row],[2029]],"&lt;&gt;"), ""),IF($B$57&lt;Klisz_Verbräuche[[#Headers],[2030]],IF(COUNTIF($F111:Klisz_Verbräuche[[#This Row],[2029]],"&gt;0")&gt;0,IF(COUNTIF($F111:Klisz_Verbräuche[[#This Row],[2029]],"&gt;0")&gt;0,Klisz_Verbräuche[[#This Row],[2029]]*(1-$E111)^1, ""), ""),IF($B$57&gt;Klisz_Verbräuche[[#Headers],[2030]],Refsz_Verbräuche[[#This Row],[2030]],"")))</f>
        <v/>
      </c>
      <c r="V111" s="57" t="str">
        <f>IF(Klisz_Verbräuche[[#Headers],[2035]]=$B$57,IF(COUNTIF($F111:Klisz_Verbräuche[[#This Row],[2030]],"&gt;0")&gt;0, AVERAGEIF($F111:Klisz_Verbräuche[[#This Row],[2030]],"&lt;&gt;"), ""),IF($B$57&lt;Klisz_Verbräuche[[#Headers],[2035]],IF(COUNTIF($F111:Klisz_Verbräuche[[#This Row],[2030]],"&gt;0")&gt;0,IF(COUNTIF($F111:Klisz_Verbräuche[[#This Row],[2030]],"&gt;0")&gt;0,Klisz_Verbräuche[[#This Row],[2030]]*(1-$E111)^5, ""), ""),IF($B$57&gt;Klisz_Verbräuche[[#Headers],[2035]],Refsz_Verbräuche[[#This Row],[2035]],"")))</f>
        <v/>
      </c>
      <c r="W111" s="57" t="str">
        <f>IF(Klisz_Verbräuche[[#Headers],[2040]]=$B$57,IF(COUNTIF($F111:Klisz_Verbräuche[[#This Row],[2035]],"&gt;0")&gt;0, AVERAGEIF($F111:Klisz_Verbräuche[[#This Row],[2035]],"&lt;&gt;"), ""),IF($B$57&lt;Klisz_Verbräuche[[#Headers],[2040]],IF(COUNTIF($F111:Klisz_Verbräuche[[#This Row],[2035]],"&gt;0")&gt;0,IF(COUNTIF($F111:Klisz_Verbräuche[[#This Row],[2035]],"&gt;0")&gt;0,Klisz_Verbräuche[[#This Row],[2035]]*(1-$E111)^5, ""), ""),IF($B$57&gt;Klisz_Verbräuche[[#Headers],[2040]],Refsz_Verbräuche[[#This Row],[2040]],"")))</f>
        <v/>
      </c>
      <c r="X111" s="57" t="str">
        <f>IF(Klisz_Verbräuche[[#Headers],[2045]]=$B$57,IF(COUNTIF($F111:Klisz_Verbräuche[[#This Row],[2040]],"&gt;0")&gt;0, AVERAGEIF($F111:Klisz_Verbräuche[[#This Row],[2040]],"&lt;&gt;"), ""),IF($B$57&lt;Klisz_Verbräuche[[#Headers],[2045]],IF(COUNTIF($F111:Klisz_Verbräuche[[#This Row],[2040]],"&gt;0")&gt;0,IF(COUNTIF($F111:Klisz_Verbräuche[[#This Row],[2040]],"&gt;0")&gt;0,Klisz_Verbräuche[[#This Row],[2040]]*(1-$E111)^5, ""), ""),IF($B$57&gt;Klisz_Verbräuche[[#Headers],[2045]],Refsz_Verbräuche[[#This Row],[2045]],"")))</f>
        <v/>
      </c>
      <c r="Y111" s="57" t="str">
        <f>IF(Klisz_Verbräuche[[#Headers],[2050]]=$B$57,IF(COUNTIF($F111:Klisz_Verbräuche[[#This Row],[2045]],"&gt;0")&gt;0, AVERAGEIF($F111:Klisz_Verbräuche[[#This Row],[2045]],"&lt;&gt;"), ""),IF($B$57&lt;Klisz_Verbräuche[[#Headers],[2050]],IF(COUNTIF($F111:Klisz_Verbräuche[[#This Row],[2045]],"&gt;0")&gt;0,IF(COUNTIF($F111:Klisz_Verbräuche[[#This Row],[2045]],"&gt;0")&gt;0,Klisz_Verbräuche[[#This Row],[2045]]*(1-$E111)^5, ""), ""),IF($B$57&gt;Klisz_Verbräuche[[#Headers],[2050]],Refsz_Verbräuche[[#This Row],[2050]],"")))</f>
        <v/>
      </c>
      <c r="Z111" s="15"/>
    </row>
    <row r="112" spans="2:26" x14ac:dyDescent="0.35">
      <c r="B112" s="15">
        <v>52</v>
      </c>
      <c r="C112" s="20" t="str">
        <f>Refsz_Verbräuche[[#This Row],[Datenpunkt]]</f>
        <v>DR - E-Bike</v>
      </c>
      <c r="D112" s="29" t="str">
        <f>Refsz_Verbräuche[[#This Row],[Einheit]]</f>
        <v>Fkm</v>
      </c>
      <c r="E112" s="122"/>
      <c r="F112" s="15" t="str">
        <f>IF(ISBLANK(Refsz_Verbräuche[[#This Row],[2015]]),"",Refsz_Verbräuche[[#This Row],[2015]])</f>
        <v/>
      </c>
      <c r="G112" s="15" t="str">
        <f>IF(ISBLANK(Refsz_Verbräuche[[#This Row],[2016]]),"",Refsz_Verbräuche[[#This Row],[2016]])</f>
        <v/>
      </c>
      <c r="H112" s="15" t="str">
        <f>IF(ISBLANK(Refsz_Verbräuche[[#This Row],[2017]]),"",Refsz_Verbräuche[[#This Row],[2017]])</f>
        <v/>
      </c>
      <c r="I112" s="15" t="str">
        <f>IF(ISBLANK(Refsz_Verbräuche[[#This Row],[2018]]),"",Refsz_Verbräuche[[#This Row],[2018]])</f>
        <v/>
      </c>
      <c r="J112" s="15" t="str">
        <f>IF(ISBLANK(Refsz_Verbräuche[[#This Row],[2019]]),"",Refsz_Verbräuche[[#This Row],[2019]])</f>
        <v/>
      </c>
      <c r="K112" s="15" t="str">
        <f>IF(ISBLANK(Refsz_Verbräuche[[#This Row],[2020]]),"",Refsz_Verbräuche[[#This Row],[2020]])</f>
        <v/>
      </c>
      <c r="L112" s="15" t="str">
        <f>IF(ISBLANK(Refsz_Verbräuche[[#This Row],[2021]]),"",Refsz_Verbräuche[[#This Row],[2021]])</f>
        <v/>
      </c>
      <c r="M112" s="57" t="str">
        <f>IF(Klisz_Verbräuche[[#Headers],[2022]]=$B$57,IF(COUNTIF($F112:Klisz_Verbräuche[[#This Row],[2021]],"&gt;0")&gt;0, AVERAGEIF($F112:Klisz_Verbräuche[[#This Row],[2021]],"&lt;&gt;"), ""),IF($B$57&lt;Klisz_Verbräuche[[#Headers],[2022]],IF(COUNTIF($F112:Klisz_Verbräuche[[#This Row],[2021]],"&gt;0")&gt;0,IF(COUNTIF($F112:Klisz_Verbräuche[[#This Row],[2021]],"&gt;0")&gt;0,Klisz_Verbräuche[[#This Row],[2021]]*(1-$E112)^1, ""), ""),IF($B$57&gt;Klisz_Verbräuche[[#Headers],[2022]],Refsz_Verbräuche[[#This Row],[2022]],"")))</f>
        <v/>
      </c>
      <c r="N112" s="57" t="str">
        <f>IF(Klisz_Verbräuche[[#Headers],[2023]]=$B$57,IF(COUNTIF($F112:Klisz_Verbräuche[[#This Row],[2022]],"&gt;0")&gt;0, AVERAGEIF($F112:Klisz_Verbräuche[[#This Row],[2022]],"&lt;&gt;"), ""),IF($B$57&lt;Klisz_Verbräuche[[#Headers],[2023]],IF(COUNTIF($F112:Klisz_Verbräuche[[#This Row],[2022]],"&gt;0")&gt;0,IF(COUNTIF($F112:Klisz_Verbräuche[[#This Row],[2022]],"&gt;0")&gt;0,Klisz_Verbräuche[[#This Row],[2022]]*(1-$E112)^1, ""), ""),IF($B$57&gt;Klisz_Verbräuche[[#Headers],[2023]],Refsz_Verbräuche[[#This Row],[2023]],"")))</f>
        <v/>
      </c>
      <c r="O112" s="57" t="str">
        <f>IF(Klisz_Verbräuche[[#Headers],[2024]]=$B$57,IF(COUNTIF($F112:Klisz_Verbräuche[[#This Row],[2023]],"&gt;0")&gt;0, AVERAGEIF($F112:Klisz_Verbräuche[[#This Row],[2023]],"&lt;&gt;"), ""),IF($B$57&lt;Klisz_Verbräuche[[#Headers],[2024]],IF(COUNTIF($F112:Klisz_Verbräuche[[#This Row],[2023]],"&gt;0")&gt;0,IF(COUNTIF($F112:Klisz_Verbräuche[[#This Row],[2023]],"&gt;0")&gt;0,Klisz_Verbräuche[[#This Row],[2023]]*(1-$E112)^1, ""), ""),IF($B$57&gt;Klisz_Verbräuche[[#Headers],[2024]],Refsz_Verbräuche[[#This Row],[2024]],"")))</f>
        <v/>
      </c>
      <c r="P112" s="57" t="str">
        <f>IF(Klisz_Verbräuche[[#Headers],[2025]]=$B$57,IF(COUNTIF($F112:Klisz_Verbräuche[[#This Row],[2024]],"&gt;0")&gt;0, AVERAGEIF($F112:Klisz_Verbräuche[[#This Row],[2024]],"&lt;&gt;"), ""),IF($B$57&lt;Klisz_Verbräuche[[#Headers],[2025]],IF(COUNTIF($F112:Klisz_Verbräuche[[#This Row],[2024]],"&gt;0")&gt;0,IF(COUNTIF($F112:Klisz_Verbräuche[[#This Row],[2024]],"&gt;0")&gt;0,Klisz_Verbräuche[[#This Row],[2024]]*(1-$E112)^1, ""), ""),IF($B$57&gt;Klisz_Verbräuche[[#Headers],[2025]],Refsz_Verbräuche[[#This Row],[2025]],"")))</f>
        <v/>
      </c>
      <c r="Q112" s="57" t="str">
        <f>IF(Klisz_Verbräuche[[#Headers],[2026]]=$B$57,IF(COUNTIF($F112:Klisz_Verbräuche[[#This Row],[2025]],"&gt;0")&gt;0, AVERAGEIF($F112:Klisz_Verbräuche[[#This Row],[2025]],"&lt;&gt;"), ""),IF($B$57&lt;Klisz_Verbräuche[[#Headers],[2026]],IF(COUNTIF($F112:Klisz_Verbräuche[[#This Row],[2025]],"&gt;0")&gt;0,IF(COUNTIF($F112:Klisz_Verbräuche[[#This Row],[2025]],"&gt;0")&gt;0,Klisz_Verbräuche[[#This Row],[2025]]*(1-$E112)^1, ""), ""),IF($B$57&gt;Klisz_Verbräuche[[#Headers],[2026]],Refsz_Verbräuche[[#This Row],[2026]],"")))</f>
        <v/>
      </c>
      <c r="R112" s="57" t="str">
        <f>IF(Klisz_Verbräuche[[#Headers],[2027]]=$B$57,IF(COUNTIF($F112:Klisz_Verbräuche[[#This Row],[2026]],"&gt;0")&gt;0, AVERAGEIF($F112:Klisz_Verbräuche[[#This Row],[2026]],"&lt;&gt;"), ""),IF($B$57&lt;Klisz_Verbräuche[[#Headers],[2027]],IF(COUNTIF($F112:Klisz_Verbräuche[[#This Row],[2026]],"&gt;0")&gt;0,IF(COUNTIF($F112:Klisz_Verbräuche[[#This Row],[2026]],"&gt;0")&gt;0,Klisz_Verbräuche[[#This Row],[2026]]*(1-$E112)^1, ""), ""),IF($B$57&gt;Klisz_Verbräuche[[#Headers],[2027]],Refsz_Verbräuche[[#This Row],[2027]],"")))</f>
        <v/>
      </c>
      <c r="S112" s="57" t="str">
        <f>IF(Klisz_Verbräuche[[#Headers],[2028]]=$B$57,IF(COUNTIF($F112:Klisz_Verbräuche[[#This Row],[2027]],"&gt;0")&gt;0, AVERAGEIF($F112:Klisz_Verbräuche[[#This Row],[2027]],"&lt;&gt;"), ""),IF($B$57&lt;Klisz_Verbräuche[[#Headers],[2028]],IF(COUNTIF($F112:Klisz_Verbräuche[[#This Row],[2027]],"&gt;0")&gt;0,IF(COUNTIF($F112:Klisz_Verbräuche[[#This Row],[2027]],"&gt;0")&gt;0,Klisz_Verbräuche[[#This Row],[2027]]*(1-$E112)^1, ""), ""),IF($B$57&gt;Klisz_Verbräuche[[#Headers],[2028]],Refsz_Verbräuche[[#This Row],[2028]],"")))</f>
        <v/>
      </c>
      <c r="T112" s="57" t="str">
        <f>IF(Klisz_Verbräuche[[#Headers],[2029]]=$B$57,IF(COUNTIF($F112:Klisz_Verbräuche[[#This Row],[2028]],"&gt;0")&gt;0, AVERAGEIF($F112:Klisz_Verbräuche[[#This Row],[2028]],"&lt;&gt;"), ""),IF($B$57&lt;Klisz_Verbräuche[[#Headers],[2029]],IF(COUNTIF($F112:Klisz_Verbräuche[[#This Row],[2028]],"&gt;0")&gt;0,IF(COUNTIF($F112:Klisz_Verbräuche[[#This Row],[2028]],"&gt;0")&gt;0,Klisz_Verbräuche[[#This Row],[2028]]*(1-$E112)^1, ""), ""),IF($B$57&gt;Klisz_Verbräuche[[#Headers],[2029]],Refsz_Verbräuche[[#This Row],[2029]],"")))</f>
        <v/>
      </c>
      <c r="U112" s="57" t="str">
        <f>IF(Klisz_Verbräuche[[#Headers],[2030]]=$B$57,IF(COUNTIF($F112:Klisz_Verbräuche[[#This Row],[2029]],"&gt;0")&gt;0, AVERAGEIF($F112:Klisz_Verbräuche[[#This Row],[2029]],"&lt;&gt;"), ""),IF($B$57&lt;Klisz_Verbräuche[[#Headers],[2030]],IF(COUNTIF($F112:Klisz_Verbräuche[[#This Row],[2029]],"&gt;0")&gt;0,IF(COUNTIF($F112:Klisz_Verbräuche[[#This Row],[2029]],"&gt;0")&gt;0,Klisz_Verbräuche[[#This Row],[2029]]*(1-$E112)^1, ""), ""),IF($B$57&gt;Klisz_Verbräuche[[#Headers],[2030]],Refsz_Verbräuche[[#This Row],[2030]],"")))</f>
        <v/>
      </c>
      <c r="V112" s="57" t="str">
        <f>IF(Klisz_Verbräuche[[#Headers],[2035]]=$B$57,IF(COUNTIF($F112:Klisz_Verbräuche[[#This Row],[2030]],"&gt;0")&gt;0, AVERAGEIF($F112:Klisz_Verbräuche[[#This Row],[2030]],"&lt;&gt;"), ""),IF($B$57&lt;Klisz_Verbräuche[[#Headers],[2035]],IF(COUNTIF($F112:Klisz_Verbräuche[[#This Row],[2030]],"&gt;0")&gt;0,IF(COUNTIF($F112:Klisz_Verbräuche[[#This Row],[2030]],"&gt;0")&gt;0,Klisz_Verbräuche[[#This Row],[2030]]*(1-$E112)^5, ""), ""),IF($B$57&gt;Klisz_Verbräuche[[#Headers],[2035]],Refsz_Verbräuche[[#This Row],[2035]],"")))</f>
        <v/>
      </c>
      <c r="W112" s="57" t="str">
        <f>IF(Klisz_Verbräuche[[#Headers],[2040]]=$B$57,IF(COUNTIF($F112:Klisz_Verbräuche[[#This Row],[2035]],"&gt;0")&gt;0, AVERAGEIF($F112:Klisz_Verbräuche[[#This Row],[2035]],"&lt;&gt;"), ""),IF($B$57&lt;Klisz_Verbräuche[[#Headers],[2040]],IF(COUNTIF($F112:Klisz_Verbräuche[[#This Row],[2035]],"&gt;0")&gt;0,IF(COUNTIF($F112:Klisz_Verbräuche[[#This Row],[2035]],"&gt;0")&gt;0,Klisz_Verbräuche[[#This Row],[2035]]*(1-$E112)^5, ""), ""),IF($B$57&gt;Klisz_Verbräuche[[#Headers],[2040]],Refsz_Verbräuche[[#This Row],[2040]],"")))</f>
        <v/>
      </c>
      <c r="X112" s="57" t="str">
        <f>IF(Klisz_Verbräuche[[#Headers],[2045]]=$B$57,IF(COUNTIF($F112:Klisz_Verbräuche[[#This Row],[2040]],"&gt;0")&gt;0, AVERAGEIF($F112:Klisz_Verbräuche[[#This Row],[2040]],"&lt;&gt;"), ""),IF($B$57&lt;Klisz_Verbräuche[[#Headers],[2045]],IF(COUNTIF($F112:Klisz_Verbräuche[[#This Row],[2040]],"&gt;0")&gt;0,IF(COUNTIF($F112:Klisz_Verbräuche[[#This Row],[2040]],"&gt;0")&gt;0,Klisz_Verbräuche[[#This Row],[2040]]*(1-$E112)^5, ""), ""),IF($B$57&gt;Klisz_Verbräuche[[#Headers],[2045]],Refsz_Verbräuche[[#This Row],[2045]],"")))</f>
        <v/>
      </c>
      <c r="Y112" s="57" t="str">
        <f>IF(Klisz_Verbräuche[[#Headers],[2050]]=$B$57,IF(COUNTIF($F112:Klisz_Verbräuche[[#This Row],[2045]],"&gt;0")&gt;0, AVERAGEIF($F112:Klisz_Verbräuche[[#This Row],[2045]],"&lt;&gt;"), ""),IF($B$57&lt;Klisz_Verbräuche[[#Headers],[2050]],IF(COUNTIF($F112:Klisz_Verbräuche[[#This Row],[2045]],"&gt;0")&gt;0,IF(COUNTIF($F112:Klisz_Verbräuche[[#This Row],[2045]],"&gt;0")&gt;0,Klisz_Verbräuche[[#This Row],[2045]]*(1-$E112)^5, ""), ""),IF($B$57&gt;Klisz_Verbräuche[[#Headers],[2050]],Refsz_Verbräuche[[#This Row],[2050]],"")))</f>
        <v/>
      </c>
      <c r="Z112" s="15"/>
    </row>
    <row r="113" spans="2:26" x14ac:dyDescent="0.35">
      <c r="B113" s="15">
        <v>53</v>
      </c>
      <c r="C113" s="20" t="str">
        <f>Refsz_Verbräuche[[#This Row],[Datenpunkt]]</f>
        <v>DR - Fahrrad</v>
      </c>
      <c r="D113" s="29" t="str">
        <f>Refsz_Verbräuche[[#This Row],[Einheit]]</f>
        <v>Fkm</v>
      </c>
      <c r="E113" s="122"/>
      <c r="F113" s="15" t="str">
        <f>IF(ISBLANK(Refsz_Verbräuche[[#This Row],[2015]]),"",Refsz_Verbräuche[[#This Row],[2015]])</f>
        <v/>
      </c>
      <c r="G113" s="15" t="str">
        <f>IF(ISBLANK(Refsz_Verbräuche[[#This Row],[2016]]),"",Refsz_Verbräuche[[#This Row],[2016]])</f>
        <v/>
      </c>
      <c r="H113" s="15" t="str">
        <f>IF(ISBLANK(Refsz_Verbräuche[[#This Row],[2017]]),"",Refsz_Verbräuche[[#This Row],[2017]])</f>
        <v/>
      </c>
      <c r="I113" s="15" t="str">
        <f>IF(ISBLANK(Refsz_Verbräuche[[#This Row],[2018]]),"",Refsz_Verbräuche[[#This Row],[2018]])</f>
        <v/>
      </c>
      <c r="J113" s="15" t="str">
        <f>IF(ISBLANK(Refsz_Verbräuche[[#This Row],[2019]]),"",Refsz_Verbräuche[[#This Row],[2019]])</f>
        <v/>
      </c>
      <c r="K113" s="15" t="str">
        <f>IF(ISBLANK(Refsz_Verbräuche[[#This Row],[2020]]),"",Refsz_Verbräuche[[#This Row],[2020]])</f>
        <v/>
      </c>
      <c r="L113" s="15" t="str">
        <f>IF(ISBLANK(Refsz_Verbräuche[[#This Row],[2021]]),"",Refsz_Verbräuche[[#This Row],[2021]])</f>
        <v/>
      </c>
      <c r="M113" s="57" t="str">
        <f>IF(Klisz_Verbräuche[[#Headers],[2022]]=$B$57,IF(COUNTIF($F113:Klisz_Verbräuche[[#This Row],[2021]],"&gt;0")&gt;0, AVERAGEIF($F113:Klisz_Verbräuche[[#This Row],[2021]],"&lt;&gt;"), ""),IF($B$57&lt;Klisz_Verbräuche[[#Headers],[2022]],IF(COUNTIF($F113:Klisz_Verbräuche[[#This Row],[2021]],"&gt;0")&gt;0,IF(COUNTIF($F113:Klisz_Verbräuche[[#This Row],[2021]],"&gt;0")&gt;0,Klisz_Verbräuche[[#This Row],[2021]]*(1-$E113)^1, ""), ""),IF($B$57&gt;Klisz_Verbräuche[[#Headers],[2022]],Refsz_Verbräuche[[#This Row],[2022]],"")))</f>
        <v/>
      </c>
      <c r="N113" s="57" t="str">
        <f>IF(Klisz_Verbräuche[[#Headers],[2023]]=$B$57,IF(COUNTIF($F113:Klisz_Verbräuche[[#This Row],[2022]],"&gt;0")&gt;0, AVERAGEIF($F113:Klisz_Verbräuche[[#This Row],[2022]],"&lt;&gt;"), ""),IF($B$57&lt;Klisz_Verbräuche[[#Headers],[2023]],IF(COUNTIF($F113:Klisz_Verbräuche[[#This Row],[2022]],"&gt;0")&gt;0,IF(COUNTIF($F113:Klisz_Verbräuche[[#This Row],[2022]],"&gt;0")&gt;0,Klisz_Verbräuche[[#This Row],[2022]]*(1-$E113)^1, ""), ""),IF($B$57&gt;Klisz_Verbräuche[[#Headers],[2023]],Refsz_Verbräuche[[#This Row],[2023]],"")))</f>
        <v/>
      </c>
      <c r="O113" s="57" t="str">
        <f>IF(Klisz_Verbräuche[[#Headers],[2024]]=$B$57,IF(COUNTIF($F113:Klisz_Verbräuche[[#This Row],[2023]],"&gt;0")&gt;0, AVERAGEIF($F113:Klisz_Verbräuche[[#This Row],[2023]],"&lt;&gt;"), ""),IF($B$57&lt;Klisz_Verbräuche[[#Headers],[2024]],IF(COUNTIF($F113:Klisz_Verbräuche[[#This Row],[2023]],"&gt;0")&gt;0,IF(COUNTIF($F113:Klisz_Verbräuche[[#This Row],[2023]],"&gt;0")&gt;0,Klisz_Verbräuche[[#This Row],[2023]]*(1-$E113)^1, ""), ""),IF($B$57&gt;Klisz_Verbräuche[[#Headers],[2024]],Refsz_Verbräuche[[#This Row],[2024]],"")))</f>
        <v/>
      </c>
      <c r="P113" s="57" t="str">
        <f>IF(Klisz_Verbräuche[[#Headers],[2025]]=$B$57,IF(COUNTIF($F113:Klisz_Verbräuche[[#This Row],[2024]],"&gt;0")&gt;0, AVERAGEIF($F113:Klisz_Verbräuche[[#This Row],[2024]],"&lt;&gt;"), ""),IF($B$57&lt;Klisz_Verbräuche[[#Headers],[2025]],IF(COUNTIF($F113:Klisz_Verbräuche[[#This Row],[2024]],"&gt;0")&gt;0,IF(COUNTIF($F113:Klisz_Verbräuche[[#This Row],[2024]],"&gt;0")&gt;0,Klisz_Verbräuche[[#This Row],[2024]]*(1-$E113)^1, ""), ""),IF($B$57&gt;Klisz_Verbräuche[[#Headers],[2025]],Refsz_Verbräuche[[#This Row],[2025]],"")))</f>
        <v/>
      </c>
      <c r="Q113" s="57" t="str">
        <f>IF(Klisz_Verbräuche[[#Headers],[2026]]=$B$57,IF(COUNTIF($F113:Klisz_Verbräuche[[#This Row],[2025]],"&gt;0")&gt;0, AVERAGEIF($F113:Klisz_Verbräuche[[#This Row],[2025]],"&lt;&gt;"), ""),IF($B$57&lt;Klisz_Verbräuche[[#Headers],[2026]],IF(COUNTIF($F113:Klisz_Verbräuche[[#This Row],[2025]],"&gt;0")&gt;0,IF(COUNTIF($F113:Klisz_Verbräuche[[#This Row],[2025]],"&gt;0")&gt;0,Klisz_Verbräuche[[#This Row],[2025]]*(1-$E113)^1, ""), ""),IF($B$57&gt;Klisz_Verbräuche[[#Headers],[2026]],Refsz_Verbräuche[[#This Row],[2026]],"")))</f>
        <v/>
      </c>
      <c r="R113" s="57" t="str">
        <f>IF(Klisz_Verbräuche[[#Headers],[2027]]=$B$57,IF(COUNTIF($F113:Klisz_Verbräuche[[#This Row],[2026]],"&gt;0")&gt;0, AVERAGEIF($F113:Klisz_Verbräuche[[#This Row],[2026]],"&lt;&gt;"), ""),IF($B$57&lt;Klisz_Verbräuche[[#Headers],[2027]],IF(COUNTIF($F113:Klisz_Verbräuche[[#This Row],[2026]],"&gt;0")&gt;0,IF(COUNTIF($F113:Klisz_Verbräuche[[#This Row],[2026]],"&gt;0")&gt;0,Klisz_Verbräuche[[#This Row],[2026]]*(1-$E113)^1, ""), ""),IF($B$57&gt;Klisz_Verbräuche[[#Headers],[2027]],Refsz_Verbräuche[[#This Row],[2027]],"")))</f>
        <v/>
      </c>
      <c r="S113" s="57" t="str">
        <f>IF(Klisz_Verbräuche[[#Headers],[2028]]=$B$57,IF(COUNTIF($F113:Klisz_Verbräuche[[#This Row],[2027]],"&gt;0")&gt;0, AVERAGEIF($F113:Klisz_Verbräuche[[#This Row],[2027]],"&lt;&gt;"), ""),IF($B$57&lt;Klisz_Verbräuche[[#Headers],[2028]],IF(COUNTIF($F113:Klisz_Verbräuche[[#This Row],[2027]],"&gt;0")&gt;0,IF(COUNTIF($F113:Klisz_Verbräuche[[#This Row],[2027]],"&gt;0")&gt;0,Klisz_Verbräuche[[#This Row],[2027]]*(1-$E113)^1, ""), ""),IF($B$57&gt;Klisz_Verbräuche[[#Headers],[2028]],Refsz_Verbräuche[[#This Row],[2028]],"")))</f>
        <v/>
      </c>
      <c r="T113" s="57" t="str">
        <f>IF(Klisz_Verbräuche[[#Headers],[2029]]=$B$57,IF(COUNTIF($F113:Klisz_Verbräuche[[#This Row],[2028]],"&gt;0")&gt;0, AVERAGEIF($F113:Klisz_Verbräuche[[#This Row],[2028]],"&lt;&gt;"), ""),IF($B$57&lt;Klisz_Verbräuche[[#Headers],[2029]],IF(COUNTIF($F113:Klisz_Verbräuche[[#This Row],[2028]],"&gt;0")&gt;0,IF(COUNTIF($F113:Klisz_Verbräuche[[#This Row],[2028]],"&gt;0")&gt;0,Klisz_Verbräuche[[#This Row],[2028]]*(1-$E113)^1, ""), ""),IF($B$57&gt;Klisz_Verbräuche[[#Headers],[2029]],Refsz_Verbräuche[[#This Row],[2029]],"")))</f>
        <v/>
      </c>
      <c r="U113" s="57" t="str">
        <f>IF(Klisz_Verbräuche[[#Headers],[2030]]=$B$57,IF(COUNTIF($F113:Klisz_Verbräuche[[#This Row],[2029]],"&gt;0")&gt;0, AVERAGEIF($F113:Klisz_Verbräuche[[#This Row],[2029]],"&lt;&gt;"), ""),IF($B$57&lt;Klisz_Verbräuche[[#Headers],[2030]],IF(COUNTIF($F113:Klisz_Verbräuche[[#This Row],[2029]],"&gt;0")&gt;0,IF(COUNTIF($F113:Klisz_Verbräuche[[#This Row],[2029]],"&gt;0")&gt;0,Klisz_Verbräuche[[#This Row],[2029]]*(1-$E113)^1, ""), ""),IF($B$57&gt;Klisz_Verbräuche[[#Headers],[2030]],Refsz_Verbräuche[[#This Row],[2030]],"")))</f>
        <v/>
      </c>
      <c r="V113" s="57" t="str">
        <f>IF(Klisz_Verbräuche[[#Headers],[2035]]=$B$57,IF(COUNTIF($F113:Klisz_Verbräuche[[#This Row],[2030]],"&gt;0")&gt;0, AVERAGEIF($F113:Klisz_Verbräuche[[#This Row],[2030]],"&lt;&gt;"), ""),IF($B$57&lt;Klisz_Verbräuche[[#Headers],[2035]],IF(COUNTIF($F113:Klisz_Verbräuche[[#This Row],[2030]],"&gt;0")&gt;0,IF(COUNTIF($F113:Klisz_Verbräuche[[#This Row],[2030]],"&gt;0")&gt;0,Klisz_Verbräuche[[#This Row],[2030]]*(1-$E113)^5, ""), ""),IF($B$57&gt;Klisz_Verbräuche[[#Headers],[2035]],Refsz_Verbräuche[[#This Row],[2035]],"")))</f>
        <v/>
      </c>
      <c r="W113" s="57" t="str">
        <f>IF(Klisz_Verbräuche[[#Headers],[2040]]=$B$57,IF(COUNTIF($F113:Klisz_Verbräuche[[#This Row],[2035]],"&gt;0")&gt;0, AVERAGEIF($F113:Klisz_Verbräuche[[#This Row],[2035]],"&lt;&gt;"), ""),IF($B$57&lt;Klisz_Verbräuche[[#Headers],[2040]],IF(COUNTIF($F113:Klisz_Verbräuche[[#This Row],[2035]],"&gt;0")&gt;0,IF(COUNTIF($F113:Klisz_Verbräuche[[#This Row],[2035]],"&gt;0")&gt;0,Klisz_Verbräuche[[#This Row],[2035]]*(1-$E113)^5, ""), ""),IF($B$57&gt;Klisz_Verbräuche[[#Headers],[2040]],Refsz_Verbräuche[[#This Row],[2040]],"")))</f>
        <v/>
      </c>
      <c r="X113" s="57" t="str">
        <f>IF(Klisz_Verbräuche[[#Headers],[2045]]=$B$57,IF(COUNTIF($F113:Klisz_Verbräuche[[#This Row],[2040]],"&gt;0")&gt;0, AVERAGEIF($F113:Klisz_Verbräuche[[#This Row],[2040]],"&lt;&gt;"), ""),IF($B$57&lt;Klisz_Verbräuche[[#Headers],[2045]],IF(COUNTIF($F113:Klisz_Verbräuche[[#This Row],[2040]],"&gt;0")&gt;0,IF(COUNTIF($F113:Klisz_Verbräuche[[#This Row],[2040]],"&gt;0")&gt;0,Klisz_Verbräuche[[#This Row],[2040]]*(1-$E113)^5, ""), ""),IF($B$57&gt;Klisz_Verbräuche[[#Headers],[2045]],Refsz_Verbräuche[[#This Row],[2045]],"")))</f>
        <v/>
      </c>
      <c r="Y113" s="57" t="str">
        <f>IF(Klisz_Verbräuche[[#Headers],[2050]]=$B$57,IF(COUNTIF($F113:Klisz_Verbräuche[[#This Row],[2045]],"&gt;0")&gt;0, AVERAGEIF($F113:Klisz_Verbräuche[[#This Row],[2045]],"&lt;&gt;"), ""),IF($B$57&lt;Klisz_Verbräuche[[#Headers],[2050]],IF(COUNTIF($F113:Klisz_Verbräuche[[#This Row],[2045]],"&gt;0")&gt;0,IF(COUNTIF($F113:Klisz_Verbräuche[[#This Row],[2045]],"&gt;0")&gt;0,Klisz_Verbräuche[[#This Row],[2045]]*(1-$E113)^5, ""), ""),IF($B$57&gt;Klisz_Verbräuche[[#Headers],[2050]],Refsz_Verbräuche[[#This Row],[2050]],"")))</f>
        <v/>
      </c>
      <c r="Z113" s="15"/>
    </row>
    <row r="114" spans="2:26" x14ac:dyDescent="0.35">
      <c r="B114" s="15">
        <v>54</v>
      </c>
      <c r="C114" s="20">
        <f>Refsz_Verbräuche[[#This Row],[Datenpunkt]]</f>
        <v>0</v>
      </c>
      <c r="D114" s="29">
        <f>Refsz_Verbräuche[[#This Row],[Einheit]]</f>
        <v>0</v>
      </c>
      <c r="E114" s="122"/>
      <c r="F114" s="15" t="str">
        <f>IF(ISBLANK(Refsz_Verbräuche[[#This Row],[2015]]),"",Refsz_Verbräuche[[#This Row],[2015]])</f>
        <v/>
      </c>
      <c r="G114" s="15" t="str">
        <f>IF(ISBLANK(Refsz_Verbräuche[[#This Row],[2016]]),"",Refsz_Verbräuche[[#This Row],[2016]])</f>
        <v/>
      </c>
      <c r="H114" s="15" t="str">
        <f>IF(ISBLANK(Refsz_Verbräuche[[#This Row],[2017]]),"",Refsz_Verbräuche[[#This Row],[2017]])</f>
        <v/>
      </c>
      <c r="I114" s="15" t="str">
        <f>IF(ISBLANK(Refsz_Verbräuche[[#This Row],[2018]]),"",Refsz_Verbräuche[[#This Row],[2018]])</f>
        <v/>
      </c>
      <c r="J114" s="15" t="str">
        <f>IF(ISBLANK(Refsz_Verbräuche[[#This Row],[2019]]),"",Refsz_Verbräuche[[#This Row],[2019]])</f>
        <v/>
      </c>
      <c r="K114" s="15" t="str">
        <f>IF(ISBLANK(Refsz_Verbräuche[[#This Row],[2020]]),"",Refsz_Verbräuche[[#This Row],[2020]])</f>
        <v/>
      </c>
      <c r="L114" s="15" t="str">
        <f>IF(ISBLANK(Refsz_Verbräuche[[#This Row],[2021]]),"",Refsz_Verbräuche[[#This Row],[2021]])</f>
        <v/>
      </c>
      <c r="M114" s="57" t="str">
        <f>IF(Klisz_Verbräuche[[#Headers],[2022]]=$B$57,IF(COUNTIF($F114:Klisz_Verbräuche[[#This Row],[2021]],"&gt;0")&gt;0, AVERAGEIF($F114:Klisz_Verbräuche[[#This Row],[2021]],"&lt;&gt;"), ""),IF($B$57&lt;Klisz_Verbräuche[[#Headers],[2022]],IF(COUNTIF($F114:Klisz_Verbräuche[[#This Row],[2021]],"&gt;0")&gt;0,IF(COUNTIF($F114:Klisz_Verbräuche[[#This Row],[2021]],"&gt;0")&gt;0,Klisz_Verbräuche[[#This Row],[2021]]*(1-$E114)^1, ""), ""),IF($B$57&gt;Klisz_Verbräuche[[#Headers],[2022]],Refsz_Verbräuche[[#This Row],[2022]],"")))</f>
        <v/>
      </c>
      <c r="N114" s="57" t="str">
        <f>IF(Klisz_Verbräuche[[#Headers],[2023]]=$B$57,IF(COUNTIF($F114:Klisz_Verbräuche[[#This Row],[2022]],"&gt;0")&gt;0, AVERAGEIF($F114:Klisz_Verbräuche[[#This Row],[2022]],"&lt;&gt;"), ""),IF($B$57&lt;Klisz_Verbräuche[[#Headers],[2023]],IF(COUNTIF($F114:Klisz_Verbräuche[[#This Row],[2022]],"&gt;0")&gt;0,IF(COUNTIF($F114:Klisz_Verbräuche[[#This Row],[2022]],"&gt;0")&gt;0,Klisz_Verbräuche[[#This Row],[2022]]*(1-$E114)^1, ""), ""),IF($B$57&gt;Klisz_Verbräuche[[#Headers],[2023]],Refsz_Verbräuche[[#This Row],[2023]],"")))</f>
        <v/>
      </c>
      <c r="O114" s="57" t="str">
        <f>IF(Klisz_Verbräuche[[#Headers],[2024]]=$B$57,IF(COUNTIF($F114:Klisz_Verbräuche[[#This Row],[2023]],"&gt;0")&gt;0, AVERAGEIF($F114:Klisz_Verbräuche[[#This Row],[2023]],"&lt;&gt;"), ""),IF($B$57&lt;Klisz_Verbräuche[[#Headers],[2024]],IF(COUNTIF($F114:Klisz_Verbräuche[[#This Row],[2023]],"&gt;0")&gt;0,IF(COUNTIF($F114:Klisz_Verbräuche[[#This Row],[2023]],"&gt;0")&gt;0,Klisz_Verbräuche[[#This Row],[2023]]*(1-$E114)^1, ""), ""),IF($B$57&gt;Klisz_Verbräuche[[#Headers],[2024]],Refsz_Verbräuche[[#This Row],[2024]],"")))</f>
        <v/>
      </c>
      <c r="P114" s="57" t="str">
        <f>IF(Klisz_Verbräuche[[#Headers],[2025]]=$B$57,IF(COUNTIF($F114:Klisz_Verbräuche[[#This Row],[2024]],"&gt;0")&gt;0, AVERAGEIF($F114:Klisz_Verbräuche[[#This Row],[2024]],"&lt;&gt;"), ""),IF($B$57&lt;Klisz_Verbräuche[[#Headers],[2025]],IF(COUNTIF($F114:Klisz_Verbräuche[[#This Row],[2024]],"&gt;0")&gt;0,IF(COUNTIF($F114:Klisz_Verbräuche[[#This Row],[2024]],"&gt;0")&gt;0,Klisz_Verbräuche[[#This Row],[2024]]*(1-$E114)^1, ""), ""),IF($B$57&gt;Klisz_Verbräuche[[#Headers],[2025]],Refsz_Verbräuche[[#This Row],[2025]],"")))</f>
        <v/>
      </c>
      <c r="Q114" s="57" t="str">
        <f>IF(Klisz_Verbräuche[[#Headers],[2026]]=$B$57,IF(COUNTIF($F114:Klisz_Verbräuche[[#This Row],[2025]],"&gt;0")&gt;0, AVERAGEIF($F114:Klisz_Verbräuche[[#This Row],[2025]],"&lt;&gt;"), ""),IF($B$57&lt;Klisz_Verbräuche[[#Headers],[2026]],IF(COUNTIF($F114:Klisz_Verbräuche[[#This Row],[2025]],"&gt;0")&gt;0,IF(COUNTIF($F114:Klisz_Verbräuche[[#This Row],[2025]],"&gt;0")&gt;0,Klisz_Verbräuche[[#This Row],[2025]]*(1-$E114)^1, ""), ""),IF($B$57&gt;Klisz_Verbräuche[[#Headers],[2026]],Refsz_Verbräuche[[#This Row],[2026]],"")))</f>
        <v/>
      </c>
      <c r="R114" s="57" t="str">
        <f>IF(Klisz_Verbräuche[[#Headers],[2027]]=$B$57,IF(COUNTIF($F114:Klisz_Verbräuche[[#This Row],[2026]],"&gt;0")&gt;0, AVERAGEIF($F114:Klisz_Verbräuche[[#This Row],[2026]],"&lt;&gt;"), ""),IF($B$57&lt;Klisz_Verbräuche[[#Headers],[2027]],IF(COUNTIF($F114:Klisz_Verbräuche[[#This Row],[2026]],"&gt;0")&gt;0,IF(COUNTIF($F114:Klisz_Verbräuche[[#This Row],[2026]],"&gt;0")&gt;0,Klisz_Verbräuche[[#This Row],[2026]]*(1-$E114)^1, ""), ""),IF($B$57&gt;Klisz_Verbräuche[[#Headers],[2027]],Refsz_Verbräuche[[#This Row],[2027]],"")))</f>
        <v/>
      </c>
      <c r="S114" s="57" t="str">
        <f>IF(Klisz_Verbräuche[[#Headers],[2028]]=$B$57,IF(COUNTIF($F114:Klisz_Verbräuche[[#This Row],[2027]],"&gt;0")&gt;0, AVERAGEIF($F114:Klisz_Verbräuche[[#This Row],[2027]],"&lt;&gt;"), ""),IF($B$57&lt;Klisz_Verbräuche[[#Headers],[2028]],IF(COUNTIF($F114:Klisz_Verbräuche[[#This Row],[2027]],"&gt;0")&gt;0,IF(COUNTIF($F114:Klisz_Verbräuche[[#This Row],[2027]],"&gt;0")&gt;0,Klisz_Verbräuche[[#This Row],[2027]]*(1-$E114)^1, ""), ""),IF($B$57&gt;Klisz_Verbräuche[[#Headers],[2028]],Refsz_Verbräuche[[#This Row],[2028]],"")))</f>
        <v/>
      </c>
      <c r="T114" s="57" t="str">
        <f>IF(Klisz_Verbräuche[[#Headers],[2029]]=$B$57,IF(COUNTIF($F114:Klisz_Verbräuche[[#This Row],[2028]],"&gt;0")&gt;0, AVERAGEIF($F114:Klisz_Verbräuche[[#This Row],[2028]],"&lt;&gt;"), ""),IF($B$57&lt;Klisz_Verbräuche[[#Headers],[2029]],IF(COUNTIF($F114:Klisz_Verbräuche[[#This Row],[2028]],"&gt;0")&gt;0,IF(COUNTIF($F114:Klisz_Verbräuche[[#This Row],[2028]],"&gt;0")&gt;0,Klisz_Verbräuche[[#This Row],[2028]]*(1-$E114)^1, ""), ""),IF($B$57&gt;Klisz_Verbräuche[[#Headers],[2029]],Refsz_Verbräuche[[#This Row],[2029]],"")))</f>
        <v/>
      </c>
      <c r="U114" s="57" t="str">
        <f>IF(Klisz_Verbräuche[[#Headers],[2030]]=$B$57,IF(COUNTIF($F114:Klisz_Verbräuche[[#This Row],[2029]],"&gt;0")&gt;0, AVERAGEIF($F114:Klisz_Verbräuche[[#This Row],[2029]],"&lt;&gt;"), ""),IF($B$57&lt;Klisz_Verbräuche[[#Headers],[2030]],IF(COUNTIF($F114:Klisz_Verbräuche[[#This Row],[2029]],"&gt;0")&gt;0,IF(COUNTIF($F114:Klisz_Verbräuche[[#This Row],[2029]],"&gt;0")&gt;0,Klisz_Verbräuche[[#This Row],[2029]]*(1-$E114)^1, ""), ""),IF($B$57&gt;Klisz_Verbräuche[[#Headers],[2030]],Refsz_Verbräuche[[#This Row],[2030]],"")))</f>
        <v/>
      </c>
      <c r="V114" s="57" t="str">
        <f>IF(Klisz_Verbräuche[[#Headers],[2035]]=$B$57,IF(COUNTIF($F114:Klisz_Verbräuche[[#This Row],[2030]],"&gt;0")&gt;0, AVERAGEIF($F114:Klisz_Verbräuche[[#This Row],[2030]],"&lt;&gt;"), ""),IF($B$57&lt;Klisz_Verbräuche[[#Headers],[2035]],IF(COUNTIF($F114:Klisz_Verbräuche[[#This Row],[2030]],"&gt;0")&gt;0,IF(COUNTIF($F114:Klisz_Verbräuche[[#This Row],[2030]],"&gt;0")&gt;0,Klisz_Verbräuche[[#This Row],[2030]]*(1-$E114)^5, ""), ""),IF($B$57&gt;Klisz_Verbräuche[[#Headers],[2035]],Refsz_Verbräuche[[#This Row],[2035]],"")))</f>
        <v/>
      </c>
      <c r="W114" s="57" t="str">
        <f>IF(Klisz_Verbräuche[[#Headers],[2040]]=$B$57,IF(COUNTIF($F114:Klisz_Verbräuche[[#This Row],[2035]],"&gt;0")&gt;0, AVERAGEIF($F114:Klisz_Verbräuche[[#This Row],[2035]],"&lt;&gt;"), ""),IF($B$57&lt;Klisz_Verbräuche[[#Headers],[2040]],IF(COUNTIF($F114:Klisz_Verbräuche[[#This Row],[2035]],"&gt;0")&gt;0,IF(COUNTIF($F114:Klisz_Verbräuche[[#This Row],[2035]],"&gt;0")&gt;0,Klisz_Verbräuche[[#This Row],[2035]]*(1-$E114)^5, ""), ""),IF($B$57&gt;Klisz_Verbräuche[[#Headers],[2040]],Refsz_Verbräuche[[#This Row],[2040]],"")))</f>
        <v/>
      </c>
      <c r="X114" s="57" t="str">
        <f>IF(Klisz_Verbräuche[[#Headers],[2045]]=$B$57,IF(COUNTIF($F114:Klisz_Verbräuche[[#This Row],[2040]],"&gt;0")&gt;0, AVERAGEIF($F114:Klisz_Verbräuche[[#This Row],[2040]],"&lt;&gt;"), ""),IF($B$57&lt;Klisz_Verbräuche[[#Headers],[2045]],IF(COUNTIF($F114:Klisz_Verbräuche[[#This Row],[2040]],"&gt;0")&gt;0,IF(COUNTIF($F114:Klisz_Verbräuche[[#This Row],[2040]],"&gt;0")&gt;0,Klisz_Verbräuche[[#This Row],[2040]]*(1-$E114)^5, ""), ""),IF($B$57&gt;Klisz_Verbräuche[[#Headers],[2045]],Refsz_Verbräuche[[#This Row],[2045]],"")))</f>
        <v/>
      </c>
      <c r="Y114" s="57" t="str">
        <f>IF(Klisz_Verbräuche[[#Headers],[2050]]=$B$57,IF(COUNTIF($F114:Klisz_Verbräuche[[#This Row],[2045]],"&gt;0")&gt;0, AVERAGEIF($F114:Klisz_Verbräuche[[#This Row],[2045]],"&lt;&gt;"), ""),IF($B$57&lt;Klisz_Verbräuche[[#Headers],[2050]],IF(COUNTIF($F114:Klisz_Verbräuche[[#This Row],[2045]],"&gt;0")&gt;0,IF(COUNTIF($F114:Klisz_Verbräuche[[#This Row],[2045]],"&gt;0")&gt;0,Klisz_Verbräuche[[#This Row],[2045]]*(1-$E114)^5, ""), ""),IF($B$57&gt;Klisz_Verbräuche[[#Headers],[2050]],Refsz_Verbräuche[[#This Row],[2050]],"")))</f>
        <v/>
      </c>
      <c r="Z114" s="15"/>
    </row>
    <row r="115" spans="2:26" x14ac:dyDescent="0.35">
      <c r="B115" s="15">
        <v>55</v>
      </c>
      <c r="C115" s="20" t="str">
        <f>Refsz_Verbräuche[[#This Row],[Datenpunkt]]</f>
        <v>Studierendenreisen (Outgoing) - Flugreisen</v>
      </c>
      <c r="D115" s="29" t="str">
        <f>Refsz_Verbräuche[[#This Row],[Einheit]]</f>
        <v>Pkm</v>
      </c>
      <c r="E115" s="122"/>
      <c r="F115" s="15" t="str">
        <f>IF(ISBLANK(Refsz_Verbräuche[[#This Row],[2015]]),"",Refsz_Verbräuche[[#This Row],[2015]])</f>
        <v/>
      </c>
      <c r="G115" s="15" t="str">
        <f>IF(ISBLANK(Refsz_Verbräuche[[#This Row],[2016]]),"",Refsz_Verbräuche[[#This Row],[2016]])</f>
        <v/>
      </c>
      <c r="H115" s="15" t="str">
        <f>IF(ISBLANK(Refsz_Verbräuche[[#This Row],[2017]]),"",Refsz_Verbräuche[[#This Row],[2017]])</f>
        <v/>
      </c>
      <c r="I115" s="15" t="str">
        <f>IF(ISBLANK(Refsz_Verbräuche[[#This Row],[2018]]),"",Refsz_Verbräuche[[#This Row],[2018]])</f>
        <v/>
      </c>
      <c r="J115" s="15" t="str">
        <f>IF(ISBLANK(Refsz_Verbräuche[[#This Row],[2019]]),"",Refsz_Verbräuche[[#This Row],[2019]])</f>
        <v/>
      </c>
      <c r="K115" s="15" t="str">
        <f>IF(ISBLANK(Refsz_Verbräuche[[#This Row],[2020]]),"",Refsz_Verbräuche[[#This Row],[2020]])</f>
        <v/>
      </c>
      <c r="L115" s="15" t="str">
        <f>IF(ISBLANK(Refsz_Verbräuche[[#This Row],[2021]]),"",Refsz_Verbräuche[[#This Row],[2021]])</f>
        <v/>
      </c>
      <c r="M115" s="57" t="str">
        <f>IF(Klisz_Verbräuche[[#Headers],[2022]]=$B$57,IF(COUNTIF($F115:Klisz_Verbräuche[[#This Row],[2021]],"&gt;0")&gt;0, AVERAGEIF($F115:Klisz_Verbräuche[[#This Row],[2021]],"&lt;&gt;"), ""),IF($B$57&lt;Klisz_Verbräuche[[#Headers],[2022]],IF(COUNTIF($F115:Klisz_Verbräuche[[#This Row],[2021]],"&gt;0")&gt;0,IF(COUNTIF($F115:Klisz_Verbräuche[[#This Row],[2021]],"&gt;0")&gt;0,Klisz_Verbräuche[[#This Row],[2021]]*(1-$E115)^1, ""), ""),IF($B$57&gt;Klisz_Verbräuche[[#Headers],[2022]],Refsz_Verbräuche[[#This Row],[2022]],"")))</f>
        <v/>
      </c>
      <c r="N115" s="57" t="str">
        <f>IF(Klisz_Verbräuche[[#Headers],[2023]]=$B$57,IF(COUNTIF($F115:Klisz_Verbräuche[[#This Row],[2022]],"&gt;0")&gt;0, AVERAGEIF($F115:Klisz_Verbräuche[[#This Row],[2022]],"&lt;&gt;"), ""),IF($B$57&lt;Klisz_Verbräuche[[#Headers],[2023]],IF(COUNTIF($F115:Klisz_Verbräuche[[#This Row],[2022]],"&gt;0")&gt;0,IF(COUNTIF($F115:Klisz_Verbräuche[[#This Row],[2022]],"&gt;0")&gt;0,Klisz_Verbräuche[[#This Row],[2022]]*(1-$E115)^1, ""), ""),IF($B$57&gt;Klisz_Verbräuche[[#Headers],[2023]],Refsz_Verbräuche[[#This Row],[2023]],"")))</f>
        <v/>
      </c>
      <c r="O115" s="57" t="str">
        <f>IF(Klisz_Verbräuche[[#Headers],[2024]]=$B$57,IF(COUNTIF($F115:Klisz_Verbräuche[[#This Row],[2023]],"&gt;0")&gt;0, AVERAGEIF($F115:Klisz_Verbräuche[[#This Row],[2023]],"&lt;&gt;"), ""),IF($B$57&lt;Klisz_Verbräuche[[#Headers],[2024]],IF(COUNTIF($F115:Klisz_Verbräuche[[#This Row],[2023]],"&gt;0")&gt;0,IF(COUNTIF($F115:Klisz_Verbräuche[[#This Row],[2023]],"&gt;0")&gt;0,Klisz_Verbräuche[[#This Row],[2023]]*(1-$E115)^1, ""), ""),IF($B$57&gt;Klisz_Verbräuche[[#Headers],[2024]],Refsz_Verbräuche[[#This Row],[2024]],"")))</f>
        <v/>
      </c>
      <c r="P115" s="57" t="str">
        <f>IF(Klisz_Verbräuche[[#Headers],[2025]]=$B$57,IF(COUNTIF($F115:Klisz_Verbräuche[[#This Row],[2024]],"&gt;0")&gt;0, AVERAGEIF($F115:Klisz_Verbräuche[[#This Row],[2024]],"&lt;&gt;"), ""),IF($B$57&lt;Klisz_Verbräuche[[#Headers],[2025]],IF(COUNTIF($F115:Klisz_Verbräuche[[#This Row],[2024]],"&gt;0")&gt;0,IF(COUNTIF($F115:Klisz_Verbräuche[[#This Row],[2024]],"&gt;0")&gt;0,Klisz_Verbräuche[[#This Row],[2024]]*(1-$E115)^1, ""), ""),IF($B$57&gt;Klisz_Verbräuche[[#Headers],[2025]],Refsz_Verbräuche[[#This Row],[2025]],"")))</f>
        <v/>
      </c>
      <c r="Q115" s="57" t="str">
        <f>IF(Klisz_Verbräuche[[#Headers],[2026]]=$B$57,IF(COUNTIF($F115:Klisz_Verbräuche[[#This Row],[2025]],"&gt;0")&gt;0, AVERAGEIF($F115:Klisz_Verbräuche[[#This Row],[2025]],"&lt;&gt;"), ""),IF($B$57&lt;Klisz_Verbräuche[[#Headers],[2026]],IF(COUNTIF($F115:Klisz_Verbräuche[[#This Row],[2025]],"&gt;0")&gt;0,IF(COUNTIF($F115:Klisz_Verbräuche[[#This Row],[2025]],"&gt;0")&gt;0,Klisz_Verbräuche[[#This Row],[2025]]*(1-$E115)^1, ""), ""),IF($B$57&gt;Klisz_Verbräuche[[#Headers],[2026]],Refsz_Verbräuche[[#This Row],[2026]],"")))</f>
        <v/>
      </c>
      <c r="R115" s="57" t="str">
        <f>IF(Klisz_Verbräuche[[#Headers],[2027]]=$B$57,IF(COUNTIF($F115:Klisz_Verbräuche[[#This Row],[2026]],"&gt;0")&gt;0, AVERAGEIF($F115:Klisz_Verbräuche[[#This Row],[2026]],"&lt;&gt;"), ""),IF($B$57&lt;Klisz_Verbräuche[[#Headers],[2027]],IF(COUNTIF($F115:Klisz_Verbräuche[[#This Row],[2026]],"&gt;0")&gt;0,IF(COUNTIF($F115:Klisz_Verbräuche[[#This Row],[2026]],"&gt;0")&gt;0,Klisz_Verbräuche[[#This Row],[2026]]*(1-$E115)^1, ""), ""),IF($B$57&gt;Klisz_Verbräuche[[#Headers],[2027]],Refsz_Verbräuche[[#This Row],[2027]],"")))</f>
        <v/>
      </c>
      <c r="S115" s="57" t="str">
        <f>IF(Klisz_Verbräuche[[#Headers],[2028]]=$B$57,IF(COUNTIF($F115:Klisz_Verbräuche[[#This Row],[2027]],"&gt;0")&gt;0, AVERAGEIF($F115:Klisz_Verbräuche[[#This Row],[2027]],"&lt;&gt;"), ""),IF($B$57&lt;Klisz_Verbräuche[[#Headers],[2028]],IF(COUNTIF($F115:Klisz_Verbräuche[[#This Row],[2027]],"&gt;0")&gt;0,IF(COUNTIF($F115:Klisz_Verbräuche[[#This Row],[2027]],"&gt;0")&gt;0,Klisz_Verbräuche[[#This Row],[2027]]*(1-$E115)^1, ""), ""),IF($B$57&gt;Klisz_Verbräuche[[#Headers],[2028]],Refsz_Verbräuche[[#This Row],[2028]],"")))</f>
        <v/>
      </c>
      <c r="T115" s="57" t="str">
        <f>IF(Klisz_Verbräuche[[#Headers],[2029]]=$B$57,IF(COUNTIF($F115:Klisz_Verbräuche[[#This Row],[2028]],"&gt;0")&gt;0, AVERAGEIF($F115:Klisz_Verbräuche[[#This Row],[2028]],"&lt;&gt;"), ""),IF($B$57&lt;Klisz_Verbräuche[[#Headers],[2029]],IF(COUNTIF($F115:Klisz_Verbräuche[[#This Row],[2028]],"&gt;0")&gt;0,IF(COUNTIF($F115:Klisz_Verbräuche[[#This Row],[2028]],"&gt;0")&gt;0,Klisz_Verbräuche[[#This Row],[2028]]*(1-$E115)^1, ""), ""),IF($B$57&gt;Klisz_Verbräuche[[#Headers],[2029]],Refsz_Verbräuche[[#This Row],[2029]],"")))</f>
        <v/>
      </c>
      <c r="U115" s="57" t="str">
        <f>IF(Klisz_Verbräuche[[#Headers],[2030]]=$B$57,IF(COUNTIF($F115:Klisz_Verbräuche[[#This Row],[2029]],"&gt;0")&gt;0, AVERAGEIF($F115:Klisz_Verbräuche[[#This Row],[2029]],"&lt;&gt;"), ""),IF($B$57&lt;Klisz_Verbräuche[[#Headers],[2030]],IF(COUNTIF($F115:Klisz_Verbräuche[[#This Row],[2029]],"&gt;0")&gt;0,IF(COUNTIF($F115:Klisz_Verbräuche[[#This Row],[2029]],"&gt;0")&gt;0,Klisz_Verbräuche[[#This Row],[2029]]*(1-$E115)^1, ""), ""),IF($B$57&gt;Klisz_Verbräuche[[#Headers],[2030]],Refsz_Verbräuche[[#This Row],[2030]],"")))</f>
        <v/>
      </c>
      <c r="V115" s="57" t="str">
        <f>IF(Klisz_Verbräuche[[#Headers],[2035]]=$B$57,IF(COUNTIF($F115:Klisz_Verbräuche[[#This Row],[2030]],"&gt;0")&gt;0, AVERAGEIF($F115:Klisz_Verbräuche[[#This Row],[2030]],"&lt;&gt;"), ""),IF($B$57&lt;Klisz_Verbräuche[[#Headers],[2035]],IF(COUNTIF($F115:Klisz_Verbräuche[[#This Row],[2030]],"&gt;0")&gt;0,IF(COUNTIF($F115:Klisz_Verbräuche[[#This Row],[2030]],"&gt;0")&gt;0,Klisz_Verbräuche[[#This Row],[2030]]*(1-$E115)^5, ""), ""),IF($B$57&gt;Klisz_Verbräuche[[#Headers],[2035]],Refsz_Verbräuche[[#This Row],[2035]],"")))</f>
        <v/>
      </c>
      <c r="W115" s="57" t="str">
        <f>IF(Klisz_Verbräuche[[#Headers],[2040]]=$B$57,IF(COUNTIF($F115:Klisz_Verbräuche[[#This Row],[2035]],"&gt;0")&gt;0, AVERAGEIF($F115:Klisz_Verbräuche[[#This Row],[2035]],"&lt;&gt;"), ""),IF($B$57&lt;Klisz_Verbräuche[[#Headers],[2040]],IF(COUNTIF($F115:Klisz_Verbräuche[[#This Row],[2035]],"&gt;0")&gt;0,IF(COUNTIF($F115:Klisz_Verbräuche[[#This Row],[2035]],"&gt;0")&gt;0,Klisz_Verbräuche[[#This Row],[2035]]*(1-$E115)^5, ""), ""),IF($B$57&gt;Klisz_Verbräuche[[#Headers],[2040]],Refsz_Verbräuche[[#This Row],[2040]],"")))</f>
        <v/>
      </c>
      <c r="X115" s="57" t="str">
        <f>IF(Klisz_Verbräuche[[#Headers],[2045]]=$B$57,IF(COUNTIF($F115:Klisz_Verbräuche[[#This Row],[2040]],"&gt;0")&gt;0, AVERAGEIF($F115:Klisz_Verbräuche[[#This Row],[2040]],"&lt;&gt;"), ""),IF($B$57&lt;Klisz_Verbräuche[[#Headers],[2045]],IF(COUNTIF($F115:Klisz_Verbräuche[[#This Row],[2040]],"&gt;0")&gt;0,IF(COUNTIF($F115:Klisz_Verbräuche[[#This Row],[2040]],"&gt;0")&gt;0,Klisz_Verbräuche[[#This Row],[2040]]*(1-$E115)^5, ""), ""),IF($B$57&gt;Klisz_Verbräuche[[#Headers],[2045]],Refsz_Verbräuche[[#This Row],[2045]],"")))</f>
        <v/>
      </c>
      <c r="Y115" s="57" t="str">
        <f>IF(Klisz_Verbräuche[[#Headers],[2050]]=$B$57,IF(COUNTIF($F115:Klisz_Verbräuche[[#This Row],[2045]],"&gt;0")&gt;0, AVERAGEIF($F115:Klisz_Verbräuche[[#This Row],[2045]],"&lt;&gt;"), ""),IF($B$57&lt;Klisz_Verbräuche[[#Headers],[2050]],IF(COUNTIF($F115:Klisz_Verbräuche[[#This Row],[2045]],"&gt;0")&gt;0,IF(COUNTIF($F115:Klisz_Verbräuche[[#This Row],[2045]],"&gt;0")&gt;0,Klisz_Verbräuche[[#This Row],[2045]]*(1-$E115)^5, ""), ""),IF($B$57&gt;Klisz_Verbräuche[[#Headers],[2050]],Refsz_Verbräuche[[#This Row],[2050]],"")))</f>
        <v/>
      </c>
      <c r="Z115" s="15"/>
    </row>
    <row r="116" spans="2:26" x14ac:dyDescent="0.35">
      <c r="B116" s="15">
        <v>56</v>
      </c>
      <c r="C116" s="20" t="str">
        <f>Refsz_Verbräuche[[#This Row],[Datenpunkt]]</f>
        <v>Studierendenreisen (Outgoing) - Eisenbahn (Nahverkehr)</v>
      </c>
      <c r="D116" s="29" t="str">
        <f>Refsz_Verbräuche[[#This Row],[Einheit]]</f>
        <v>Pkm</v>
      </c>
      <c r="E116" s="122"/>
      <c r="F116" s="15" t="str">
        <f>IF(ISBLANK(Refsz_Verbräuche[[#This Row],[2015]]),"",Refsz_Verbräuche[[#This Row],[2015]])</f>
        <v/>
      </c>
      <c r="G116" s="15" t="str">
        <f>IF(ISBLANK(Refsz_Verbräuche[[#This Row],[2016]]),"",Refsz_Verbräuche[[#This Row],[2016]])</f>
        <v/>
      </c>
      <c r="H116" s="15" t="str">
        <f>IF(ISBLANK(Refsz_Verbräuche[[#This Row],[2017]]),"",Refsz_Verbräuche[[#This Row],[2017]])</f>
        <v/>
      </c>
      <c r="I116" s="15" t="str">
        <f>IF(ISBLANK(Refsz_Verbräuche[[#This Row],[2018]]),"",Refsz_Verbräuche[[#This Row],[2018]])</f>
        <v/>
      </c>
      <c r="J116" s="15" t="str">
        <f>IF(ISBLANK(Refsz_Verbräuche[[#This Row],[2019]]),"",Refsz_Verbräuche[[#This Row],[2019]])</f>
        <v/>
      </c>
      <c r="K116" s="15" t="str">
        <f>IF(ISBLANK(Refsz_Verbräuche[[#This Row],[2020]]),"",Refsz_Verbräuche[[#This Row],[2020]])</f>
        <v/>
      </c>
      <c r="L116" s="15" t="str">
        <f>IF(ISBLANK(Refsz_Verbräuche[[#This Row],[2021]]),"",Refsz_Verbräuche[[#This Row],[2021]])</f>
        <v/>
      </c>
      <c r="M116" s="57" t="str">
        <f>IF(Klisz_Verbräuche[[#Headers],[2022]]=$B$57,IF(COUNTIF($F116:Klisz_Verbräuche[[#This Row],[2021]],"&gt;0")&gt;0, AVERAGEIF($F116:Klisz_Verbräuche[[#This Row],[2021]],"&lt;&gt;"), ""),IF($B$57&lt;Klisz_Verbräuche[[#Headers],[2022]],IF(COUNTIF($F116:Klisz_Verbräuche[[#This Row],[2021]],"&gt;0")&gt;0,IF(COUNTIF($F116:Klisz_Verbräuche[[#This Row],[2021]],"&gt;0")&gt;0,Klisz_Verbräuche[[#This Row],[2021]]*(1-$E116)^1, ""), ""),IF($B$57&gt;Klisz_Verbräuche[[#Headers],[2022]],Refsz_Verbräuche[[#This Row],[2022]],"")))</f>
        <v/>
      </c>
      <c r="N116" s="57" t="str">
        <f>IF(Klisz_Verbräuche[[#Headers],[2023]]=$B$57,IF(COUNTIF($F116:Klisz_Verbräuche[[#This Row],[2022]],"&gt;0")&gt;0, AVERAGEIF($F116:Klisz_Verbräuche[[#This Row],[2022]],"&lt;&gt;"), ""),IF($B$57&lt;Klisz_Verbräuche[[#Headers],[2023]],IF(COUNTIF($F116:Klisz_Verbräuche[[#This Row],[2022]],"&gt;0")&gt;0,IF(COUNTIF($F116:Klisz_Verbräuche[[#This Row],[2022]],"&gt;0")&gt;0,Klisz_Verbräuche[[#This Row],[2022]]*(1-$E116)^1, ""), ""),IF($B$57&gt;Klisz_Verbräuche[[#Headers],[2023]],Refsz_Verbräuche[[#This Row],[2023]],"")))</f>
        <v/>
      </c>
      <c r="O116" s="57" t="str">
        <f>IF(Klisz_Verbräuche[[#Headers],[2024]]=$B$57,IF(COUNTIF($F116:Klisz_Verbräuche[[#This Row],[2023]],"&gt;0")&gt;0, AVERAGEIF($F116:Klisz_Verbräuche[[#This Row],[2023]],"&lt;&gt;"), ""),IF($B$57&lt;Klisz_Verbräuche[[#Headers],[2024]],IF(COUNTIF($F116:Klisz_Verbräuche[[#This Row],[2023]],"&gt;0")&gt;0,IF(COUNTIF($F116:Klisz_Verbräuche[[#This Row],[2023]],"&gt;0")&gt;0,Klisz_Verbräuche[[#This Row],[2023]]*(1-$E116)^1, ""), ""),IF($B$57&gt;Klisz_Verbräuche[[#Headers],[2024]],Refsz_Verbräuche[[#This Row],[2024]],"")))</f>
        <v/>
      </c>
      <c r="P116" s="57" t="str">
        <f>IF(Klisz_Verbräuche[[#Headers],[2025]]=$B$57,IF(COUNTIF($F116:Klisz_Verbräuche[[#This Row],[2024]],"&gt;0")&gt;0, AVERAGEIF($F116:Klisz_Verbräuche[[#This Row],[2024]],"&lt;&gt;"), ""),IF($B$57&lt;Klisz_Verbräuche[[#Headers],[2025]],IF(COUNTIF($F116:Klisz_Verbräuche[[#This Row],[2024]],"&gt;0")&gt;0,IF(COUNTIF($F116:Klisz_Verbräuche[[#This Row],[2024]],"&gt;0")&gt;0,Klisz_Verbräuche[[#This Row],[2024]]*(1-$E116)^1, ""), ""),IF($B$57&gt;Klisz_Verbräuche[[#Headers],[2025]],Refsz_Verbräuche[[#This Row],[2025]],"")))</f>
        <v/>
      </c>
      <c r="Q116" s="57" t="str">
        <f>IF(Klisz_Verbräuche[[#Headers],[2026]]=$B$57,IF(COUNTIF($F116:Klisz_Verbräuche[[#This Row],[2025]],"&gt;0")&gt;0, AVERAGEIF($F116:Klisz_Verbräuche[[#This Row],[2025]],"&lt;&gt;"), ""),IF($B$57&lt;Klisz_Verbräuche[[#Headers],[2026]],IF(COUNTIF($F116:Klisz_Verbräuche[[#This Row],[2025]],"&gt;0")&gt;0,IF(COUNTIF($F116:Klisz_Verbräuche[[#This Row],[2025]],"&gt;0")&gt;0,Klisz_Verbräuche[[#This Row],[2025]]*(1-$E116)^1, ""), ""),IF($B$57&gt;Klisz_Verbräuche[[#Headers],[2026]],Refsz_Verbräuche[[#This Row],[2026]],"")))</f>
        <v/>
      </c>
      <c r="R116" s="57" t="str">
        <f>IF(Klisz_Verbräuche[[#Headers],[2027]]=$B$57,IF(COUNTIF($F116:Klisz_Verbräuche[[#This Row],[2026]],"&gt;0")&gt;0, AVERAGEIF($F116:Klisz_Verbräuche[[#This Row],[2026]],"&lt;&gt;"), ""),IF($B$57&lt;Klisz_Verbräuche[[#Headers],[2027]],IF(COUNTIF($F116:Klisz_Verbräuche[[#This Row],[2026]],"&gt;0")&gt;0,IF(COUNTIF($F116:Klisz_Verbräuche[[#This Row],[2026]],"&gt;0")&gt;0,Klisz_Verbräuche[[#This Row],[2026]]*(1-$E116)^1, ""), ""),IF($B$57&gt;Klisz_Verbräuche[[#Headers],[2027]],Refsz_Verbräuche[[#This Row],[2027]],"")))</f>
        <v/>
      </c>
      <c r="S116" s="57" t="str">
        <f>IF(Klisz_Verbräuche[[#Headers],[2028]]=$B$57,IF(COUNTIF($F116:Klisz_Verbräuche[[#This Row],[2027]],"&gt;0")&gt;0, AVERAGEIF($F116:Klisz_Verbräuche[[#This Row],[2027]],"&lt;&gt;"), ""),IF($B$57&lt;Klisz_Verbräuche[[#Headers],[2028]],IF(COUNTIF($F116:Klisz_Verbräuche[[#This Row],[2027]],"&gt;0")&gt;0,IF(COUNTIF($F116:Klisz_Verbräuche[[#This Row],[2027]],"&gt;0")&gt;0,Klisz_Verbräuche[[#This Row],[2027]]*(1-$E116)^1, ""), ""),IF($B$57&gt;Klisz_Verbräuche[[#Headers],[2028]],Refsz_Verbräuche[[#This Row],[2028]],"")))</f>
        <v/>
      </c>
      <c r="T116" s="57" t="str">
        <f>IF(Klisz_Verbräuche[[#Headers],[2029]]=$B$57,IF(COUNTIF($F116:Klisz_Verbräuche[[#This Row],[2028]],"&gt;0")&gt;0, AVERAGEIF($F116:Klisz_Verbräuche[[#This Row],[2028]],"&lt;&gt;"), ""),IF($B$57&lt;Klisz_Verbräuche[[#Headers],[2029]],IF(COUNTIF($F116:Klisz_Verbräuche[[#This Row],[2028]],"&gt;0")&gt;0,IF(COUNTIF($F116:Klisz_Verbräuche[[#This Row],[2028]],"&gt;0")&gt;0,Klisz_Verbräuche[[#This Row],[2028]]*(1-$E116)^1, ""), ""),IF($B$57&gt;Klisz_Verbräuche[[#Headers],[2029]],Refsz_Verbräuche[[#This Row],[2029]],"")))</f>
        <v/>
      </c>
      <c r="U116" s="57" t="str">
        <f>IF(Klisz_Verbräuche[[#Headers],[2030]]=$B$57,IF(COUNTIF($F116:Klisz_Verbräuche[[#This Row],[2029]],"&gt;0")&gt;0, AVERAGEIF($F116:Klisz_Verbräuche[[#This Row],[2029]],"&lt;&gt;"), ""),IF($B$57&lt;Klisz_Verbräuche[[#Headers],[2030]],IF(COUNTIF($F116:Klisz_Verbräuche[[#This Row],[2029]],"&gt;0")&gt;0,IF(COUNTIF($F116:Klisz_Verbräuche[[#This Row],[2029]],"&gt;0")&gt;0,Klisz_Verbräuche[[#This Row],[2029]]*(1-$E116)^1, ""), ""),IF($B$57&gt;Klisz_Verbräuche[[#Headers],[2030]],Refsz_Verbräuche[[#This Row],[2030]],"")))</f>
        <v/>
      </c>
      <c r="V116" s="57" t="str">
        <f>IF(Klisz_Verbräuche[[#Headers],[2035]]=$B$57,IF(COUNTIF($F116:Klisz_Verbräuche[[#This Row],[2030]],"&gt;0")&gt;0, AVERAGEIF($F116:Klisz_Verbräuche[[#This Row],[2030]],"&lt;&gt;"), ""),IF($B$57&lt;Klisz_Verbräuche[[#Headers],[2035]],IF(COUNTIF($F116:Klisz_Verbräuche[[#This Row],[2030]],"&gt;0")&gt;0,IF(COUNTIF($F116:Klisz_Verbräuche[[#This Row],[2030]],"&gt;0")&gt;0,Klisz_Verbräuche[[#This Row],[2030]]*(1-$E116)^5, ""), ""),IF($B$57&gt;Klisz_Verbräuche[[#Headers],[2035]],Refsz_Verbräuche[[#This Row],[2035]],"")))</f>
        <v/>
      </c>
      <c r="W116" s="57" t="str">
        <f>IF(Klisz_Verbräuche[[#Headers],[2040]]=$B$57,IF(COUNTIF($F116:Klisz_Verbräuche[[#This Row],[2035]],"&gt;0")&gt;0, AVERAGEIF($F116:Klisz_Verbräuche[[#This Row],[2035]],"&lt;&gt;"), ""),IF($B$57&lt;Klisz_Verbräuche[[#Headers],[2040]],IF(COUNTIF($F116:Klisz_Verbräuche[[#This Row],[2035]],"&gt;0")&gt;0,IF(COUNTIF($F116:Klisz_Verbräuche[[#This Row],[2035]],"&gt;0")&gt;0,Klisz_Verbräuche[[#This Row],[2035]]*(1-$E116)^5, ""), ""),IF($B$57&gt;Klisz_Verbräuche[[#Headers],[2040]],Refsz_Verbräuche[[#This Row],[2040]],"")))</f>
        <v/>
      </c>
      <c r="X116" s="57" t="str">
        <f>IF(Klisz_Verbräuche[[#Headers],[2045]]=$B$57,IF(COUNTIF($F116:Klisz_Verbräuche[[#This Row],[2040]],"&gt;0")&gt;0, AVERAGEIF($F116:Klisz_Verbräuche[[#This Row],[2040]],"&lt;&gt;"), ""),IF($B$57&lt;Klisz_Verbräuche[[#Headers],[2045]],IF(COUNTIF($F116:Klisz_Verbräuche[[#This Row],[2040]],"&gt;0")&gt;0,IF(COUNTIF($F116:Klisz_Verbräuche[[#This Row],[2040]],"&gt;0")&gt;0,Klisz_Verbräuche[[#This Row],[2040]]*(1-$E116)^5, ""), ""),IF($B$57&gt;Klisz_Verbräuche[[#Headers],[2045]],Refsz_Verbräuche[[#This Row],[2045]],"")))</f>
        <v/>
      </c>
      <c r="Y116" s="57" t="str">
        <f>IF(Klisz_Verbräuche[[#Headers],[2050]]=$B$57,IF(COUNTIF($F116:Klisz_Verbräuche[[#This Row],[2045]],"&gt;0")&gt;0, AVERAGEIF($F116:Klisz_Verbräuche[[#This Row],[2045]],"&lt;&gt;"), ""),IF($B$57&lt;Klisz_Verbräuche[[#Headers],[2050]],IF(COUNTIF($F116:Klisz_Verbräuche[[#This Row],[2045]],"&gt;0")&gt;0,IF(COUNTIF($F116:Klisz_Verbräuche[[#This Row],[2045]],"&gt;0")&gt;0,Klisz_Verbräuche[[#This Row],[2045]]*(1-$E116)^5, ""), ""),IF($B$57&gt;Klisz_Verbräuche[[#Headers],[2050]],Refsz_Verbräuche[[#This Row],[2050]],"")))</f>
        <v/>
      </c>
      <c r="Z116" s="15"/>
    </row>
    <row r="117" spans="2:26" x14ac:dyDescent="0.35">
      <c r="B117" s="15">
        <v>57</v>
      </c>
      <c r="C117" s="20" t="str">
        <f>Refsz_Verbräuche[[#This Row],[Datenpunkt]]</f>
        <v>Studierendenreisen (Outgoing) - Privater PKW (alle Antriebsarten)</v>
      </c>
      <c r="D117" s="29" t="str">
        <f>Refsz_Verbräuche[[#This Row],[Einheit]]</f>
        <v>Fkm</v>
      </c>
      <c r="E117" s="122"/>
      <c r="F117" s="15" t="str">
        <f>IF(ISBLANK(Refsz_Verbräuche[[#This Row],[2015]]),"",Refsz_Verbräuche[[#This Row],[2015]])</f>
        <v/>
      </c>
      <c r="G117" s="15" t="str">
        <f>IF(ISBLANK(Refsz_Verbräuche[[#This Row],[2016]]),"",Refsz_Verbräuche[[#This Row],[2016]])</f>
        <v/>
      </c>
      <c r="H117" s="15" t="str">
        <f>IF(ISBLANK(Refsz_Verbräuche[[#This Row],[2017]]),"",Refsz_Verbräuche[[#This Row],[2017]])</f>
        <v/>
      </c>
      <c r="I117" s="15" t="str">
        <f>IF(ISBLANK(Refsz_Verbräuche[[#This Row],[2018]]),"",Refsz_Verbräuche[[#This Row],[2018]])</f>
        <v/>
      </c>
      <c r="J117" s="15" t="str">
        <f>IF(ISBLANK(Refsz_Verbräuche[[#This Row],[2019]]),"",Refsz_Verbräuche[[#This Row],[2019]])</f>
        <v/>
      </c>
      <c r="K117" s="15" t="str">
        <f>IF(ISBLANK(Refsz_Verbräuche[[#This Row],[2020]]),"",Refsz_Verbräuche[[#This Row],[2020]])</f>
        <v/>
      </c>
      <c r="L117" s="15" t="str">
        <f>IF(ISBLANK(Refsz_Verbräuche[[#This Row],[2021]]),"",Refsz_Verbräuche[[#This Row],[2021]])</f>
        <v/>
      </c>
      <c r="M117" s="57" t="str">
        <f>IF(Klisz_Verbräuche[[#Headers],[2022]]=$B$57,IF(COUNTIF($F117:Klisz_Verbräuche[[#This Row],[2021]],"&gt;0")&gt;0, AVERAGEIF($F117:Klisz_Verbräuche[[#This Row],[2021]],"&lt;&gt;"), ""),IF($B$57&lt;Klisz_Verbräuche[[#Headers],[2022]],IF(COUNTIF($F117:Klisz_Verbräuche[[#This Row],[2021]],"&gt;0")&gt;0,IF(COUNTIF($F117:Klisz_Verbräuche[[#This Row],[2021]],"&gt;0")&gt;0,Klisz_Verbräuche[[#This Row],[2021]]*(1-$E117)^1, ""), ""),IF($B$57&gt;Klisz_Verbräuche[[#Headers],[2022]],Refsz_Verbräuche[[#This Row],[2022]],"")))</f>
        <v/>
      </c>
      <c r="N117" s="57" t="str">
        <f>IF(Klisz_Verbräuche[[#Headers],[2023]]=$B$57,IF(COUNTIF($F117:Klisz_Verbräuche[[#This Row],[2022]],"&gt;0")&gt;0, AVERAGEIF($F117:Klisz_Verbräuche[[#This Row],[2022]],"&lt;&gt;"), ""),IF($B$57&lt;Klisz_Verbräuche[[#Headers],[2023]],IF(COUNTIF($F117:Klisz_Verbräuche[[#This Row],[2022]],"&gt;0")&gt;0,IF(COUNTIF($F117:Klisz_Verbräuche[[#This Row],[2022]],"&gt;0")&gt;0,Klisz_Verbräuche[[#This Row],[2022]]*(1-$E117)^1, ""), ""),IF($B$57&gt;Klisz_Verbräuche[[#Headers],[2023]],Refsz_Verbräuche[[#This Row],[2023]],"")))</f>
        <v/>
      </c>
      <c r="O117" s="57" t="str">
        <f>IF(Klisz_Verbräuche[[#Headers],[2024]]=$B$57,IF(COUNTIF($F117:Klisz_Verbräuche[[#This Row],[2023]],"&gt;0")&gt;0, AVERAGEIF($F117:Klisz_Verbräuche[[#This Row],[2023]],"&lt;&gt;"), ""),IF($B$57&lt;Klisz_Verbräuche[[#Headers],[2024]],IF(COUNTIF($F117:Klisz_Verbräuche[[#This Row],[2023]],"&gt;0")&gt;0,IF(COUNTIF($F117:Klisz_Verbräuche[[#This Row],[2023]],"&gt;0")&gt;0,Klisz_Verbräuche[[#This Row],[2023]]*(1-$E117)^1, ""), ""),IF($B$57&gt;Klisz_Verbräuche[[#Headers],[2024]],Refsz_Verbräuche[[#This Row],[2024]],"")))</f>
        <v/>
      </c>
      <c r="P117" s="57" t="str">
        <f>IF(Klisz_Verbräuche[[#Headers],[2025]]=$B$57,IF(COUNTIF($F117:Klisz_Verbräuche[[#This Row],[2024]],"&gt;0")&gt;0, AVERAGEIF($F117:Klisz_Verbräuche[[#This Row],[2024]],"&lt;&gt;"), ""),IF($B$57&lt;Klisz_Verbräuche[[#Headers],[2025]],IF(COUNTIF($F117:Klisz_Verbräuche[[#This Row],[2024]],"&gt;0")&gt;0,IF(COUNTIF($F117:Klisz_Verbräuche[[#This Row],[2024]],"&gt;0")&gt;0,Klisz_Verbräuche[[#This Row],[2024]]*(1-$E117)^1, ""), ""),IF($B$57&gt;Klisz_Verbräuche[[#Headers],[2025]],Refsz_Verbräuche[[#This Row],[2025]],"")))</f>
        <v/>
      </c>
      <c r="Q117" s="57" t="str">
        <f>IF(Klisz_Verbräuche[[#Headers],[2026]]=$B$57,IF(COUNTIF($F117:Klisz_Verbräuche[[#This Row],[2025]],"&gt;0")&gt;0, AVERAGEIF($F117:Klisz_Verbräuche[[#This Row],[2025]],"&lt;&gt;"), ""),IF($B$57&lt;Klisz_Verbräuche[[#Headers],[2026]],IF(COUNTIF($F117:Klisz_Verbräuche[[#This Row],[2025]],"&gt;0")&gt;0,IF(COUNTIF($F117:Klisz_Verbräuche[[#This Row],[2025]],"&gt;0")&gt;0,Klisz_Verbräuche[[#This Row],[2025]]*(1-$E117)^1, ""), ""),IF($B$57&gt;Klisz_Verbräuche[[#Headers],[2026]],Refsz_Verbräuche[[#This Row],[2026]],"")))</f>
        <v/>
      </c>
      <c r="R117" s="57" t="str">
        <f>IF(Klisz_Verbräuche[[#Headers],[2027]]=$B$57,IF(COUNTIF($F117:Klisz_Verbräuche[[#This Row],[2026]],"&gt;0")&gt;0, AVERAGEIF($F117:Klisz_Verbräuche[[#This Row],[2026]],"&lt;&gt;"), ""),IF($B$57&lt;Klisz_Verbräuche[[#Headers],[2027]],IF(COUNTIF($F117:Klisz_Verbräuche[[#This Row],[2026]],"&gt;0")&gt;0,IF(COUNTIF($F117:Klisz_Verbräuche[[#This Row],[2026]],"&gt;0")&gt;0,Klisz_Verbräuche[[#This Row],[2026]]*(1-$E117)^1, ""), ""),IF($B$57&gt;Klisz_Verbräuche[[#Headers],[2027]],Refsz_Verbräuche[[#This Row],[2027]],"")))</f>
        <v/>
      </c>
      <c r="S117" s="57" t="str">
        <f>IF(Klisz_Verbräuche[[#Headers],[2028]]=$B$57,IF(COUNTIF($F117:Klisz_Verbräuche[[#This Row],[2027]],"&gt;0")&gt;0, AVERAGEIF($F117:Klisz_Verbräuche[[#This Row],[2027]],"&lt;&gt;"), ""),IF($B$57&lt;Klisz_Verbräuche[[#Headers],[2028]],IF(COUNTIF($F117:Klisz_Verbräuche[[#This Row],[2027]],"&gt;0")&gt;0,IF(COUNTIF($F117:Klisz_Verbräuche[[#This Row],[2027]],"&gt;0")&gt;0,Klisz_Verbräuche[[#This Row],[2027]]*(1-$E117)^1, ""), ""),IF($B$57&gt;Klisz_Verbräuche[[#Headers],[2028]],Refsz_Verbräuche[[#This Row],[2028]],"")))</f>
        <v/>
      </c>
      <c r="T117" s="57" t="str">
        <f>IF(Klisz_Verbräuche[[#Headers],[2029]]=$B$57,IF(COUNTIF($F117:Klisz_Verbräuche[[#This Row],[2028]],"&gt;0")&gt;0, AVERAGEIF($F117:Klisz_Verbräuche[[#This Row],[2028]],"&lt;&gt;"), ""),IF($B$57&lt;Klisz_Verbräuche[[#Headers],[2029]],IF(COUNTIF($F117:Klisz_Verbräuche[[#This Row],[2028]],"&gt;0")&gt;0,IF(COUNTIF($F117:Klisz_Verbräuche[[#This Row],[2028]],"&gt;0")&gt;0,Klisz_Verbräuche[[#This Row],[2028]]*(1-$E117)^1, ""), ""),IF($B$57&gt;Klisz_Verbräuche[[#Headers],[2029]],Refsz_Verbräuche[[#This Row],[2029]],"")))</f>
        <v/>
      </c>
      <c r="U117" s="57" t="str">
        <f>IF(Klisz_Verbräuche[[#Headers],[2030]]=$B$57,IF(COUNTIF($F117:Klisz_Verbräuche[[#This Row],[2029]],"&gt;0")&gt;0, AVERAGEIF($F117:Klisz_Verbräuche[[#This Row],[2029]],"&lt;&gt;"), ""),IF($B$57&lt;Klisz_Verbräuche[[#Headers],[2030]],IF(COUNTIF($F117:Klisz_Verbräuche[[#This Row],[2029]],"&gt;0")&gt;0,IF(COUNTIF($F117:Klisz_Verbräuche[[#This Row],[2029]],"&gt;0")&gt;0,Klisz_Verbräuche[[#This Row],[2029]]*(1-$E117)^1, ""), ""),IF($B$57&gt;Klisz_Verbräuche[[#Headers],[2030]],Refsz_Verbräuche[[#This Row],[2030]],"")))</f>
        <v/>
      </c>
      <c r="V117" s="57" t="str">
        <f>IF(Klisz_Verbräuche[[#Headers],[2035]]=$B$57,IF(COUNTIF($F117:Klisz_Verbräuche[[#This Row],[2030]],"&gt;0")&gt;0, AVERAGEIF($F117:Klisz_Verbräuche[[#This Row],[2030]],"&lt;&gt;"), ""),IF($B$57&lt;Klisz_Verbräuche[[#Headers],[2035]],IF(COUNTIF($F117:Klisz_Verbräuche[[#This Row],[2030]],"&gt;0")&gt;0,IF(COUNTIF($F117:Klisz_Verbräuche[[#This Row],[2030]],"&gt;0")&gt;0,Klisz_Verbräuche[[#This Row],[2030]]*(1-$E117)^5, ""), ""),IF($B$57&gt;Klisz_Verbräuche[[#Headers],[2035]],Refsz_Verbräuche[[#This Row],[2035]],"")))</f>
        <v/>
      </c>
      <c r="W117" s="57" t="str">
        <f>IF(Klisz_Verbräuche[[#Headers],[2040]]=$B$57,IF(COUNTIF($F117:Klisz_Verbräuche[[#This Row],[2035]],"&gt;0")&gt;0, AVERAGEIF($F117:Klisz_Verbräuche[[#This Row],[2035]],"&lt;&gt;"), ""),IF($B$57&lt;Klisz_Verbräuche[[#Headers],[2040]],IF(COUNTIF($F117:Klisz_Verbräuche[[#This Row],[2035]],"&gt;0")&gt;0,IF(COUNTIF($F117:Klisz_Verbräuche[[#This Row],[2035]],"&gt;0")&gt;0,Klisz_Verbräuche[[#This Row],[2035]]*(1-$E117)^5, ""), ""),IF($B$57&gt;Klisz_Verbräuche[[#Headers],[2040]],Refsz_Verbräuche[[#This Row],[2040]],"")))</f>
        <v/>
      </c>
      <c r="X117" s="57" t="str">
        <f>IF(Klisz_Verbräuche[[#Headers],[2045]]=$B$57,IF(COUNTIF($F117:Klisz_Verbräuche[[#This Row],[2040]],"&gt;0")&gt;0, AVERAGEIF($F117:Klisz_Verbräuche[[#This Row],[2040]],"&lt;&gt;"), ""),IF($B$57&lt;Klisz_Verbräuche[[#Headers],[2045]],IF(COUNTIF($F117:Klisz_Verbräuche[[#This Row],[2040]],"&gt;0")&gt;0,IF(COUNTIF($F117:Klisz_Verbräuche[[#This Row],[2040]],"&gt;0")&gt;0,Klisz_Verbräuche[[#This Row],[2040]]*(1-$E117)^5, ""), ""),IF($B$57&gt;Klisz_Verbräuche[[#Headers],[2045]],Refsz_Verbräuche[[#This Row],[2045]],"")))</f>
        <v/>
      </c>
      <c r="Y117" s="57" t="str">
        <f>IF(Klisz_Verbräuche[[#Headers],[2050]]=$B$57,IF(COUNTIF($F117:Klisz_Verbräuche[[#This Row],[2045]],"&gt;0")&gt;0, AVERAGEIF($F117:Klisz_Verbräuche[[#This Row],[2045]],"&lt;&gt;"), ""),IF($B$57&lt;Klisz_Verbräuche[[#Headers],[2050]],IF(COUNTIF($F117:Klisz_Verbräuche[[#This Row],[2045]],"&gt;0")&gt;0,IF(COUNTIF($F117:Klisz_Verbräuche[[#This Row],[2045]],"&gt;0")&gt;0,Klisz_Verbräuche[[#This Row],[2045]]*(1-$E117)^5, ""), ""),IF($B$57&gt;Klisz_Verbräuche[[#Headers],[2050]],Refsz_Verbräuche[[#This Row],[2050]],"")))</f>
        <v/>
      </c>
      <c r="Z117" s="15"/>
    </row>
    <row r="118" spans="2:26" x14ac:dyDescent="0.35">
      <c r="B118" s="15">
        <v>58</v>
      </c>
      <c r="C118" s="20">
        <f>Refsz_Verbräuche[[#This Row],[Datenpunkt]]</f>
        <v>0</v>
      </c>
      <c r="D118" s="29">
        <f>Refsz_Verbräuche[[#This Row],[Einheit]]</f>
        <v>0</v>
      </c>
      <c r="E118" s="122"/>
      <c r="F118" s="15" t="str">
        <f>IF(ISBLANK(Refsz_Verbräuche[[#This Row],[2015]]),"",Refsz_Verbräuche[[#This Row],[2015]])</f>
        <v/>
      </c>
      <c r="G118" s="15" t="str">
        <f>IF(ISBLANK(Refsz_Verbräuche[[#This Row],[2016]]),"",Refsz_Verbräuche[[#This Row],[2016]])</f>
        <v/>
      </c>
      <c r="H118" s="15" t="str">
        <f>IF(ISBLANK(Refsz_Verbräuche[[#This Row],[2017]]),"",Refsz_Verbräuche[[#This Row],[2017]])</f>
        <v/>
      </c>
      <c r="I118" s="15" t="str">
        <f>IF(ISBLANK(Refsz_Verbräuche[[#This Row],[2018]]),"",Refsz_Verbräuche[[#This Row],[2018]])</f>
        <v/>
      </c>
      <c r="J118" s="15" t="str">
        <f>IF(ISBLANK(Refsz_Verbräuche[[#This Row],[2019]]),"",Refsz_Verbräuche[[#This Row],[2019]])</f>
        <v/>
      </c>
      <c r="K118" s="15" t="str">
        <f>IF(ISBLANK(Refsz_Verbräuche[[#This Row],[2020]]),"",Refsz_Verbräuche[[#This Row],[2020]])</f>
        <v/>
      </c>
      <c r="L118" s="15" t="str">
        <f>IF(ISBLANK(Refsz_Verbräuche[[#This Row],[2021]]),"",Refsz_Verbräuche[[#This Row],[2021]])</f>
        <v/>
      </c>
      <c r="M118" s="57" t="str">
        <f>IF(Klisz_Verbräuche[[#Headers],[2022]]=$B$57,IF(COUNTIF($F118:Klisz_Verbräuche[[#This Row],[2021]],"&gt;0")&gt;0, AVERAGEIF($F118:Klisz_Verbräuche[[#This Row],[2021]],"&lt;&gt;"), ""),IF($B$57&lt;Klisz_Verbräuche[[#Headers],[2022]],IF(COUNTIF($F118:Klisz_Verbräuche[[#This Row],[2021]],"&gt;0")&gt;0,IF(COUNTIF($F118:Klisz_Verbräuche[[#This Row],[2021]],"&gt;0")&gt;0,Klisz_Verbräuche[[#This Row],[2021]]*(1-$E118)^1, ""), ""),IF($B$57&gt;Klisz_Verbräuche[[#Headers],[2022]],Refsz_Verbräuche[[#This Row],[2022]],"")))</f>
        <v/>
      </c>
      <c r="N118" s="57" t="str">
        <f>IF(Klisz_Verbräuche[[#Headers],[2023]]=$B$57,IF(COUNTIF($F118:Klisz_Verbräuche[[#This Row],[2022]],"&gt;0")&gt;0, AVERAGEIF($F118:Klisz_Verbräuche[[#This Row],[2022]],"&lt;&gt;"), ""),IF($B$57&lt;Klisz_Verbräuche[[#Headers],[2023]],IF(COUNTIF($F118:Klisz_Verbräuche[[#This Row],[2022]],"&gt;0")&gt;0,IF(COUNTIF($F118:Klisz_Verbräuche[[#This Row],[2022]],"&gt;0")&gt;0,Klisz_Verbräuche[[#This Row],[2022]]*(1-$E118)^1, ""), ""),IF($B$57&gt;Klisz_Verbräuche[[#Headers],[2023]],Refsz_Verbräuche[[#This Row],[2023]],"")))</f>
        <v/>
      </c>
      <c r="O118" s="57" t="str">
        <f>IF(Klisz_Verbräuche[[#Headers],[2024]]=$B$57,IF(COUNTIF($F118:Klisz_Verbräuche[[#This Row],[2023]],"&gt;0")&gt;0, AVERAGEIF($F118:Klisz_Verbräuche[[#This Row],[2023]],"&lt;&gt;"), ""),IF($B$57&lt;Klisz_Verbräuche[[#Headers],[2024]],IF(COUNTIF($F118:Klisz_Verbräuche[[#This Row],[2023]],"&gt;0")&gt;0,IF(COUNTIF($F118:Klisz_Verbräuche[[#This Row],[2023]],"&gt;0")&gt;0,Klisz_Verbräuche[[#This Row],[2023]]*(1-$E118)^1, ""), ""),IF($B$57&gt;Klisz_Verbräuche[[#Headers],[2024]],Refsz_Verbräuche[[#This Row],[2024]],"")))</f>
        <v/>
      </c>
      <c r="P118" s="57" t="str">
        <f>IF(Klisz_Verbräuche[[#Headers],[2025]]=$B$57,IF(COUNTIF($F118:Klisz_Verbräuche[[#This Row],[2024]],"&gt;0")&gt;0, AVERAGEIF($F118:Klisz_Verbräuche[[#This Row],[2024]],"&lt;&gt;"), ""),IF($B$57&lt;Klisz_Verbräuche[[#Headers],[2025]],IF(COUNTIF($F118:Klisz_Verbräuche[[#This Row],[2024]],"&gt;0")&gt;0,IF(COUNTIF($F118:Klisz_Verbräuche[[#This Row],[2024]],"&gt;0")&gt;0,Klisz_Verbräuche[[#This Row],[2024]]*(1-$E118)^1, ""), ""),IF($B$57&gt;Klisz_Verbräuche[[#Headers],[2025]],Refsz_Verbräuche[[#This Row],[2025]],"")))</f>
        <v/>
      </c>
      <c r="Q118" s="57" t="str">
        <f>IF(Klisz_Verbräuche[[#Headers],[2026]]=$B$57,IF(COUNTIF($F118:Klisz_Verbräuche[[#This Row],[2025]],"&gt;0")&gt;0, AVERAGEIF($F118:Klisz_Verbräuche[[#This Row],[2025]],"&lt;&gt;"), ""),IF($B$57&lt;Klisz_Verbräuche[[#Headers],[2026]],IF(COUNTIF($F118:Klisz_Verbräuche[[#This Row],[2025]],"&gt;0")&gt;0,IF(COUNTIF($F118:Klisz_Verbräuche[[#This Row],[2025]],"&gt;0")&gt;0,Klisz_Verbräuche[[#This Row],[2025]]*(1-$E118)^1, ""), ""),IF($B$57&gt;Klisz_Verbräuche[[#Headers],[2026]],Refsz_Verbräuche[[#This Row],[2026]],"")))</f>
        <v/>
      </c>
      <c r="R118" s="57" t="str">
        <f>IF(Klisz_Verbräuche[[#Headers],[2027]]=$B$57,IF(COUNTIF($F118:Klisz_Verbräuche[[#This Row],[2026]],"&gt;0")&gt;0, AVERAGEIF($F118:Klisz_Verbräuche[[#This Row],[2026]],"&lt;&gt;"), ""),IF($B$57&lt;Klisz_Verbräuche[[#Headers],[2027]],IF(COUNTIF($F118:Klisz_Verbräuche[[#This Row],[2026]],"&gt;0")&gt;0,IF(COUNTIF($F118:Klisz_Verbräuche[[#This Row],[2026]],"&gt;0")&gt;0,Klisz_Verbräuche[[#This Row],[2026]]*(1-$E118)^1, ""), ""),IF($B$57&gt;Klisz_Verbräuche[[#Headers],[2027]],Refsz_Verbräuche[[#This Row],[2027]],"")))</f>
        <v/>
      </c>
      <c r="S118" s="57" t="str">
        <f>IF(Klisz_Verbräuche[[#Headers],[2028]]=$B$57,IF(COUNTIF($F118:Klisz_Verbräuche[[#This Row],[2027]],"&gt;0")&gt;0, AVERAGEIF($F118:Klisz_Verbräuche[[#This Row],[2027]],"&lt;&gt;"), ""),IF($B$57&lt;Klisz_Verbräuche[[#Headers],[2028]],IF(COUNTIF($F118:Klisz_Verbräuche[[#This Row],[2027]],"&gt;0")&gt;0,IF(COUNTIF($F118:Klisz_Verbräuche[[#This Row],[2027]],"&gt;0")&gt;0,Klisz_Verbräuche[[#This Row],[2027]]*(1-$E118)^1, ""), ""),IF($B$57&gt;Klisz_Verbräuche[[#Headers],[2028]],Refsz_Verbräuche[[#This Row],[2028]],"")))</f>
        <v/>
      </c>
      <c r="T118" s="57" t="str">
        <f>IF(Klisz_Verbräuche[[#Headers],[2029]]=$B$57,IF(COUNTIF($F118:Klisz_Verbräuche[[#This Row],[2028]],"&gt;0")&gt;0, AVERAGEIF($F118:Klisz_Verbräuche[[#This Row],[2028]],"&lt;&gt;"), ""),IF($B$57&lt;Klisz_Verbräuche[[#Headers],[2029]],IF(COUNTIF($F118:Klisz_Verbräuche[[#This Row],[2028]],"&gt;0")&gt;0,IF(COUNTIF($F118:Klisz_Verbräuche[[#This Row],[2028]],"&gt;0")&gt;0,Klisz_Verbräuche[[#This Row],[2028]]*(1-$E118)^1, ""), ""),IF($B$57&gt;Klisz_Verbräuche[[#Headers],[2029]],Refsz_Verbräuche[[#This Row],[2029]],"")))</f>
        <v/>
      </c>
      <c r="U118" s="57" t="str">
        <f>IF(Klisz_Verbräuche[[#Headers],[2030]]=$B$57,IF(COUNTIF($F118:Klisz_Verbräuche[[#This Row],[2029]],"&gt;0")&gt;0, AVERAGEIF($F118:Klisz_Verbräuche[[#This Row],[2029]],"&lt;&gt;"), ""),IF($B$57&lt;Klisz_Verbräuche[[#Headers],[2030]],IF(COUNTIF($F118:Klisz_Verbräuche[[#This Row],[2029]],"&gt;0")&gt;0,IF(COUNTIF($F118:Klisz_Verbräuche[[#This Row],[2029]],"&gt;0")&gt;0,Klisz_Verbräuche[[#This Row],[2029]]*(1-$E118)^1, ""), ""),IF($B$57&gt;Klisz_Verbräuche[[#Headers],[2030]],Refsz_Verbräuche[[#This Row],[2030]],"")))</f>
        <v/>
      </c>
      <c r="V118" s="57" t="str">
        <f>IF(Klisz_Verbräuche[[#Headers],[2035]]=$B$57,IF(COUNTIF($F118:Klisz_Verbräuche[[#This Row],[2030]],"&gt;0")&gt;0, AVERAGEIF($F118:Klisz_Verbräuche[[#This Row],[2030]],"&lt;&gt;"), ""),IF($B$57&lt;Klisz_Verbräuche[[#Headers],[2035]],IF(COUNTIF($F118:Klisz_Verbräuche[[#This Row],[2030]],"&gt;0")&gt;0,IF(COUNTIF($F118:Klisz_Verbräuche[[#This Row],[2030]],"&gt;0")&gt;0,Klisz_Verbräuche[[#This Row],[2030]]*(1-$E118)^5, ""), ""),IF($B$57&gt;Klisz_Verbräuche[[#Headers],[2035]],Refsz_Verbräuche[[#This Row],[2035]],"")))</f>
        <v/>
      </c>
      <c r="W118" s="57" t="str">
        <f>IF(Klisz_Verbräuche[[#Headers],[2040]]=$B$57,IF(COUNTIF($F118:Klisz_Verbräuche[[#This Row],[2035]],"&gt;0")&gt;0, AVERAGEIF($F118:Klisz_Verbräuche[[#This Row],[2035]],"&lt;&gt;"), ""),IF($B$57&lt;Klisz_Verbräuche[[#Headers],[2040]],IF(COUNTIF($F118:Klisz_Verbräuche[[#This Row],[2035]],"&gt;0")&gt;0,IF(COUNTIF($F118:Klisz_Verbräuche[[#This Row],[2035]],"&gt;0")&gt;0,Klisz_Verbräuche[[#This Row],[2035]]*(1-$E118)^5, ""), ""),IF($B$57&gt;Klisz_Verbräuche[[#Headers],[2040]],Refsz_Verbräuche[[#This Row],[2040]],"")))</f>
        <v/>
      </c>
      <c r="X118" s="57" t="str">
        <f>IF(Klisz_Verbräuche[[#Headers],[2045]]=$B$57,IF(COUNTIF($F118:Klisz_Verbräuche[[#This Row],[2040]],"&gt;0")&gt;0, AVERAGEIF($F118:Klisz_Verbräuche[[#This Row],[2040]],"&lt;&gt;"), ""),IF($B$57&lt;Klisz_Verbräuche[[#Headers],[2045]],IF(COUNTIF($F118:Klisz_Verbräuche[[#This Row],[2040]],"&gt;0")&gt;0,IF(COUNTIF($F118:Klisz_Verbräuche[[#This Row],[2040]],"&gt;0")&gt;0,Klisz_Verbräuche[[#This Row],[2040]]*(1-$E118)^5, ""), ""),IF($B$57&gt;Klisz_Verbräuche[[#Headers],[2045]],Refsz_Verbräuche[[#This Row],[2045]],"")))</f>
        <v/>
      </c>
      <c r="Y118" s="57" t="str">
        <f>IF(Klisz_Verbräuche[[#Headers],[2050]]=$B$57,IF(COUNTIF($F118:Klisz_Verbräuche[[#This Row],[2045]],"&gt;0")&gt;0, AVERAGEIF($F118:Klisz_Verbräuche[[#This Row],[2045]],"&lt;&gt;"), ""),IF($B$57&lt;Klisz_Verbräuche[[#Headers],[2050]],IF(COUNTIF($F118:Klisz_Verbräuche[[#This Row],[2045]],"&gt;0")&gt;0,IF(COUNTIF($F118:Klisz_Verbräuche[[#This Row],[2045]],"&gt;0")&gt;0,Klisz_Verbräuche[[#This Row],[2045]]*(1-$E118)^5, ""), ""),IF($B$57&gt;Klisz_Verbräuche[[#Headers],[2050]],Refsz_Verbräuche[[#This Row],[2050]],"")))</f>
        <v/>
      </c>
      <c r="Z118" s="15"/>
    </row>
    <row r="119" spans="2:26" x14ac:dyDescent="0.35">
      <c r="B119" s="15">
        <v>59</v>
      </c>
      <c r="C119" s="20" t="str">
        <f>Refsz_Verbräuche[[#This Row],[Datenpunkt]]</f>
        <v>Exkursionen - Flugreisen</v>
      </c>
      <c r="D119" s="29" t="str">
        <f>Refsz_Verbräuche[[#This Row],[Einheit]]</f>
        <v>Pkm</v>
      </c>
      <c r="E119" s="122"/>
      <c r="F119" s="15" t="str">
        <f>IF(ISBLANK(Refsz_Verbräuche[[#This Row],[2015]]),"",Refsz_Verbräuche[[#This Row],[2015]])</f>
        <v/>
      </c>
      <c r="G119" s="15" t="str">
        <f>IF(ISBLANK(Refsz_Verbräuche[[#This Row],[2016]]),"",Refsz_Verbräuche[[#This Row],[2016]])</f>
        <v/>
      </c>
      <c r="H119" s="15" t="str">
        <f>IF(ISBLANK(Refsz_Verbräuche[[#This Row],[2017]]),"",Refsz_Verbräuche[[#This Row],[2017]])</f>
        <v/>
      </c>
      <c r="I119" s="15" t="str">
        <f>IF(ISBLANK(Refsz_Verbräuche[[#This Row],[2018]]),"",Refsz_Verbräuche[[#This Row],[2018]])</f>
        <v/>
      </c>
      <c r="J119" s="15" t="str">
        <f>IF(ISBLANK(Refsz_Verbräuche[[#This Row],[2019]]),"",Refsz_Verbräuche[[#This Row],[2019]])</f>
        <v/>
      </c>
      <c r="K119" s="15" t="str">
        <f>IF(ISBLANK(Refsz_Verbräuche[[#This Row],[2020]]),"",Refsz_Verbräuche[[#This Row],[2020]])</f>
        <v/>
      </c>
      <c r="L119" s="15" t="str">
        <f>IF(ISBLANK(Refsz_Verbräuche[[#This Row],[2021]]),"",Refsz_Verbräuche[[#This Row],[2021]])</f>
        <v/>
      </c>
      <c r="M119" s="57" t="str">
        <f>IF(Klisz_Verbräuche[[#Headers],[2022]]=$B$57,IF(COUNTIF($F119:Klisz_Verbräuche[[#This Row],[2021]],"&gt;0")&gt;0, AVERAGEIF($F119:Klisz_Verbräuche[[#This Row],[2021]],"&lt;&gt;"), ""),IF($B$57&lt;Klisz_Verbräuche[[#Headers],[2022]],IF(COUNTIF($F119:Klisz_Verbräuche[[#This Row],[2021]],"&gt;0")&gt;0,IF(COUNTIF($F119:Klisz_Verbräuche[[#This Row],[2021]],"&gt;0")&gt;0,Klisz_Verbräuche[[#This Row],[2021]]*(1-$E119)^1, ""), ""),IF($B$57&gt;Klisz_Verbräuche[[#Headers],[2022]],Refsz_Verbräuche[[#This Row],[2022]],"")))</f>
        <v/>
      </c>
      <c r="N119" s="57" t="str">
        <f>IF(Klisz_Verbräuche[[#Headers],[2023]]=$B$57,IF(COUNTIF($F119:Klisz_Verbräuche[[#This Row],[2022]],"&gt;0")&gt;0, AVERAGEIF($F119:Klisz_Verbräuche[[#This Row],[2022]],"&lt;&gt;"), ""),IF($B$57&lt;Klisz_Verbräuche[[#Headers],[2023]],IF(COUNTIF($F119:Klisz_Verbräuche[[#This Row],[2022]],"&gt;0")&gt;0,IF(COUNTIF($F119:Klisz_Verbräuche[[#This Row],[2022]],"&gt;0")&gt;0,Klisz_Verbräuche[[#This Row],[2022]]*(1-$E119)^1, ""), ""),IF($B$57&gt;Klisz_Verbräuche[[#Headers],[2023]],Refsz_Verbräuche[[#This Row],[2023]],"")))</f>
        <v/>
      </c>
      <c r="O119" s="57" t="str">
        <f>IF(Klisz_Verbräuche[[#Headers],[2024]]=$B$57,IF(COUNTIF($F119:Klisz_Verbräuche[[#This Row],[2023]],"&gt;0")&gt;0, AVERAGEIF($F119:Klisz_Verbräuche[[#This Row],[2023]],"&lt;&gt;"), ""),IF($B$57&lt;Klisz_Verbräuche[[#Headers],[2024]],IF(COUNTIF($F119:Klisz_Verbräuche[[#This Row],[2023]],"&gt;0")&gt;0,IF(COUNTIF($F119:Klisz_Verbräuche[[#This Row],[2023]],"&gt;0")&gt;0,Klisz_Verbräuche[[#This Row],[2023]]*(1-$E119)^1, ""), ""),IF($B$57&gt;Klisz_Verbräuche[[#Headers],[2024]],Refsz_Verbräuche[[#This Row],[2024]],"")))</f>
        <v/>
      </c>
      <c r="P119" s="57" t="str">
        <f>IF(Klisz_Verbräuche[[#Headers],[2025]]=$B$57,IF(COUNTIF($F119:Klisz_Verbräuche[[#This Row],[2024]],"&gt;0")&gt;0, AVERAGEIF($F119:Klisz_Verbräuche[[#This Row],[2024]],"&lt;&gt;"), ""),IF($B$57&lt;Klisz_Verbräuche[[#Headers],[2025]],IF(COUNTIF($F119:Klisz_Verbräuche[[#This Row],[2024]],"&gt;0")&gt;0,IF(COUNTIF($F119:Klisz_Verbräuche[[#This Row],[2024]],"&gt;0")&gt;0,Klisz_Verbräuche[[#This Row],[2024]]*(1-$E119)^1, ""), ""),IF($B$57&gt;Klisz_Verbräuche[[#Headers],[2025]],Refsz_Verbräuche[[#This Row],[2025]],"")))</f>
        <v/>
      </c>
      <c r="Q119" s="57" t="str">
        <f>IF(Klisz_Verbräuche[[#Headers],[2026]]=$B$57,IF(COUNTIF($F119:Klisz_Verbräuche[[#This Row],[2025]],"&gt;0")&gt;0, AVERAGEIF($F119:Klisz_Verbräuche[[#This Row],[2025]],"&lt;&gt;"), ""),IF($B$57&lt;Klisz_Verbräuche[[#Headers],[2026]],IF(COUNTIF($F119:Klisz_Verbräuche[[#This Row],[2025]],"&gt;0")&gt;0,IF(COUNTIF($F119:Klisz_Verbräuche[[#This Row],[2025]],"&gt;0")&gt;0,Klisz_Verbräuche[[#This Row],[2025]]*(1-$E119)^1, ""), ""),IF($B$57&gt;Klisz_Verbräuche[[#Headers],[2026]],Refsz_Verbräuche[[#This Row],[2026]],"")))</f>
        <v/>
      </c>
      <c r="R119" s="57" t="str">
        <f>IF(Klisz_Verbräuche[[#Headers],[2027]]=$B$57,IF(COUNTIF($F119:Klisz_Verbräuche[[#This Row],[2026]],"&gt;0")&gt;0, AVERAGEIF($F119:Klisz_Verbräuche[[#This Row],[2026]],"&lt;&gt;"), ""),IF($B$57&lt;Klisz_Verbräuche[[#Headers],[2027]],IF(COUNTIF($F119:Klisz_Verbräuche[[#This Row],[2026]],"&gt;0")&gt;0,IF(COUNTIF($F119:Klisz_Verbräuche[[#This Row],[2026]],"&gt;0")&gt;0,Klisz_Verbräuche[[#This Row],[2026]]*(1-$E119)^1, ""), ""),IF($B$57&gt;Klisz_Verbräuche[[#Headers],[2027]],Refsz_Verbräuche[[#This Row],[2027]],"")))</f>
        <v/>
      </c>
      <c r="S119" s="57" t="str">
        <f>IF(Klisz_Verbräuche[[#Headers],[2028]]=$B$57,IF(COUNTIF($F119:Klisz_Verbräuche[[#This Row],[2027]],"&gt;0")&gt;0, AVERAGEIF($F119:Klisz_Verbräuche[[#This Row],[2027]],"&lt;&gt;"), ""),IF($B$57&lt;Klisz_Verbräuche[[#Headers],[2028]],IF(COUNTIF($F119:Klisz_Verbräuche[[#This Row],[2027]],"&gt;0")&gt;0,IF(COUNTIF($F119:Klisz_Verbräuche[[#This Row],[2027]],"&gt;0")&gt;0,Klisz_Verbräuche[[#This Row],[2027]]*(1-$E119)^1, ""), ""),IF($B$57&gt;Klisz_Verbräuche[[#Headers],[2028]],Refsz_Verbräuche[[#This Row],[2028]],"")))</f>
        <v/>
      </c>
      <c r="T119" s="57" t="str">
        <f>IF(Klisz_Verbräuche[[#Headers],[2029]]=$B$57,IF(COUNTIF($F119:Klisz_Verbräuche[[#This Row],[2028]],"&gt;0")&gt;0, AVERAGEIF($F119:Klisz_Verbräuche[[#This Row],[2028]],"&lt;&gt;"), ""),IF($B$57&lt;Klisz_Verbräuche[[#Headers],[2029]],IF(COUNTIF($F119:Klisz_Verbräuche[[#This Row],[2028]],"&gt;0")&gt;0,IF(COUNTIF($F119:Klisz_Verbräuche[[#This Row],[2028]],"&gt;0")&gt;0,Klisz_Verbräuche[[#This Row],[2028]]*(1-$E119)^1, ""), ""),IF($B$57&gt;Klisz_Verbräuche[[#Headers],[2029]],Refsz_Verbräuche[[#This Row],[2029]],"")))</f>
        <v/>
      </c>
      <c r="U119" s="57" t="str">
        <f>IF(Klisz_Verbräuche[[#Headers],[2030]]=$B$57,IF(COUNTIF($F119:Klisz_Verbräuche[[#This Row],[2029]],"&gt;0")&gt;0, AVERAGEIF($F119:Klisz_Verbräuche[[#This Row],[2029]],"&lt;&gt;"), ""),IF($B$57&lt;Klisz_Verbräuche[[#Headers],[2030]],IF(COUNTIF($F119:Klisz_Verbräuche[[#This Row],[2029]],"&gt;0")&gt;0,IF(COUNTIF($F119:Klisz_Verbräuche[[#This Row],[2029]],"&gt;0")&gt;0,Klisz_Verbräuche[[#This Row],[2029]]*(1-$E119)^1, ""), ""),IF($B$57&gt;Klisz_Verbräuche[[#Headers],[2030]],Refsz_Verbräuche[[#This Row],[2030]],"")))</f>
        <v/>
      </c>
      <c r="V119" s="57" t="str">
        <f>IF(Klisz_Verbräuche[[#Headers],[2035]]=$B$57,IF(COUNTIF($F119:Klisz_Verbräuche[[#This Row],[2030]],"&gt;0")&gt;0, AVERAGEIF($F119:Klisz_Verbräuche[[#This Row],[2030]],"&lt;&gt;"), ""),IF($B$57&lt;Klisz_Verbräuche[[#Headers],[2035]],IF(COUNTIF($F119:Klisz_Verbräuche[[#This Row],[2030]],"&gt;0")&gt;0,IF(COUNTIF($F119:Klisz_Verbräuche[[#This Row],[2030]],"&gt;0")&gt;0,Klisz_Verbräuche[[#This Row],[2030]]*(1-$E119)^5, ""), ""),IF($B$57&gt;Klisz_Verbräuche[[#Headers],[2035]],Refsz_Verbräuche[[#This Row],[2035]],"")))</f>
        <v/>
      </c>
      <c r="W119" s="57" t="str">
        <f>IF(Klisz_Verbräuche[[#Headers],[2040]]=$B$57,IF(COUNTIF($F119:Klisz_Verbräuche[[#This Row],[2035]],"&gt;0")&gt;0, AVERAGEIF($F119:Klisz_Verbräuche[[#This Row],[2035]],"&lt;&gt;"), ""),IF($B$57&lt;Klisz_Verbräuche[[#Headers],[2040]],IF(COUNTIF($F119:Klisz_Verbräuche[[#This Row],[2035]],"&gt;0")&gt;0,IF(COUNTIF($F119:Klisz_Verbräuche[[#This Row],[2035]],"&gt;0")&gt;0,Klisz_Verbräuche[[#This Row],[2035]]*(1-$E119)^5, ""), ""),IF($B$57&gt;Klisz_Verbräuche[[#Headers],[2040]],Refsz_Verbräuche[[#This Row],[2040]],"")))</f>
        <v/>
      </c>
      <c r="X119" s="57" t="str">
        <f>IF(Klisz_Verbräuche[[#Headers],[2045]]=$B$57,IF(COUNTIF($F119:Klisz_Verbräuche[[#This Row],[2040]],"&gt;0")&gt;0, AVERAGEIF($F119:Klisz_Verbräuche[[#This Row],[2040]],"&lt;&gt;"), ""),IF($B$57&lt;Klisz_Verbräuche[[#Headers],[2045]],IF(COUNTIF($F119:Klisz_Verbräuche[[#This Row],[2040]],"&gt;0")&gt;0,IF(COUNTIF($F119:Klisz_Verbräuche[[#This Row],[2040]],"&gt;0")&gt;0,Klisz_Verbräuche[[#This Row],[2040]]*(1-$E119)^5, ""), ""),IF($B$57&gt;Klisz_Verbräuche[[#Headers],[2045]],Refsz_Verbräuche[[#This Row],[2045]],"")))</f>
        <v/>
      </c>
      <c r="Y119" s="57" t="str">
        <f>IF(Klisz_Verbräuche[[#Headers],[2050]]=$B$57,IF(COUNTIF($F119:Klisz_Verbräuche[[#This Row],[2045]],"&gt;0")&gt;0, AVERAGEIF($F119:Klisz_Verbräuche[[#This Row],[2045]],"&lt;&gt;"), ""),IF($B$57&lt;Klisz_Verbräuche[[#Headers],[2050]],IF(COUNTIF($F119:Klisz_Verbräuche[[#This Row],[2045]],"&gt;0")&gt;0,IF(COUNTIF($F119:Klisz_Verbräuche[[#This Row],[2045]],"&gt;0")&gt;0,Klisz_Verbräuche[[#This Row],[2045]]*(1-$E119)^5, ""), ""),IF($B$57&gt;Klisz_Verbräuche[[#Headers],[2050]],Refsz_Verbräuche[[#This Row],[2050]],"")))</f>
        <v/>
      </c>
      <c r="Z119" s="15"/>
    </row>
    <row r="120" spans="2:26" x14ac:dyDescent="0.35">
      <c r="B120" s="15">
        <v>60</v>
      </c>
      <c r="C120" s="20" t="str">
        <f>Refsz_Verbräuche[[#This Row],[Datenpunkt]]</f>
        <v>Exkursionen - Eisenbahn (Nahverkehr)</v>
      </c>
      <c r="D120" s="29" t="str">
        <f>Refsz_Verbräuche[[#This Row],[Einheit]]</f>
        <v>Pkm</v>
      </c>
      <c r="E120" s="122"/>
      <c r="F120" s="15" t="str">
        <f>IF(ISBLANK(Refsz_Verbräuche[[#This Row],[2015]]),"",Refsz_Verbräuche[[#This Row],[2015]])</f>
        <v/>
      </c>
      <c r="G120" s="15" t="str">
        <f>IF(ISBLANK(Refsz_Verbräuche[[#This Row],[2016]]),"",Refsz_Verbräuche[[#This Row],[2016]])</f>
        <v/>
      </c>
      <c r="H120" s="15" t="str">
        <f>IF(ISBLANK(Refsz_Verbräuche[[#This Row],[2017]]),"",Refsz_Verbräuche[[#This Row],[2017]])</f>
        <v/>
      </c>
      <c r="I120" s="15" t="str">
        <f>IF(ISBLANK(Refsz_Verbräuche[[#This Row],[2018]]),"",Refsz_Verbräuche[[#This Row],[2018]])</f>
        <v/>
      </c>
      <c r="J120" s="15" t="str">
        <f>IF(ISBLANK(Refsz_Verbräuche[[#This Row],[2019]]),"",Refsz_Verbräuche[[#This Row],[2019]])</f>
        <v/>
      </c>
      <c r="K120" s="15" t="str">
        <f>IF(ISBLANK(Refsz_Verbräuche[[#This Row],[2020]]),"",Refsz_Verbräuche[[#This Row],[2020]])</f>
        <v/>
      </c>
      <c r="L120" s="15" t="str">
        <f>IF(ISBLANK(Refsz_Verbräuche[[#This Row],[2021]]),"",Refsz_Verbräuche[[#This Row],[2021]])</f>
        <v/>
      </c>
      <c r="M120" s="57" t="str">
        <f>IF(Klisz_Verbräuche[[#Headers],[2022]]=$B$57,IF(COUNTIF($F120:Klisz_Verbräuche[[#This Row],[2021]],"&gt;0")&gt;0, AVERAGEIF($F120:Klisz_Verbräuche[[#This Row],[2021]],"&lt;&gt;"), ""),IF($B$57&lt;Klisz_Verbräuche[[#Headers],[2022]],IF(COUNTIF($F120:Klisz_Verbräuche[[#This Row],[2021]],"&gt;0")&gt;0,IF(COUNTIF($F120:Klisz_Verbräuche[[#This Row],[2021]],"&gt;0")&gt;0,Klisz_Verbräuche[[#This Row],[2021]]*(1-$E120)^1, ""), ""),IF($B$57&gt;Klisz_Verbräuche[[#Headers],[2022]],Refsz_Verbräuche[[#This Row],[2022]],"")))</f>
        <v/>
      </c>
      <c r="N120" s="57" t="str">
        <f>IF(Klisz_Verbräuche[[#Headers],[2023]]=$B$57,IF(COUNTIF($F120:Klisz_Verbräuche[[#This Row],[2022]],"&gt;0")&gt;0, AVERAGEIF($F120:Klisz_Verbräuche[[#This Row],[2022]],"&lt;&gt;"), ""),IF($B$57&lt;Klisz_Verbräuche[[#Headers],[2023]],IF(COUNTIF($F120:Klisz_Verbräuche[[#This Row],[2022]],"&gt;0")&gt;0,IF(COUNTIF($F120:Klisz_Verbräuche[[#This Row],[2022]],"&gt;0")&gt;0,Klisz_Verbräuche[[#This Row],[2022]]*(1-$E120)^1, ""), ""),IF($B$57&gt;Klisz_Verbräuche[[#Headers],[2023]],Refsz_Verbräuche[[#This Row],[2023]],"")))</f>
        <v/>
      </c>
      <c r="O120" s="57" t="str">
        <f>IF(Klisz_Verbräuche[[#Headers],[2024]]=$B$57,IF(COUNTIF($F120:Klisz_Verbräuche[[#This Row],[2023]],"&gt;0")&gt;0, AVERAGEIF($F120:Klisz_Verbräuche[[#This Row],[2023]],"&lt;&gt;"), ""),IF($B$57&lt;Klisz_Verbräuche[[#Headers],[2024]],IF(COUNTIF($F120:Klisz_Verbräuche[[#This Row],[2023]],"&gt;0")&gt;0,IF(COUNTIF($F120:Klisz_Verbräuche[[#This Row],[2023]],"&gt;0")&gt;0,Klisz_Verbräuche[[#This Row],[2023]]*(1-$E120)^1, ""), ""),IF($B$57&gt;Klisz_Verbräuche[[#Headers],[2024]],Refsz_Verbräuche[[#This Row],[2024]],"")))</f>
        <v/>
      </c>
      <c r="P120" s="57" t="str">
        <f>IF(Klisz_Verbräuche[[#Headers],[2025]]=$B$57,IF(COUNTIF($F120:Klisz_Verbräuche[[#This Row],[2024]],"&gt;0")&gt;0, AVERAGEIF($F120:Klisz_Verbräuche[[#This Row],[2024]],"&lt;&gt;"), ""),IF($B$57&lt;Klisz_Verbräuche[[#Headers],[2025]],IF(COUNTIF($F120:Klisz_Verbräuche[[#This Row],[2024]],"&gt;0")&gt;0,IF(COUNTIF($F120:Klisz_Verbräuche[[#This Row],[2024]],"&gt;0")&gt;0,Klisz_Verbräuche[[#This Row],[2024]]*(1-$E120)^1, ""), ""),IF($B$57&gt;Klisz_Verbräuche[[#Headers],[2025]],Refsz_Verbräuche[[#This Row],[2025]],"")))</f>
        <v/>
      </c>
      <c r="Q120" s="57" t="str">
        <f>IF(Klisz_Verbräuche[[#Headers],[2026]]=$B$57,IF(COUNTIF($F120:Klisz_Verbräuche[[#This Row],[2025]],"&gt;0")&gt;0, AVERAGEIF($F120:Klisz_Verbräuche[[#This Row],[2025]],"&lt;&gt;"), ""),IF($B$57&lt;Klisz_Verbräuche[[#Headers],[2026]],IF(COUNTIF($F120:Klisz_Verbräuche[[#This Row],[2025]],"&gt;0")&gt;0,IF(COUNTIF($F120:Klisz_Verbräuche[[#This Row],[2025]],"&gt;0")&gt;0,Klisz_Verbräuche[[#This Row],[2025]]*(1-$E120)^1, ""), ""),IF($B$57&gt;Klisz_Verbräuche[[#Headers],[2026]],Refsz_Verbräuche[[#This Row],[2026]],"")))</f>
        <v/>
      </c>
      <c r="R120" s="57" t="str">
        <f>IF(Klisz_Verbräuche[[#Headers],[2027]]=$B$57,IF(COUNTIF($F120:Klisz_Verbräuche[[#This Row],[2026]],"&gt;0")&gt;0, AVERAGEIF($F120:Klisz_Verbräuche[[#This Row],[2026]],"&lt;&gt;"), ""),IF($B$57&lt;Klisz_Verbräuche[[#Headers],[2027]],IF(COUNTIF($F120:Klisz_Verbräuche[[#This Row],[2026]],"&gt;0")&gt;0,IF(COUNTIF($F120:Klisz_Verbräuche[[#This Row],[2026]],"&gt;0")&gt;0,Klisz_Verbräuche[[#This Row],[2026]]*(1-$E120)^1, ""), ""),IF($B$57&gt;Klisz_Verbräuche[[#Headers],[2027]],Refsz_Verbräuche[[#This Row],[2027]],"")))</f>
        <v/>
      </c>
      <c r="S120" s="57" t="str">
        <f>IF(Klisz_Verbräuche[[#Headers],[2028]]=$B$57,IF(COUNTIF($F120:Klisz_Verbräuche[[#This Row],[2027]],"&gt;0")&gt;0, AVERAGEIF($F120:Klisz_Verbräuche[[#This Row],[2027]],"&lt;&gt;"), ""),IF($B$57&lt;Klisz_Verbräuche[[#Headers],[2028]],IF(COUNTIF($F120:Klisz_Verbräuche[[#This Row],[2027]],"&gt;0")&gt;0,IF(COUNTIF($F120:Klisz_Verbräuche[[#This Row],[2027]],"&gt;0")&gt;0,Klisz_Verbräuche[[#This Row],[2027]]*(1-$E120)^1, ""), ""),IF($B$57&gt;Klisz_Verbräuche[[#Headers],[2028]],Refsz_Verbräuche[[#This Row],[2028]],"")))</f>
        <v/>
      </c>
      <c r="T120" s="57" t="str">
        <f>IF(Klisz_Verbräuche[[#Headers],[2029]]=$B$57,IF(COUNTIF($F120:Klisz_Verbräuche[[#This Row],[2028]],"&gt;0")&gt;0, AVERAGEIF($F120:Klisz_Verbräuche[[#This Row],[2028]],"&lt;&gt;"), ""),IF($B$57&lt;Klisz_Verbräuche[[#Headers],[2029]],IF(COUNTIF($F120:Klisz_Verbräuche[[#This Row],[2028]],"&gt;0")&gt;0,IF(COUNTIF($F120:Klisz_Verbräuche[[#This Row],[2028]],"&gt;0")&gt;0,Klisz_Verbräuche[[#This Row],[2028]]*(1-$E120)^1, ""), ""),IF($B$57&gt;Klisz_Verbräuche[[#Headers],[2029]],Refsz_Verbräuche[[#This Row],[2029]],"")))</f>
        <v/>
      </c>
      <c r="U120" s="57" t="str">
        <f>IF(Klisz_Verbräuche[[#Headers],[2030]]=$B$57,IF(COUNTIF($F120:Klisz_Verbräuche[[#This Row],[2029]],"&gt;0")&gt;0, AVERAGEIF($F120:Klisz_Verbräuche[[#This Row],[2029]],"&lt;&gt;"), ""),IF($B$57&lt;Klisz_Verbräuche[[#Headers],[2030]],IF(COUNTIF($F120:Klisz_Verbräuche[[#This Row],[2029]],"&gt;0")&gt;0,IF(COUNTIF($F120:Klisz_Verbräuche[[#This Row],[2029]],"&gt;0")&gt;0,Klisz_Verbräuche[[#This Row],[2029]]*(1-$E120)^1, ""), ""),IF($B$57&gt;Klisz_Verbräuche[[#Headers],[2030]],Refsz_Verbräuche[[#This Row],[2030]],"")))</f>
        <v/>
      </c>
      <c r="V120" s="57" t="str">
        <f>IF(Klisz_Verbräuche[[#Headers],[2035]]=$B$57,IF(COUNTIF($F120:Klisz_Verbräuche[[#This Row],[2030]],"&gt;0")&gt;0, AVERAGEIF($F120:Klisz_Verbräuche[[#This Row],[2030]],"&lt;&gt;"), ""),IF($B$57&lt;Klisz_Verbräuche[[#Headers],[2035]],IF(COUNTIF($F120:Klisz_Verbräuche[[#This Row],[2030]],"&gt;0")&gt;0,IF(COUNTIF($F120:Klisz_Verbräuche[[#This Row],[2030]],"&gt;0")&gt;0,Klisz_Verbräuche[[#This Row],[2030]]*(1-$E120)^5, ""), ""),IF($B$57&gt;Klisz_Verbräuche[[#Headers],[2035]],Refsz_Verbräuche[[#This Row],[2035]],"")))</f>
        <v/>
      </c>
      <c r="W120" s="57" t="str">
        <f>IF(Klisz_Verbräuche[[#Headers],[2040]]=$B$57,IF(COUNTIF($F120:Klisz_Verbräuche[[#This Row],[2035]],"&gt;0")&gt;0, AVERAGEIF($F120:Klisz_Verbräuche[[#This Row],[2035]],"&lt;&gt;"), ""),IF($B$57&lt;Klisz_Verbräuche[[#Headers],[2040]],IF(COUNTIF($F120:Klisz_Verbräuche[[#This Row],[2035]],"&gt;0")&gt;0,IF(COUNTIF($F120:Klisz_Verbräuche[[#This Row],[2035]],"&gt;0")&gt;0,Klisz_Verbräuche[[#This Row],[2035]]*(1-$E120)^5, ""), ""),IF($B$57&gt;Klisz_Verbräuche[[#Headers],[2040]],Refsz_Verbräuche[[#This Row],[2040]],"")))</f>
        <v/>
      </c>
      <c r="X120" s="57" t="str">
        <f>IF(Klisz_Verbräuche[[#Headers],[2045]]=$B$57,IF(COUNTIF($F120:Klisz_Verbräuche[[#This Row],[2040]],"&gt;0")&gt;0, AVERAGEIF($F120:Klisz_Verbräuche[[#This Row],[2040]],"&lt;&gt;"), ""),IF($B$57&lt;Klisz_Verbräuche[[#Headers],[2045]],IF(COUNTIF($F120:Klisz_Verbräuche[[#This Row],[2040]],"&gt;0")&gt;0,IF(COUNTIF($F120:Klisz_Verbräuche[[#This Row],[2040]],"&gt;0")&gt;0,Klisz_Verbräuche[[#This Row],[2040]]*(1-$E120)^5, ""), ""),IF($B$57&gt;Klisz_Verbräuche[[#Headers],[2045]],Refsz_Verbräuche[[#This Row],[2045]],"")))</f>
        <v/>
      </c>
      <c r="Y120" s="57" t="str">
        <f>IF(Klisz_Verbräuche[[#Headers],[2050]]=$B$57,IF(COUNTIF($F120:Klisz_Verbräuche[[#This Row],[2045]],"&gt;0")&gt;0, AVERAGEIF($F120:Klisz_Verbräuche[[#This Row],[2045]],"&lt;&gt;"), ""),IF($B$57&lt;Klisz_Verbräuche[[#Headers],[2050]],IF(COUNTIF($F120:Klisz_Verbräuche[[#This Row],[2045]],"&gt;0")&gt;0,IF(COUNTIF($F120:Klisz_Verbräuche[[#This Row],[2045]],"&gt;0")&gt;0,Klisz_Verbräuche[[#This Row],[2045]]*(1-$E120)^5, ""), ""),IF($B$57&gt;Klisz_Verbräuche[[#Headers],[2050]],Refsz_Verbräuche[[#This Row],[2050]],"")))</f>
        <v/>
      </c>
      <c r="Z120" s="15"/>
    </row>
    <row r="121" spans="2:26" x14ac:dyDescent="0.35">
      <c r="B121" s="15">
        <v>61</v>
      </c>
      <c r="C121" s="20" t="str">
        <f>Refsz_Verbräuche[[#This Row],[Datenpunkt]]</f>
        <v>Exkursionen - Privater PKW (alle Antriebsarten)</v>
      </c>
      <c r="D121" s="29" t="str">
        <f>Refsz_Verbräuche[[#This Row],[Einheit]]</f>
        <v>Fkm</v>
      </c>
      <c r="E121" s="122"/>
      <c r="F121" s="15" t="str">
        <f>IF(ISBLANK(Refsz_Verbräuche[[#This Row],[2015]]),"",Refsz_Verbräuche[[#This Row],[2015]])</f>
        <v/>
      </c>
      <c r="G121" s="15" t="str">
        <f>IF(ISBLANK(Refsz_Verbräuche[[#This Row],[2016]]),"",Refsz_Verbräuche[[#This Row],[2016]])</f>
        <v/>
      </c>
      <c r="H121" s="15" t="str">
        <f>IF(ISBLANK(Refsz_Verbräuche[[#This Row],[2017]]),"",Refsz_Verbräuche[[#This Row],[2017]])</f>
        <v/>
      </c>
      <c r="I121" s="15" t="str">
        <f>IF(ISBLANK(Refsz_Verbräuche[[#This Row],[2018]]),"",Refsz_Verbräuche[[#This Row],[2018]])</f>
        <v/>
      </c>
      <c r="J121" s="15" t="str">
        <f>IF(ISBLANK(Refsz_Verbräuche[[#This Row],[2019]]),"",Refsz_Verbräuche[[#This Row],[2019]])</f>
        <v/>
      </c>
      <c r="K121" s="15" t="str">
        <f>IF(ISBLANK(Refsz_Verbräuche[[#This Row],[2020]]),"",Refsz_Verbräuche[[#This Row],[2020]])</f>
        <v/>
      </c>
      <c r="L121" s="15" t="str">
        <f>IF(ISBLANK(Refsz_Verbräuche[[#This Row],[2021]]),"",Refsz_Verbräuche[[#This Row],[2021]])</f>
        <v/>
      </c>
      <c r="M121" s="57" t="str">
        <f>IF(Klisz_Verbräuche[[#Headers],[2022]]=$B$57,IF(COUNTIF($F121:Klisz_Verbräuche[[#This Row],[2021]],"&gt;0")&gt;0, AVERAGEIF($F121:Klisz_Verbräuche[[#This Row],[2021]],"&lt;&gt;"), ""),IF($B$57&lt;Klisz_Verbräuche[[#Headers],[2022]],IF(COUNTIF($F121:Klisz_Verbräuche[[#This Row],[2021]],"&gt;0")&gt;0,IF(COUNTIF($F121:Klisz_Verbräuche[[#This Row],[2021]],"&gt;0")&gt;0,Klisz_Verbräuche[[#This Row],[2021]]*(1-$E121)^1, ""), ""),IF($B$57&gt;Klisz_Verbräuche[[#Headers],[2022]],Refsz_Verbräuche[[#This Row],[2022]],"")))</f>
        <v/>
      </c>
      <c r="N121" s="57" t="str">
        <f>IF(Klisz_Verbräuche[[#Headers],[2023]]=$B$57,IF(COUNTIF($F121:Klisz_Verbräuche[[#This Row],[2022]],"&gt;0")&gt;0, AVERAGEIF($F121:Klisz_Verbräuche[[#This Row],[2022]],"&lt;&gt;"), ""),IF($B$57&lt;Klisz_Verbräuche[[#Headers],[2023]],IF(COUNTIF($F121:Klisz_Verbräuche[[#This Row],[2022]],"&gt;0")&gt;0,IF(COUNTIF($F121:Klisz_Verbräuche[[#This Row],[2022]],"&gt;0")&gt;0,Klisz_Verbräuche[[#This Row],[2022]]*(1-$E121)^1, ""), ""),IF($B$57&gt;Klisz_Verbräuche[[#Headers],[2023]],Refsz_Verbräuche[[#This Row],[2023]],"")))</f>
        <v/>
      </c>
      <c r="O121" s="57" t="str">
        <f>IF(Klisz_Verbräuche[[#Headers],[2024]]=$B$57,IF(COUNTIF($F121:Klisz_Verbräuche[[#This Row],[2023]],"&gt;0")&gt;0, AVERAGEIF($F121:Klisz_Verbräuche[[#This Row],[2023]],"&lt;&gt;"), ""),IF($B$57&lt;Klisz_Verbräuche[[#Headers],[2024]],IF(COUNTIF($F121:Klisz_Verbräuche[[#This Row],[2023]],"&gt;0")&gt;0,IF(COUNTIF($F121:Klisz_Verbräuche[[#This Row],[2023]],"&gt;0")&gt;0,Klisz_Verbräuche[[#This Row],[2023]]*(1-$E121)^1, ""), ""),IF($B$57&gt;Klisz_Verbräuche[[#Headers],[2024]],Refsz_Verbräuche[[#This Row],[2024]],"")))</f>
        <v/>
      </c>
      <c r="P121" s="57" t="str">
        <f>IF(Klisz_Verbräuche[[#Headers],[2025]]=$B$57,IF(COUNTIF($F121:Klisz_Verbräuche[[#This Row],[2024]],"&gt;0")&gt;0, AVERAGEIF($F121:Klisz_Verbräuche[[#This Row],[2024]],"&lt;&gt;"), ""),IF($B$57&lt;Klisz_Verbräuche[[#Headers],[2025]],IF(COUNTIF($F121:Klisz_Verbräuche[[#This Row],[2024]],"&gt;0")&gt;0,IF(COUNTIF($F121:Klisz_Verbräuche[[#This Row],[2024]],"&gt;0")&gt;0,Klisz_Verbräuche[[#This Row],[2024]]*(1-$E121)^1, ""), ""),IF($B$57&gt;Klisz_Verbräuche[[#Headers],[2025]],Refsz_Verbräuche[[#This Row],[2025]],"")))</f>
        <v/>
      </c>
      <c r="Q121" s="57" t="str">
        <f>IF(Klisz_Verbräuche[[#Headers],[2026]]=$B$57,IF(COUNTIF($F121:Klisz_Verbräuche[[#This Row],[2025]],"&gt;0")&gt;0, AVERAGEIF($F121:Klisz_Verbräuche[[#This Row],[2025]],"&lt;&gt;"), ""),IF($B$57&lt;Klisz_Verbräuche[[#Headers],[2026]],IF(COUNTIF($F121:Klisz_Verbräuche[[#This Row],[2025]],"&gt;0")&gt;0,IF(COUNTIF($F121:Klisz_Verbräuche[[#This Row],[2025]],"&gt;0")&gt;0,Klisz_Verbräuche[[#This Row],[2025]]*(1-$E121)^1, ""), ""),IF($B$57&gt;Klisz_Verbräuche[[#Headers],[2026]],Refsz_Verbräuche[[#This Row],[2026]],"")))</f>
        <v/>
      </c>
      <c r="R121" s="57" t="str">
        <f>IF(Klisz_Verbräuche[[#Headers],[2027]]=$B$57,IF(COUNTIF($F121:Klisz_Verbräuche[[#This Row],[2026]],"&gt;0")&gt;0, AVERAGEIF($F121:Klisz_Verbräuche[[#This Row],[2026]],"&lt;&gt;"), ""),IF($B$57&lt;Klisz_Verbräuche[[#Headers],[2027]],IF(COUNTIF($F121:Klisz_Verbräuche[[#This Row],[2026]],"&gt;0")&gt;0,IF(COUNTIF($F121:Klisz_Verbräuche[[#This Row],[2026]],"&gt;0")&gt;0,Klisz_Verbräuche[[#This Row],[2026]]*(1-$E121)^1, ""), ""),IF($B$57&gt;Klisz_Verbräuche[[#Headers],[2027]],Refsz_Verbräuche[[#This Row],[2027]],"")))</f>
        <v/>
      </c>
      <c r="S121" s="57" t="str">
        <f>IF(Klisz_Verbräuche[[#Headers],[2028]]=$B$57,IF(COUNTIF($F121:Klisz_Verbräuche[[#This Row],[2027]],"&gt;0")&gt;0, AVERAGEIF($F121:Klisz_Verbräuche[[#This Row],[2027]],"&lt;&gt;"), ""),IF($B$57&lt;Klisz_Verbräuche[[#Headers],[2028]],IF(COUNTIF($F121:Klisz_Verbräuche[[#This Row],[2027]],"&gt;0")&gt;0,IF(COUNTIF($F121:Klisz_Verbräuche[[#This Row],[2027]],"&gt;0")&gt;0,Klisz_Verbräuche[[#This Row],[2027]]*(1-$E121)^1, ""), ""),IF($B$57&gt;Klisz_Verbräuche[[#Headers],[2028]],Refsz_Verbräuche[[#This Row],[2028]],"")))</f>
        <v/>
      </c>
      <c r="T121" s="57" t="str">
        <f>IF(Klisz_Verbräuche[[#Headers],[2029]]=$B$57,IF(COUNTIF($F121:Klisz_Verbräuche[[#This Row],[2028]],"&gt;0")&gt;0, AVERAGEIF($F121:Klisz_Verbräuche[[#This Row],[2028]],"&lt;&gt;"), ""),IF($B$57&lt;Klisz_Verbräuche[[#Headers],[2029]],IF(COUNTIF($F121:Klisz_Verbräuche[[#This Row],[2028]],"&gt;0")&gt;0,IF(COUNTIF($F121:Klisz_Verbräuche[[#This Row],[2028]],"&gt;0")&gt;0,Klisz_Verbräuche[[#This Row],[2028]]*(1-$E121)^1, ""), ""),IF($B$57&gt;Klisz_Verbräuche[[#Headers],[2029]],Refsz_Verbräuche[[#This Row],[2029]],"")))</f>
        <v/>
      </c>
      <c r="U121" s="57" t="str">
        <f>IF(Klisz_Verbräuche[[#Headers],[2030]]=$B$57,IF(COUNTIF($F121:Klisz_Verbräuche[[#This Row],[2029]],"&gt;0")&gt;0, AVERAGEIF($F121:Klisz_Verbräuche[[#This Row],[2029]],"&lt;&gt;"), ""),IF($B$57&lt;Klisz_Verbräuche[[#Headers],[2030]],IF(COUNTIF($F121:Klisz_Verbräuche[[#This Row],[2029]],"&gt;0")&gt;0,IF(COUNTIF($F121:Klisz_Verbräuche[[#This Row],[2029]],"&gt;0")&gt;0,Klisz_Verbräuche[[#This Row],[2029]]*(1-$E121)^1, ""), ""),IF($B$57&gt;Klisz_Verbräuche[[#Headers],[2030]],Refsz_Verbräuche[[#This Row],[2030]],"")))</f>
        <v/>
      </c>
      <c r="V121" s="57" t="str">
        <f>IF(Klisz_Verbräuche[[#Headers],[2035]]=$B$57,IF(COUNTIF($F121:Klisz_Verbräuche[[#This Row],[2030]],"&gt;0")&gt;0, AVERAGEIF($F121:Klisz_Verbräuche[[#This Row],[2030]],"&lt;&gt;"), ""),IF($B$57&lt;Klisz_Verbräuche[[#Headers],[2035]],IF(COUNTIF($F121:Klisz_Verbräuche[[#This Row],[2030]],"&gt;0")&gt;0,IF(COUNTIF($F121:Klisz_Verbräuche[[#This Row],[2030]],"&gt;0")&gt;0,Klisz_Verbräuche[[#This Row],[2030]]*(1-$E121)^5, ""), ""),IF($B$57&gt;Klisz_Verbräuche[[#Headers],[2035]],Refsz_Verbräuche[[#This Row],[2035]],"")))</f>
        <v/>
      </c>
      <c r="W121" s="57" t="str">
        <f>IF(Klisz_Verbräuche[[#Headers],[2040]]=$B$57,IF(COUNTIF($F121:Klisz_Verbräuche[[#This Row],[2035]],"&gt;0")&gt;0, AVERAGEIF($F121:Klisz_Verbräuche[[#This Row],[2035]],"&lt;&gt;"), ""),IF($B$57&lt;Klisz_Verbräuche[[#Headers],[2040]],IF(COUNTIF($F121:Klisz_Verbräuche[[#This Row],[2035]],"&gt;0")&gt;0,IF(COUNTIF($F121:Klisz_Verbräuche[[#This Row],[2035]],"&gt;0")&gt;0,Klisz_Verbräuche[[#This Row],[2035]]*(1-$E121)^5, ""), ""),IF($B$57&gt;Klisz_Verbräuche[[#Headers],[2040]],Refsz_Verbräuche[[#This Row],[2040]],"")))</f>
        <v/>
      </c>
      <c r="X121" s="57" t="str">
        <f>IF(Klisz_Verbräuche[[#Headers],[2045]]=$B$57,IF(COUNTIF($F121:Klisz_Verbräuche[[#This Row],[2040]],"&gt;0")&gt;0, AVERAGEIF($F121:Klisz_Verbräuche[[#This Row],[2040]],"&lt;&gt;"), ""),IF($B$57&lt;Klisz_Verbräuche[[#Headers],[2045]],IF(COUNTIF($F121:Klisz_Verbräuche[[#This Row],[2040]],"&gt;0")&gt;0,IF(COUNTIF($F121:Klisz_Verbräuche[[#This Row],[2040]],"&gt;0")&gt;0,Klisz_Verbräuche[[#This Row],[2040]]*(1-$E121)^5, ""), ""),IF($B$57&gt;Klisz_Verbräuche[[#Headers],[2045]],Refsz_Verbräuche[[#This Row],[2045]],"")))</f>
        <v/>
      </c>
      <c r="Y121" s="57" t="str">
        <f>IF(Klisz_Verbräuche[[#Headers],[2050]]=$B$57,IF(COUNTIF($F121:Klisz_Verbräuche[[#This Row],[2045]],"&gt;0")&gt;0, AVERAGEIF($F121:Klisz_Verbräuche[[#This Row],[2045]],"&lt;&gt;"), ""),IF($B$57&lt;Klisz_Verbräuche[[#Headers],[2050]],IF(COUNTIF($F121:Klisz_Verbräuche[[#This Row],[2045]],"&gt;0")&gt;0,IF(COUNTIF($F121:Klisz_Verbräuche[[#This Row],[2045]],"&gt;0")&gt;0,Klisz_Verbräuche[[#This Row],[2045]]*(1-$E121)^5, ""), ""),IF($B$57&gt;Klisz_Verbräuche[[#Headers],[2050]],Refsz_Verbräuche[[#This Row],[2050]],"")))</f>
        <v/>
      </c>
      <c r="Z121" s="15"/>
    </row>
    <row r="122" spans="2:26" x14ac:dyDescent="0.35">
      <c r="B122" s="15">
        <v>62</v>
      </c>
      <c r="C122" s="20">
        <f>Refsz_Verbräuche[[#This Row],[Datenpunkt]]</f>
        <v>0</v>
      </c>
      <c r="D122" s="29">
        <f>Refsz_Verbräuche[[#This Row],[Einheit]]</f>
        <v>0</v>
      </c>
      <c r="E122" s="122"/>
      <c r="F122" s="15" t="str">
        <f>IF(ISBLANK(Refsz_Verbräuche[[#This Row],[2015]]),"",Refsz_Verbräuche[[#This Row],[2015]])</f>
        <v/>
      </c>
      <c r="G122" s="15" t="str">
        <f>IF(ISBLANK(Refsz_Verbräuche[[#This Row],[2016]]),"",Refsz_Verbräuche[[#This Row],[2016]])</f>
        <v/>
      </c>
      <c r="H122" s="15" t="str">
        <f>IF(ISBLANK(Refsz_Verbräuche[[#This Row],[2017]]),"",Refsz_Verbräuche[[#This Row],[2017]])</f>
        <v/>
      </c>
      <c r="I122" s="15" t="str">
        <f>IF(ISBLANK(Refsz_Verbräuche[[#This Row],[2018]]),"",Refsz_Verbräuche[[#This Row],[2018]])</f>
        <v/>
      </c>
      <c r="J122" s="15" t="str">
        <f>IF(ISBLANK(Refsz_Verbräuche[[#This Row],[2019]]),"",Refsz_Verbräuche[[#This Row],[2019]])</f>
        <v/>
      </c>
      <c r="K122" s="15" t="str">
        <f>IF(ISBLANK(Refsz_Verbräuche[[#This Row],[2020]]),"",Refsz_Verbräuche[[#This Row],[2020]])</f>
        <v/>
      </c>
      <c r="L122" s="15" t="str">
        <f>IF(ISBLANK(Refsz_Verbräuche[[#This Row],[2021]]),"",Refsz_Verbräuche[[#This Row],[2021]])</f>
        <v/>
      </c>
      <c r="M122" s="57" t="str">
        <f>IF(Klisz_Verbräuche[[#Headers],[2022]]=$B$57,IF(COUNTIF($F122:Klisz_Verbräuche[[#This Row],[2021]],"&gt;0")&gt;0, AVERAGEIF($F122:Klisz_Verbräuche[[#This Row],[2021]],"&lt;&gt;"), ""),IF($B$57&lt;Klisz_Verbräuche[[#Headers],[2022]],IF(COUNTIF($F122:Klisz_Verbräuche[[#This Row],[2021]],"&gt;0")&gt;0,IF(COUNTIF($F122:Klisz_Verbräuche[[#This Row],[2021]],"&gt;0")&gt;0,Klisz_Verbräuche[[#This Row],[2021]]*(1-$E122)^1, ""), ""),IF($B$57&gt;Klisz_Verbräuche[[#Headers],[2022]],Refsz_Verbräuche[[#This Row],[2022]],"")))</f>
        <v/>
      </c>
      <c r="N122" s="57" t="str">
        <f>IF(Klisz_Verbräuche[[#Headers],[2023]]=$B$57,IF(COUNTIF($F122:Klisz_Verbräuche[[#This Row],[2022]],"&gt;0")&gt;0, AVERAGEIF($F122:Klisz_Verbräuche[[#This Row],[2022]],"&lt;&gt;"), ""),IF($B$57&lt;Klisz_Verbräuche[[#Headers],[2023]],IF(COUNTIF($F122:Klisz_Verbräuche[[#This Row],[2022]],"&gt;0")&gt;0,IF(COUNTIF($F122:Klisz_Verbräuche[[#This Row],[2022]],"&gt;0")&gt;0,Klisz_Verbräuche[[#This Row],[2022]]*(1-$E122)^1, ""), ""),IF($B$57&gt;Klisz_Verbräuche[[#Headers],[2023]],Refsz_Verbräuche[[#This Row],[2023]],"")))</f>
        <v/>
      </c>
      <c r="O122" s="57" t="str">
        <f>IF(Klisz_Verbräuche[[#Headers],[2024]]=$B$57,IF(COUNTIF($F122:Klisz_Verbräuche[[#This Row],[2023]],"&gt;0")&gt;0, AVERAGEIF($F122:Klisz_Verbräuche[[#This Row],[2023]],"&lt;&gt;"), ""),IF($B$57&lt;Klisz_Verbräuche[[#Headers],[2024]],IF(COUNTIF($F122:Klisz_Verbräuche[[#This Row],[2023]],"&gt;0")&gt;0,IF(COUNTIF($F122:Klisz_Verbräuche[[#This Row],[2023]],"&gt;0")&gt;0,Klisz_Verbräuche[[#This Row],[2023]]*(1-$E122)^1, ""), ""),IF($B$57&gt;Klisz_Verbräuche[[#Headers],[2024]],Refsz_Verbräuche[[#This Row],[2024]],"")))</f>
        <v/>
      </c>
      <c r="P122" s="57" t="str">
        <f>IF(Klisz_Verbräuche[[#Headers],[2025]]=$B$57,IF(COUNTIF($F122:Klisz_Verbräuche[[#This Row],[2024]],"&gt;0")&gt;0, AVERAGEIF($F122:Klisz_Verbräuche[[#This Row],[2024]],"&lt;&gt;"), ""),IF($B$57&lt;Klisz_Verbräuche[[#Headers],[2025]],IF(COUNTIF($F122:Klisz_Verbräuche[[#This Row],[2024]],"&gt;0")&gt;0,IF(COUNTIF($F122:Klisz_Verbräuche[[#This Row],[2024]],"&gt;0")&gt;0,Klisz_Verbräuche[[#This Row],[2024]]*(1-$E122)^1, ""), ""),IF($B$57&gt;Klisz_Verbräuche[[#Headers],[2025]],Refsz_Verbräuche[[#This Row],[2025]],"")))</f>
        <v/>
      </c>
      <c r="Q122" s="57" t="str">
        <f>IF(Klisz_Verbräuche[[#Headers],[2026]]=$B$57,IF(COUNTIF($F122:Klisz_Verbräuche[[#This Row],[2025]],"&gt;0")&gt;0, AVERAGEIF($F122:Klisz_Verbräuche[[#This Row],[2025]],"&lt;&gt;"), ""),IF($B$57&lt;Klisz_Verbräuche[[#Headers],[2026]],IF(COUNTIF($F122:Klisz_Verbräuche[[#This Row],[2025]],"&gt;0")&gt;0,IF(COUNTIF($F122:Klisz_Verbräuche[[#This Row],[2025]],"&gt;0")&gt;0,Klisz_Verbräuche[[#This Row],[2025]]*(1-$E122)^1, ""), ""),IF($B$57&gt;Klisz_Verbräuche[[#Headers],[2026]],Refsz_Verbräuche[[#This Row],[2026]],"")))</f>
        <v/>
      </c>
      <c r="R122" s="57" t="str">
        <f>IF(Klisz_Verbräuche[[#Headers],[2027]]=$B$57,IF(COUNTIF($F122:Klisz_Verbräuche[[#This Row],[2026]],"&gt;0")&gt;0, AVERAGEIF($F122:Klisz_Verbräuche[[#This Row],[2026]],"&lt;&gt;"), ""),IF($B$57&lt;Klisz_Verbräuche[[#Headers],[2027]],IF(COUNTIF($F122:Klisz_Verbräuche[[#This Row],[2026]],"&gt;0")&gt;0,IF(COUNTIF($F122:Klisz_Verbräuche[[#This Row],[2026]],"&gt;0")&gt;0,Klisz_Verbräuche[[#This Row],[2026]]*(1-$E122)^1, ""), ""),IF($B$57&gt;Klisz_Verbräuche[[#Headers],[2027]],Refsz_Verbräuche[[#This Row],[2027]],"")))</f>
        <v/>
      </c>
      <c r="S122" s="57" t="str">
        <f>IF(Klisz_Verbräuche[[#Headers],[2028]]=$B$57,IF(COUNTIF($F122:Klisz_Verbräuche[[#This Row],[2027]],"&gt;0")&gt;0, AVERAGEIF($F122:Klisz_Verbräuche[[#This Row],[2027]],"&lt;&gt;"), ""),IF($B$57&lt;Klisz_Verbräuche[[#Headers],[2028]],IF(COUNTIF($F122:Klisz_Verbräuche[[#This Row],[2027]],"&gt;0")&gt;0,IF(COUNTIF($F122:Klisz_Verbräuche[[#This Row],[2027]],"&gt;0")&gt;0,Klisz_Verbräuche[[#This Row],[2027]]*(1-$E122)^1, ""), ""),IF($B$57&gt;Klisz_Verbräuche[[#Headers],[2028]],Refsz_Verbräuche[[#This Row],[2028]],"")))</f>
        <v/>
      </c>
      <c r="T122" s="57" t="str">
        <f>IF(Klisz_Verbräuche[[#Headers],[2029]]=$B$57,IF(COUNTIF($F122:Klisz_Verbräuche[[#This Row],[2028]],"&gt;0")&gt;0, AVERAGEIF($F122:Klisz_Verbräuche[[#This Row],[2028]],"&lt;&gt;"), ""),IF($B$57&lt;Klisz_Verbräuche[[#Headers],[2029]],IF(COUNTIF($F122:Klisz_Verbräuche[[#This Row],[2028]],"&gt;0")&gt;0,IF(COUNTIF($F122:Klisz_Verbräuche[[#This Row],[2028]],"&gt;0")&gt;0,Klisz_Verbräuche[[#This Row],[2028]]*(1-$E122)^1, ""), ""),IF($B$57&gt;Klisz_Verbräuche[[#Headers],[2029]],Refsz_Verbräuche[[#This Row],[2029]],"")))</f>
        <v/>
      </c>
      <c r="U122" s="57" t="str">
        <f>IF(Klisz_Verbräuche[[#Headers],[2030]]=$B$57,IF(COUNTIF($F122:Klisz_Verbräuche[[#This Row],[2029]],"&gt;0")&gt;0, AVERAGEIF($F122:Klisz_Verbräuche[[#This Row],[2029]],"&lt;&gt;"), ""),IF($B$57&lt;Klisz_Verbräuche[[#Headers],[2030]],IF(COUNTIF($F122:Klisz_Verbräuche[[#This Row],[2029]],"&gt;0")&gt;0,IF(COUNTIF($F122:Klisz_Verbräuche[[#This Row],[2029]],"&gt;0")&gt;0,Klisz_Verbräuche[[#This Row],[2029]]*(1-$E122)^1, ""), ""),IF($B$57&gt;Klisz_Verbräuche[[#Headers],[2030]],Refsz_Verbräuche[[#This Row],[2030]],"")))</f>
        <v/>
      </c>
      <c r="V122" s="57" t="str">
        <f>IF(Klisz_Verbräuche[[#Headers],[2035]]=$B$57,IF(COUNTIF($F122:Klisz_Verbräuche[[#This Row],[2030]],"&gt;0")&gt;0, AVERAGEIF($F122:Klisz_Verbräuche[[#This Row],[2030]],"&lt;&gt;"), ""),IF($B$57&lt;Klisz_Verbräuche[[#Headers],[2035]],IF(COUNTIF($F122:Klisz_Verbräuche[[#This Row],[2030]],"&gt;0")&gt;0,IF(COUNTIF($F122:Klisz_Verbräuche[[#This Row],[2030]],"&gt;0")&gt;0,Klisz_Verbräuche[[#This Row],[2030]]*(1-$E122)^5, ""), ""),IF($B$57&gt;Klisz_Verbräuche[[#Headers],[2035]],Refsz_Verbräuche[[#This Row],[2035]],"")))</f>
        <v/>
      </c>
      <c r="W122" s="57" t="str">
        <f>IF(Klisz_Verbräuche[[#Headers],[2040]]=$B$57,IF(COUNTIF($F122:Klisz_Verbräuche[[#This Row],[2035]],"&gt;0")&gt;0, AVERAGEIF($F122:Klisz_Verbräuche[[#This Row],[2035]],"&lt;&gt;"), ""),IF($B$57&lt;Klisz_Verbräuche[[#Headers],[2040]],IF(COUNTIF($F122:Klisz_Verbräuche[[#This Row],[2035]],"&gt;0")&gt;0,IF(COUNTIF($F122:Klisz_Verbräuche[[#This Row],[2035]],"&gt;0")&gt;0,Klisz_Verbräuche[[#This Row],[2035]]*(1-$E122)^5, ""), ""),IF($B$57&gt;Klisz_Verbräuche[[#Headers],[2040]],Refsz_Verbräuche[[#This Row],[2040]],"")))</f>
        <v/>
      </c>
      <c r="X122" s="57" t="str">
        <f>IF(Klisz_Verbräuche[[#Headers],[2045]]=$B$57,IF(COUNTIF($F122:Klisz_Verbräuche[[#This Row],[2040]],"&gt;0")&gt;0, AVERAGEIF($F122:Klisz_Verbräuche[[#This Row],[2040]],"&lt;&gt;"), ""),IF($B$57&lt;Klisz_Verbräuche[[#Headers],[2045]],IF(COUNTIF($F122:Klisz_Verbräuche[[#This Row],[2040]],"&gt;0")&gt;0,IF(COUNTIF($F122:Klisz_Verbräuche[[#This Row],[2040]],"&gt;0")&gt;0,Klisz_Verbräuche[[#This Row],[2040]]*(1-$E122)^5, ""), ""),IF($B$57&gt;Klisz_Verbräuche[[#Headers],[2045]],Refsz_Verbräuche[[#This Row],[2045]],"")))</f>
        <v/>
      </c>
      <c r="Y122" s="57" t="str">
        <f>IF(Klisz_Verbräuche[[#Headers],[2050]]=$B$57,IF(COUNTIF($F122:Klisz_Verbräuche[[#This Row],[2045]],"&gt;0")&gt;0, AVERAGEIF($F122:Klisz_Verbräuche[[#This Row],[2045]],"&lt;&gt;"), ""),IF($B$57&lt;Klisz_Verbräuche[[#Headers],[2050]],IF(COUNTIF($F122:Klisz_Verbräuche[[#This Row],[2045]],"&gt;0")&gt;0,IF(COUNTIF($F122:Klisz_Verbräuche[[#This Row],[2045]],"&gt;0")&gt;0,Klisz_Verbräuche[[#This Row],[2045]]*(1-$E122)^5, ""), ""),IF($B$57&gt;Klisz_Verbräuche[[#Headers],[2050]],Refsz_Verbräuche[[#This Row],[2050]],"")))</f>
        <v/>
      </c>
      <c r="Z122" s="15"/>
    </row>
    <row r="123" spans="2:26" x14ac:dyDescent="0.35">
      <c r="B123" s="15">
        <v>63</v>
      </c>
      <c r="C123" s="20" t="str">
        <f>Refsz_Verbräuche[[#This Row],[Datenpunkt]]</f>
        <v>Pendeln - Eisenbahn (Fernverkehr)</v>
      </c>
      <c r="D123" s="29" t="str">
        <f>Refsz_Verbräuche[[#This Row],[Einheit]]</f>
        <v>Pkm</v>
      </c>
      <c r="E123" s="122"/>
      <c r="F123" s="15" t="str">
        <f>IF(ISBLANK(Refsz_Verbräuche[[#This Row],[2015]]),"",Refsz_Verbräuche[[#This Row],[2015]])</f>
        <v/>
      </c>
      <c r="G123" s="15" t="str">
        <f>IF(ISBLANK(Refsz_Verbräuche[[#This Row],[2016]]),"",Refsz_Verbräuche[[#This Row],[2016]])</f>
        <v/>
      </c>
      <c r="H123" s="15" t="str">
        <f>IF(ISBLANK(Refsz_Verbräuche[[#This Row],[2017]]),"",Refsz_Verbräuche[[#This Row],[2017]])</f>
        <v/>
      </c>
      <c r="I123" s="15" t="str">
        <f>IF(ISBLANK(Refsz_Verbräuche[[#This Row],[2018]]),"",Refsz_Verbräuche[[#This Row],[2018]])</f>
        <v/>
      </c>
      <c r="J123" s="15" t="str">
        <f>IF(ISBLANK(Refsz_Verbräuche[[#This Row],[2019]]),"",Refsz_Verbräuche[[#This Row],[2019]])</f>
        <v/>
      </c>
      <c r="K123" s="15" t="str">
        <f>IF(ISBLANK(Refsz_Verbräuche[[#This Row],[2020]]),"",Refsz_Verbräuche[[#This Row],[2020]])</f>
        <v/>
      </c>
      <c r="L123" s="15" t="str">
        <f>IF(ISBLANK(Refsz_Verbräuche[[#This Row],[2021]]),"",Refsz_Verbräuche[[#This Row],[2021]])</f>
        <v/>
      </c>
      <c r="M123" s="57" t="str">
        <f>IF(Klisz_Verbräuche[[#Headers],[2022]]=$B$57,IF(COUNTIF($F123:Klisz_Verbräuche[[#This Row],[2021]],"&gt;0")&gt;0, AVERAGEIF($F123:Klisz_Verbräuche[[#This Row],[2021]],"&lt;&gt;"), ""),IF($B$57&lt;Klisz_Verbräuche[[#Headers],[2022]],IF(COUNTIF($F123:Klisz_Verbräuche[[#This Row],[2021]],"&gt;0")&gt;0,IF(COUNTIF($F123:Klisz_Verbräuche[[#This Row],[2021]],"&gt;0")&gt;0,Klisz_Verbräuche[[#This Row],[2021]]*(1-$E123)^1, ""), ""),IF($B$57&gt;Klisz_Verbräuche[[#Headers],[2022]],Refsz_Verbräuche[[#This Row],[2022]],"")))</f>
        <v/>
      </c>
      <c r="N123" s="57" t="str">
        <f>IF(Klisz_Verbräuche[[#Headers],[2023]]=$B$57,IF(COUNTIF($F123:Klisz_Verbräuche[[#This Row],[2022]],"&gt;0")&gt;0, AVERAGEIF($F123:Klisz_Verbräuche[[#This Row],[2022]],"&lt;&gt;"), ""),IF($B$57&lt;Klisz_Verbräuche[[#Headers],[2023]],IF(COUNTIF($F123:Klisz_Verbräuche[[#This Row],[2022]],"&gt;0")&gt;0,IF(COUNTIF($F123:Klisz_Verbräuche[[#This Row],[2022]],"&gt;0")&gt;0,Klisz_Verbräuche[[#This Row],[2022]]*(1-$E123)^1, ""), ""),IF($B$57&gt;Klisz_Verbräuche[[#Headers],[2023]],Refsz_Verbräuche[[#This Row],[2023]],"")))</f>
        <v/>
      </c>
      <c r="O123" s="57" t="str">
        <f>IF(Klisz_Verbräuche[[#Headers],[2024]]=$B$57,IF(COUNTIF($F123:Klisz_Verbräuche[[#This Row],[2023]],"&gt;0")&gt;0, AVERAGEIF($F123:Klisz_Verbräuche[[#This Row],[2023]],"&lt;&gt;"), ""),IF($B$57&lt;Klisz_Verbräuche[[#Headers],[2024]],IF(COUNTIF($F123:Klisz_Verbräuche[[#This Row],[2023]],"&gt;0")&gt;0,IF(COUNTIF($F123:Klisz_Verbräuche[[#This Row],[2023]],"&gt;0")&gt;0,Klisz_Verbräuche[[#This Row],[2023]]*(1-$E123)^1, ""), ""),IF($B$57&gt;Klisz_Verbräuche[[#Headers],[2024]],Refsz_Verbräuche[[#This Row],[2024]],"")))</f>
        <v/>
      </c>
      <c r="P123" s="57" t="str">
        <f>IF(Klisz_Verbräuche[[#Headers],[2025]]=$B$57,IF(COUNTIF($F123:Klisz_Verbräuche[[#This Row],[2024]],"&gt;0")&gt;0, AVERAGEIF($F123:Klisz_Verbräuche[[#This Row],[2024]],"&lt;&gt;"), ""),IF($B$57&lt;Klisz_Verbräuche[[#Headers],[2025]],IF(COUNTIF($F123:Klisz_Verbräuche[[#This Row],[2024]],"&gt;0")&gt;0,IF(COUNTIF($F123:Klisz_Verbräuche[[#This Row],[2024]],"&gt;0")&gt;0,Klisz_Verbräuche[[#This Row],[2024]]*(1-$E123)^1, ""), ""),IF($B$57&gt;Klisz_Verbräuche[[#Headers],[2025]],Refsz_Verbräuche[[#This Row],[2025]],"")))</f>
        <v/>
      </c>
      <c r="Q123" s="57" t="str">
        <f>IF(Klisz_Verbräuche[[#Headers],[2026]]=$B$57,IF(COUNTIF($F123:Klisz_Verbräuche[[#This Row],[2025]],"&gt;0")&gt;0, AVERAGEIF($F123:Klisz_Verbräuche[[#This Row],[2025]],"&lt;&gt;"), ""),IF($B$57&lt;Klisz_Verbräuche[[#Headers],[2026]],IF(COUNTIF($F123:Klisz_Verbräuche[[#This Row],[2025]],"&gt;0")&gt;0,IF(COUNTIF($F123:Klisz_Verbräuche[[#This Row],[2025]],"&gt;0")&gt;0,Klisz_Verbräuche[[#This Row],[2025]]*(1-$E123)^1, ""), ""),IF($B$57&gt;Klisz_Verbräuche[[#Headers],[2026]],Refsz_Verbräuche[[#This Row],[2026]],"")))</f>
        <v/>
      </c>
      <c r="R123" s="57" t="str">
        <f>IF(Klisz_Verbräuche[[#Headers],[2027]]=$B$57,IF(COUNTIF($F123:Klisz_Verbräuche[[#This Row],[2026]],"&gt;0")&gt;0, AVERAGEIF($F123:Klisz_Verbräuche[[#This Row],[2026]],"&lt;&gt;"), ""),IF($B$57&lt;Klisz_Verbräuche[[#Headers],[2027]],IF(COUNTIF($F123:Klisz_Verbräuche[[#This Row],[2026]],"&gt;0")&gt;0,IF(COUNTIF($F123:Klisz_Verbräuche[[#This Row],[2026]],"&gt;0")&gt;0,Klisz_Verbräuche[[#This Row],[2026]]*(1-$E123)^1, ""), ""),IF($B$57&gt;Klisz_Verbräuche[[#Headers],[2027]],Refsz_Verbräuche[[#This Row],[2027]],"")))</f>
        <v/>
      </c>
      <c r="S123" s="57" t="str">
        <f>IF(Klisz_Verbräuche[[#Headers],[2028]]=$B$57,IF(COUNTIF($F123:Klisz_Verbräuche[[#This Row],[2027]],"&gt;0")&gt;0, AVERAGEIF($F123:Klisz_Verbräuche[[#This Row],[2027]],"&lt;&gt;"), ""),IF($B$57&lt;Klisz_Verbräuche[[#Headers],[2028]],IF(COUNTIF($F123:Klisz_Verbräuche[[#This Row],[2027]],"&gt;0")&gt;0,IF(COUNTIF($F123:Klisz_Verbräuche[[#This Row],[2027]],"&gt;0")&gt;0,Klisz_Verbräuche[[#This Row],[2027]]*(1-$E123)^1, ""), ""),IF($B$57&gt;Klisz_Verbräuche[[#Headers],[2028]],Refsz_Verbräuche[[#This Row],[2028]],"")))</f>
        <v/>
      </c>
      <c r="T123" s="57" t="str">
        <f>IF(Klisz_Verbräuche[[#Headers],[2029]]=$B$57,IF(COUNTIF($F123:Klisz_Verbräuche[[#This Row],[2028]],"&gt;0")&gt;0, AVERAGEIF($F123:Klisz_Verbräuche[[#This Row],[2028]],"&lt;&gt;"), ""),IF($B$57&lt;Klisz_Verbräuche[[#Headers],[2029]],IF(COUNTIF($F123:Klisz_Verbräuche[[#This Row],[2028]],"&gt;0")&gt;0,IF(COUNTIF($F123:Klisz_Verbräuche[[#This Row],[2028]],"&gt;0")&gt;0,Klisz_Verbräuche[[#This Row],[2028]]*(1-$E123)^1, ""), ""),IF($B$57&gt;Klisz_Verbräuche[[#Headers],[2029]],Refsz_Verbräuche[[#This Row],[2029]],"")))</f>
        <v/>
      </c>
      <c r="U123" s="57" t="str">
        <f>IF(Klisz_Verbräuche[[#Headers],[2030]]=$B$57,IF(COUNTIF($F123:Klisz_Verbräuche[[#This Row],[2029]],"&gt;0")&gt;0, AVERAGEIF($F123:Klisz_Verbräuche[[#This Row],[2029]],"&lt;&gt;"), ""),IF($B$57&lt;Klisz_Verbräuche[[#Headers],[2030]],IF(COUNTIF($F123:Klisz_Verbräuche[[#This Row],[2029]],"&gt;0")&gt;0,IF(COUNTIF($F123:Klisz_Verbräuche[[#This Row],[2029]],"&gt;0")&gt;0,Klisz_Verbräuche[[#This Row],[2029]]*(1-$E123)^1, ""), ""),IF($B$57&gt;Klisz_Verbräuche[[#Headers],[2030]],Refsz_Verbräuche[[#This Row],[2030]],"")))</f>
        <v/>
      </c>
      <c r="V123" s="57" t="str">
        <f>IF(Klisz_Verbräuche[[#Headers],[2035]]=$B$57,IF(COUNTIF($F123:Klisz_Verbräuche[[#This Row],[2030]],"&gt;0")&gt;0, AVERAGEIF($F123:Klisz_Verbräuche[[#This Row],[2030]],"&lt;&gt;"), ""),IF($B$57&lt;Klisz_Verbräuche[[#Headers],[2035]],IF(COUNTIF($F123:Klisz_Verbräuche[[#This Row],[2030]],"&gt;0")&gt;0,IF(COUNTIF($F123:Klisz_Verbräuche[[#This Row],[2030]],"&gt;0")&gt;0,Klisz_Verbräuche[[#This Row],[2030]]*(1-$E123)^5, ""), ""),IF($B$57&gt;Klisz_Verbräuche[[#Headers],[2035]],Refsz_Verbräuche[[#This Row],[2035]],"")))</f>
        <v/>
      </c>
      <c r="W123" s="57" t="str">
        <f>IF(Klisz_Verbräuche[[#Headers],[2040]]=$B$57,IF(COUNTIF($F123:Klisz_Verbräuche[[#This Row],[2035]],"&gt;0")&gt;0, AVERAGEIF($F123:Klisz_Verbräuche[[#This Row],[2035]],"&lt;&gt;"), ""),IF($B$57&lt;Klisz_Verbräuche[[#Headers],[2040]],IF(COUNTIF($F123:Klisz_Verbräuche[[#This Row],[2035]],"&gt;0")&gt;0,IF(COUNTIF($F123:Klisz_Verbräuche[[#This Row],[2035]],"&gt;0")&gt;0,Klisz_Verbräuche[[#This Row],[2035]]*(1-$E123)^5, ""), ""),IF($B$57&gt;Klisz_Verbräuche[[#Headers],[2040]],Refsz_Verbräuche[[#This Row],[2040]],"")))</f>
        <v/>
      </c>
      <c r="X123" s="57" t="str">
        <f>IF(Klisz_Verbräuche[[#Headers],[2045]]=$B$57,IF(COUNTIF($F123:Klisz_Verbräuche[[#This Row],[2040]],"&gt;0")&gt;0, AVERAGEIF($F123:Klisz_Verbräuche[[#This Row],[2040]],"&lt;&gt;"), ""),IF($B$57&lt;Klisz_Verbräuche[[#Headers],[2045]],IF(COUNTIF($F123:Klisz_Verbräuche[[#This Row],[2040]],"&gt;0")&gt;0,IF(COUNTIF($F123:Klisz_Verbräuche[[#This Row],[2040]],"&gt;0")&gt;0,Klisz_Verbräuche[[#This Row],[2040]]*(1-$E123)^5, ""), ""),IF($B$57&gt;Klisz_Verbräuche[[#Headers],[2045]],Refsz_Verbräuche[[#This Row],[2045]],"")))</f>
        <v/>
      </c>
      <c r="Y123" s="57" t="str">
        <f>IF(Klisz_Verbräuche[[#Headers],[2050]]=$B$57,IF(COUNTIF($F123:Klisz_Verbräuche[[#This Row],[2045]],"&gt;0")&gt;0, AVERAGEIF($F123:Klisz_Verbräuche[[#This Row],[2045]],"&lt;&gt;"), ""),IF($B$57&lt;Klisz_Verbräuche[[#Headers],[2050]],IF(COUNTIF($F123:Klisz_Verbräuche[[#This Row],[2045]],"&gt;0")&gt;0,IF(COUNTIF($F123:Klisz_Verbräuche[[#This Row],[2045]],"&gt;0")&gt;0,Klisz_Verbräuche[[#This Row],[2045]]*(1-$E123)^5, ""), ""),IF($B$57&gt;Klisz_Verbräuche[[#Headers],[2050]],Refsz_Verbräuche[[#This Row],[2050]],"")))</f>
        <v/>
      </c>
      <c r="Z123" s="15"/>
    </row>
    <row r="124" spans="2:26" x14ac:dyDescent="0.35">
      <c r="B124" s="15">
        <v>64</v>
      </c>
      <c r="C124" s="20" t="str">
        <f>Refsz_Verbräuche[[#This Row],[Datenpunkt]]</f>
        <v>Pendeln - Eisenbahn (Nahverkehr)</v>
      </c>
      <c r="D124" s="29" t="str">
        <f>Refsz_Verbräuche[[#This Row],[Einheit]]</f>
        <v>Pkm</v>
      </c>
      <c r="E124" s="122"/>
      <c r="F124" s="15" t="str">
        <f>IF(ISBLANK(Refsz_Verbräuche[[#This Row],[2015]]),"",Refsz_Verbräuche[[#This Row],[2015]])</f>
        <v/>
      </c>
      <c r="G124" s="15" t="str">
        <f>IF(ISBLANK(Refsz_Verbräuche[[#This Row],[2016]]),"",Refsz_Verbräuche[[#This Row],[2016]])</f>
        <v/>
      </c>
      <c r="H124" s="15" t="str">
        <f>IF(ISBLANK(Refsz_Verbräuche[[#This Row],[2017]]),"",Refsz_Verbräuche[[#This Row],[2017]])</f>
        <v/>
      </c>
      <c r="I124" s="15" t="str">
        <f>IF(ISBLANK(Refsz_Verbräuche[[#This Row],[2018]]),"",Refsz_Verbräuche[[#This Row],[2018]])</f>
        <v/>
      </c>
      <c r="J124" s="15" t="str">
        <f>IF(ISBLANK(Refsz_Verbräuche[[#This Row],[2019]]),"",Refsz_Verbräuche[[#This Row],[2019]])</f>
        <v/>
      </c>
      <c r="K124" s="15" t="str">
        <f>IF(ISBLANK(Refsz_Verbräuche[[#This Row],[2020]]),"",Refsz_Verbräuche[[#This Row],[2020]])</f>
        <v/>
      </c>
      <c r="L124" s="15" t="str">
        <f>IF(ISBLANK(Refsz_Verbräuche[[#This Row],[2021]]),"",Refsz_Verbräuche[[#This Row],[2021]])</f>
        <v/>
      </c>
      <c r="M124" s="57" t="str">
        <f>IF(Klisz_Verbräuche[[#Headers],[2022]]=$B$57,IF(COUNTIF($F124:Klisz_Verbräuche[[#This Row],[2021]],"&gt;0")&gt;0, AVERAGEIF($F124:Klisz_Verbräuche[[#This Row],[2021]],"&lt;&gt;"), ""),IF($B$57&lt;Klisz_Verbräuche[[#Headers],[2022]],IF(COUNTIF($F124:Klisz_Verbräuche[[#This Row],[2021]],"&gt;0")&gt;0,IF(COUNTIF($F124:Klisz_Verbräuche[[#This Row],[2021]],"&gt;0")&gt;0,Klisz_Verbräuche[[#This Row],[2021]]*(1-$E124)^1, ""), ""),IF($B$57&gt;Klisz_Verbräuche[[#Headers],[2022]],Refsz_Verbräuche[[#This Row],[2022]],"")))</f>
        <v/>
      </c>
      <c r="N124" s="57" t="str">
        <f>IF(Klisz_Verbräuche[[#Headers],[2023]]=$B$57,IF(COUNTIF($F124:Klisz_Verbräuche[[#This Row],[2022]],"&gt;0")&gt;0, AVERAGEIF($F124:Klisz_Verbräuche[[#This Row],[2022]],"&lt;&gt;"), ""),IF($B$57&lt;Klisz_Verbräuche[[#Headers],[2023]],IF(COUNTIF($F124:Klisz_Verbräuche[[#This Row],[2022]],"&gt;0")&gt;0,IF(COUNTIF($F124:Klisz_Verbräuche[[#This Row],[2022]],"&gt;0")&gt;0,Klisz_Verbräuche[[#This Row],[2022]]*(1-$E124)^1, ""), ""),IF($B$57&gt;Klisz_Verbräuche[[#Headers],[2023]],Refsz_Verbräuche[[#This Row],[2023]],"")))</f>
        <v/>
      </c>
      <c r="O124" s="57" t="str">
        <f>IF(Klisz_Verbräuche[[#Headers],[2024]]=$B$57,IF(COUNTIF($F124:Klisz_Verbräuche[[#This Row],[2023]],"&gt;0")&gt;0, AVERAGEIF($F124:Klisz_Verbräuche[[#This Row],[2023]],"&lt;&gt;"), ""),IF($B$57&lt;Klisz_Verbräuche[[#Headers],[2024]],IF(COUNTIF($F124:Klisz_Verbräuche[[#This Row],[2023]],"&gt;0")&gt;0,IF(COUNTIF($F124:Klisz_Verbräuche[[#This Row],[2023]],"&gt;0")&gt;0,Klisz_Verbräuche[[#This Row],[2023]]*(1-$E124)^1, ""), ""),IF($B$57&gt;Klisz_Verbräuche[[#Headers],[2024]],Refsz_Verbräuche[[#This Row],[2024]],"")))</f>
        <v/>
      </c>
      <c r="P124" s="57" t="str">
        <f>IF(Klisz_Verbräuche[[#Headers],[2025]]=$B$57,IF(COUNTIF($F124:Klisz_Verbräuche[[#This Row],[2024]],"&gt;0")&gt;0, AVERAGEIF($F124:Klisz_Verbräuche[[#This Row],[2024]],"&lt;&gt;"), ""),IF($B$57&lt;Klisz_Verbräuche[[#Headers],[2025]],IF(COUNTIF($F124:Klisz_Verbräuche[[#This Row],[2024]],"&gt;0")&gt;0,IF(COUNTIF($F124:Klisz_Verbräuche[[#This Row],[2024]],"&gt;0")&gt;0,Klisz_Verbräuche[[#This Row],[2024]]*(1-$E124)^1, ""), ""),IF($B$57&gt;Klisz_Verbräuche[[#Headers],[2025]],Refsz_Verbräuche[[#This Row],[2025]],"")))</f>
        <v/>
      </c>
      <c r="Q124" s="57" t="str">
        <f>IF(Klisz_Verbräuche[[#Headers],[2026]]=$B$57,IF(COUNTIF($F124:Klisz_Verbräuche[[#This Row],[2025]],"&gt;0")&gt;0, AVERAGEIF($F124:Klisz_Verbräuche[[#This Row],[2025]],"&lt;&gt;"), ""),IF($B$57&lt;Klisz_Verbräuche[[#Headers],[2026]],IF(COUNTIF($F124:Klisz_Verbräuche[[#This Row],[2025]],"&gt;0")&gt;0,IF(COUNTIF($F124:Klisz_Verbräuche[[#This Row],[2025]],"&gt;0")&gt;0,Klisz_Verbräuche[[#This Row],[2025]]*(1-$E124)^1, ""), ""),IF($B$57&gt;Klisz_Verbräuche[[#Headers],[2026]],Refsz_Verbräuche[[#This Row],[2026]],"")))</f>
        <v/>
      </c>
      <c r="R124" s="57" t="str">
        <f>IF(Klisz_Verbräuche[[#Headers],[2027]]=$B$57,IF(COUNTIF($F124:Klisz_Verbräuche[[#This Row],[2026]],"&gt;0")&gt;0, AVERAGEIF($F124:Klisz_Verbräuche[[#This Row],[2026]],"&lt;&gt;"), ""),IF($B$57&lt;Klisz_Verbräuche[[#Headers],[2027]],IF(COUNTIF($F124:Klisz_Verbräuche[[#This Row],[2026]],"&gt;0")&gt;0,IF(COUNTIF($F124:Klisz_Verbräuche[[#This Row],[2026]],"&gt;0")&gt;0,Klisz_Verbräuche[[#This Row],[2026]]*(1-$E124)^1, ""), ""),IF($B$57&gt;Klisz_Verbräuche[[#Headers],[2027]],Refsz_Verbräuche[[#This Row],[2027]],"")))</f>
        <v/>
      </c>
      <c r="S124" s="57" t="str">
        <f>IF(Klisz_Verbräuche[[#Headers],[2028]]=$B$57,IF(COUNTIF($F124:Klisz_Verbräuche[[#This Row],[2027]],"&gt;0")&gt;0, AVERAGEIF($F124:Klisz_Verbräuche[[#This Row],[2027]],"&lt;&gt;"), ""),IF($B$57&lt;Klisz_Verbräuche[[#Headers],[2028]],IF(COUNTIF($F124:Klisz_Verbräuche[[#This Row],[2027]],"&gt;0")&gt;0,IF(COUNTIF($F124:Klisz_Verbräuche[[#This Row],[2027]],"&gt;0")&gt;0,Klisz_Verbräuche[[#This Row],[2027]]*(1-$E124)^1, ""), ""),IF($B$57&gt;Klisz_Verbräuche[[#Headers],[2028]],Refsz_Verbräuche[[#This Row],[2028]],"")))</f>
        <v/>
      </c>
      <c r="T124" s="57" t="str">
        <f>IF(Klisz_Verbräuche[[#Headers],[2029]]=$B$57,IF(COUNTIF($F124:Klisz_Verbräuche[[#This Row],[2028]],"&gt;0")&gt;0, AVERAGEIF($F124:Klisz_Verbräuche[[#This Row],[2028]],"&lt;&gt;"), ""),IF($B$57&lt;Klisz_Verbräuche[[#Headers],[2029]],IF(COUNTIF($F124:Klisz_Verbräuche[[#This Row],[2028]],"&gt;0")&gt;0,IF(COUNTIF($F124:Klisz_Verbräuche[[#This Row],[2028]],"&gt;0")&gt;0,Klisz_Verbräuche[[#This Row],[2028]]*(1-$E124)^1, ""), ""),IF($B$57&gt;Klisz_Verbräuche[[#Headers],[2029]],Refsz_Verbräuche[[#This Row],[2029]],"")))</f>
        <v/>
      </c>
      <c r="U124" s="57" t="str">
        <f>IF(Klisz_Verbräuche[[#Headers],[2030]]=$B$57,IF(COUNTIF($F124:Klisz_Verbräuche[[#This Row],[2029]],"&gt;0")&gt;0, AVERAGEIF($F124:Klisz_Verbräuche[[#This Row],[2029]],"&lt;&gt;"), ""),IF($B$57&lt;Klisz_Verbräuche[[#Headers],[2030]],IF(COUNTIF($F124:Klisz_Verbräuche[[#This Row],[2029]],"&gt;0")&gt;0,IF(COUNTIF($F124:Klisz_Verbräuche[[#This Row],[2029]],"&gt;0")&gt;0,Klisz_Verbräuche[[#This Row],[2029]]*(1-$E124)^1, ""), ""),IF($B$57&gt;Klisz_Verbräuche[[#Headers],[2030]],Refsz_Verbräuche[[#This Row],[2030]],"")))</f>
        <v/>
      </c>
      <c r="V124" s="57" t="str">
        <f>IF(Klisz_Verbräuche[[#Headers],[2035]]=$B$57,IF(COUNTIF($F124:Klisz_Verbräuche[[#This Row],[2030]],"&gt;0")&gt;0, AVERAGEIF($F124:Klisz_Verbräuche[[#This Row],[2030]],"&lt;&gt;"), ""),IF($B$57&lt;Klisz_Verbräuche[[#Headers],[2035]],IF(COUNTIF($F124:Klisz_Verbräuche[[#This Row],[2030]],"&gt;0")&gt;0,IF(COUNTIF($F124:Klisz_Verbräuche[[#This Row],[2030]],"&gt;0")&gt;0,Klisz_Verbräuche[[#This Row],[2030]]*(1-$E124)^5, ""), ""),IF($B$57&gt;Klisz_Verbräuche[[#Headers],[2035]],Refsz_Verbräuche[[#This Row],[2035]],"")))</f>
        <v/>
      </c>
      <c r="W124" s="57" t="str">
        <f>IF(Klisz_Verbräuche[[#Headers],[2040]]=$B$57,IF(COUNTIF($F124:Klisz_Verbräuche[[#This Row],[2035]],"&gt;0")&gt;0, AVERAGEIF($F124:Klisz_Verbräuche[[#This Row],[2035]],"&lt;&gt;"), ""),IF($B$57&lt;Klisz_Verbräuche[[#Headers],[2040]],IF(COUNTIF($F124:Klisz_Verbräuche[[#This Row],[2035]],"&gt;0")&gt;0,IF(COUNTIF($F124:Klisz_Verbräuche[[#This Row],[2035]],"&gt;0")&gt;0,Klisz_Verbräuche[[#This Row],[2035]]*(1-$E124)^5, ""), ""),IF($B$57&gt;Klisz_Verbräuche[[#Headers],[2040]],Refsz_Verbräuche[[#This Row],[2040]],"")))</f>
        <v/>
      </c>
      <c r="X124" s="57" t="str">
        <f>IF(Klisz_Verbräuche[[#Headers],[2045]]=$B$57,IF(COUNTIF($F124:Klisz_Verbräuche[[#This Row],[2040]],"&gt;0")&gt;0, AVERAGEIF($F124:Klisz_Verbräuche[[#This Row],[2040]],"&lt;&gt;"), ""),IF($B$57&lt;Klisz_Verbräuche[[#Headers],[2045]],IF(COUNTIF($F124:Klisz_Verbräuche[[#This Row],[2040]],"&gt;0")&gt;0,IF(COUNTIF($F124:Klisz_Verbräuche[[#This Row],[2040]],"&gt;0")&gt;0,Klisz_Verbräuche[[#This Row],[2040]]*(1-$E124)^5, ""), ""),IF($B$57&gt;Klisz_Verbräuche[[#Headers],[2045]],Refsz_Verbräuche[[#This Row],[2045]],"")))</f>
        <v/>
      </c>
      <c r="Y124" s="57" t="str">
        <f>IF(Klisz_Verbräuche[[#Headers],[2050]]=$B$57,IF(COUNTIF($F124:Klisz_Verbräuche[[#This Row],[2045]],"&gt;0")&gt;0, AVERAGEIF($F124:Klisz_Verbräuche[[#This Row],[2045]],"&lt;&gt;"), ""),IF($B$57&lt;Klisz_Verbräuche[[#Headers],[2050]],IF(COUNTIF($F124:Klisz_Verbräuche[[#This Row],[2045]],"&gt;0")&gt;0,IF(COUNTIF($F124:Klisz_Verbräuche[[#This Row],[2045]],"&gt;0")&gt;0,Klisz_Verbräuche[[#This Row],[2045]]*(1-$E124)^5, ""), ""),IF($B$57&gt;Klisz_Verbräuche[[#Headers],[2050]],Refsz_Verbräuche[[#This Row],[2050]],"")))</f>
        <v/>
      </c>
      <c r="Z124" s="15"/>
    </row>
    <row r="125" spans="2:26" x14ac:dyDescent="0.35">
      <c r="B125" s="15">
        <v>65</v>
      </c>
      <c r="C125" s="20" t="str">
        <f>Refsz_Verbräuche[[#This Row],[Datenpunkt]]</f>
        <v>Pendeln - Linienbus (Nahverkehr)</v>
      </c>
      <c r="D125" s="29" t="str">
        <f>Refsz_Verbräuche[[#This Row],[Einheit]]</f>
        <v>Pkm</v>
      </c>
      <c r="E125" s="122"/>
      <c r="F125" s="15" t="str">
        <f>IF(ISBLANK(Refsz_Verbräuche[[#This Row],[2015]]),"",Refsz_Verbräuche[[#This Row],[2015]])</f>
        <v/>
      </c>
      <c r="G125" s="15" t="str">
        <f>IF(ISBLANK(Refsz_Verbräuche[[#This Row],[2016]]),"",Refsz_Verbräuche[[#This Row],[2016]])</f>
        <v/>
      </c>
      <c r="H125" s="15" t="str">
        <f>IF(ISBLANK(Refsz_Verbräuche[[#This Row],[2017]]),"",Refsz_Verbräuche[[#This Row],[2017]])</f>
        <v/>
      </c>
      <c r="I125" s="15" t="str">
        <f>IF(ISBLANK(Refsz_Verbräuche[[#This Row],[2018]]),"",Refsz_Verbräuche[[#This Row],[2018]])</f>
        <v/>
      </c>
      <c r="J125" s="15" t="str">
        <f>IF(ISBLANK(Refsz_Verbräuche[[#This Row],[2019]]),"",Refsz_Verbräuche[[#This Row],[2019]])</f>
        <v/>
      </c>
      <c r="K125" s="15" t="str">
        <f>IF(ISBLANK(Refsz_Verbräuche[[#This Row],[2020]]),"",Refsz_Verbräuche[[#This Row],[2020]])</f>
        <v/>
      </c>
      <c r="L125" s="15" t="str">
        <f>IF(ISBLANK(Refsz_Verbräuche[[#This Row],[2021]]),"",Refsz_Verbräuche[[#This Row],[2021]])</f>
        <v/>
      </c>
      <c r="M125" s="57" t="str">
        <f>IF(Klisz_Verbräuche[[#Headers],[2022]]=$B$57,IF(COUNTIF($F125:Klisz_Verbräuche[[#This Row],[2021]],"&gt;0")&gt;0, AVERAGEIF($F125:Klisz_Verbräuche[[#This Row],[2021]],"&lt;&gt;"), ""),IF($B$57&lt;Klisz_Verbräuche[[#Headers],[2022]],IF(COUNTIF($F125:Klisz_Verbräuche[[#This Row],[2021]],"&gt;0")&gt;0,IF(COUNTIF($F125:Klisz_Verbräuche[[#This Row],[2021]],"&gt;0")&gt;0,Klisz_Verbräuche[[#This Row],[2021]]*(1-$E125)^1, ""), ""),IF($B$57&gt;Klisz_Verbräuche[[#Headers],[2022]],Refsz_Verbräuche[[#This Row],[2022]],"")))</f>
        <v/>
      </c>
      <c r="N125" s="57" t="str">
        <f>IF(Klisz_Verbräuche[[#Headers],[2023]]=$B$57,IF(COUNTIF($F125:Klisz_Verbräuche[[#This Row],[2022]],"&gt;0")&gt;0, AVERAGEIF($F125:Klisz_Verbräuche[[#This Row],[2022]],"&lt;&gt;"), ""),IF($B$57&lt;Klisz_Verbräuche[[#Headers],[2023]],IF(COUNTIF($F125:Klisz_Verbräuche[[#This Row],[2022]],"&gt;0")&gt;0,IF(COUNTIF($F125:Klisz_Verbräuche[[#This Row],[2022]],"&gt;0")&gt;0,Klisz_Verbräuche[[#This Row],[2022]]*(1-$E125)^1, ""), ""),IF($B$57&gt;Klisz_Verbräuche[[#Headers],[2023]],Refsz_Verbräuche[[#This Row],[2023]],"")))</f>
        <v/>
      </c>
      <c r="O125" s="57" t="str">
        <f>IF(Klisz_Verbräuche[[#Headers],[2024]]=$B$57,IF(COUNTIF($F125:Klisz_Verbräuche[[#This Row],[2023]],"&gt;0")&gt;0, AVERAGEIF($F125:Klisz_Verbräuche[[#This Row],[2023]],"&lt;&gt;"), ""),IF($B$57&lt;Klisz_Verbräuche[[#Headers],[2024]],IF(COUNTIF($F125:Klisz_Verbräuche[[#This Row],[2023]],"&gt;0")&gt;0,IF(COUNTIF($F125:Klisz_Verbräuche[[#This Row],[2023]],"&gt;0")&gt;0,Klisz_Verbräuche[[#This Row],[2023]]*(1-$E125)^1, ""), ""),IF($B$57&gt;Klisz_Verbräuche[[#Headers],[2024]],Refsz_Verbräuche[[#This Row],[2024]],"")))</f>
        <v/>
      </c>
      <c r="P125" s="57" t="str">
        <f>IF(Klisz_Verbräuche[[#Headers],[2025]]=$B$57,IF(COUNTIF($F125:Klisz_Verbräuche[[#This Row],[2024]],"&gt;0")&gt;0, AVERAGEIF($F125:Klisz_Verbräuche[[#This Row],[2024]],"&lt;&gt;"), ""),IF($B$57&lt;Klisz_Verbräuche[[#Headers],[2025]],IF(COUNTIF($F125:Klisz_Verbräuche[[#This Row],[2024]],"&gt;0")&gt;0,IF(COUNTIF($F125:Klisz_Verbräuche[[#This Row],[2024]],"&gt;0")&gt;0,Klisz_Verbräuche[[#This Row],[2024]]*(1-$E125)^1, ""), ""),IF($B$57&gt;Klisz_Verbräuche[[#Headers],[2025]],Refsz_Verbräuche[[#This Row],[2025]],"")))</f>
        <v/>
      </c>
      <c r="Q125" s="57" t="str">
        <f>IF(Klisz_Verbräuche[[#Headers],[2026]]=$B$57,IF(COUNTIF($F125:Klisz_Verbräuche[[#This Row],[2025]],"&gt;0")&gt;0, AVERAGEIF($F125:Klisz_Verbräuche[[#This Row],[2025]],"&lt;&gt;"), ""),IF($B$57&lt;Klisz_Verbräuche[[#Headers],[2026]],IF(COUNTIF($F125:Klisz_Verbräuche[[#This Row],[2025]],"&gt;0")&gt;0,IF(COUNTIF($F125:Klisz_Verbräuche[[#This Row],[2025]],"&gt;0")&gt;0,Klisz_Verbräuche[[#This Row],[2025]]*(1-$E125)^1, ""), ""),IF($B$57&gt;Klisz_Verbräuche[[#Headers],[2026]],Refsz_Verbräuche[[#This Row],[2026]],"")))</f>
        <v/>
      </c>
      <c r="R125" s="57" t="str">
        <f>IF(Klisz_Verbräuche[[#Headers],[2027]]=$B$57,IF(COUNTIF($F125:Klisz_Verbräuche[[#This Row],[2026]],"&gt;0")&gt;0, AVERAGEIF($F125:Klisz_Verbräuche[[#This Row],[2026]],"&lt;&gt;"), ""),IF($B$57&lt;Klisz_Verbräuche[[#Headers],[2027]],IF(COUNTIF($F125:Klisz_Verbräuche[[#This Row],[2026]],"&gt;0")&gt;0,IF(COUNTIF($F125:Klisz_Verbräuche[[#This Row],[2026]],"&gt;0")&gt;0,Klisz_Verbräuche[[#This Row],[2026]]*(1-$E125)^1, ""), ""),IF($B$57&gt;Klisz_Verbräuche[[#Headers],[2027]],Refsz_Verbräuche[[#This Row],[2027]],"")))</f>
        <v/>
      </c>
      <c r="S125" s="57" t="str">
        <f>IF(Klisz_Verbräuche[[#Headers],[2028]]=$B$57,IF(COUNTIF($F125:Klisz_Verbräuche[[#This Row],[2027]],"&gt;0")&gt;0, AVERAGEIF($F125:Klisz_Verbräuche[[#This Row],[2027]],"&lt;&gt;"), ""),IF($B$57&lt;Klisz_Verbräuche[[#Headers],[2028]],IF(COUNTIF($F125:Klisz_Verbräuche[[#This Row],[2027]],"&gt;0")&gt;0,IF(COUNTIF($F125:Klisz_Verbräuche[[#This Row],[2027]],"&gt;0")&gt;0,Klisz_Verbräuche[[#This Row],[2027]]*(1-$E125)^1, ""), ""),IF($B$57&gt;Klisz_Verbräuche[[#Headers],[2028]],Refsz_Verbräuche[[#This Row],[2028]],"")))</f>
        <v/>
      </c>
      <c r="T125" s="57" t="str">
        <f>IF(Klisz_Verbräuche[[#Headers],[2029]]=$B$57,IF(COUNTIF($F125:Klisz_Verbräuche[[#This Row],[2028]],"&gt;0")&gt;0, AVERAGEIF($F125:Klisz_Verbräuche[[#This Row],[2028]],"&lt;&gt;"), ""),IF($B$57&lt;Klisz_Verbräuche[[#Headers],[2029]],IF(COUNTIF($F125:Klisz_Verbräuche[[#This Row],[2028]],"&gt;0")&gt;0,IF(COUNTIF($F125:Klisz_Verbräuche[[#This Row],[2028]],"&gt;0")&gt;0,Klisz_Verbräuche[[#This Row],[2028]]*(1-$E125)^1, ""), ""),IF($B$57&gt;Klisz_Verbräuche[[#Headers],[2029]],Refsz_Verbräuche[[#This Row],[2029]],"")))</f>
        <v/>
      </c>
      <c r="U125" s="57" t="str">
        <f>IF(Klisz_Verbräuche[[#Headers],[2030]]=$B$57,IF(COUNTIF($F125:Klisz_Verbräuche[[#This Row],[2029]],"&gt;0")&gt;0, AVERAGEIF($F125:Klisz_Verbräuche[[#This Row],[2029]],"&lt;&gt;"), ""),IF($B$57&lt;Klisz_Verbräuche[[#Headers],[2030]],IF(COUNTIF($F125:Klisz_Verbräuche[[#This Row],[2029]],"&gt;0")&gt;0,IF(COUNTIF($F125:Klisz_Verbräuche[[#This Row],[2029]],"&gt;0")&gt;0,Klisz_Verbräuche[[#This Row],[2029]]*(1-$E125)^1, ""), ""),IF($B$57&gt;Klisz_Verbräuche[[#Headers],[2030]],Refsz_Verbräuche[[#This Row],[2030]],"")))</f>
        <v/>
      </c>
      <c r="V125" s="57" t="str">
        <f>IF(Klisz_Verbräuche[[#Headers],[2035]]=$B$57,IF(COUNTIF($F125:Klisz_Verbräuche[[#This Row],[2030]],"&gt;0")&gt;0, AVERAGEIF($F125:Klisz_Verbräuche[[#This Row],[2030]],"&lt;&gt;"), ""),IF($B$57&lt;Klisz_Verbräuche[[#Headers],[2035]],IF(COUNTIF($F125:Klisz_Verbräuche[[#This Row],[2030]],"&gt;0")&gt;0,IF(COUNTIF($F125:Klisz_Verbräuche[[#This Row],[2030]],"&gt;0")&gt;0,Klisz_Verbräuche[[#This Row],[2030]]*(1-$E125)^5, ""), ""),IF($B$57&gt;Klisz_Verbräuche[[#Headers],[2035]],Refsz_Verbräuche[[#This Row],[2035]],"")))</f>
        <v/>
      </c>
      <c r="W125" s="57" t="str">
        <f>IF(Klisz_Verbräuche[[#Headers],[2040]]=$B$57,IF(COUNTIF($F125:Klisz_Verbräuche[[#This Row],[2035]],"&gt;0")&gt;0, AVERAGEIF($F125:Klisz_Verbräuche[[#This Row],[2035]],"&lt;&gt;"), ""),IF($B$57&lt;Klisz_Verbräuche[[#Headers],[2040]],IF(COUNTIF($F125:Klisz_Verbräuche[[#This Row],[2035]],"&gt;0")&gt;0,IF(COUNTIF($F125:Klisz_Verbräuche[[#This Row],[2035]],"&gt;0")&gt;0,Klisz_Verbräuche[[#This Row],[2035]]*(1-$E125)^5, ""), ""),IF($B$57&gt;Klisz_Verbräuche[[#Headers],[2040]],Refsz_Verbräuche[[#This Row],[2040]],"")))</f>
        <v/>
      </c>
      <c r="X125" s="57" t="str">
        <f>IF(Klisz_Verbräuche[[#Headers],[2045]]=$B$57,IF(COUNTIF($F125:Klisz_Verbräuche[[#This Row],[2040]],"&gt;0")&gt;0, AVERAGEIF($F125:Klisz_Verbräuche[[#This Row],[2040]],"&lt;&gt;"), ""),IF($B$57&lt;Klisz_Verbräuche[[#Headers],[2045]],IF(COUNTIF($F125:Klisz_Verbräuche[[#This Row],[2040]],"&gt;0")&gt;0,IF(COUNTIF($F125:Klisz_Verbräuche[[#This Row],[2040]],"&gt;0")&gt;0,Klisz_Verbräuche[[#This Row],[2040]]*(1-$E125)^5, ""), ""),IF($B$57&gt;Klisz_Verbräuche[[#Headers],[2045]],Refsz_Verbräuche[[#This Row],[2045]],"")))</f>
        <v/>
      </c>
      <c r="Y125" s="57" t="str">
        <f>IF(Klisz_Verbräuche[[#Headers],[2050]]=$B$57,IF(COUNTIF($F125:Klisz_Verbräuche[[#This Row],[2045]],"&gt;0")&gt;0, AVERAGEIF($F125:Klisz_Verbräuche[[#This Row],[2045]],"&lt;&gt;"), ""),IF($B$57&lt;Klisz_Verbräuche[[#Headers],[2050]],IF(COUNTIF($F125:Klisz_Verbräuche[[#This Row],[2045]],"&gt;0")&gt;0,IF(COUNTIF($F125:Klisz_Verbräuche[[#This Row],[2045]],"&gt;0")&gt;0,Klisz_Verbräuche[[#This Row],[2045]]*(1-$E125)^5, ""), ""),IF($B$57&gt;Klisz_Verbräuche[[#Headers],[2050]],Refsz_Verbräuche[[#This Row],[2050]],"")))</f>
        <v/>
      </c>
      <c r="Z125" s="15"/>
    </row>
    <row r="126" spans="2:26" x14ac:dyDescent="0.35">
      <c r="B126" s="15">
        <v>66</v>
      </c>
      <c r="C126" s="20" t="str">
        <f>Refsz_Verbräuche[[#This Row],[Datenpunkt]]</f>
        <v>Pendeln - PKW (alle Antriebsarten)</v>
      </c>
      <c r="D126" s="29" t="str">
        <f>Refsz_Verbräuche[[#This Row],[Einheit]]</f>
        <v>Fkm</v>
      </c>
      <c r="E126" s="122"/>
      <c r="F126" s="15" t="str">
        <f>IF(ISBLANK(Refsz_Verbräuche[[#This Row],[2015]]),"",Refsz_Verbräuche[[#This Row],[2015]])</f>
        <v/>
      </c>
      <c r="G126" s="15" t="str">
        <f>IF(ISBLANK(Refsz_Verbräuche[[#This Row],[2016]]),"",Refsz_Verbräuche[[#This Row],[2016]])</f>
        <v/>
      </c>
      <c r="H126" s="15" t="str">
        <f>IF(ISBLANK(Refsz_Verbräuche[[#This Row],[2017]]),"",Refsz_Verbräuche[[#This Row],[2017]])</f>
        <v/>
      </c>
      <c r="I126" s="15" t="str">
        <f>IF(ISBLANK(Refsz_Verbräuche[[#This Row],[2018]]),"",Refsz_Verbräuche[[#This Row],[2018]])</f>
        <v/>
      </c>
      <c r="J126" s="15" t="str">
        <f>IF(ISBLANK(Refsz_Verbräuche[[#This Row],[2019]]),"",Refsz_Verbräuche[[#This Row],[2019]])</f>
        <v/>
      </c>
      <c r="K126" s="15" t="str">
        <f>IF(ISBLANK(Refsz_Verbräuche[[#This Row],[2020]]),"",Refsz_Verbräuche[[#This Row],[2020]])</f>
        <v/>
      </c>
      <c r="L126" s="15" t="str">
        <f>IF(ISBLANK(Refsz_Verbräuche[[#This Row],[2021]]),"",Refsz_Verbräuche[[#This Row],[2021]])</f>
        <v/>
      </c>
      <c r="M126" s="57" t="str">
        <f>IF(Klisz_Verbräuche[[#Headers],[2022]]=$B$57,IF(COUNTIF($F126:Klisz_Verbräuche[[#This Row],[2021]],"&gt;0")&gt;0, AVERAGEIF($F126:Klisz_Verbräuche[[#This Row],[2021]],"&lt;&gt;"), ""),IF($B$57&lt;Klisz_Verbräuche[[#Headers],[2022]],IF(COUNTIF($F126:Klisz_Verbräuche[[#This Row],[2021]],"&gt;0")&gt;0,IF(COUNTIF($F126:Klisz_Verbräuche[[#This Row],[2021]],"&gt;0")&gt;0,Klisz_Verbräuche[[#This Row],[2021]]*(1-$E126)^1, ""), ""),IF($B$57&gt;Klisz_Verbräuche[[#Headers],[2022]],Refsz_Verbräuche[[#This Row],[2022]],"")))</f>
        <v/>
      </c>
      <c r="N126" s="57" t="str">
        <f>IF(Klisz_Verbräuche[[#Headers],[2023]]=$B$57,IF(COUNTIF($F126:Klisz_Verbräuche[[#This Row],[2022]],"&gt;0")&gt;0, AVERAGEIF($F126:Klisz_Verbräuche[[#This Row],[2022]],"&lt;&gt;"), ""),IF($B$57&lt;Klisz_Verbräuche[[#Headers],[2023]],IF(COUNTIF($F126:Klisz_Verbräuche[[#This Row],[2022]],"&gt;0")&gt;0,IF(COUNTIF($F126:Klisz_Verbräuche[[#This Row],[2022]],"&gt;0")&gt;0,Klisz_Verbräuche[[#This Row],[2022]]*(1-$E126)^1, ""), ""),IF($B$57&gt;Klisz_Verbräuche[[#Headers],[2023]],Refsz_Verbräuche[[#This Row],[2023]],"")))</f>
        <v/>
      </c>
      <c r="O126" s="57" t="str">
        <f>IF(Klisz_Verbräuche[[#Headers],[2024]]=$B$57,IF(COUNTIF($F126:Klisz_Verbräuche[[#This Row],[2023]],"&gt;0")&gt;0, AVERAGEIF($F126:Klisz_Verbräuche[[#This Row],[2023]],"&lt;&gt;"), ""),IF($B$57&lt;Klisz_Verbräuche[[#Headers],[2024]],IF(COUNTIF($F126:Klisz_Verbräuche[[#This Row],[2023]],"&gt;0")&gt;0,IF(COUNTIF($F126:Klisz_Verbräuche[[#This Row],[2023]],"&gt;0")&gt;0,Klisz_Verbräuche[[#This Row],[2023]]*(1-$E126)^1, ""), ""),IF($B$57&gt;Klisz_Verbräuche[[#Headers],[2024]],Refsz_Verbräuche[[#This Row],[2024]],"")))</f>
        <v/>
      </c>
      <c r="P126" s="57" t="str">
        <f>IF(Klisz_Verbräuche[[#Headers],[2025]]=$B$57,IF(COUNTIF($F126:Klisz_Verbräuche[[#This Row],[2024]],"&gt;0")&gt;0, AVERAGEIF($F126:Klisz_Verbräuche[[#This Row],[2024]],"&lt;&gt;"), ""),IF($B$57&lt;Klisz_Verbräuche[[#Headers],[2025]],IF(COUNTIF($F126:Klisz_Verbräuche[[#This Row],[2024]],"&gt;0")&gt;0,IF(COUNTIF($F126:Klisz_Verbräuche[[#This Row],[2024]],"&gt;0")&gt;0,Klisz_Verbräuche[[#This Row],[2024]]*(1-$E126)^1, ""), ""),IF($B$57&gt;Klisz_Verbräuche[[#Headers],[2025]],Refsz_Verbräuche[[#This Row],[2025]],"")))</f>
        <v/>
      </c>
      <c r="Q126" s="57" t="str">
        <f>IF(Klisz_Verbräuche[[#Headers],[2026]]=$B$57,IF(COUNTIF($F126:Klisz_Verbräuche[[#This Row],[2025]],"&gt;0")&gt;0, AVERAGEIF($F126:Klisz_Verbräuche[[#This Row],[2025]],"&lt;&gt;"), ""),IF($B$57&lt;Klisz_Verbräuche[[#Headers],[2026]],IF(COUNTIF($F126:Klisz_Verbräuche[[#This Row],[2025]],"&gt;0")&gt;0,IF(COUNTIF($F126:Klisz_Verbräuche[[#This Row],[2025]],"&gt;0")&gt;0,Klisz_Verbräuche[[#This Row],[2025]]*(1-$E126)^1, ""), ""),IF($B$57&gt;Klisz_Verbräuche[[#Headers],[2026]],Refsz_Verbräuche[[#This Row],[2026]],"")))</f>
        <v/>
      </c>
      <c r="R126" s="57" t="str">
        <f>IF(Klisz_Verbräuche[[#Headers],[2027]]=$B$57,IF(COUNTIF($F126:Klisz_Verbräuche[[#This Row],[2026]],"&gt;0")&gt;0, AVERAGEIF($F126:Klisz_Verbräuche[[#This Row],[2026]],"&lt;&gt;"), ""),IF($B$57&lt;Klisz_Verbräuche[[#Headers],[2027]],IF(COUNTIF($F126:Klisz_Verbräuche[[#This Row],[2026]],"&gt;0")&gt;0,IF(COUNTIF($F126:Klisz_Verbräuche[[#This Row],[2026]],"&gt;0")&gt;0,Klisz_Verbräuche[[#This Row],[2026]]*(1-$E126)^1, ""), ""),IF($B$57&gt;Klisz_Verbräuche[[#Headers],[2027]],Refsz_Verbräuche[[#This Row],[2027]],"")))</f>
        <v/>
      </c>
      <c r="S126" s="57" t="str">
        <f>IF(Klisz_Verbräuche[[#Headers],[2028]]=$B$57,IF(COUNTIF($F126:Klisz_Verbräuche[[#This Row],[2027]],"&gt;0")&gt;0, AVERAGEIF($F126:Klisz_Verbräuche[[#This Row],[2027]],"&lt;&gt;"), ""),IF($B$57&lt;Klisz_Verbräuche[[#Headers],[2028]],IF(COUNTIF($F126:Klisz_Verbräuche[[#This Row],[2027]],"&gt;0")&gt;0,IF(COUNTIF($F126:Klisz_Verbräuche[[#This Row],[2027]],"&gt;0")&gt;0,Klisz_Verbräuche[[#This Row],[2027]]*(1-$E126)^1, ""), ""),IF($B$57&gt;Klisz_Verbräuche[[#Headers],[2028]],Refsz_Verbräuche[[#This Row],[2028]],"")))</f>
        <v/>
      </c>
      <c r="T126" s="57" t="str">
        <f>IF(Klisz_Verbräuche[[#Headers],[2029]]=$B$57,IF(COUNTIF($F126:Klisz_Verbräuche[[#This Row],[2028]],"&gt;0")&gt;0, AVERAGEIF($F126:Klisz_Verbräuche[[#This Row],[2028]],"&lt;&gt;"), ""),IF($B$57&lt;Klisz_Verbräuche[[#Headers],[2029]],IF(COUNTIF($F126:Klisz_Verbräuche[[#This Row],[2028]],"&gt;0")&gt;0,IF(COUNTIF($F126:Klisz_Verbräuche[[#This Row],[2028]],"&gt;0")&gt;0,Klisz_Verbräuche[[#This Row],[2028]]*(1-$E126)^1, ""), ""),IF($B$57&gt;Klisz_Verbräuche[[#Headers],[2029]],Refsz_Verbräuche[[#This Row],[2029]],"")))</f>
        <v/>
      </c>
      <c r="U126" s="57" t="str">
        <f>IF(Klisz_Verbräuche[[#Headers],[2030]]=$B$57,IF(COUNTIF($F126:Klisz_Verbräuche[[#This Row],[2029]],"&gt;0")&gt;0, AVERAGEIF($F126:Klisz_Verbräuche[[#This Row],[2029]],"&lt;&gt;"), ""),IF($B$57&lt;Klisz_Verbräuche[[#Headers],[2030]],IF(COUNTIF($F126:Klisz_Verbräuche[[#This Row],[2029]],"&gt;0")&gt;0,IF(COUNTIF($F126:Klisz_Verbräuche[[#This Row],[2029]],"&gt;0")&gt;0,Klisz_Verbräuche[[#This Row],[2029]]*(1-$E126)^1, ""), ""),IF($B$57&gt;Klisz_Verbräuche[[#Headers],[2030]],Refsz_Verbräuche[[#This Row],[2030]],"")))</f>
        <v/>
      </c>
      <c r="V126" s="57" t="str">
        <f>IF(Klisz_Verbräuche[[#Headers],[2035]]=$B$57,IF(COUNTIF($F126:Klisz_Verbräuche[[#This Row],[2030]],"&gt;0")&gt;0, AVERAGEIF($F126:Klisz_Verbräuche[[#This Row],[2030]],"&lt;&gt;"), ""),IF($B$57&lt;Klisz_Verbräuche[[#Headers],[2035]],IF(COUNTIF($F126:Klisz_Verbräuche[[#This Row],[2030]],"&gt;0")&gt;0,IF(COUNTIF($F126:Klisz_Verbräuche[[#This Row],[2030]],"&gt;0")&gt;0,Klisz_Verbräuche[[#This Row],[2030]]*(1-$E126)^5, ""), ""),IF($B$57&gt;Klisz_Verbräuche[[#Headers],[2035]],Refsz_Verbräuche[[#This Row],[2035]],"")))</f>
        <v/>
      </c>
      <c r="W126" s="57" t="str">
        <f>IF(Klisz_Verbräuche[[#Headers],[2040]]=$B$57,IF(COUNTIF($F126:Klisz_Verbräuche[[#This Row],[2035]],"&gt;0")&gt;0, AVERAGEIF($F126:Klisz_Verbräuche[[#This Row],[2035]],"&lt;&gt;"), ""),IF($B$57&lt;Klisz_Verbräuche[[#Headers],[2040]],IF(COUNTIF($F126:Klisz_Verbräuche[[#This Row],[2035]],"&gt;0")&gt;0,IF(COUNTIF($F126:Klisz_Verbräuche[[#This Row],[2035]],"&gt;0")&gt;0,Klisz_Verbräuche[[#This Row],[2035]]*(1-$E126)^5, ""), ""),IF($B$57&gt;Klisz_Verbräuche[[#Headers],[2040]],Refsz_Verbräuche[[#This Row],[2040]],"")))</f>
        <v/>
      </c>
      <c r="X126" s="57" t="str">
        <f>IF(Klisz_Verbräuche[[#Headers],[2045]]=$B$57,IF(COUNTIF($F126:Klisz_Verbräuche[[#This Row],[2040]],"&gt;0")&gt;0, AVERAGEIF($F126:Klisz_Verbräuche[[#This Row],[2040]],"&lt;&gt;"), ""),IF($B$57&lt;Klisz_Verbräuche[[#Headers],[2045]],IF(COUNTIF($F126:Klisz_Verbräuche[[#This Row],[2040]],"&gt;0")&gt;0,IF(COUNTIF($F126:Klisz_Verbräuche[[#This Row],[2040]],"&gt;0")&gt;0,Klisz_Verbräuche[[#This Row],[2040]]*(1-$E126)^5, ""), ""),IF($B$57&gt;Klisz_Verbräuche[[#Headers],[2045]],Refsz_Verbräuche[[#This Row],[2045]],"")))</f>
        <v/>
      </c>
      <c r="Y126" s="57" t="str">
        <f>IF(Klisz_Verbräuche[[#Headers],[2050]]=$B$57,IF(COUNTIF($F126:Klisz_Verbräuche[[#This Row],[2045]],"&gt;0")&gt;0, AVERAGEIF($F126:Klisz_Verbräuche[[#This Row],[2045]],"&lt;&gt;"), ""),IF($B$57&lt;Klisz_Verbräuche[[#Headers],[2050]],IF(COUNTIF($F126:Klisz_Verbräuche[[#This Row],[2045]],"&gt;0")&gt;0,IF(COUNTIF($F126:Klisz_Verbräuche[[#This Row],[2045]],"&gt;0")&gt;0,Klisz_Verbräuche[[#This Row],[2045]]*(1-$E126)^5, ""), ""),IF($B$57&gt;Klisz_Verbräuche[[#Headers],[2050]],Refsz_Verbräuche[[#This Row],[2050]],"")))</f>
        <v/>
      </c>
      <c r="Z126" s="15"/>
    </row>
    <row r="127" spans="2:26" x14ac:dyDescent="0.35">
      <c r="B127" s="15">
        <v>67</v>
      </c>
      <c r="C127" s="20" t="str">
        <f>Refsz_Verbräuche[[#This Row],[Datenpunkt]]</f>
        <v>Pendeln - PKW (Diesel)</v>
      </c>
      <c r="D127" s="29" t="str">
        <f>Refsz_Verbräuche[[#This Row],[Einheit]]</f>
        <v>Fkm</v>
      </c>
      <c r="E127" s="122"/>
      <c r="F127" s="15" t="str">
        <f>IF(ISBLANK(Refsz_Verbräuche[[#This Row],[2015]]),"",Refsz_Verbräuche[[#This Row],[2015]])</f>
        <v/>
      </c>
      <c r="G127" s="15" t="str">
        <f>IF(ISBLANK(Refsz_Verbräuche[[#This Row],[2016]]),"",Refsz_Verbräuche[[#This Row],[2016]])</f>
        <v/>
      </c>
      <c r="H127" s="15" t="str">
        <f>IF(ISBLANK(Refsz_Verbräuche[[#This Row],[2017]]),"",Refsz_Verbräuche[[#This Row],[2017]])</f>
        <v/>
      </c>
      <c r="I127" s="15" t="str">
        <f>IF(ISBLANK(Refsz_Verbräuche[[#This Row],[2018]]),"",Refsz_Verbräuche[[#This Row],[2018]])</f>
        <v/>
      </c>
      <c r="J127" s="15" t="str">
        <f>IF(ISBLANK(Refsz_Verbräuche[[#This Row],[2019]]),"",Refsz_Verbräuche[[#This Row],[2019]])</f>
        <v/>
      </c>
      <c r="K127" s="15" t="str">
        <f>IF(ISBLANK(Refsz_Verbräuche[[#This Row],[2020]]),"",Refsz_Verbräuche[[#This Row],[2020]])</f>
        <v/>
      </c>
      <c r="L127" s="15" t="str">
        <f>IF(ISBLANK(Refsz_Verbräuche[[#This Row],[2021]]),"",Refsz_Verbräuche[[#This Row],[2021]])</f>
        <v/>
      </c>
      <c r="M127" s="57" t="str">
        <f>IF(Klisz_Verbräuche[[#Headers],[2022]]=$B$57,IF(COUNTIF($F127:Klisz_Verbräuche[[#This Row],[2021]],"&gt;0")&gt;0, AVERAGEIF($F127:Klisz_Verbräuche[[#This Row],[2021]],"&lt;&gt;"), ""),IF($B$57&lt;Klisz_Verbräuche[[#Headers],[2022]],IF(COUNTIF($F127:Klisz_Verbräuche[[#This Row],[2021]],"&gt;0")&gt;0,IF(COUNTIF($F127:Klisz_Verbräuche[[#This Row],[2021]],"&gt;0")&gt;0,Klisz_Verbräuche[[#This Row],[2021]]*(1-$E127)^1, ""), ""),IF($B$57&gt;Klisz_Verbräuche[[#Headers],[2022]],Refsz_Verbräuche[[#This Row],[2022]],"")))</f>
        <v/>
      </c>
      <c r="N127" s="57" t="str">
        <f>IF(Klisz_Verbräuche[[#Headers],[2023]]=$B$57,IF(COUNTIF($F127:Klisz_Verbräuche[[#This Row],[2022]],"&gt;0")&gt;0, AVERAGEIF($F127:Klisz_Verbräuche[[#This Row],[2022]],"&lt;&gt;"), ""),IF($B$57&lt;Klisz_Verbräuche[[#Headers],[2023]],IF(COUNTIF($F127:Klisz_Verbräuche[[#This Row],[2022]],"&gt;0")&gt;0,IF(COUNTIF($F127:Klisz_Verbräuche[[#This Row],[2022]],"&gt;0")&gt;0,Klisz_Verbräuche[[#This Row],[2022]]*(1-$E127)^1, ""), ""),IF($B$57&gt;Klisz_Verbräuche[[#Headers],[2023]],Refsz_Verbräuche[[#This Row],[2023]],"")))</f>
        <v/>
      </c>
      <c r="O127" s="57" t="str">
        <f>IF(Klisz_Verbräuche[[#Headers],[2024]]=$B$57,IF(COUNTIF($F127:Klisz_Verbräuche[[#This Row],[2023]],"&gt;0")&gt;0, AVERAGEIF($F127:Klisz_Verbräuche[[#This Row],[2023]],"&lt;&gt;"), ""),IF($B$57&lt;Klisz_Verbräuche[[#Headers],[2024]],IF(COUNTIF($F127:Klisz_Verbräuche[[#This Row],[2023]],"&gt;0")&gt;0,IF(COUNTIF($F127:Klisz_Verbräuche[[#This Row],[2023]],"&gt;0")&gt;0,Klisz_Verbräuche[[#This Row],[2023]]*(1-$E127)^1, ""), ""),IF($B$57&gt;Klisz_Verbräuche[[#Headers],[2024]],Refsz_Verbräuche[[#This Row],[2024]],"")))</f>
        <v/>
      </c>
      <c r="P127" s="57" t="str">
        <f>IF(Klisz_Verbräuche[[#Headers],[2025]]=$B$57,IF(COUNTIF($F127:Klisz_Verbräuche[[#This Row],[2024]],"&gt;0")&gt;0, AVERAGEIF($F127:Klisz_Verbräuche[[#This Row],[2024]],"&lt;&gt;"), ""),IF($B$57&lt;Klisz_Verbräuche[[#Headers],[2025]],IF(COUNTIF($F127:Klisz_Verbräuche[[#This Row],[2024]],"&gt;0")&gt;0,IF(COUNTIF($F127:Klisz_Verbräuche[[#This Row],[2024]],"&gt;0")&gt;0,Klisz_Verbräuche[[#This Row],[2024]]*(1-$E127)^1, ""), ""),IF($B$57&gt;Klisz_Verbräuche[[#Headers],[2025]],Refsz_Verbräuche[[#This Row],[2025]],"")))</f>
        <v/>
      </c>
      <c r="Q127" s="57" t="str">
        <f>IF(Klisz_Verbräuche[[#Headers],[2026]]=$B$57,IF(COUNTIF($F127:Klisz_Verbräuche[[#This Row],[2025]],"&gt;0")&gt;0, AVERAGEIF($F127:Klisz_Verbräuche[[#This Row],[2025]],"&lt;&gt;"), ""),IF($B$57&lt;Klisz_Verbräuche[[#Headers],[2026]],IF(COUNTIF($F127:Klisz_Verbräuche[[#This Row],[2025]],"&gt;0")&gt;0,IF(COUNTIF($F127:Klisz_Verbräuche[[#This Row],[2025]],"&gt;0")&gt;0,Klisz_Verbräuche[[#This Row],[2025]]*(1-$E127)^1, ""), ""),IF($B$57&gt;Klisz_Verbräuche[[#Headers],[2026]],Refsz_Verbräuche[[#This Row],[2026]],"")))</f>
        <v/>
      </c>
      <c r="R127" s="57" t="str">
        <f>IF(Klisz_Verbräuche[[#Headers],[2027]]=$B$57,IF(COUNTIF($F127:Klisz_Verbräuche[[#This Row],[2026]],"&gt;0")&gt;0, AVERAGEIF($F127:Klisz_Verbräuche[[#This Row],[2026]],"&lt;&gt;"), ""),IF($B$57&lt;Klisz_Verbräuche[[#Headers],[2027]],IF(COUNTIF($F127:Klisz_Verbräuche[[#This Row],[2026]],"&gt;0")&gt;0,IF(COUNTIF($F127:Klisz_Verbräuche[[#This Row],[2026]],"&gt;0")&gt;0,Klisz_Verbräuche[[#This Row],[2026]]*(1-$E127)^1, ""), ""),IF($B$57&gt;Klisz_Verbräuche[[#Headers],[2027]],Refsz_Verbräuche[[#This Row],[2027]],"")))</f>
        <v/>
      </c>
      <c r="S127" s="57" t="str">
        <f>IF(Klisz_Verbräuche[[#Headers],[2028]]=$B$57,IF(COUNTIF($F127:Klisz_Verbräuche[[#This Row],[2027]],"&gt;0")&gt;0, AVERAGEIF($F127:Klisz_Verbräuche[[#This Row],[2027]],"&lt;&gt;"), ""),IF($B$57&lt;Klisz_Verbräuche[[#Headers],[2028]],IF(COUNTIF($F127:Klisz_Verbräuche[[#This Row],[2027]],"&gt;0")&gt;0,IF(COUNTIF($F127:Klisz_Verbräuche[[#This Row],[2027]],"&gt;0")&gt;0,Klisz_Verbräuche[[#This Row],[2027]]*(1-$E127)^1, ""), ""),IF($B$57&gt;Klisz_Verbräuche[[#Headers],[2028]],Refsz_Verbräuche[[#This Row],[2028]],"")))</f>
        <v/>
      </c>
      <c r="T127" s="57" t="str">
        <f>IF(Klisz_Verbräuche[[#Headers],[2029]]=$B$57,IF(COUNTIF($F127:Klisz_Verbräuche[[#This Row],[2028]],"&gt;0")&gt;0, AVERAGEIF($F127:Klisz_Verbräuche[[#This Row],[2028]],"&lt;&gt;"), ""),IF($B$57&lt;Klisz_Verbräuche[[#Headers],[2029]],IF(COUNTIF($F127:Klisz_Verbräuche[[#This Row],[2028]],"&gt;0")&gt;0,IF(COUNTIF($F127:Klisz_Verbräuche[[#This Row],[2028]],"&gt;0")&gt;0,Klisz_Verbräuche[[#This Row],[2028]]*(1-$E127)^1, ""), ""),IF($B$57&gt;Klisz_Verbräuche[[#Headers],[2029]],Refsz_Verbräuche[[#This Row],[2029]],"")))</f>
        <v/>
      </c>
      <c r="U127" s="57" t="str">
        <f>IF(Klisz_Verbräuche[[#Headers],[2030]]=$B$57,IF(COUNTIF($F127:Klisz_Verbräuche[[#This Row],[2029]],"&gt;0")&gt;0, AVERAGEIF($F127:Klisz_Verbräuche[[#This Row],[2029]],"&lt;&gt;"), ""),IF($B$57&lt;Klisz_Verbräuche[[#Headers],[2030]],IF(COUNTIF($F127:Klisz_Verbräuche[[#This Row],[2029]],"&gt;0")&gt;0,IF(COUNTIF($F127:Klisz_Verbräuche[[#This Row],[2029]],"&gt;0")&gt;0,Klisz_Verbräuche[[#This Row],[2029]]*(1-$E127)^1, ""), ""),IF($B$57&gt;Klisz_Verbräuche[[#Headers],[2030]],Refsz_Verbräuche[[#This Row],[2030]],"")))</f>
        <v/>
      </c>
      <c r="V127" s="57" t="str">
        <f>IF(Klisz_Verbräuche[[#Headers],[2035]]=$B$57,IF(COUNTIF($F127:Klisz_Verbräuche[[#This Row],[2030]],"&gt;0")&gt;0, AVERAGEIF($F127:Klisz_Verbräuche[[#This Row],[2030]],"&lt;&gt;"), ""),IF($B$57&lt;Klisz_Verbräuche[[#Headers],[2035]],IF(COUNTIF($F127:Klisz_Verbräuche[[#This Row],[2030]],"&gt;0")&gt;0,IF(COUNTIF($F127:Klisz_Verbräuche[[#This Row],[2030]],"&gt;0")&gt;0,Klisz_Verbräuche[[#This Row],[2030]]*(1-$E127)^5, ""), ""),IF($B$57&gt;Klisz_Verbräuche[[#Headers],[2035]],Refsz_Verbräuche[[#This Row],[2035]],"")))</f>
        <v/>
      </c>
      <c r="W127" s="57" t="str">
        <f>IF(Klisz_Verbräuche[[#Headers],[2040]]=$B$57,IF(COUNTIF($F127:Klisz_Verbräuche[[#This Row],[2035]],"&gt;0")&gt;0, AVERAGEIF($F127:Klisz_Verbräuche[[#This Row],[2035]],"&lt;&gt;"), ""),IF($B$57&lt;Klisz_Verbräuche[[#Headers],[2040]],IF(COUNTIF($F127:Klisz_Verbräuche[[#This Row],[2035]],"&gt;0")&gt;0,IF(COUNTIF($F127:Klisz_Verbräuche[[#This Row],[2035]],"&gt;0")&gt;0,Klisz_Verbräuche[[#This Row],[2035]]*(1-$E127)^5, ""), ""),IF($B$57&gt;Klisz_Verbräuche[[#Headers],[2040]],Refsz_Verbräuche[[#This Row],[2040]],"")))</f>
        <v/>
      </c>
      <c r="X127" s="57" t="str">
        <f>IF(Klisz_Verbräuche[[#Headers],[2045]]=$B$57,IF(COUNTIF($F127:Klisz_Verbräuche[[#This Row],[2040]],"&gt;0")&gt;0, AVERAGEIF($F127:Klisz_Verbräuche[[#This Row],[2040]],"&lt;&gt;"), ""),IF($B$57&lt;Klisz_Verbräuche[[#Headers],[2045]],IF(COUNTIF($F127:Klisz_Verbräuche[[#This Row],[2040]],"&gt;0")&gt;0,IF(COUNTIF($F127:Klisz_Verbräuche[[#This Row],[2040]],"&gt;0")&gt;0,Klisz_Verbräuche[[#This Row],[2040]]*(1-$E127)^5, ""), ""),IF($B$57&gt;Klisz_Verbräuche[[#Headers],[2045]],Refsz_Verbräuche[[#This Row],[2045]],"")))</f>
        <v/>
      </c>
      <c r="Y127" s="57" t="str">
        <f>IF(Klisz_Verbräuche[[#Headers],[2050]]=$B$57,IF(COUNTIF($F127:Klisz_Verbräuche[[#This Row],[2045]],"&gt;0")&gt;0, AVERAGEIF($F127:Klisz_Verbräuche[[#This Row],[2045]],"&lt;&gt;"), ""),IF($B$57&lt;Klisz_Verbräuche[[#Headers],[2050]],IF(COUNTIF($F127:Klisz_Verbräuche[[#This Row],[2045]],"&gt;0")&gt;0,IF(COUNTIF($F127:Klisz_Verbräuche[[#This Row],[2045]],"&gt;0")&gt;0,Klisz_Verbräuche[[#This Row],[2045]]*(1-$E127)^5, ""), ""),IF($B$57&gt;Klisz_Verbräuche[[#Headers],[2050]],Refsz_Verbräuche[[#This Row],[2050]],"")))</f>
        <v/>
      </c>
      <c r="Z127" s="15"/>
    </row>
    <row r="128" spans="2:26" x14ac:dyDescent="0.35">
      <c r="B128" s="15">
        <v>68</v>
      </c>
      <c r="C128" s="20" t="str">
        <f>Refsz_Verbräuche[[#This Row],[Datenpunkt]]</f>
        <v>Pendeln - PKW (Benzin)</v>
      </c>
      <c r="D128" s="29" t="str">
        <f>Refsz_Verbräuche[[#This Row],[Einheit]]</f>
        <v>Fkm</v>
      </c>
      <c r="E128" s="122"/>
      <c r="F128" s="15" t="str">
        <f>IF(ISBLANK(Refsz_Verbräuche[[#This Row],[2015]]),"",Refsz_Verbräuche[[#This Row],[2015]])</f>
        <v/>
      </c>
      <c r="G128" s="15" t="str">
        <f>IF(ISBLANK(Refsz_Verbräuche[[#This Row],[2016]]),"",Refsz_Verbräuche[[#This Row],[2016]])</f>
        <v/>
      </c>
      <c r="H128" s="15" t="str">
        <f>IF(ISBLANK(Refsz_Verbräuche[[#This Row],[2017]]),"",Refsz_Verbräuche[[#This Row],[2017]])</f>
        <v/>
      </c>
      <c r="I128" s="15" t="str">
        <f>IF(ISBLANK(Refsz_Verbräuche[[#This Row],[2018]]),"",Refsz_Verbräuche[[#This Row],[2018]])</f>
        <v/>
      </c>
      <c r="J128" s="15" t="str">
        <f>IF(ISBLANK(Refsz_Verbräuche[[#This Row],[2019]]),"",Refsz_Verbräuche[[#This Row],[2019]])</f>
        <v/>
      </c>
      <c r="K128" s="15" t="str">
        <f>IF(ISBLANK(Refsz_Verbräuche[[#This Row],[2020]]),"",Refsz_Verbräuche[[#This Row],[2020]])</f>
        <v/>
      </c>
      <c r="L128" s="15" t="str">
        <f>IF(ISBLANK(Refsz_Verbräuche[[#This Row],[2021]]),"",Refsz_Verbräuche[[#This Row],[2021]])</f>
        <v/>
      </c>
      <c r="M128" s="57" t="str">
        <f>IF(Klisz_Verbräuche[[#Headers],[2022]]=$B$57,IF(COUNTIF($F128:Klisz_Verbräuche[[#This Row],[2021]],"&gt;0")&gt;0, AVERAGEIF($F128:Klisz_Verbräuche[[#This Row],[2021]],"&lt;&gt;"), ""),IF($B$57&lt;Klisz_Verbräuche[[#Headers],[2022]],IF(COUNTIF($F128:Klisz_Verbräuche[[#This Row],[2021]],"&gt;0")&gt;0,IF(COUNTIF($F128:Klisz_Verbräuche[[#This Row],[2021]],"&gt;0")&gt;0,Klisz_Verbräuche[[#This Row],[2021]]*(1-$E128)^1, ""), ""),IF($B$57&gt;Klisz_Verbräuche[[#Headers],[2022]],Refsz_Verbräuche[[#This Row],[2022]],"")))</f>
        <v/>
      </c>
      <c r="N128" s="57" t="str">
        <f>IF(Klisz_Verbräuche[[#Headers],[2023]]=$B$57,IF(COUNTIF($F128:Klisz_Verbräuche[[#This Row],[2022]],"&gt;0")&gt;0, AVERAGEIF($F128:Klisz_Verbräuche[[#This Row],[2022]],"&lt;&gt;"), ""),IF($B$57&lt;Klisz_Verbräuche[[#Headers],[2023]],IF(COUNTIF($F128:Klisz_Verbräuche[[#This Row],[2022]],"&gt;0")&gt;0,IF(COUNTIF($F128:Klisz_Verbräuche[[#This Row],[2022]],"&gt;0")&gt;0,Klisz_Verbräuche[[#This Row],[2022]]*(1-$E128)^1, ""), ""),IF($B$57&gt;Klisz_Verbräuche[[#Headers],[2023]],Refsz_Verbräuche[[#This Row],[2023]],"")))</f>
        <v/>
      </c>
      <c r="O128" s="57" t="str">
        <f>IF(Klisz_Verbräuche[[#Headers],[2024]]=$B$57,IF(COUNTIF($F128:Klisz_Verbräuche[[#This Row],[2023]],"&gt;0")&gt;0, AVERAGEIF($F128:Klisz_Verbräuche[[#This Row],[2023]],"&lt;&gt;"), ""),IF($B$57&lt;Klisz_Verbräuche[[#Headers],[2024]],IF(COUNTIF($F128:Klisz_Verbräuche[[#This Row],[2023]],"&gt;0")&gt;0,IF(COUNTIF($F128:Klisz_Verbräuche[[#This Row],[2023]],"&gt;0")&gt;0,Klisz_Verbräuche[[#This Row],[2023]]*(1-$E128)^1, ""), ""),IF($B$57&gt;Klisz_Verbräuche[[#Headers],[2024]],Refsz_Verbräuche[[#This Row],[2024]],"")))</f>
        <v/>
      </c>
      <c r="P128" s="57" t="str">
        <f>IF(Klisz_Verbräuche[[#Headers],[2025]]=$B$57,IF(COUNTIF($F128:Klisz_Verbräuche[[#This Row],[2024]],"&gt;0")&gt;0, AVERAGEIF($F128:Klisz_Verbräuche[[#This Row],[2024]],"&lt;&gt;"), ""),IF($B$57&lt;Klisz_Verbräuche[[#Headers],[2025]],IF(COUNTIF($F128:Klisz_Verbräuche[[#This Row],[2024]],"&gt;0")&gt;0,IF(COUNTIF($F128:Klisz_Verbräuche[[#This Row],[2024]],"&gt;0")&gt;0,Klisz_Verbräuche[[#This Row],[2024]]*(1-$E128)^1, ""), ""),IF($B$57&gt;Klisz_Verbräuche[[#Headers],[2025]],Refsz_Verbräuche[[#This Row],[2025]],"")))</f>
        <v/>
      </c>
      <c r="Q128" s="57" t="str">
        <f>IF(Klisz_Verbräuche[[#Headers],[2026]]=$B$57,IF(COUNTIF($F128:Klisz_Verbräuche[[#This Row],[2025]],"&gt;0")&gt;0, AVERAGEIF($F128:Klisz_Verbräuche[[#This Row],[2025]],"&lt;&gt;"), ""),IF($B$57&lt;Klisz_Verbräuche[[#Headers],[2026]],IF(COUNTIF($F128:Klisz_Verbräuche[[#This Row],[2025]],"&gt;0")&gt;0,IF(COUNTIF($F128:Klisz_Verbräuche[[#This Row],[2025]],"&gt;0")&gt;0,Klisz_Verbräuche[[#This Row],[2025]]*(1-$E128)^1, ""), ""),IF($B$57&gt;Klisz_Verbräuche[[#Headers],[2026]],Refsz_Verbräuche[[#This Row],[2026]],"")))</f>
        <v/>
      </c>
      <c r="R128" s="57" t="str">
        <f>IF(Klisz_Verbräuche[[#Headers],[2027]]=$B$57,IF(COUNTIF($F128:Klisz_Verbräuche[[#This Row],[2026]],"&gt;0")&gt;0, AVERAGEIF($F128:Klisz_Verbräuche[[#This Row],[2026]],"&lt;&gt;"), ""),IF($B$57&lt;Klisz_Verbräuche[[#Headers],[2027]],IF(COUNTIF($F128:Klisz_Verbräuche[[#This Row],[2026]],"&gt;0")&gt;0,IF(COUNTIF($F128:Klisz_Verbräuche[[#This Row],[2026]],"&gt;0")&gt;0,Klisz_Verbräuche[[#This Row],[2026]]*(1-$E128)^1, ""), ""),IF($B$57&gt;Klisz_Verbräuche[[#Headers],[2027]],Refsz_Verbräuche[[#This Row],[2027]],"")))</f>
        <v/>
      </c>
      <c r="S128" s="57" t="str">
        <f>IF(Klisz_Verbräuche[[#Headers],[2028]]=$B$57,IF(COUNTIF($F128:Klisz_Verbräuche[[#This Row],[2027]],"&gt;0")&gt;0, AVERAGEIF($F128:Klisz_Verbräuche[[#This Row],[2027]],"&lt;&gt;"), ""),IF($B$57&lt;Klisz_Verbräuche[[#Headers],[2028]],IF(COUNTIF($F128:Klisz_Verbräuche[[#This Row],[2027]],"&gt;0")&gt;0,IF(COUNTIF($F128:Klisz_Verbräuche[[#This Row],[2027]],"&gt;0")&gt;0,Klisz_Verbräuche[[#This Row],[2027]]*(1-$E128)^1, ""), ""),IF($B$57&gt;Klisz_Verbräuche[[#Headers],[2028]],Refsz_Verbräuche[[#This Row],[2028]],"")))</f>
        <v/>
      </c>
      <c r="T128" s="57" t="str">
        <f>IF(Klisz_Verbräuche[[#Headers],[2029]]=$B$57,IF(COUNTIF($F128:Klisz_Verbräuche[[#This Row],[2028]],"&gt;0")&gt;0, AVERAGEIF($F128:Klisz_Verbräuche[[#This Row],[2028]],"&lt;&gt;"), ""),IF($B$57&lt;Klisz_Verbräuche[[#Headers],[2029]],IF(COUNTIF($F128:Klisz_Verbräuche[[#This Row],[2028]],"&gt;0")&gt;0,IF(COUNTIF($F128:Klisz_Verbräuche[[#This Row],[2028]],"&gt;0")&gt;0,Klisz_Verbräuche[[#This Row],[2028]]*(1-$E128)^1, ""), ""),IF($B$57&gt;Klisz_Verbräuche[[#Headers],[2029]],Refsz_Verbräuche[[#This Row],[2029]],"")))</f>
        <v/>
      </c>
      <c r="U128" s="57" t="str">
        <f>IF(Klisz_Verbräuche[[#Headers],[2030]]=$B$57,IF(COUNTIF($F128:Klisz_Verbräuche[[#This Row],[2029]],"&gt;0")&gt;0, AVERAGEIF($F128:Klisz_Verbräuche[[#This Row],[2029]],"&lt;&gt;"), ""),IF($B$57&lt;Klisz_Verbräuche[[#Headers],[2030]],IF(COUNTIF($F128:Klisz_Verbräuche[[#This Row],[2029]],"&gt;0")&gt;0,IF(COUNTIF($F128:Klisz_Verbräuche[[#This Row],[2029]],"&gt;0")&gt;0,Klisz_Verbräuche[[#This Row],[2029]]*(1-$E128)^1, ""), ""),IF($B$57&gt;Klisz_Verbräuche[[#Headers],[2030]],Refsz_Verbräuche[[#This Row],[2030]],"")))</f>
        <v/>
      </c>
      <c r="V128" s="57" t="str">
        <f>IF(Klisz_Verbräuche[[#Headers],[2035]]=$B$57,IF(COUNTIF($F128:Klisz_Verbräuche[[#This Row],[2030]],"&gt;0")&gt;0, AVERAGEIF($F128:Klisz_Verbräuche[[#This Row],[2030]],"&lt;&gt;"), ""),IF($B$57&lt;Klisz_Verbräuche[[#Headers],[2035]],IF(COUNTIF($F128:Klisz_Verbräuche[[#This Row],[2030]],"&gt;0")&gt;0,IF(COUNTIF($F128:Klisz_Verbräuche[[#This Row],[2030]],"&gt;0")&gt;0,Klisz_Verbräuche[[#This Row],[2030]]*(1-$E128)^5, ""), ""),IF($B$57&gt;Klisz_Verbräuche[[#Headers],[2035]],Refsz_Verbräuche[[#This Row],[2035]],"")))</f>
        <v/>
      </c>
      <c r="W128" s="57" t="str">
        <f>IF(Klisz_Verbräuche[[#Headers],[2040]]=$B$57,IF(COUNTIF($F128:Klisz_Verbräuche[[#This Row],[2035]],"&gt;0")&gt;0, AVERAGEIF($F128:Klisz_Verbräuche[[#This Row],[2035]],"&lt;&gt;"), ""),IF($B$57&lt;Klisz_Verbräuche[[#Headers],[2040]],IF(COUNTIF($F128:Klisz_Verbräuche[[#This Row],[2035]],"&gt;0")&gt;0,IF(COUNTIF($F128:Klisz_Verbräuche[[#This Row],[2035]],"&gt;0")&gt;0,Klisz_Verbräuche[[#This Row],[2035]]*(1-$E128)^5, ""), ""),IF($B$57&gt;Klisz_Verbräuche[[#Headers],[2040]],Refsz_Verbräuche[[#This Row],[2040]],"")))</f>
        <v/>
      </c>
      <c r="X128" s="57" t="str">
        <f>IF(Klisz_Verbräuche[[#Headers],[2045]]=$B$57,IF(COUNTIF($F128:Klisz_Verbräuche[[#This Row],[2040]],"&gt;0")&gt;0, AVERAGEIF($F128:Klisz_Verbräuche[[#This Row],[2040]],"&lt;&gt;"), ""),IF($B$57&lt;Klisz_Verbräuche[[#Headers],[2045]],IF(COUNTIF($F128:Klisz_Verbräuche[[#This Row],[2040]],"&gt;0")&gt;0,IF(COUNTIF($F128:Klisz_Verbräuche[[#This Row],[2040]],"&gt;0")&gt;0,Klisz_Verbräuche[[#This Row],[2040]]*(1-$E128)^5, ""), ""),IF($B$57&gt;Klisz_Verbräuche[[#Headers],[2045]],Refsz_Verbräuche[[#This Row],[2045]],"")))</f>
        <v/>
      </c>
      <c r="Y128" s="57" t="str">
        <f>IF(Klisz_Verbräuche[[#Headers],[2050]]=$B$57,IF(COUNTIF($F128:Klisz_Verbräuche[[#This Row],[2045]],"&gt;0")&gt;0, AVERAGEIF($F128:Klisz_Verbräuche[[#This Row],[2045]],"&lt;&gt;"), ""),IF($B$57&lt;Klisz_Verbräuche[[#Headers],[2050]],IF(COUNTIF($F128:Klisz_Verbräuche[[#This Row],[2045]],"&gt;0")&gt;0,IF(COUNTIF($F128:Klisz_Verbräuche[[#This Row],[2045]],"&gt;0")&gt;0,Klisz_Verbräuche[[#This Row],[2045]]*(1-$E128)^5, ""), ""),IF($B$57&gt;Klisz_Verbräuche[[#Headers],[2050]],Refsz_Verbräuche[[#This Row],[2050]],"")))</f>
        <v/>
      </c>
      <c r="Z128" s="15"/>
    </row>
    <row r="129" spans="2:26" x14ac:dyDescent="0.35">
      <c r="B129" s="15">
        <v>69</v>
      </c>
      <c r="C129" s="20" t="str">
        <f>Refsz_Verbräuche[[#This Row],[Datenpunkt]]</f>
        <v>Pendeln - PKW (E-Auto/ BEV)</v>
      </c>
      <c r="D129" s="29" t="str">
        <f>Refsz_Verbräuche[[#This Row],[Einheit]]</f>
        <v>Fkm</v>
      </c>
      <c r="E129" s="122"/>
      <c r="F129" s="15" t="str">
        <f>IF(ISBLANK(Refsz_Verbräuche[[#This Row],[2015]]),"",Refsz_Verbräuche[[#This Row],[2015]])</f>
        <v/>
      </c>
      <c r="G129" s="15" t="str">
        <f>IF(ISBLANK(Refsz_Verbräuche[[#This Row],[2016]]),"",Refsz_Verbräuche[[#This Row],[2016]])</f>
        <v/>
      </c>
      <c r="H129" s="15" t="str">
        <f>IF(ISBLANK(Refsz_Verbräuche[[#This Row],[2017]]),"",Refsz_Verbräuche[[#This Row],[2017]])</f>
        <v/>
      </c>
      <c r="I129" s="15" t="str">
        <f>IF(ISBLANK(Refsz_Verbräuche[[#This Row],[2018]]),"",Refsz_Verbräuche[[#This Row],[2018]])</f>
        <v/>
      </c>
      <c r="J129" s="15" t="str">
        <f>IF(ISBLANK(Refsz_Verbräuche[[#This Row],[2019]]),"",Refsz_Verbräuche[[#This Row],[2019]])</f>
        <v/>
      </c>
      <c r="K129" s="15" t="str">
        <f>IF(ISBLANK(Refsz_Verbräuche[[#This Row],[2020]]),"",Refsz_Verbräuche[[#This Row],[2020]])</f>
        <v/>
      </c>
      <c r="L129" s="15" t="str">
        <f>IF(ISBLANK(Refsz_Verbräuche[[#This Row],[2021]]),"",Refsz_Verbräuche[[#This Row],[2021]])</f>
        <v/>
      </c>
      <c r="M129" s="57" t="str">
        <f>IF(Klisz_Verbräuche[[#Headers],[2022]]=$B$57,IF(COUNTIF($F129:Klisz_Verbräuche[[#This Row],[2021]],"&gt;0")&gt;0, AVERAGEIF($F129:Klisz_Verbräuche[[#This Row],[2021]],"&lt;&gt;"), ""),IF($B$57&lt;Klisz_Verbräuche[[#Headers],[2022]],IF(COUNTIF($F129:Klisz_Verbräuche[[#This Row],[2021]],"&gt;0")&gt;0,IF(COUNTIF($F129:Klisz_Verbräuche[[#This Row],[2021]],"&gt;0")&gt;0,Klisz_Verbräuche[[#This Row],[2021]]*(1-$E129)^1, ""), ""),IF($B$57&gt;Klisz_Verbräuche[[#Headers],[2022]],Refsz_Verbräuche[[#This Row],[2022]],"")))</f>
        <v/>
      </c>
      <c r="N129" s="57" t="str">
        <f>IF(Klisz_Verbräuche[[#Headers],[2023]]=$B$57,IF(COUNTIF($F129:Klisz_Verbräuche[[#This Row],[2022]],"&gt;0")&gt;0, AVERAGEIF($F129:Klisz_Verbräuche[[#This Row],[2022]],"&lt;&gt;"), ""),IF($B$57&lt;Klisz_Verbräuche[[#Headers],[2023]],IF(COUNTIF($F129:Klisz_Verbräuche[[#This Row],[2022]],"&gt;0")&gt;0,IF(COUNTIF($F129:Klisz_Verbräuche[[#This Row],[2022]],"&gt;0")&gt;0,Klisz_Verbräuche[[#This Row],[2022]]*(1-$E129)^1, ""), ""),IF($B$57&gt;Klisz_Verbräuche[[#Headers],[2023]],Refsz_Verbräuche[[#This Row],[2023]],"")))</f>
        <v/>
      </c>
      <c r="O129" s="57" t="str">
        <f>IF(Klisz_Verbräuche[[#Headers],[2024]]=$B$57,IF(COUNTIF($F129:Klisz_Verbräuche[[#This Row],[2023]],"&gt;0")&gt;0, AVERAGEIF($F129:Klisz_Verbräuche[[#This Row],[2023]],"&lt;&gt;"), ""),IF($B$57&lt;Klisz_Verbräuche[[#Headers],[2024]],IF(COUNTIF($F129:Klisz_Verbräuche[[#This Row],[2023]],"&gt;0")&gt;0,IF(COUNTIF($F129:Klisz_Verbräuche[[#This Row],[2023]],"&gt;0")&gt;0,Klisz_Verbräuche[[#This Row],[2023]]*(1-$E129)^1, ""), ""),IF($B$57&gt;Klisz_Verbräuche[[#Headers],[2024]],Refsz_Verbräuche[[#This Row],[2024]],"")))</f>
        <v/>
      </c>
      <c r="P129" s="57" t="str">
        <f>IF(Klisz_Verbräuche[[#Headers],[2025]]=$B$57,IF(COUNTIF($F129:Klisz_Verbräuche[[#This Row],[2024]],"&gt;0")&gt;0, AVERAGEIF($F129:Klisz_Verbräuche[[#This Row],[2024]],"&lt;&gt;"), ""),IF($B$57&lt;Klisz_Verbräuche[[#Headers],[2025]],IF(COUNTIF($F129:Klisz_Verbräuche[[#This Row],[2024]],"&gt;0")&gt;0,IF(COUNTIF($F129:Klisz_Verbräuche[[#This Row],[2024]],"&gt;0")&gt;0,Klisz_Verbräuche[[#This Row],[2024]]*(1-$E129)^1, ""), ""),IF($B$57&gt;Klisz_Verbräuche[[#Headers],[2025]],Refsz_Verbräuche[[#This Row],[2025]],"")))</f>
        <v/>
      </c>
      <c r="Q129" s="57" t="str">
        <f>IF(Klisz_Verbräuche[[#Headers],[2026]]=$B$57,IF(COUNTIF($F129:Klisz_Verbräuche[[#This Row],[2025]],"&gt;0")&gt;0, AVERAGEIF($F129:Klisz_Verbräuche[[#This Row],[2025]],"&lt;&gt;"), ""),IF($B$57&lt;Klisz_Verbräuche[[#Headers],[2026]],IF(COUNTIF($F129:Klisz_Verbräuche[[#This Row],[2025]],"&gt;0")&gt;0,IF(COUNTIF($F129:Klisz_Verbräuche[[#This Row],[2025]],"&gt;0")&gt;0,Klisz_Verbräuche[[#This Row],[2025]]*(1-$E129)^1, ""), ""),IF($B$57&gt;Klisz_Verbräuche[[#Headers],[2026]],Refsz_Verbräuche[[#This Row],[2026]],"")))</f>
        <v/>
      </c>
      <c r="R129" s="57" t="str">
        <f>IF(Klisz_Verbräuche[[#Headers],[2027]]=$B$57,IF(COUNTIF($F129:Klisz_Verbräuche[[#This Row],[2026]],"&gt;0")&gt;0, AVERAGEIF($F129:Klisz_Verbräuche[[#This Row],[2026]],"&lt;&gt;"), ""),IF($B$57&lt;Klisz_Verbräuche[[#Headers],[2027]],IF(COUNTIF($F129:Klisz_Verbräuche[[#This Row],[2026]],"&gt;0")&gt;0,IF(COUNTIF($F129:Klisz_Verbräuche[[#This Row],[2026]],"&gt;0")&gt;0,Klisz_Verbräuche[[#This Row],[2026]]*(1-$E129)^1, ""), ""),IF($B$57&gt;Klisz_Verbräuche[[#Headers],[2027]],Refsz_Verbräuche[[#This Row],[2027]],"")))</f>
        <v/>
      </c>
      <c r="S129" s="57" t="str">
        <f>IF(Klisz_Verbräuche[[#Headers],[2028]]=$B$57,IF(COUNTIF($F129:Klisz_Verbräuche[[#This Row],[2027]],"&gt;0")&gt;0, AVERAGEIF($F129:Klisz_Verbräuche[[#This Row],[2027]],"&lt;&gt;"), ""),IF($B$57&lt;Klisz_Verbräuche[[#Headers],[2028]],IF(COUNTIF($F129:Klisz_Verbräuche[[#This Row],[2027]],"&gt;0")&gt;0,IF(COUNTIF($F129:Klisz_Verbräuche[[#This Row],[2027]],"&gt;0")&gt;0,Klisz_Verbräuche[[#This Row],[2027]]*(1-$E129)^1, ""), ""),IF($B$57&gt;Klisz_Verbräuche[[#Headers],[2028]],Refsz_Verbräuche[[#This Row],[2028]],"")))</f>
        <v/>
      </c>
      <c r="T129" s="57" t="str">
        <f>IF(Klisz_Verbräuche[[#Headers],[2029]]=$B$57,IF(COUNTIF($F129:Klisz_Verbräuche[[#This Row],[2028]],"&gt;0")&gt;0, AVERAGEIF($F129:Klisz_Verbräuche[[#This Row],[2028]],"&lt;&gt;"), ""),IF($B$57&lt;Klisz_Verbräuche[[#Headers],[2029]],IF(COUNTIF($F129:Klisz_Verbräuche[[#This Row],[2028]],"&gt;0")&gt;0,IF(COUNTIF($F129:Klisz_Verbräuche[[#This Row],[2028]],"&gt;0")&gt;0,Klisz_Verbräuche[[#This Row],[2028]]*(1-$E129)^1, ""), ""),IF($B$57&gt;Klisz_Verbräuche[[#Headers],[2029]],Refsz_Verbräuche[[#This Row],[2029]],"")))</f>
        <v/>
      </c>
      <c r="U129" s="57" t="str">
        <f>IF(Klisz_Verbräuche[[#Headers],[2030]]=$B$57,IF(COUNTIF($F129:Klisz_Verbräuche[[#This Row],[2029]],"&gt;0")&gt;0, AVERAGEIF($F129:Klisz_Verbräuche[[#This Row],[2029]],"&lt;&gt;"), ""),IF($B$57&lt;Klisz_Verbräuche[[#Headers],[2030]],IF(COUNTIF($F129:Klisz_Verbräuche[[#This Row],[2029]],"&gt;0")&gt;0,IF(COUNTIF($F129:Klisz_Verbräuche[[#This Row],[2029]],"&gt;0")&gt;0,Klisz_Verbräuche[[#This Row],[2029]]*(1-$E129)^1, ""), ""),IF($B$57&gt;Klisz_Verbräuche[[#Headers],[2030]],Refsz_Verbräuche[[#This Row],[2030]],"")))</f>
        <v/>
      </c>
      <c r="V129" s="57" t="str">
        <f>IF(Klisz_Verbräuche[[#Headers],[2035]]=$B$57,IF(COUNTIF($F129:Klisz_Verbräuche[[#This Row],[2030]],"&gt;0")&gt;0, AVERAGEIF($F129:Klisz_Verbräuche[[#This Row],[2030]],"&lt;&gt;"), ""),IF($B$57&lt;Klisz_Verbräuche[[#Headers],[2035]],IF(COUNTIF($F129:Klisz_Verbräuche[[#This Row],[2030]],"&gt;0")&gt;0,IF(COUNTIF($F129:Klisz_Verbräuche[[#This Row],[2030]],"&gt;0")&gt;0,Klisz_Verbräuche[[#This Row],[2030]]*(1-$E129)^5, ""), ""),IF($B$57&gt;Klisz_Verbräuche[[#Headers],[2035]],Refsz_Verbräuche[[#This Row],[2035]],"")))</f>
        <v/>
      </c>
      <c r="W129" s="57" t="str">
        <f>IF(Klisz_Verbräuche[[#Headers],[2040]]=$B$57,IF(COUNTIF($F129:Klisz_Verbräuche[[#This Row],[2035]],"&gt;0")&gt;0, AVERAGEIF($F129:Klisz_Verbräuche[[#This Row],[2035]],"&lt;&gt;"), ""),IF($B$57&lt;Klisz_Verbräuche[[#Headers],[2040]],IF(COUNTIF($F129:Klisz_Verbräuche[[#This Row],[2035]],"&gt;0")&gt;0,IF(COUNTIF($F129:Klisz_Verbräuche[[#This Row],[2035]],"&gt;0")&gt;0,Klisz_Verbräuche[[#This Row],[2035]]*(1-$E129)^5, ""), ""),IF($B$57&gt;Klisz_Verbräuche[[#Headers],[2040]],Refsz_Verbräuche[[#This Row],[2040]],"")))</f>
        <v/>
      </c>
      <c r="X129" s="57" t="str">
        <f>IF(Klisz_Verbräuche[[#Headers],[2045]]=$B$57,IF(COUNTIF($F129:Klisz_Verbräuche[[#This Row],[2040]],"&gt;0")&gt;0, AVERAGEIF($F129:Klisz_Verbräuche[[#This Row],[2040]],"&lt;&gt;"), ""),IF($B$57&lt;Klisz_Verbräuche[[#Headers],[2045]],IF(COUNTIF($F129:Klisz_Verbräuche[[#This Row],[2040]],"&gt;0")&gt;0,IF(COUNTIF($F129:Klisz_Verbräuche[[#This Row],[2040]],"&gt;0")&gt;0,Klisz_Verbräuche[[#This Row],[2040]]*(1-$E129)^5, ""), ""),IF($B$57&gt;Klisz_Verbräuche[[#Headers],[2045]],Refsz_Verbräuche[[#This Row],[2045]],"")))</f>
        <v/>
      </c>
      <c r="Y129" s="57" t="str">
        <f>IF(Klisz_Verbräuche[[#Headers],[2050]]=$B$57,IF(COUNTIF($F129:Klisz_Verbräuche[[#This Row],[2045]],"&gt;0")&gt;0, AVERAGEIF($F129:Klisz_Verbräuche[[#This Row],[2045]],"&lt;&gt;"), ""),IF($B$57&lt;Klisz_Verbräuche[[#Headers],[2050]],IF(COUNTIF($F129:Klisz_Verbräuche[[#This Row],[2045]],"&gt;0")&gt;0,IF(COUNTIF($F129:Klisz_Verbräuche[[#This Row],[2045]],"&gt;0")&gt;0,Klisz_Verbräuche[[#This Row],[2045]]*(1-$E129)^5, ""), ""),IF($B$57&gt;Klisz_Verbräuche[[#Headers],[2050]],Refsz_Verbräuche[[#This Row],[2050]],"")))</f>
        <v/>
      </c>
      <c r="Z129" s="15"/>
    </row>
    <row r="130" spans="2:26" x14ac:dyDescent="0.35">
      <c r="B130" s="15">
        <v>70</v>
      </c>
      <c r="C130" s="20" t="str">
        <f>Refsz_Verbräuche[[#This Row],[Datenpunkt]]</f>
        <v>Pendeln - PKW (Wasserstoff/ FCEV)</v>
      </c>
      <c r="D130" s="29" t="str">
        <f>Refsz_Verbräuche[[#This Row],[Einheit]]</f>
        <v>Fkm</v>
      </c>
      <c r="E130" s="122"/>
      <c r="F130" s="15" t="str">
        <f>IF(ISBLANK(Refsz_Verbräuche[[#This Row],[2015]]),"",Refsz_Verbräuche[[#This Row],[2015]])</f>
        <v/>
      </c>
      <c r="G130" s="15" t="str">
        <f>IF(ISBLANK(Refsz_Verbräuche[[#This Row],[2016]]),"",Refsz_Verbräuche[[#This Row],[2016]])</f>
        <v/>
      </c>
      <c r="H130" s="15" t="str">
        <f>IF(ISBLANK(Refsz_Verbräuche[[#This Row],[2017]]),"",Refsz_Verbräuche[[#This Row],[2017]])</f>
        <v/>
      </c>
      <c r="I130" s="15" t="str">
        <f>IF(ISBLANK(Refsz_Verbräuche[[#This Row],[2018]]),"",Refsz_Verbräuche[[#This Row],[2018]])</f>
        <v/>
      </c>
      <c r="J130" s="15" t="str">
        <f>IF(ISBLANK(Refsz_Verbräuche[[#This Row],[2019]]),"",Refsz_Verbräuche[[#This Row],[2019]])</f>
        <v/>
      </c>
      <c r="K130" s="15" t="str">
        <f>IF(ISBLANK(Refsz_Verbräuche[[#This Row],[2020]]),"",Refsz_Verbräuche[[#This Row],[2020]])</f>
        <v/>
      </c>
      <c r="L130" s="15" t="str">
        <f>IF(ISBLANK(Refsz_Verbräuche[[#This Row],[2021]]),"",Refsz_Verbräuche[[#This Row],[2021]])</f>
        <v/>
      </c>
      <c r="M130" s="57" t="str">
        <f>IF(Klisz_Verbräuche[[#Headers],[2022]]=$B$57,IF(COUNTIF($F130:Klisz_Verbräuche[[#This Row],[2021]],"&gt;0")&gt;0, AVERAGEIF($F130:Klisz_Verbräuche[[#This Row],[2021]],"&lt;&gt;"), ""),IF($B$57&lt;Klisz_Verbräuche[[#Headers],[2022]],IF(COUNTIF($F130:Klisz_Verbräuche[[#This Row],[2021]],"&gt;0")&gt;0,IF(COUNTIF($F130:Klisz_Verbräuche[[#This Row],[2021]],"&gt;0")&gt;0,Klisz_Verbräuche[[#This Row],[2021]]*(1-$E130)^1, ""), ""),IF($B$57&gt;Klisz_Verbräuche[[#Headers],[2022]],Refsz_Verbräuche[[#This Row],[2022]],"")))</f>
        <v/>
      </c>
      <c r="N130" s="57" t="str">
        <f>IF(Klisz_Verbräuche[[#Headers],[2023]]=$B$57,IF(COUNTIF($F130:Klisz_Verbräuche[[#This Row],[2022]],"&gt;0")&gt;0, AVERAGEIF($F130:Klisz_Verbräuche[[#This Row],[2022]],"&lt;&gt;"), ""),IF($B$57&lt;Klisz_Verbräuche[[#Headers],[2023]],IF(COUNTIF($F130:Klisz_Verbräuche[[#This Row],[2022]],"&gt;0")&gt;0,IF(COUNTIF($F130:Klisz_Verbräuche[[#This Row],[2022]],"&gt;0")&gt;0,Klisz_Verbräuche[[#This Row],[2022]]*(1-$E130)^1, ""), ""),IF($B$57&gt;Klisz_Verbräuche[[#Headers],[2023]],Refsz_Verbräuche[[#This Row],[2023]],"")))</f>
        <v/>
      </c>
      <c r="O130" s="57" t="str">
        <f>IF(Klisz_Verbräuche[[#Headers],[2024]]=$B$57,IF(COUNTIF($F130:Klisz_Verbräuche[[#This Row],[2023]],"&gt;0")&gt;0, AVERAGEIF($F130:Klisz_Verbräuche[[#This Row],[2023]],"&lt;&gt;"), ""),IF($B$57&lt;Klisz_Verbräuche[[#Headers],[2024]],IF(COUNTIF($F130:Klisz_Verbräuche[[#This Row],[2023]],"&gt;0")&gt;0,IF(COUNTIF($F130:Klisz_Verbräuche[[#This Row],[2023]],"&gt;0")&gt;0,Klisz_Verbräuche[[#This Row],[2023]]*(1-$E130)^1, ""), ""),IF($B$57&gt;Klisz_Verbräuche[[#Headers],[2024]],Refsz_Verbräuche[[#This Row],[2024]],"")))</f>
        <v/>
      </c>
      <c r="P130" s="57" t="str">
        <f>IF(Klisz_Verbräuche[[#Headers],[2025]]=$B$57,IF(COUNTIF($F130:Klisz_Verbräuche[[#This Row],[2024]],"&gt;0")&gt;0, AVERAGEIF($F130:Klisz_Verbräuche[[#This Row],[2024]],"&lt;&gt;"), ""),IF($B$57&lt;Klisz_Verbräuche[[#Headers],[2025]],IF(COUNTIF($F130:Klisz_Verbräuche[[#This Row],[2024]],"&gt;0")&gt;0,IF(COUNTIF($F130:Klisz_Verbräuche[[#This Row],[2024]],"&gt;0")&gt;0,Klisz_Verbräuche[[#This Row],[2024]]*(1-$E130)^1, ""), ""),IF($B$57&gt;Klisz_Verbräuche[[#Headers],[2025]],Refsz_Verbräuche[[#This Row],[2025]],"")))</f>
        <v/>
      </c>
      <c r="Q130" s="57" t="str">
        <f>IF(Klisz_Verbräuche[[#Headers],[2026]]=$B$57,IF(COUNTIF($F130:Klisz_Verbräuche[[#This Row],[2025]],"&gt;0")&gt;0, AVERAGEIF($F130:Klisz_Verbräuche[[#This Row],[2025]],"&lt;&gt;"), ""),IF($B$57&lt;Klisz_Verbräuche[[#Headers],[2026]],IF(COUNTIF($F130:Klisz_Verbräuche[[#This Row],[2025]],"&gt;0")&gt;0,IF(COUNTIF($F130:Klisz_Verbräuche[[#This Row],[2025]],"&gt;0")&gt;0,Klisz_Verbräuche[[#This Row],[2025]]*(1-$E130)^1, ""), ""),IF($B$57&gt;Klisz_Verbräuche[[#Headers],[2026]],Refsz_Verbräuche[[#This Row],[2026]],"")))</f>
        <v/>
      </c>
      <c r="R130" s="57" t="str">
        <f>IF(Klisz_Verbräuche[[#Headers],[2027]]=$B$57,IF(COUNTIF($F130:Klisz_Verbräuche[[#This Row],[2026]],"&gt;0")&gt;0, AVERAGEIF($F130:Klisz_Verbräuche[[#This Row],[2026]],"&lt;&gt;"), ""),IF($B$57&lt;Klisz_Verbräuche[[#Headers],[2027]],IF(COUNTIF($F130:Klisz_Verbräuche[[#This Row],[2026]],"&gt;0")&gt;0,IF(COUNTIF($F130:Klisz_Verbräuche[[#This Row],[2026]],"&gt;0")&gt;0,Klisz_Verbräuche[[#This Row],[2026]]*(1-$E130)^1, ""), ""),IF($B$57&gt;Klisz_Verbräuche[[#Headers],[2027]],Refsz_Verbräuche[[#This Row],[2027]],"")))</f>
        <v/>
      </c>
      <c r="S130" s="57" t="str">
        <f>IF(Klisz_Verbräuche[[#Headers],[2028]]=$B$57,IF(COUNTIF($F130:Klisz_Verbräuche[[#This Row],[2027]],"&gt;0")&gt;0, AVERAGEIF($F130:Klisz_Verbräuche[[#This Row],[2027]],"&lt;&gt;"), ""),IF($B$57&lt;Klisz_Verbräuche[[#Headers],[2028]],IF(COUNTIF($F130:Klisz_Verbräuche[[#This Row],[2027]],"&gt;0")&gt;0,IF(COUNTIF($F130:Klisz_Verbräuche[[#This Row],[2027]],"&gt;0")&gt;0,Klisz_Verbräuche[[#This Row],[2027]]*(1-$E130)^1, ""), ""),IF($B$57&gt;Klisz_Verbräuche[[#Headers],[2028]],Refsz_Verbräuche[[#This Row],[2028]],"")))</f>
        <v/>
      </c>
      <c r="T130" s="57" t="str">
        <f>IF(Klisz_Verbräuche[[#Headers],[2029]]=$B$57,IF(COUNTIF($F130:Klisz_Verbräuche[[#This Row],[2028]],"&gt;0")&gt;0, AVERAGEIF($F130:Klisz_Verbräuche[[#This Row],[2028]],"&lt;&gt;"), ""),IF($B$57&lt;Klisz_Verbräuche[[#Headers],[2029]],IF(COUNTIF($F130:Klisz_Verbräuche[[#This Row],[2028]],"&gt;0")&gt;0,IF(COUNTIF($F130:Klisz_Verbräuche[[#This Row],[2028]],"&gt;0")&gt;0,Klisz_Verbräuche[[#This Row],[2028]]*(1-$E130)^1, ""), ""),IF($B$57&gt;Klisz_Verbräuche[[#Headers],[2029]],Refsz_Verbräuche[[#This Row],[2029]],"")))</f>
        <v/>
      </c>
      <c r="U130" s="57" t="str">
        <f>IF(Klisz_Verbräuche[[#Headers],[2030]]=$B$57,IF(COUNTIF($F130:Klisz_Verbräuche[[#This Row],[2029]],"&gt;0")&gt;0, AVERAGEIF($F130:Klisz_Verbräuche[[#This Row],[2029]],"&lt;&gt;"), ""),IF($B$57&lt;Klisz_Verbräuche[[#Headers],[2030]],IF(COUNTIF($F130:Klisz_Verbräuche[[#This Row],[2029]],"&gt;0")&gt;0,IF(COUNTIF($F130:Klisz_Verbräuche[[#This Row],[2029]],"&gt;0")&gt;0,Klisz_Verbräuche[[#This Row],[2029]]*(1-$E130)^1, ""), ""),IF($B$57&gt;Klisz_Verbräuche[[#Headers],[2030]],Refsz_Verbräuche[[#This Row],[2030]],"")))</f>
        <v/>
      </c>
      <c r="V130" s="57" t="str">
        <f>IF(Klisz_Verbräuche[[#Headers],[2035]]=$B$57,IF(COUNTIF($F130:Klisz_Verbräuche[[#This Row],[2030]],"&gt;0")&gt;0, AVERAGEIF($F130:Klisz_Verbräuche[[#This Row],[2030]],"&lt;&gt;"), ""),IF($B$57&lt;Klisz_Verbräuche[[#Headers],[2035]],IF(COUNTIF($F130:Klisz_Verbräuche[[#This Row],[2030]],"&gt;0")&gt;0,IF(COUNTIF($F130:Klisz_Verbräuche[[#This Row],[2030]],"&gt;0")&gt;0,Klisz_Verbräuche[[#This Row],[2030]]*(1-$E130)^5, ""), ""),IF($B$57&gt;Klisz_Verbräuche[[#Headers],[2035]],Refsz_Verbräuche[[#This Row],[2035]],"")))</f>
        <v/>
      </c>
      <c r="W130" s="57" t="str">
        <f>IF(Klisz_Verbräuche[[#Headers],[2040]]=$B$57,IF(COUNTIF($F130:Klisz_Verbräuche[[#This Row],[2035]],"&gt;0")&gt;0, AVERAGEIF($F130:Klisz_Verbräuche[[#This Row],[2035]],"&lt;&gt;"), ""),IF($B$57&lt;Klisz_Verbräuche[[#Headers],[2040]],IF(COUNTIF($F130:Klisz_Verbräuche[[#This Row],[2035]],"&gt;0")&gt;0,IF(COUNTIF($F130:Klisz_Verbräuche[[#This Row],[2035]],"&gt;0")&gt;0,Klisz_Verbräuche[[#This Row],[2035]]*(1-$E130)^5, ""), ""),IF($B$57&gt;Klisz_Verbräuche[[#Headers],[2040]],Refsz_Verbräuche[[#This Row],[2040]],"")))</f>
        <v/>
      </c>
      <c r="X130" s="57" t="str">
        <f>IF(Klisz_Verbräuche[[#Headers],[2045]]=$B$57,IF(COUNTIF($F130:Klisz_Verbräuche[[#This Row],[2040]],"&gt;0")&gt;0, AVERAGEIF($F130:Klisz_Verbräuche[[#This Row],[2040]],"&lt;&gt;"), ""),IF($B$57&lt;Klisz_Verbräuche[[#Headers],[2045]],IF(COUNTIF($F130:Klisz_Verbräuche[[#This Row],[2040]],"&gt;0")&gt;0,IF(COUNTIF($F130:Klisz_Verbräuche[[#This Row],[2040]],"&gt;0")&gt;0,Klisz_Verbräuche[[#This Row],[2040]]*(1-$E130)^5, ""), ""),IF($B$57&gt;Klisz_Verbräuche[[#Headers],[2045]],Refsz_Verbräuche[[#This Row],[2045]],"")))</f>
        <v/>
      </c>
      <c r="Y130" s="57" t="str">
        <f>IF(Klisz_Verbräuche[[#Headers],[2050]]=$B$57,IF(COUNTIF($F130:Klisz_Verbräuche[[#This Row],[2045]],"&gt;0")&gt;0, AVERAGEIF($F130:Klisz_Verbräuche[[#This Row],[2045]],"&lt;&gt;"), ""),IF($B$57&lt;Klisz_Verbräuche[[#Headers],[2050]],IF(COUNTIF($F130:Klisz_Verbräuche[[#This Row],[2045]],"&gt;0")&gt;0,IF(COUNTIF($F130:Klisz_Verbräuche[[#This Row],[2045]],"&gt;0")&gt;0,Klisz_Verbräuche[[#This Row],[2045]]*(1-$E130)^5, ""), ""),IF($B$57&gt;Klisz_Verbräuche[[#Headers],[2050]],Refsz_Verbräuche[[#This Row],[2050]],"")))</f>
        <v/>
      </c>
      <c r="Z130" s="15"/>
    </row>
    <row r="131" spans="2:26" x14ac:dyDescent="0.35">
      <c r="B131" s="15">
        <v>71</v>
      </c>
      <c r="C131" s="20" t="str">
        <f>Refsz_Verbräuche[[#This Row],[Datenpunkt]]</f>
        <v>Pendeln - PKW (CNG)</v>
      </c>
      <c r="D131" s="29" t="str">
        <f>Refsz_Verbräuche[[#This Row],[Einheit]]</f>
        <v>Fkm</v>
      </c>
      <c r="E131" s="122"/>
      <c r="F131" s="15" t="str">
        <f>IF(ISBLANK(Refsz_Verbräuche[[#This Row],[2015]]),"",Refsz_Verbräuche[[#This Row],[2015]])</f>
        <v/>
      </c>
      <c r="G131" s="15" t="str">
        <f>IF(ISBLANK(Refsz_Verbräuche[[#This Row],[2016]]),"",Refsz_Verbräuche[[#This Row],[2016]])</f>
        <v/>
      </c>
      <c r="H131" s="15" t="str">
        <f>IF(ISBLANK(Refsz_Verbräuche[[#This Row],[2017]]),"",Refsz_Verbräuche[[#This Row],[2017]])</f>
        <v/>
      </c>
      <c r="I131" s="15" t="str">
        <f>IF(ISBLANK(Refsz_Verbräuche[[#This Row],[2018]]),"",Refsz_Verbräuche[[#This Row],[2018]])</f>
        <v/>
      </c>
      <c r="J131" s="15" t="str">
        <f>IF(ISBLANK(Refsz_Verbräuche[[#This Row],[2019]]),"",Refsz_Verbräuche[[#This Row],[2019]])</f>
        <v/>
      </c>
      <c r="K131" s="15" t="str">
        <f>IF(ISBLANK(Refsz_Verbräuche[[#This Row],[2020]]),"",Refsz_Verbräuche[[#This Row],[2020]])</f>
        <v/>
      </c>
      <c r="L131" s="15" t="str">
        <f>IF(ISBLANK(Refsz_Verbräuche[[#This Row],[2021]]),"",Refsz_Verbräuche[[#This Row],[2021]])</f>
        <v/>
      </c>
      <c r="M131" s="57" t="str">
        <f>IF(Klisz_Verbräuche[[#Headers],[2022]]=$B$57,IF(COUNTIF($F131:Klisz_Verbräuche[[#This Row],[2021]],"&gt;0")&gt;0, AVERAGEIF($F131:Klisz_Verbräuche[[#This Row],[2021]],"&lt;&gt;"), ""),IF($B$57&lt;Klisz_Verbräuche[[#Headers],[2022]],IF(COUNTIF($F131:Klisz_Verbräuche[[#This Row],[2021]],"&gt;0")&gt;0,IF(COUNTIF($F131:Klisz_Verbräuche[[#This Row],[2021]],"&gt;0")&gt;0,Klisz_Verbräuche[[#This Row],[2021]]*(1-$E131)^1, ""), ""),IF($B$57&gt;Klisz_Verbräuche[[#Headers],[2022]],Refsz_Verbräuche[[#This Row],[2022]],"")))</f>
        <v/>
      </c>
      <c r="N131" s="57" t="str">
        <f>IF(Klisz_Verbräuche[[#Headers],[2023]]=$B$57,IF(COUNTIF($F131:Klisz_Verbräuche[[#This Row],[2022]],"&gt;0")&gt;0, AVERAGEIF($F131:Klisz_Verbräuche[[#This Row],[2022]],"&lt;&gt;"), ""),IF($B$57&lt;Klisz_Verbräuche[[#Headers],[2023]],IF(COUNTIF($F131:Klisz_Verbräuche[[#This Row],[2022]],"&gt;0")&gt;0,IF(COUNTIF($F131:Klisz_Verbräuche[[#This Row],[2022]],"&gt;0")&gt;0,Klisz_Verbräuche[[#This Row],[2022]]*(1-$E131)^1, ""), ""),IF($B$57&gt;Klisz_Verbräuche[[#Headers],[2023]],Refsz_Verbräuche[[#This Row],[2023]],"")))</f>
        <v/>
      </c>
      <c r="O131" s="57" t="str">
        <f>IF(Klisz_Verbräuche[[#Headers],[2024]]=$B$57,IF(COUNTIF($F131:Klisz_Verbräuche[[#This Row],[2023]],"&gt;0")&gt;0, AVERAGEIF($F131:Klisz_Verbräuche[[#This Row],[2023]],"&lt;&gt;"), ""),IF($B$57&lt;Klisz_Verbräuche[[#Headers],[2024]],IF(COUNTIF($F131:Klisz_Verbräuche[[#This Row],[2023]],"&gt;0")&gt;0,IF(COUNTIF($F131:Klisz_Verbräuche[[#This Row],[2023]],"&gt;0")&gt;0,Klisz_Verbräuche[[#This Row],[2023]]*(1-$E131)^1, ""), ""),IF($B$57&gt;Klisz_Verbräuche[[#Headers],[2024]],Refsz_Verbräuche[[#This Row],[2024]],"")))</f>
        <v/>
      </c>
      <c r="P131" s="57" t="str">
        <f>IF(Klisz_Verbräuche[[#Headers],[2025]]=$B$57,IF(COUNTIF($F131:Klisz_Verbräuche[[#This Row],[2024]],"&gt;0")&gt;0, AVERAGEIF($F131:Klisz_Verbräuche[[#This Row],[2024]],"&lt;&gt;"), ""),IF($B$57&lt;Klisz_Verbräuche[[#Headers],[2025]],IF(COUNTIF($F131:Klisz_Verbräuche[[#This Row],[2024]],"&gt;0")&gt;0,IF(COUNTIF($F131:Klisz_Verbräuche[[#This Row],[2024]],"&gt;0")&gt;0,Klisz_Verbräuche[[#This Row],[2024]]*(1-$E131)^1, ""), ""),IF($B$57&gt;Klisz_Verbräuche[[#Headers],[2025]],Refsz_Verbräuche[[#This Row],[2025]],"")))</f>
        <v/>
      </c>
      <c r="Q131" s="57" t="str">
        <f>IF(Klisz_Verbräuche[[#Headers],[2026]]=$B$57,IF(COUNTIF($F131:Klisz_Verbräuche[[#This Row],[2025]],"&gt;0")&gt;0, AVERAGEIF($F131:Klisz_Verbräuche[[#This Row],[2025]],"&lt;&gt;"), ""),IF($B$57&lt;Klisz_Verbräuche[[#Headers],[2026]],IF(COUNTIF($F131:Klisz_Verbräuche[[#This Row],[2025]],"&gt;0")&gt;0,IF(COUNTIF($F131:Klisz_Verbräuche[[#This Row],[2025]],"&gt;0")&gt;0,Klisz_Verbräuche[[#This Row],[2025]]*(1-$E131)^1, ""), ""),IF($B$57&gt;Klisz_Verbräuche[[#Headers],[2026]],Refsz_Verbräuche[[#This Row],[2026]],"")))</f>
        <v/>
      </c>
      <c r="R131" s="57" t="str">
        <f>IF(Klisz_Verbräuche[[#Headers],[2027]]=$B$57,IF(COUNTIF($F131:Klisz_Verbräuche[[#This Row],[2026]],"&gt;0")&gt;0, AVERAGEIF($F131:Klisz_Verbräuche[[#This Row],[2026]],"&lt;&gt;"), ""),IF($B$57&lt;Klisz_Verbräuche[[#Headers],[2027]],IF(COUNTIF($F131:Klisz_Verbräuche[[#This Row],[2026]],"&gt;0")&gt;0,IF(COUNTIF($F131:Klisz_Verbräuche[[#This Row],[2026]],"&gt;0")&gt;0,Klisz_Verbräuche[[#This Row],[2026]]*(1-$E131)^1, ""), ""),IF($B$57&gt;Klisz_Verbräuche[[#Headers],[2027]],Refsz_Verbräuche[[#This Row],[2027]],"")))</f>
        <v/>
      </c>
      <c r="S131" s="57" t="str">
        <f>IF(Klisz_Verbräuche[[#Headers],[2028]]=$B$57,IF(COUNTIF($F131:Klisz_Verbräuche[[#This Row],[2027]],"&gt;0")&gt;0, AVERAGEIF($F131:Klisz_Verbräuche[[#This Row],[2027]],"&lt;&gt;"), ""),IF($B$57&lt;Klisz_Verbräuche[[#Headers],[2028]],IF(COUNTIF($F131:Klisz_Verbräuche[[#This Row],[2027]],"&gt;0")&gt;0,IF(COUNTIF($F131:Klisz_Verbräuche[[#This Row],[2027]],"&gt;0")&gt;0,Klisz_Verbräuche[[#This Row],[2027]]*(1-$E131)^1, ""), ""),IF($B$57&gt;Klisz_Verbräuche[[#Headers],[2028]],Refsz_Verbräuche[[#This Row],[2028]],"")))</f>
        <v/>
      </c>
      <c r="T131" s="57" t="str">
        <f>IF(Klisz_Verbräuche[[#Headers],[2029]]=$B$57,IF(COUNTIF($F131:Klisz_Verbräuche[[#This Row],[2028]],"&gt;0")&gt;0, AVERAGEIF($F131:Klisz_Verbräuche[[#This Row],[2028]],"&lt;&gt;"), ""),IF($B$57&lt;Klisz_Verbräuche[[#Headers],[2029]],IF(COUNTIF($F131:Klisz_Verbräuche[[#This Row],[2028]],"&gt;0")&gt;0,IF(COUNTIF($F131:Klisz_Verbräuche[[#This Row],[2028]],"&gt;0")&gt;0,Klisz_Verbräuche[[#This Row],[2028]]*(1-$E131)^1, ""), ""),IF($B$57&gt;Klisz_Verbräuche[[#Headers],[2029]],Refsz_Verbräuche[[#This Row],[2029]],"")))</f>
        <v/>
      </c>
      <c r="U131" s="57" t="str">
        <f>IF(Klisz_Verbräuche[[#Headers],[2030]]=$B$57,IF(COUNTIF($F131:Klisz_Verbräuche[[#This Row],[2029]],"&gt;0")&gt;0, AVERAGEIF($F131:Klisz_Verbräuche[[#This Row],[2029]],"&lt;&gt;"), ""),IF($B$57&lt;Klisz_Verbräuche[[#Headers],[2030]],IF(COUNTIF($F131:Klisz_Verbräuche[[#This Row],[2029]],"&gt;0")&gt;0,IF(COUNTIF($F131:Klisz_Verbräuche[[#This Row],[2029]],"&gt;0")&gt;0,Klisz_Verbräuche[[#This Row],[2029]]*(1-$E131)^1, ""), ""),IF($B$57&gt;Klisz_Verbräuche[[#Headers],[2030]],Refsz_Verbräuche[[#This Row],[2030]],"")))</f>
        <v/>
      </c>
      <c r="V131" s="57" t="str">
        <f>IF(Klisz_Verbräuche[[#Headers],[2035]]=$B$57,IF(COUNTIF($F131:Klisz_Verbräuche[[#This Row],[2030]],"&gt;0")&gt;0, AVERAGEIF($F131:Klisz_Verbräuche[[#This Row],[2030]],"&lt;&gt;"), ""),IF($B$57&lt;Klisz_Verbräuche[[#Headers],[2035]],IF(COUNTIF($F131:Klisz_Verbräuche[[#This Row],[2030]],"&gt;0")&gt;0,IF(COUNTIF($F131:Klisz_Verbräuche[[#This Row],[2030]],"&gt;0")&gt;0,Klisz_Verbräuche[[#This Row],[2030]]*(1-$E131)^5, ""), ""),IF($B$57&gt;Klisz_Verbräuche[[#Headers],[2035]],Refsz_Verbräuche[[#This Row],[2035]],"")))</f>
        <v/>
      </c>
      <c r="W131" s="57" t="str">
        <f>IF(Klisz_Verbräuche[[#Headers],[2040]]=$B$57,IF(COUNTIF($F131:Klisz_Verbräuche[[#This Row],[2035]],"&gt;0")&gt;0, AVERAGEIF($F131:Klisz_Verbräuche[[#This Row],[2035]],"&lt;&gt;"), ""),IF($B$57&lt;Klisz_Verbräuche[[#Headers],[2040]],IF(COUNTIF($F131:Klisz_Verbräuche[[#This Row],[2035]],"&gt;0")&gt;0,IF(COUNTIF($F131:Klisz_Verbräuche[[#This Row],[2035]],"&gt;0")&gt;0,Klisz_Verbräuche[[#This Row],[2035]]*(1-$E131)^5, ""), ""),IF($B$57&gt;Klisz_Verbräuche[[#Headers],[2040]],Refsz_Verbräuche[[#This Row],[2040]],"")))</f>
        <v/>
      </c>
      <c r="X131" s="57" t="str">
        <f>IF(Klisz_Verbräuche[[#Headers],[2045]]=$B$57,IF(COUNTIF($F131:Klisz_Verbräuche[[#This Row],[2040]],"&gt;0")&gt;0, AVERAGEIF($F131:Klisz_Verbräuche[[#This Row],[2040]],"&lt;&gt;"), ""),IF($B$57&lt;Klisz_Verbräuche[[#Headers],[2045]],IF(COUNTIF($F131:Klisz_Verbräuche[[#This Row],[2040]],"&gt;0")&gt;0,IF(COUNTIF($F131:Klisz_Verbräuche[[#This Row],[2040]],"&gt;0")&gt;0,Klisz_Verbräuche[[#This Row],[2040]]*(1-$E131)^5, ""), ""),IF($B$57&gt;Klisz_Verbräuche[[#Headers],[2045]],Refsz_Verbräuche[[#This Row],[2045]],"")))</f>
        <v/>
      </c>
      <c r="Y131" s="57" t="str">
        <f>IF(Klisz_Verbräuche[[#Headers],[2050]]=$B$57,IF(COUNTIF($F131:Klisz_Verbräuche[[#This Row],[2045]],"&gt;0")&gt;0, AVERAGEIF($F131:Klisz_Verbräuche[[#This Row],[2045]],"&lt;&gt;"), ""),IF($B$57&lt;Klisz_Verbräuche[[#Headers],[2050]],IF(COUNTIF($F131:Klisz_Verbräuche[[#This Row],[2045]],"&gt;0")&gt;0,IF(COUNTIF($F131:Klisz_Verbräuche[[#This Row],[2045]],"&gt;0")&gt;0,Klisz_Verbräuche[[#This Row],[2045]]*(1-$E131)^5, ""), ""),IF($B$57&gt;Klisz_Verbräuche[[#Headers],[2050]],Refsz_Verbräuche[[#This Row],[2050]],"")))</f>
        <v/>
      </c>
      <c r="Z131" s="15"/>
    </row>
    <row r="132" spans="2:26" x14ac:dyDescent="0.35">
      <c r="B132" s="15">
        <v>72</v>
      </c>
      <c r="C132" s="20" t="str">
        <f>Refsz_Verbräuche[[#This Row],[Datenpunkt]]</f>
        <v>Pendeln - PKW (Plug-In-Hybrid/PHEV)</v>
      </c>
      <c r="D132" s="29" t="str">
        <f>Refsz_Verbräuche[[#This Row],[Einheit]]</f>
        <v>Fkm</v>
      </c>
      <c r="E132" s="122"/>
      <c r="F132" s="15" t="str">
        <f>IF(ISBLANK(Refsz_Verbräuche[[#This Row],[2015]]),"",Refsz_Verbräuche[[#This Row],[2015]])</f>
        <v/>
      </c>
      <c r="G132" s="15" t="str">
        <f>IF(ISBLANK(Refsz_Verbräuche[[#This Row],[2016]]),"",Refsz_Verbräuche[[#This Row],[2016]])</f>
        <v/>
      </c>
      <c r="H132" s="15" t="str">
        <f>IF(ISBLANK(Refsz_Verbräuche[[#This Row],[2017]]),"",Refsz_Verbräuche[[#This Row],[2017]])</f>
        <v/>
      </c>
      <c r="I132" s="15" t="str">
        <f>IF(ISBLANK(Refsz_Verbräuche[[#This Row],[2018]]),"",Refsz_Verbräuche[[#This Row],[2018]])</f>
        <v/>
      </c>
      <c r="J132" s="15" t="str">
        <f>IF(ISBLANK(Refsz_Verbräuche[[#This Row],[2019]]),"",Refsz_Verbräuche[[#This Row],[2019]])</f>
        <v/>
      </c>
      <c r="K132" s="15" t="str">
        <f>IF(ISBLANK(Refsz_Verbräuche[[#This Row],[2020]]),"",Refsz_Verbräuche[[#This Row],[2020]])</f>
        <v/>
      </c>
      <c r="L132" s="15" t="str">
        <f>IF(ISBLANK(Refsz_Verbräuche[[#This Row],[2021]]),"",Refsz_Verbräuche[[#This Row],[2021]])</f>
        <v/>
      </c>
      <c r="M132" s="57" t="str">
        <f>IF(Klisz_Verbräuche[[#Headers],[2022]]=$B$57,IF(COUNTIF($F132:Klisz_Verbräuche[[#This Row],[2021]],"&gt;0")&gt;0, AVERAGEIF($F132:Klisz_Verbräuche[[#This Row],[2021]],"&lt;&gt;"), ""),IF($B$57&lt;Klisz_Verbräuche[[#Headers],[2022]],IF(COUNTIF($F132:Klisz_Verbräuche[[#This Row],[2021]],"&gt;0")&gt;0,IF(COUNTIF($F132:Klisz_Verbräuche[[#This Row],[2021]],"&gt;0")&gt;0,Klisz_Verbräuche[[#This Row],[2021]]*(1-$E132)^1, ""), ""),IF($B$57&gt;Klisz_Verbräuche[[#Headers],[2022]],Refsz_Verbräuche[[#This Row],[2022]],"")))</f>
        <v/>
      </c>
      <c r="N132" s="57" t="str">
        <f>IF(Klisz_Verbräuche[[#Headers],[2023]]=$B$57,IF(COUNTIF($F132:Klisz_Verbräuche[[#This Row],[2022]],"&gt;0")&gt;0, AVERAGEIF($F132:Klisz_Verbräuche[[#This Row],[2022]],"&lt;&gt;"), ""),IF($B$57&lt;Klisz_Verbräuche[[#Headers],[2023]],IF(COUNTIF($F132:Klisz_Verbräuche[[#This Row],[2022]],"&gt;0")&gt;0,IF(COUNTIF($F132:Klisz_Verbräuche[[#This Row],[2022]],"&gt;0")&gt;0,Klisz_Verbräuche[[#This Row],[2022]]*(1-$E132)^1, ""), ""),IF($B$57&gt;Klisz_Verbräuche[[#Headers],[2023]],Refsz_Verbräuche[[#This Row],[2023]],"")))</f>
        <v/>
      </c>
      <c r="O132" s="57" t="str">
        <f>IF(Klisz_Verbräuche[[#Headers],[2024]]=$B$57,IF(COUNTIF($F132:Klisz_Verbräuche[[#This Row],[2023]],"&gt;0")&gt;0, AVERAGEIF($F132:Klisz_Verbräuche[[#This Row],[2023]],"&lt;&gt;"), ""),IF($B$57&lt;Klisz_Verbräuche[[#Headers],[2024]],IF(COUNTIF($F132:Klisz_Verbräuche[[#This Row],[2023]],"&gt;0")&gt;0,IF(COUNTIF($F132:Klisz_Verbräuche[[#This Row],[2023]],"&gt;0")&gt;0,Klisz_Verbräuche[[#This Row],[2023]]*(1-$E132)^1, ""), ""),IF($B$57&gt;Klisz_Verbräuche[[#Headers],[2024]],Refsz_Verbräuche[[#This Row],[2024]],"")))</f>
        <v/>
      </c>
      <c r="P132" s="57" t="str">
        <f>IF(Klisz_Verbräuche[[#Headers],[2025]]=$B$57,IF(COUNTIF($F132:Klisz_Verbräuche[[#This Row],[2024]],"&gt;0")&gt;0, AVERAGEIF($F132:Klisz_Verbräuche[[#This Row],[2024]],"&lt;&gt;"), ""),IF($B$57&lt;Klisz_Verbräuche[[#Headers],[2025]],IF(COUNTIF($F132:Klisz_Verbräuche[[#This Row],[2024]],"&gt;0")&gt;0,IF(COUNTIF($F132:Klisz_Verbräuche[[#This Row],[2024]],"&gt;0")&gt;0,Klisz_Verbräuche[[#This Row],[2024]]*(1-$E132)^1, ""), ""),IF($B$57&gt;Klisz_Verbräuche[[#Headers],[2025]],Refsz_Verbräuche[[#This Row],[2025]],"")))</f>
        <v/>
      </c>
      <c r="Q132" s="57" t="str">
        <f>IF(Klisz_Verbräuche[[#Headers],[2026]]=$B$57,IF(COUNTIF($F132:Klisz_Verbräuche[[#This Row],[2025]],"&gt;0")&gt;0, AVERAGEIF($F132:Klisz_Verbräuche[[#This Row],[2025]],"&lt;&gt;"), ""),IF($B$57&lt;Klisz_Verbräuche[[#Headers],[2026]],IF(COUNTIF($F132:Klisz_Verbräuche[[#This Row],[2025]],"&gt;0")&gt;0,IF(COUNTIF($F132:Klisz_Verbräuche[[#This Row],[2025]],"&gt;0")&gt;0,Klisz_Verbräuche[[#This Row],[2025]]*(1-$E132)^1, ""), ""),IF($B$57&gt;Klisz_Verbräuche[[#Headers],[2026]],Refsz_Verbräuche[[#This Row],[2026]],"")))</f>
        <v/>
      </c>
      <c r="R132" s="57" t="str">
        <f>IF(Klisz_Verbräuche[[#Headers],[2027]]=$B$57,IF(COUNTIF($F132:Klisz_Verbräuche[[#This Row],[2026]],"&gt;0")&gt;0, AVERAGEIF($F132:Klisz_Verbräuche[[#This Row],[2026]],"&lt;&gt;"), ""),IF($B$57&lt;Klisz_Verbräuche[[#Headers],[2027]],IF(COUNTIF($F132:Klisz_Verbräuche[[#This Row],[2026]],"&gt;0")&gt;0,IF(COUNTIF($F132:Klisz_Verbräuche[[#This Row],[2026]],"&gt;0")&gt;0,Klisz_Verbräuche[[#This Row],[2026]]*(1-$E132)^1, ""), ""),IF($B$57&gt;Klisz_Verbräuche[[#Headers],[2027]],Refsz_Verbräuche[[#This Row],[2027]],"")))</f>
        <v/>
      </c>
      <c r="S132" s="57" t="str">
        <f>IF(Klisz_Verbräuche[[#Headers],[2028]]=$B$57,IF(COUNTIF($F132:Klisz_Verbräuche[[#This Row],[2027]],"&gt;0")&gt;0, AVERAGEIF($F132:Klisz_Verbräuche[[#This Row],[2027]],"&lt;&gt;"), ""),IF($B$57&lt;Klisz_Verbräuche[[#Headers],[2028]],IF(COUNTIF($F132:Klisz_Verbräuche[[#This Row],[2027]],"&gt;0")&gt;0,IF(COUNTIF($F132:Klisz_Verbräuche[[#This Row],[2027]],"&gt;0")&gt;0,Klisz_Verbräuche[[#This Row],[2027]]*(1-$E132)^1, ""), ""),IF($B$57&gt;Klisz_Verbräuche[[#Headers],[2028]],Refsz_Verbräuche[[#This Row],[2028]],"")))</f>
        <v/>
      </c>
      <c r="T132" s="57" t="str">
        <f>IF(Klisz_Verbräuche[[#Headers],[2029]]=$B$57,IF(COUNTIF($F132:Klisz_Verbräuche[[#This Row],[2028]],"&gt;0")&gt;0, AVERAGEIF($F132:Klisz_Verbräuche[[#This Row],[2028]],"&lt;&gt;"), ""),IF($B$57&lt;Klisz_Verbräuche[[#Headers],[2029]],IF(COUNTIF($F132:Klisz_Verbräuche[[#This Row],[2028]],"&gt;0")&gt;0,IF(COUNTIF($F132:Klisz_Verbräuche[[#This Row],[2028]],"&gt;0")&gt;0,Klisz_Verbräuche[[#This Row],[2028]]*(1-$E132)^1, ""), ""),IF($B$57&gt;Klisz_Verbräuche[[#Headers],[2029]],Refsz_Verbräuche[[#This Row],[2029]],"")))</f>
        <v/>
      </c>
      <c r="U132" s="57" t="str">
        <f>IF(Klisz_Verbräuche[[#Headers],[2030]]=$B$57,IF(COUNTIF($F132:Klisz_Verbräuche[[#This Row],[2029]],"&gt;0")&gt;0, AVERAGEIF($F132:Klisz_Verbräuche[[#This Row],[2029]],"&lt;&gt;"), ""),IF($B$57&lt;Klisz_Verbräuche[[#Headers],[2030]],IF(COUNTIF($F132:Klisz_Verbräuche[[#This Row],[2029]],"&gt;0")&gt;0,IF(COUNTIF($F132:Klisz_Verbräuche[[#This Row],[2029]],"&gt;0")&gt;0,Klisz_Verbräuche[[#This Row],[2029]]*(1-$E132)^1, ""), ""),IF($B$57&gt;Klisz_Verbräuche[[#Headers],[2030]],Refsz_Verbräuche[[#This Row],[2030]],"")))</f>
        <v/>
      </c>
      <c r="V132" s="57" t="str">
        <f>IF(Klisz_Verbräuche[[#Headers],[2035]]=$B$57,IF(COUNTIF($F132:Klisz_Verbräuche[[#This Row],[2030]],"&gt;0")&gt;0, AVERAGEIF($F132:Klisz_Verbräuche[[#This Row],[2030]],"&lt;&gt;"), ""),IF($B$57&lt;Klisz_Verbräuche[[#Headers],[2035]],IF(COUNTIF($F132:Klisz_Verbräuche[[#This Row],[2030]],"&gt;0")&gt;0,IF(COUNTIF($F132:Klisz_Verbräuche[[#This Row],[2030]],"&gt;0")&gt;0,Klisz_Verbräuche[[#This Row],[2030]]*(1-$E132)^5, ""), ""),IF($B$57&gt;Klisz_Verbräuche[[#Headers],[2035]],Refsz_Verbräuche[[#This Row],[2035]],"")))</f>
        <v/>
      </c>
      <c r="W132" s="57" t="str">
        <f>IF(Klisz_Verbräuche[[#Headers],[2040]]=$B$57,IF(COUNTIF($F132:Klisz_Verbräuche[[#This Row],[2035]],"&gt;0")&gt;0, AVERAGEIF($F132:Klisz_Verbräuche[[#This Row],[2035]],"&lt;&gt;"), ""),IF($B$57&lt;Klisz_Verbräuche[[#Headers],[2040]],IF(COUNTIF($F132:Klisz_Verbräuche[[#This Row],[2035]],"&gt;0")&gt;0,IF(COUNTIF($F132:Klisz_Verbräuche[[#This Row],[2035]],"&gt;0")&gt;0,Klisz_Verbräuche[[#This Row],[2035]]*(1-$E132)^5, ""), ""),IF($B$57&gt;Klisz_Verbräuche[[#Headers],[2040]],Refsz_Verbräuche[[#This Row],[2040]],"")))</f>
        <v/>
      </c>
      <c r="X132" s="57" t="str">
        <f>IF(Klisz_Verbräuche[[#Headers],[2045]]=$B$57,IF(COUNTIF($F132:Klisz_Verbräuche[[#This Row],[2040]],"&gt;0")&gt;0, AVERAGEIF($F132:Klisz_Verbräuche[[#This Row],[2040]],"&lt;&gt;"), ""),IF($B$57&lt;Klisz_Verbräuche[[#Headers],[2045]],IF(COUNTIF($F132:Klisz_Verbräuche[[#This Row],[2040]],"&gt;0")&gt;0,IF(COUNTIF($F132:Klisz_Verbräuche[[#This Row],[2040]],"&gt;0")&gt;0,Klisz_Verbräuche[[#This Row],[2040]]*(1-$E132)^5, ""), ""),IF($B$57&gt;Klisz_Verbräuche[[#Headers],[2045]],Refsz_Verbräuche[[#This Row],[2045]],"")))</f>
        <v/>
      </c>
      <c r="Y132" s="57" t="str">
        <f>IF(Klisz_Verbräuche[[#Headers],[2050]]=$B$57,IF(COUNTIF($F132:Klisz_Verbräuche[[#This Row],[2045]],"&gt;0")&gt;0, AVERAGEIF($F132:Klisz_Verbräuche[[#This Row],[2045]],"&lt;&gt;"), ""),IF($B$57&lt;Klisz_Verbräuche[[#Headers],[2050]],IF(COUNTIF($F132:Klisz_Verbräuche[[#This Row],[2045]],"&gt;0")&gt;0,IF(COUNTIF($F132:Klisz_Verbräuche[[#This Row],[2045]],"&gt;0")&gt;0,Klisz_Verbräuche[[#This Row],[2045]]*(1-$E132)^5, ""), ""),IF($B$57&gt;Klisz_Verbräuche[[#Headers],[2050]],Refsz_Verbräuche[[#This Row],[2050]],"")))</f>
        <v/>
      </c>
      <c r="Z132" s="15"/>
    </row>
    <row r="133" spans="2:26" x14ac:dyDescent="0.35">
      <c r="B133" s="15">
        <v>73</v>
      </c>
      <c r="C133" s="20" t="str">
        <f>Refsz_Verbräuche[[#This Row],[Datenpunkt]]</f>
        <v>Pendeln - Motorisierte Zweiräder</v>
      </c>
      <c r="D133" s="29" t="str">
        <f>Refsz_Verbräuche[[#This Row],[Einheit]]</f>
        <v>Fkm</v>
      </c>
      <c r="E133" s="122"/>
      <c r="F133" s="15" t="str">
        <f>IF(ISBLANK(Refsz_Verbräuche[[#This Row],[2015]]),"",Refsz_Verbräuche[[#This Row],[2015]])</f>
        <v/>
      </c>
      <c r="G133" s="15" t="str">
        <f>IF(ISBLANK(Refsz_Verbräuche[[#This Row],[2016]]),"",Refsz_Verbräuche[[#This Row],[2016]])</f>
        <v/>
      </c>
      <c r="H133" s="15" t="str">
        <f>IF(ISBLANK(Refsz_Verbräuche[[#This Row],[2017]]),"",Refsz_Verbräuche[[#This Row],[2017]])</f>
        <v/>
      </c>
      <c r="I133" s="15" t="str">
        <f>IF(ISBLANK(Refsz_Verbräuche[[#This Row],[2018]]),"",Refsz_Verbräuche[[#This Row],[2018]])</f>
        <v/>
      </c>
      <c r="J133" s="15" t="str">
        <f>IF(ISBLANK(Refsz_Verbräuche[[#This Row],[2019]]),"",Refsz_Verbräuche[[#This Row],[2019]])</f>
        <v/>
      </c>
      <c r="K133" s="15" t="str">
        <f>IF(ISBLANK(Refsz_Verbräuche[[#This Row],[2020]]),"",Refsz_Verbräuche[[#This Row],[2020]])</f>
        <v/>
      </c>
      <c r="L133" s="15" t="str">
        <f>IF(ISBLANK(Refsz_Verbräuche[[#This Row],[2021]]),"",Refsz_Verbräuche[[#This Row],[2021]])</f>
        <v/>
      </c>
      <c r="M133" s="57" t="str">
        <f>IF(Klisz_Verbräuche[[#Headers],[2022]]=$B$57,IF(COUNTIF($F133:Klisz_Verbräuche[[#This Row],[2021]],"&gt;0")&gt;0, AVERAGEIF($F133:Klisz_Verbräuche[[#This Row],[2021]],"&lt;&gt;"), ""),IF($B$57&lt;Klisz_Verbräuche[[#Headers],[2022]],IF(COUNTIF($F133:Klisz_Verbräuche[[#This Row],[2021]],"&gt;0")&gt;0,IF(COUNTIF($F133:Klisz_Verbräuche[[#This Row],[2021]],"&gt;0")&gt;0,Klisz_Verbräuche[[#This Row],[2021]]*(1-$E133)^1, ""), ""),IF($B$57&gt;Klisz_Verbräuche[[#Headers],[2022]],Refsz_Verbräuche[[#This Row],[2022]],"")))</f>
        <v/>
      </c>
      <c r="N133" s="57" t="str">
        <f>IF(Klisz_Verbräuche[[#Headers],[2023]]=$B$57,IF(COUNTIF($F133:Klisz_Verbräuche[[#This Row],[2022]],"&gt;0")&gt;0, AVERAGEIF($F133:Klisz_Verbräuche[[#This Row],[2022]],"&lt;&gt;"), ""),IF($B$57&lt;Klisz_Verbräuche[[#Headers],[2023]],IF(COUNTIF($F133:Klisz_Verbräuche[[#This Row],[2022]],"&gt;0")&gt;0,IF(COUNTIF($F133:Klisz_Verbräuche[[#This Row],[2022]],"&gt;0")&gt;0,Klisz_Verbräuche[[#This Row],[2022]]*(1-$E133)^1, ""), ""),IF($B$57&gt;Klisz_Verbräuche[[#Headers],[2023]],Refsz_Verbräuche[[#This Row],[2023]],"")))</f>
        <v/>
      </c>
      <c r="O133" s="57" t="str">
        <f>IF(Klisz_Verbräuche[[#Headers],[2024]]=$B$57,IF(COUNTIF($F133:Klisz_Verbräuche[[#This Row],[2023]],"&gt;0")&gt;0, AVERAGEIF($F133:Klisz_Verbräuche[[#This Row],[2023]],"&lt;&gt;"), ""),IF($B$57&lt;Klisz_Verbräuche[[#Headers],[2024]],IF(COUNTIF($F133:Klisz_Verbräuche[[#This Row],[2023]],"&gt;0")&gt;0,IF(COUNTIF($F133:Klisz_Verbräuche[[#This Row],[2023]],"&gt;0")&gt;0,Klisz_Verbräuche[[#This Row],[2023]]*(1-$E133)^1, ""), ""),IF($B$57&gt;Klisz_Verbräuche[[#Headers],[2024]],Refsz_Verbräuche[[#This Row],[2024]],"")))</f>
        <v/>
      </c>
      <c r="P133" s="57" t="str">
        <f>IF(Klisz_Verbräuche[[#Headers],[2025]]=$B$57,IF(COUNTIF($F133:Klisz_Verbräuche[[#This Row],[2024]],"&gt;0")&gt;0, AVERAGEIF($F133:Klisz_Verbräuche[[#This Row],[2024]],"&lt;&gt;"), ""),IF($B$57&lt;Klisz_Verbräuche[[#Headers],[2025]],IF(COUNTIF($F133:Klisz_Verbräuche[[#This Row],[2024]],"&gt;0")&gt;0,IF(COUNTIF($F133:Klisz_Verbräuche[[#This Row],[2024]],"&gt;0")&gt;0,Klisz_Verbräuche[[#This Row],[2024]]*(1-$E133)^1, ""), ""),IF($B$57&gt;Klisz_Verbräuche[[#Headers],[2025]],Refsz_Verbräuche[[#This Row],[2025]],"")))</f>
        <v/>
      </c>
      <c r="Q133" s="57" t="str">
        <f>IF(Klisz_Verbräuche[[#Headers],[2026]]=$B$57,IF(COUNTIF($F133:Klisz_Verbräuche[[#This Row],[2025]],"&gt;0")&gt;0, AVERAGEIF($F133:Klisz_Verbräuche[[#This Row],[2025]],"&lt;&gt;"), ""),IF($B$57&lt;Klisz_Verbräuche[[#Headers],[2026]],IF(COUNTIF($F133:Klisz_Verbräuche[[#This Row],[2025]],"&gt;0")&gt;0,IF(COUNTIF($F133:Klisz_Verbräuche[[#This Row],[2025]],"&gt;0")&gt;0,Klisz_Verbräuche[[#This Row],[2025]]*(1-$E133)^1, ""), ""),IF($B$57&gt;Klisz_Verbräuche[[#Headers],[2026]],Refsz_Verbräuche[[#This Row],[2026]],"")))</f>
        <v/>
      </c>
      <c r="R133" s="57" t="str">
        <f>IF(Klisz_Verbräuche[[#Headers],[2027]]=$B$57,IF(COUNTIF($F133:Klisz_Verbräuche[[#This Row],[2026]],"&gt;0")&gt;0, AVERAGEIF($F133:Klisz_Verbräuche[[#This Row],[2026]],"&lt;&gt;"), ""),IF($B$57&lt;Klisz_Verbräuche[[#Headers],[2027]],IF(COUNTIF($F133:Klisz_Verbräuche[[#This Row],[2026]],"&gt;0")&gt;0,IF(COUNTIF($F133:Klisz_Verbräuche[[#This Row],[2026]],"&gt;0")&gt;0,Klisz_Verbräuche[[#This Row],[2026]]*(1-$E133)^1, ""), ""),IF($B$57&gt;Klisz_Verbräuche[[#Headers],[2027]],Refsz_Verbräuche[[#This Row],[2027]],"")))</f>
        <v/>
      </c>
      <c r="S133" s="57" t="str">
        <f>IF(Klisz_Verbräuche[[#Headers],[2028]]=$B$57,IF(COUNTIF($F133:Klisz_Verbräuche[[#This Row],[2027]],"&gt;0")&gt;0, AVERAGEIF($F133:Klisz_Verbräuche[[#This Row],[2027]],"&lt;&gt;"), ""),IF($B$57&lt;Klisz_Verbräuche[[#Headers],[2028]],IF(COUNTIF($F133:Klisz_Verbräuche[[#This Row],[2027]],"&gt;0")&gt;0,IF(COUNTIF($F133:Klisz_Verbräuche[[#This Row],[2027]],"&gt;0")&gt;0,Klisz_Verbräuche[[#This Row],[2027]]*(1-$E133)^1, ""), ""),IF($B$57&gt;Klisz_Verbräuche[[#Headers],[2028]],Refsz_Verbräuche[[#This Row],[2028]],"")))</f>
        <v/>
      </c>
      <c r="T133" s="57" t="str">
        <f>IF(Klisz_Verbräuche[[#Headers],[2029]]=$B$57,IF(COUNTIF($F133:Klisz_Verbräuche[[#This Row],[2028]],"&gt;0")&gt;0, AVERAGEIF($F133:Klisz_Verbräuche[[#This Row],[2028]],"&lt;&gt;"), ""),IF($B$57&lt;Klisz_Verbräuche[[#Headers],[2029]],IF(COUNTIF($F133:Klisz_Verbräuche[[#This Row],[2028]],"&gt;0")&gt;0,IF(COUNTIF($F133:Klisz_Verbräuche[[#This Row],[2028]],"&gt;0")&gt;0,Klisz_Verbräuche[[#This Row],[2028]]*(1-$E133)^1, ""), ""),IF($B$57&gt;Klisz_Verbräuche[[#Headers],[2029]],Refsz_Verbräuche[[#This Row],[2029]],"")))</f>
        <v/>
      </c>
      <c r="U133" s="57" t="str">
        <f>IF(Klisz_Verbräuche[[#Headers],[2030]]=$B$57,IF(COUNTIF($F133:Klisz_Verbräuche[[#This Row],[2029]],"&gt;0")&gt;0, AVERAGEIF($F133:Klisz_Verbräuche[[#This Row],[2029]],"&lt;&gt;"), ""),IF($B$57&lt;Klisz_Verbräuche[[#Headers],[2030]],IF(COUNTIF($F133:Klisz_Verbräuche[[#This Row],[2029]],"&gt;0")&gt;0,IF(COUNTIF($F133:Klisz_Verbräuche[[#This Row],[2029]],"&gt;0")&gt;0,Klisz_Verbräuche[[#This Row],[2029]]*(1-$E133)^1, ""), ""),IF($B$57&gt;Klisz_Verbräuche[[#Headers],[2030]],Refsz_Verbräuche[[#This Row],[2030]],"")))</f>
        <v/>
      </c>
      <c r="V133" s="57" t="str">
        <f>IF(Klisz_Verbräuche[[#Headers],[2035]]=$B$57,IF(COUNTIF($F133:Klisz_Verbräuche[[#This Row],[2030]],"&gt;0")&gt;0, AVERAGEIF($F133:Klisz_Verbräuche[[#This Row],[2030]],"&lt;&gt;"), ""),IF($B$57&lt;Klisz_Verbräuche[[#Headers],[2035]],IF(COUNTIF($F133:Klisz_Verbräuche[[#This Row],[2030]],"&gt;0")&gt;0,IF(COUNTIF($F133:Klisz_Verbräuche[[#This Row],[2030]],"&gt;0")&gt;0,Klisz_Verbräuche[[#This Row],[2030]]*(1-$E133)^5, ""), ""),IF($B$57&gt;Klisz_Verbräuche[[#Headers],[2035]],Refsz_Verbräuche[[#This Row],[2035]],"")))</f>
        <v/>
      </c>
      <c r="W133" s="57" t="str">
        <f>IF(Klisz_Verbräuche[[#Headers],[2040]]=$B$57,IF(COUNTIF($F133:Klisz_Verbräuche[[#This Row],[2035]],"&gt;0")&gt;0, AVERAGEIF($F133:Klisz_Verbräuche[[#This Row],[2035]],"&lt;&gt;"), ""),IF($B$57&lt;Klisz_Verbräuche[[#Headers],[2040]],IF(COUNTIF($F133:Klisz_Verbräuche[[#This Row],[2035]],"&gt;0")&gt;0,IF(COUNTIF($F133:Klisz_Verbräuche[[#This Row],[2035]],"&gt;0")&gt;0,Klisz_Verbräuche[[#This Row],[2035]]*(1-$E133)^5, ""), ""),IF($B$57&gt;Klisz_Verbräuche[[#Headers],[2040]],Refsz_Verbräuche[[#This Row],[2040]],"")))</f>
        <v/>
      </c>
      <c r="X133" s="57" t="str">
        <f>IF(Klisz_Verbräuche[[#Headers],[2045]]=$B$57,IF(COUNTIF($F133:Klisz_Verbräuche[[#This Row],[2040]],"&gt;0")&gt;0, AVERAGEIF($F133:Klisz_Verbräuche[[#This Row],[2040]],"&lt;&gt;"), ""),IF($B$57&lt;Klisz_Verbräuche[[#Headers],[2045]],IF(COUNTIF($F133:Klisz_Verbräuche[[#This Row],[2040]],"&gt;0")&gt;0,IF(COUNTIF($F133:Klisz_Verbräuche[[#This Row],[2040]],"&gt;0")&gt;0,Klisz_Verbräuche[[#This Row],[2040]]*(1-$E133)^5, ""), ""),IF($B$57&gt;Klisz_Verbräuche[[#Headers],[2045]],Refsz_Verbräuche[[#This Row],[2045]],"")))</f>
        <v/>
      </c>
      <c r="Y133" s="57" t="str">
        <f>IF(Klisz_Verbräuche[[#Headers],[2050]]=$B$57,IF(COUNTIF($F133:Klisz_Verbräuche[[#This Row],[2045]],"&gt;0")&gt;0, AVERAGEIF($F133:Klisz_Verbräuche[[#This Row],[2045]],"&lt;&gt;"), ""),IF($B$57&lt;Klisz_Verbräuche[[#Headers],[2050]],IF(COUNTIF($F133:Klisz_Verbräuche[[#This Row],[2045]],"&gt;0")&gt;0,IF(COUNTIF($F133:Klisz_Verbräuche[[#This Row],[2045]],"&gt;0")&gt;0,Klisz_Verbräuche[[#This Row],[2045]]*(1-$E133)^5, ""), ""),IF($B$57&gt;Klisz_Verbräuche[[#Headers],[2050]],Refsz_Verbräuche[[#This Row],[2050]],"")))</f>
        <v/>
      </c>
      <c r="Z133" s="15"/>
    </row>
    <row r="134" spans="2:26" x14ac:dyDescent="0.35">
      <c r="B134" s="15">
        <v>74</v>
      </c>
      <c r="C134" s="20" t="str">
        <f>Refsz_Verbräuche[[#This Row],[Datenpunkt]]</f>
        <v>Pendeln - Fahrrad</v>
      </c>
      <c r="D134" s="29" t="str">
        <f>Refsz_Verbräuche[[#This Row],[Einheit]]</f>
        <v>Fkm</v>
      </c>
      <c r="E134" s="122"/>
      <c r="F134" s="15" t="str">
        <f>IF(ISBLANK(Refsz_Verbräuche[[#This Row],[2015]]),"",Refsz_Verbräuche[[#This Row],[2015]])</f>
        <v/>
      </c>
      <c r="G134" s="15" t="str">
        <f>IF(ISBLANK(Refsz_Verbräuche[[#This Row],[2016]]),"",Refsz_Verbräuche[[#This Row],[2016]])</f>
        <v/>
      </c>
      <c r="H134" s="15" t="str">
        <f>IF(ISBLANK(Refsz_Verbräuche[[#This Row],[2017]]),"",Refsz_Verbräuche[[#This Row],[2017]])</f>
        <v/>
      </c>
      <c r="I134" s="15" t="str">
        <f>IF(ISBLANK(Refsz_Verbräuche[[#This Row],[2018]]),"",Refsz_Verbräuche[[#This Row],[2018]])</f>
        <v/>
      </c>
      <c r="J134" s="15" t="str">
        <f>IF(ISBLANK(Refsz_Verbräuche[[#This Row],[2019]]),"",Refsz_Verbräuche[[#This Row],[2019]])</f>
        <v/>
      </c>
      <c r="K134" s="15" t="str">
        <f>IF(ISBLANK(Refsz_Verbräuche[[#This Row],[2020]]),"",Refsz_Verbräuche[[#This Row],[2020]])</f>
        <v/>
      </c>
      <c r="L134" s="15" t="str">
        <f>IF(ISBLANK(Refsz_Verbräuche[[#This Row],[2021]]),"",Refsz_Verbräuche[[#This Row],[2021]])</f>
        <v/>
      </c>
      <c r="M134" s="57" t="str">
        <f>IF(Klisz_Verbräuche[[#Headers],[2022]]=$B$57,IF(COUNTIF($F134:Klisz_Verbräuche[[#This Row],[2021]],"&gt;0")&gt;0, AVERAGEIF($F134:Klisz_Verbräuche[[#This Row],[2021]],"&lt;&gt;"), ""),IF($B$57&lt;Klisz_Verbräuche[[#Headers],[2022]],IF(COUNTIF($F134:Klisz_Verbräuche[[#This Row],[2021]],"&gt;0")&gt;0,IF(COUNTIF($F134:Klisz_Verbräuche[[#This Row],[2021]],"&gt;0")&gt;0,Klisz_Verbräuche[[#This Row],[2021]]*(1-$E134)^1, ""), ""),IF($B$57&gt;Klisz_Verbräuche[[#Headers],[2022]],Refsz_Verbräuche[[#This Row],[2022]],"")))</f>
        <v/>
      </c>
      <c r="N134" s="57" t="str">
        <f>IF(Klisz_Verbräuche[[#Headers],[2023]]=$B$57,IF(COUNTIF($F134:Klisz_Verbräuche[[#This Row],[2022]],"&gt;0")&gt;0, AVERAGEIF($F134:Klisz_Verbräuche[[#This Row],[2022]],"&lt;&gt;"), ""),IF($B$57&lt;Klisz_Verbräuche[[#Headers],[2023]],IF(COUNTIF($F134:Klisz_Verbräuche[[#This Row],[2022]],"&gt;0")&gt;0,IF(COUNTIF($F134:Klisz_Verbräuche[[#This Row],[2022]],"&gt;0")&gt;0,Klisz_Verbräuche[[#This Row],[2022]]*(1-$E134)^1, ""), ""),IF($B$57&gt;Klisz_Verbräuche[[#Headers],[2023]],Refsz_Verbräuche[[#This Row],[2023]],"")))</f>
        <v/>
      </c>
      <c r="O134" s="57" t="str">
        <f>IF(Klisz_Verbräuche[[#Headers],[2024]]=$B$57,IF(COUNTIF($F134:Klisz_Verbräuche[[#This Row],[2023]],"&gt;0")&gt;0, AVERAGEIF($F134:Klisz_Verbräuche[[#This Row],[2023]],"&lt;&gt;"), ""),IF($B$57&lt;Klisz_Verbräuche[[#Headers],[2024]],IF(COUNTIF($F134:Klisz_Verbräuche[[#This Row],[2023]],"&gt;0")&gt;0,IF(COUNTIF($F134:Klisz_Verbräuche[[#This Row],[2023]],"&gt;0")&gt;0,Klisz_Verbräuche[[#This Row],[2023]]*(1-$E134)^1, ""), ""),IF($B$57&gt;Klisz_Verbräuche[[#Headers],[2024]],Refsz_Verbräuche[[#This Row],[2024]],"")))</f>
        <v/>
      </c>
      <c r="P134" s="57" t="str">
        <f>IF(Klisz_Verbräuche[[#Headers],[2025]]=$B$57,IF(COUNTIF($F134:Klisz_Verbräuche[[#This Row],[2024]],"&gt;0")&gt;0, AVERAGEIF($F134:Klisz_Verbräuche[[#This Row],[2024]],"&lt;&gt;"), ""),IF($B$57&lt;Klisz_Verbräuche[[#Headers],[2025]],IF(COUNTIF($F134:Klisz_Verbräuche[[#This Row],[2024]],"&gt;0")&gt;0,IF(COUNTIF($F134:Klisz_Verbräuche[[#This Row],[2024]],"&gt;0")&gt;0,Klisz_Verbräuche[[#This Row],[2024]]*(1-$E134)^1, ""), ""),IF($B$57&gt;Klisz_Verbräuche[[#Headers],[2025]],Refsz_Verbräuche[[#This Row],[2025]],"")))</f>
        <v/>
      </c>
      <c r="Q134" s="57" t="str">
        <f>IF(Klisz_Verbräuche[[#Headers],[2026]]=$B$57,IF(COUNTIF($F134:Klisz_Verbräuche[[#This Row],[2025]],"&gt;0")&gt;0, AVERAGEIF($F134:Klisz_Verbräuche[[#This Row],[2025]],"&lt;&gt;"), ""),IF($B$57&lt;Klisz_Verbräuche[[#Headers],[2026]],IF(COUNTIF($F134:Klisz_Verbräuche[[#This Row],[2025]],"&gt;0")&gt;0,IF(COUNTIF($F134:Klisz_Verbräuche[[#This Row],[2025]],"&gt;0")&gt;0,Klisz_Verbräuche[[#This Row],[2025]]*(1-$E134)^1, ""), ""),IF($B$57&gt;Klisz_Verbräuche[[#Headers],[2026]],Refsz_Verbräuche[[#This Row],[2026]],"")))</f>
        <v/>
      </c>
      <c r="R134" s="57" t="str">
        <f>IF(Klisz_Verbräuche[[#Headers],[2027]]=$B$57,IF(COUNTIF($F134:Klisz_Verbräuche[[#This Row],[2026]],"&gt;0")&gt;0, AVERAGEIF($F134:Klisz_Verbräuche[[#This Row],[2026]],"&lt;&gt;"), ""),IF($B$57&lt;Klisz_Verbräuche[[#Headers],[2027]],IF(COUNTIF($F134:Klisz_Verbräuche[[#This Row],[2026]],"&gt;0")&gt;0,IF(COUNTIF($F134:Klisz_Verbräuche[[#This Row],[2026]],"&gt;0")&gt;0,Klisz_Verbräuche[[#This Row],[2026]]*(1-$E134)^1, ""), ""),IF($B$57&gt;Klisz_Verbräuche[[#Headers],[2027]],Refsz_Verbräuche[[#This Row],[2027]],"")))</f>
        <v/>
      </c>
      <c r="S134" s="57" t="str">
        <f>IF(Klisz_Verbräuche[[#Headers],[2028]]=$B$57,IF(COUNTIF($F134:Klisz_Verbräuche[[#This Row],[2027]],"&gt;0")&gt;0, AVERAGEIF($F134:Klisz_Verbräuche[[#This Row],[2027]],"&lt;&gt;"), ""),IF($B$57&lt;Klisz_Verbräuche[[#Headers],[2028]],IF(COUNTIF($F134:Klisz_Verbräuche[[#This Row],[2027]],"&gt;0")&gt;0,IF(COUNTIF($F134:Klisz_Verbräuche[[#This Row],[2027]],"&gt;0")&gt;0,Klisz_Verbräuche[[#This Row],[2027]]*(1-$E134)^1, ""), ""),IF($B$57&gt;Klisz_Verbräuche[[#Headers],[2028]],Refsz_Verbräuche[[#This Row],[2028]],"")))</f>
        <v/>
      </c>
      <c r="T134" s="57" t="str">
        <f>IF(Klisz_Verbräuche[[#Headers],[2029]]=$B$57,IF(COUNTIF($F134:Klisz_Verbräuche[[#This Row],[2028]],"&gt;0")&gt;0, AVERAGEIF($F134:Klisz_Verbräuche[[#This Row],[2028]],"&lt;&gt;"), ""),IF($B$57&lt;Klisz_Verbräuche[[#Headers],[2029]],IF(COUNTIF($F134:Klisz_Verbräuche[[#This Row],[2028]],"&gt;0")&gt;0,IF(COUNTIF($F134:Klisz_Verbräuche[[#This Row],[2028]],"&gt;0")&gt;0,Klisz_Verbräuche[[#This Row],[2028]]*(1-$E134)^1, ""), ""),IF($B$57&gt;Klisz_Verbräuche[[#Headers],[2029]],Refsz_Verbräuche[[#This Row],[2029]],"")))</f>
        <v/>
      </c>
      <c r="U134" s="57" t="str">
        <f>IF(Klisz_Verbräuche[[#Headers],[2030]]=$B$57,IF(COUNTIF($F134:Klisz_Verbräuche[[#This Row],[2029]],"&gt;0")&gt;0, AVERAGEIF($F134:Klisz_Verbräuche[[#This Row],[2029]],"&lt;&gt;"), ""),IF($B$57&lt;Klisz_Verbräuche[[#Headers],[2030]],IF(COUNTIF($F134:Klisz_Verbräuche[[#This Row],[2029]],"&gt;0")&gt;0,IF(COUNTIF($F134:Klisz_Verbräuche[[#This Row],[2029]],"&gt;0")&gt;0,Klisz_Verbräuche[[#This Row],[2029]]*(1-$E134)^1, ""), ""),IF($B$57&gt;Klisz_Verbräuche[[#Headers],[2030]],Refsz_Verbräuche[[#This Row],[2030]],"")))</f>
        <v/>
      </c>
      <c r="V134" s="57" t="str">
        <f>IF(Klisz_Verbräuche[[#Headers],[2035]]=$B$57,IF(COUNTIF($F134:Klisz_Verbräuche[[#This Row],[2030]],"&gt;0")&gt;0, AVERAGEIF($F134:Klisz_Verbräuche[[#This Row],[2030]],"&lt;&gt;"), ""),IF($B$57&lt;Klisz_Verbräuche[[#Headers],[2035]],IF(COUNTIF($F134:Klisz_Verbräuche[[#This Row],[2030]],"&gt;0")&gt;0,IF(COUNTIF($F134:Klisz_Verbräuche[[#This Row],[2030]],"&gt;0")&gt;0,Klisz_Verbräuche[[#This Row],[2030]]*(1-$E134)^5, ""), ""),IF($B$57&gt;Klisz_Verbräuche[[#Headers],[2035]],Refsz_Verbräuche[[#This Row],[2035]],"")))</f>
        <v/>
      </c>
      <c r="W134" s="57" t="str">
        <f>IF(Klisz_Verbräuche[[#Headers],[2040]]=$B$57,IF(COUNTIF($F134:Klisz_Verbräuche[[#This Row],[2035]],"&gt;0")&gt;0, AVERAGEIF($F134:Klisz_Verbräuche[[#This Row],[2035]],"&lt;&gt;"), ""),IF($B$57&lt;Klisz_Verbräuche[[#Headers],[2040]],IF(COUNTIF($F134:Klisz_Verbräuche[[#This Row],[2035]],"&gt;0")&gt;0,IF(COUNTIF($F134:Klisz_Verbräuche[[#This Row],[2035]],"&gt;0")&gt;0,Klisz_Verbräuche[[#This Row],[2035]]*(1-$E134)^5, ""), ""),IF($B$57&gt;Klisz_Verbräuche[[#Headers],[2040]],Refsz_Verbräuche[[#This Row],[2040]],"")))</f>
        <v/>
      </c>
      <c r="X134" s="57" t="str">
        <f>IF(Klisz_Verbräuche[[#Headers],[2045]]=$B$57,IF(COUNTIF($F134:Klisz_Verbräuche[[#This Row],[2040]],"&gt;0")&gt;0, AVERAGEIF($F134:Klisz_Verbräuche[[#This Row],[2040]],"&lt;&gt;"), ""),IF($B$57&lt;Klisz_Verbräuche[[#Headers],[2045]],IF(COUNTIF($F134:Klisz_Verbräuche[[#This Row],[2040]],"&gt;0")&gt;0,IF(COUNTIF($F134:Klisz_Verbräuche[[#This Row],[2040]],"&gt;0")&gt;0,Klisz_Verbräuche[[#This Row],[2040]]*(1-$E134)^5, ""), ""),IF($B$57&gt;Klisz_Verbräuche[[#Headers],[2045]],Refsz_Verbräuche[[#This Row],[2045]],"")))</f>
        <v/>
      </c>
      <c r="Y134" s="57" t="str">
        <f>IF(Klisz_Verbräuche[[#Headers],[2050]]=$B$57,IF(COUNTIF($F134:Klisz_Verbräuche[[#This Row],[2045]],"&gt;0")&gt;0, AVERAGEIF($F134:Klisz_Verbräuche[[#This Row],[2045]],"&lt;&gt;"), ""),IF($B$57&lt;Klisz_Verbräuche[[#Headers],[2050]],IF(COUNTIF($F134:Klisz_Verbräuche[[#This Row],[2045]],"&gt;0")&gt;0,IF(COUNTIF($F134:Klisz_Verbräuche[[#This Row],[2045]],"&gt;0")&gt;0,Klisz_Verbräuche[[#This Row],[2045]]*(1-$E134)^5, ""), ""),IF($B$57&gt;Klisz_Verbräuche[[#Headers],[2050]],Refsz_Verbräuche[[#This Row],[2050]],"")))</f>
        <v/>
      </c>
      <c r="Z134" s="15"/>
    </row>
    <row r="135" spans="2:26" x14ac:dyDescent="0.35">
      <c r="B135" s="15">
        <v>75</v>
      </c>
      <c r="C135" s="20" t="str">
        <f>Refsz_Verbräuche[[#This Row],[Datenpunkt]]</f>
        <v>Pendeln - E-Bike</v>
      </c>
      <c r="D135" s="29" t="str">
        <f>Refsz_Verbräuche[[#This Row],[Einheit]]</f>
        <v>Fkm</v>
      </c>
      <c r="E135" s="122"/>
      <c r="F135" s="15" t="str">
        <f>IF(ISBLANK(Refsz_Verbräuche[[#This Row],[2015]]),"",Refsz_Verbräuche[[#This Row],[2015]])</f>
        <v/>
      </c>
      <c r="G135" s="15" t="str">
        <f>IF(ISBLANK(Refsz_Verbräuche[[#This Row],[2016]]),"",Refsz_Verbräuche[[#This Row],[2016]])</f>
        <v/>
      </c>
      <c r="H135" s="15" t="str">
        <f>IF(ISBLANK(Refsz_Verbräuche[[#This Row],[2017]]),"",Refsz_Verbräuche[[#This Row],[2017]])</f>
        <v/>
      </c>
      <c r="I135" s="15" t="str">
        <f>IF(ISBLANK(Refsz_Verbräuche[[#This Row],[2018]]),"",Refsz_Verbräuche[[#This Row],[2018]])</f>
        <v/>
      </c>
      <c r="J135" s="15" t="str">
        <f>IF(ISBLANK(Refsz_Verbräuche[[#This Row],[2019]]),"",Refsz_Verbräuche[[#This Row],[2019]])</f>
        <v/>
      </c>
      <c r="K135" s="15" t="str">
        <f>IF(ISBLANK(Refsz_Verbräuche[[#This Row],[2020]]),"",Refsz_Verbräuche[[#This Row],[2020]])</f>
        <v/>
      </c>
      <c r="L135" s="15" t="str">
        <f>IF(ISBLANK(Refsz_Verbräuche[[#This Row],[2021]]),"",Refsz_Verbräuche[[#This Row],[2021]])</f>
        <v/>
      </c>
      <c r="M135" s="57" t="str">
        <f>IF(Klisz_Verbräuche[[#Headers],[2022]]=$B$57,IF(COUNTIF($F135:Klisz_Verbräuche[[#This Row],[2021]],"&gt;0")&gt;0, AVERAGEIF($F135:Klisz_Verbräuche[[#This Row],[2021]],"&lt;&gt;"), ""),IF($B$57&lt;Klisz_Verbräuche[[#Headers],[2022]],IF(COUNTIF($F135:Klisz_Verbräuche[[#This Row],[2021]],"&gt;0")&gt;0,IF(COUNTIF($F135:Klisz_Verbräuche[[#This Row],[2021]],"&gt;0")&gt;0,Klisz_Verbräuche[[#This Row],[2021]]*(1-$E135)^1, ""), ""),IF($B$57&gt;Klisz_Verbräuche[[#Headers],[2022]],Refsz_Verbräuche[[#This Row],[2022]],"")))</f>
        <v/>
      </c>
      <c r="N135" s="57" t="str">
        <f>IF(Klisz_Verbräuche[[#Headers],[2023]]=$B$57,IF(COUNTIF($F135:Klisz_Verbräuche[[#This Row],[2022]],"&gt;0")&gt;0, AVERAGEIF($F135:Klisz_Verbräuche[[#This Row],[2022]],"&lt;&gt;"), ""),IF($B$57&lt;Klisz_Verbräuche[[#Headers],[2023]],IF(COUNTIF($F135:Klisz_Verbräuche[[#This Row],[2022]],"&gt;0")&gt;0,IF(COUNTIF($F135:Klisz_Verbräuche[[#This Row],[2022]],"&gt;0")&gt;0,Klisz_Verbräuche[[#This Row],[2022]]*(1-$E135)^1, ""), ""),IF($B$57&gt;Klisz_Verbräuche[[#Headers],[2023]],Refsz_Verbräuche[[#This Row],[2023]],"")))</f>
        <v/>
      </c>
      <c r="O135" s="57" t="str">
        <f>IF(Klisz_Verbräuche[[#Headers],[2024]]=$B$57,IF(COUNTIF($F135:Klisz_Verbräuche[[#This Row],[2023]],"&gt;0")&gt;0, AVERAGEIF($F135:Klisz_Verbräuche[[#This Row],[2023]],"&lt;&gt;"), ""),IF($B$57&lt;Klisz_Verbräuche[[#Headers],[2024]],IF(COUNTIF($F135:Klisz_Verbräuche[[#This Row],[2023]],"&gt;0")&gt;0,IF(COUNTIF($F135:Klisz_Verbräuche[[#This Row],[2023]],"&gt;0")&gt;0,Klisz_Verbräuche[[#This Row],[2023]]*(1-$E135)^1, ""), ""),IF($B$57&gt;Klisz_Verbräuche[[#Headers],[2024]],Refsz_Verbräuche[[#This Row],[2024]],"")))</f>
        <v/>
      </c>
      <c r="P135" s="57" t="str">
        <f>IF(Klisz_Verbräuche[[#Headers],[2025]]=$B$57,IF(COUNTIF($F135:Klisz_Verbräuche[[#This Row],[2024]],"&gt;0")&gt;0, AVERAGEIF($F135:Klisz_Verbräuche[[#This Row],[2024]],"&lt;&gt;"), ""),IF($B$57&lt;Klisz_Verbräuche[[#Headers],[2025]],IF(COUNTIF($F135:Klisz_Verbräuche[[#This Row],[2024]],"&gt;0")&gt;0,IF(COUNTIF($F135:Klisz_Verbräuche[[#This Row],[2024]],"&gt;0")&gt;0,Klisz_Verbräuche[[#This Row],[2024]]*(1-$E135)^1, ""), ""),IF($B$57&gt;Klisz_Verbräuche[[#Headers],[2025]],Refsz_Verbräuche[[#This Row],[2025]],"")))</f>
        <v/>
      </c>
      <c r="Q135" s="57" t="str">
        <f>IF(Klisz_Verbräuche[[#Headers],[2026]]=$B$57,IF(COUNTIF($F135:Klisz_Verbräuche[[#This Row],[2025]],"&gt;0")&gt;0, AVERAGEIF($F135:Klisz_Verbräuche[[#This Row],[2025]],"&lt;&gt;"), ""),IF($B$57&lt;Klisz_Verbräuche[[#Headers],[2026]],IF(COUNTIF($F135:Klisz_Verbräuche[[#This Row],[2025]],"&gt;0")&gt;0,IF(COUNTIF($F135:Klisz_Verbräuche[[#This Row],[2025]],"&gt;0")&gt;0,Klisz_Verbräuche[[#This Row],[2025]]*(1-$E135)^1, ""), ""),IF($B$57&gt;Klisz_Verbräuche[[#Headers],[2026]],Refsz_Verbräuche[[#This Row],[2026]],"")))</f>
        <v/>
      </c>
      <c r="R135" s="57" t="str">
        <f>IF(Klisz_Verbräuche[[#Headers],[2027]]=$B$57,IF(COUNTIF($F135:Klisz_Verbräuche[[#This Row],[2026]],"&gt;0")&gt;0, AVERAGEIF($F135:Klisz_Verbräuche[[#This Row],[2026]],"&lt;&gt;"), ""),IF($B$57&lt;Klisz_Verbräuche[[#Headers],[2027]],IF(COUNTIF($F135:Klisz_Verbräuche[[#This Row],[2026]],"&gt;0")&gt;0,IF(COUNTIF($F135:Klisz_Verbräuche[[#This Row],[2026]],"&gt;0")&gt;0,Klisz_Verbräuche[[#This Row],[2026]]*(1-$E135)^1, ""), ""),IF($B$57&gt;Klisz_Verbräuche[[#Headers],[2027]],Refsz_Verbräuche[[#This Row],[2027]],"")))</f>
        <v/>
      </c>
      <c r="S135" s="57" t="str">
        <f>IF(Klisz_Verbräuche[[#Headers],[2028]]=$B$57,IF(COUNTIF($F135:Klisz_Verbräuche[[#This Row],[2027]],"&gt;0")&gt;0, AVERAGEIF($F135:Klisz_Verbräuche[[#This Row],[2027]],"&lt;&gt;"), ""),IF($B$57&lt;Klisz_Verbräuche[[#Headers],[2028]],IF(COUNTIF($F135:Klisz_Verbräuche[[#This Row],[2027]],"&gt;0")&gt;0,IF(COUNTIF($F135:Klisz_Verbräuche[[#This Row],[2027]],"&gt;0")&gt;0,Klisz_Verbräuche[[#This Row],[2027]]*(1-$E135)^1, ""), ""),IF($B$57&gt;Klisz_Verbräuche[[#Headers],[2028]],Refsz_Verbräuche[[#This Row],[2028]],"")))</f>
        <v/>
      </c>
      <c r="T135" s="57" t="str">
        <f>IF(Klisz_Verbräuche[[#Headers],[2029]]=$B$57,IF(COUNTIF($F135:Klisz_Verbräuche[[#This Row],[2028]],"&gt;0")&gt;0, AVERAGEIF($F135:Klisz_Verbräuche[[#This Row],[2028]],"&lt;&gt;"), ""),IF($B$57&lt;Klisz_Verbräuche[[#Headers],[2029]],IF(COUNTIF($F135:Klisz_Verbräuche[[#This Row],[2028]],"&gt;0")&gt;0,IF(COUNTIF($F135:Klisz_Verbräuche[[#This Row],[2028]],"&gt;0")&gt;0,Klisz_Verbräuche[[#This Row],[2028]]*(1-$E135)^1, ""), ""),IF($B$57&gt;Klisz_Verbräuche[[#Headers],[2029]],Refsz_Verbräuche[[#This Row],[2029]],"")))</f>
        <v/>
      </c>
      <c r="U135" s="57" t="str">
        <f>IF(Klisz_Verbräuche[[#Headers],[2030]]=$B$57,IF(COUNTIF($F135:Klisz_Verbräuche[[#This Row],[2029]],"&gt;0")&gt;0, AVERAGEIF($F135:Klisz_Verbräuche[[#This Row],[2029]],"&lt;&gt;"), ""),IF($B$57&lt;Klisz_Verbräuche[[#Headers],[2030]],IF(COUNTIF($F135:Klisz_Verbräuche[[#This Row],[2029]],"&gt;0")&gt;0,IF(COUNTIF($F135:Klisz_Verbräuche[[#This Row],[2029]],"&gt;0")&gt;0,Klisz_Verbräuche[[#This Row],[2029]]*(1-$E135)^1, ""), ""),IF($B$57&gt;Klisz_Verbräuche[[#Headers],[2030]],Refsz_Verbräuche[[#This Row],[2030]],"")))</f>
        <v/>
      </c>
      <c r="V135" s="57" t="str">
        <f>IF(Klisz_Verbräuche[[#Headers],[2035]]=$B$57,IF(COUNTIF($F135:Klisz_Verbräuche[[#This Row],[2030]],"&gt;0")&gt;0, AVERAGEIF($F135:Klisz_Verbräuche[[#This Row],[2030]],"&lt;&gt;"), ""),IF($B$57&lt;Klisz_Verbräuche[[#Headers],[2035]],IF(COUNTIF($F135:Klisz_Verbräuche[[#This Row],[2030]],"&gt;0")&gt;0,IF(COUNTIF($F135:Klisz_Verbräuche[[#This Row],[2030]],"&gt;0")&gt;0,Klisz_Verbräuche[[#This Row],[2030]]*(1-$E135)^5, ""), ""),IF($B$57&gt;Klisz_Verbräuche[[#Headers],[2035]],Refsz_Verbräuche[[#This Row],[2035]],"")))</f>
        <v/>
      </c>
      <c r="W135" s="57" t="str">
        <f>IF(Klisz_Verbräuche[[#Headers],[2040]]=$B$57,IF(COUNTIF($F135:Klisz_Verbräuche[[#This Row],[2035]],"&gt;0")&gt;0, AVERAGEIF($F135:Klisz_Verbräuche[[#This Row],[2035]],"&lt;&gt;"), ""),IF($B$57&lt;Klisz_Verbräuche[[#Headers],[2040]],IF(COUNTIF($F135:Klisz_Verbräuche[[#This Row],[2035]],"&gt;0")&gt;0,IF(COUNTIF($F135:Klisz_Verbräuche[[#This Row],[2035]],"&gt;0")&gt;0,Klisz_Verbräuche[[#This Row],[2035]]*(1-$E135)^5, ""), ""),IF($B$57&gt;Klisz_Verbräuche[[#Headers],[2040]],Refsz_Verbräuche[[#This Row],[2040]],"")))</f>
        <v/>
      </c>
      <c r="X135" s="57" t="str">
        <f>IF(Klisz_Verbräuche[[#Headers],[2045]]=$B$57,IF(COUNTIF($F135:Klisz_Verbräuche[[#This Row],[2040]],"&gt;0")&gt;0, AVERAGEIF($F135:Klisz_Verbräuche[[#This Row],[2040]],"&lt;&gt;"), ""),IF($B$57&lt;Klisz_Verbräuche[[#Headers],[2045]],IF(COUNTIF($F135:Klisz_Verbräuche[[#This Row],[2040]],"&gt;0")&gt;0,IF(COUNTIF($F135:Klisz_Verbräuche[[#This Row],[2040]],"&gt;0")&gt;0,Klisz_Verbräuche[[#This Row],[2040]]*(1-$E135)^5, ""), ""),IF($B$57&gt;Klisz_Verbräuche[[#Headers],[2045]],Refsz_Verbräuche[[#This Row],[2045]],"")))</f>
        <v/>
      </c>
      <c r="Y135" s="57" t="str">
        <f>IF(Klisz_Verbräuche[[#Headers],[2050]]=$B$57,IF(COUNTIF($F135:Klisz_Verbräuche[[#This Row],[2045]],"&gt;0")&gt;0, AVERAGEIF($F135:Klisz_Verbräuche[[#This Row],[2045]],"&lt;&gt;"), ""),IF($B$57&lt;Klisz_Verbräuche[[#Headers],[2050]],IF(COUNTIF($F135:Klisz_Verbräuche[[#This Row],[2045]],"&gt;0")&gt;0,IF(COUNTIF($F135:Klisz_Verbräuche[[#This Row],[2045]],"&gt;0")&gt;0,Klisz_Verbräuche[[#This Row],[2045]]*(1-$E135)^5, ""), ""),IF($B$57&gt;Klisz_Verbräuche[[#Headers],[2050]],Refsz_Verbräuche[[#This Row],[2050]],"")))</f>
        <v/>
      </c>
      <c r="Z135" s="15"/>
    </row>
    <row r="136" spans="2:26" x14ac:dyDescent="0.35">
      <c r="B136" s="15">
        <v>76</v>
      </c>
      <c r="C136" s="20" t="str">
        <f>Refsz_Verbräuche[[#This Row],[Datenpunkt]]</f>
        <v>Pendeln - zu Fuß</v>
      </c>
      <c r="D136" s="29" t="str">
        <f>Refsz_Verbräuche[[#This Row],[Einheit]]</f>
        <v>Pkm</v>
      </c>
      <c r="E136" s="122"/>
      <c r="F136" s="15" t="str">
        <f>IF(ISBLANK(Refsz_Verbräuche[[#This Row],[2015]]),"",Refsz_Verbräuche[[#This Row],[2015]])</f>
        <v/>
      </c>
      <c r="G136" s="15" t="str">
        <f>IF(ISBLANK(Refsz_Verbräuche[[#This Row],[2016]]),"",Refsz_Verbräuche[[#This Row],[2016]])</f>
        <v/>
      </c>
      <c r="H136" s="15" t="str">
        <f>IF(ISBLANK(Refsz_Verbräuche[[#This Row],[2017]]),"",Refsz_Verbräuche[[#This Row],[2017]])</f>
        <v/>
      </c>
      <c r="I136" s="15" t="str">
        <f>IF(ISBLANK(Refsz_Verbräuche[[#This Row],[2018]]),"",Refsz_Verbräuche[[#This Row],[2018]])</f>
        <v/>
      </c>
      <c r="J136" s="15" t="str">
        <f>IF(ISBLANK(Refsz_Verbräuche[[#This Row],[2019]]),"",Refsz_Verbräuche[[#This Row],[2019]])</f>
        <v/>
      </c>
      <c r="K136" s="15" t="str">
        <f>IF(ISBLANK(Refsz_Verbräuche[[#This Row],[2020]]),"",Refsz_Verbräuche[[#This Row],[2020]])</f>
        <v/>
      </c>
      <c r="L136" s="15" t="str">
        <f>IF(ISBLANK(Refsz_Verbräuche[[#This Row],[2021]]),"",Refsz_Verbräuche[[#This Row],[2021]])</f>
        <v/>
      </c>
      <c r="M136" s="57" t="str">
        <f>IF(Klisz_Verbräuche[[#Headers],[2022]]=$B$57,IF(COUNTIF($F136:Klisz_Verbräuche[[#This Row],[2021]],"&gt;0")&gt;0, AVERAGEIF($F136:Klisz_Verbräuche[[#This Row],[2021]],"&lt;&gt;"), ""),IF($B$57&lt;Klisz_Verbräuche[[#Headers],[2022]],IF(COUNTIF($F136:Klisz_Verbräuche[[#This Row],[2021]],"&gt;0")&gt;0,IF(COUNTIF($F136:Klisz_Verbräuche[[#This Row],[2021]],"&gt;0")&gt;0,Klisz_Verbräuche[[#This Row],[2021]]*(1-$E136)^1, ""), ""),IF($B$57&gt;Klisz_Verbräuche[[#Headers],[2022]],Refsz_Verbräuche[[#This Row],[2022]],"")))</f>
        <v/>
      </c>
      <c r="N136" s="57" t="str">
        <f>IF(Klisz_Verbräuche[[#Headers],[2023]]=$B$57,IF(COUNTIF($F136:Klisz_Verbräuche[[#This Row],[2022]],"&gt;0")&gt;0, AVERAGEIF($F136:Klisz_Verbräuche[[#This Row],[2022]],"&lt;&gt;"), ""),IF($B$57&lt;Klisz_Verbräuche[[#Headers],[2023]],IF(COUNTIF($F136:Klisz_Verbräuche[[#This Row],[2022]],"&gt;0")&gt;0,IF(COUNTIF($F136:Klisz_Verbräuche[[#This Row],[2022]],"&gt;0")&gt;0,Klisz_Verbräuche[[#This Row],[2022]]*(1-$E136)^1, ""), ""),IF($B$57&gt;Klisz_Verbräuche[[#Headers],[2023]],Refsz_Verbräuche[[#This Row],[2023]],"")))</f>
        <v/>
      </c>
      <c r="O136" s="57" t="str">
        <f>IF(Klisz_Verbräuche[[#Headers],[2024]]=$B$57,IF(COUNTIF($F136:Klisz_Verbräuche[[#This Row],[2023]],"&gt;0")&gt;0, AVERAGEIF($F136:Klisz_Verbräuche[[#This Row],[2023]],"&lt;&gt;"), ""),IF($B$57&lt;Klisz_Verbräuche[[#Headers],[2024]],IF(COUNTIF($F136:Klisz_Verbräuche[[#This Row],[2023]],"&gt;0")&gt;0,IF(COUNTIF($F136:Klisz_Verbräuche[[#This Row],[2023]],"&gt;0")&gt;0,Klisz_Verbräuche[[#This Row],[2023]]*(1-$E136)^1, ""), ""),IF($B$57&gt;Klisz_Verbräuche[[#Headers],[2024]],Refsz_Verbräuche[[#This Row],[2024]],"")))</f>
        <v/>
      </c>
      <c r="P136" s="57" t="str">
        <f>IF(Klisz_Verbräuche[[#Headers],[2025]]=$B$57,IF(COUNTIF($F136:Klisz_Verbräuche[[#This Row],[2024]],"&gt;0")&gt;0, AVERAGEIF($F136:Klisz_Verbräuche[[#This Row],[2024]],"&lt;&gt;"), ""),IF($B$57&lt;Klisz_Verbräuche[[#Headers],[2025]],IF(COUNTIF($F136:Klisz_Verbräuche[[#This Row],[2024]],"&gt;0")&gt;0,IF(COUNTIF($F136:Klisz_Verbräuche[[#This Row],[2024]],"&gt;0")&gt;0,Klisz_Verbräuche[[#This Row],[2024]]*(1-$E136)^1, ""), ""),IF($B$57&gt;Klisz_Verbräuche[[#Headers],[2025]],Refsz_Verbräuche[[#This Row],[2025]],"")))</f>
        <v/>
      </c>
      <c r="Q136" s="57" t="str">
        <f>IF(Klisz_Verbräuche[[#Headers],[2026]]=$B$57,IF(COUNTIF($F136:Klisz_Verbräuche[[#This Row],[2025]],"&gt;0")&gt;0, AVERAGEIF($F136:Klisz_Verbräuche[[#This Row],[2025]],"&lt;&gt;"), ""),IF($B$57&lt;Klisz_Verbräuche[[#Headers],[2026]],IF(COUNTIF($F136:Klisz_Verbräuche[[#This Row],[2025]],"&gt;0")&gt;0,IF(COUNTIF($F136:Klisz_Verbräuche[[#This Row],[2025]],"&gt;0")&gt;0,Klisz_Verbräuche[[#This Row],[2025]]*(1-$E136)^1, ""), ""),IF($B$57&gt;Klisz_Verbräuche[[#Headers],[2026]],Refsz_Verbräuche[[#This Row],[2026]],"")))</f>
        <v/>
      </c>
      <c r="R136" s="57" t="str">
        <f>IF(Klisz_Verbräuche[[#Headers],[2027]]=$B$57,IF(COUNTIF($F136:Klisz_Verbräuche[[#This Row],[2026]],"&gt;0")&gt;0, AVERAGEIF($F136:Klisz_Verbräuche[[#This Row],[2026]],"&lt;&gt;"), ""),IF($B$57&lt;Klisz_Verbräuche[[#Headers],[2027]],IF(COUNTIF($F136:Klisz_Verbräuche[[#This Row],[2026]],"&gt;0")&gt;0,IF(COUNTIF($F136:Klisz_Verbräuche[[#This Row],[2026]],"&gt;0")&gt;0,Klisz_Verbräuche[[#This Row],[2026]]*(1-$E136)^1, ""), ""),IF($B$57&gt;Klisz_Verbräuche[[#Headers],[2027]],Refsz_Verbräuche[[#This Row],[2027]],"")))</f>
        <v/>
      </c>
      <c r="S136" s="57" t="str">
        <f>IF(Klisz_Verbräuche[[#Headers],[2028]]=$B$57,IF(COUNTIF($F136:Klisz_Verbräuche[[#This Row],[2027]],"&gt;0")&gt;0, AVERAGEIF($F136:Klisz_Verbräuche[[#This Row],[2027]],"&lt;&gt;"), ""),IF($B$57&lt;Klisz_Verbräuche[[#Headers],[2028]],IF(COUNTIF($F136:Klisz_Verbräuche[[#This Row],[2027]],"&gt;0")&gt;0,IF(COUNTIF($F136:Klisz_Verbräuche[[#This Row],[2027]],"&gt;0")&gt;0,Klisz_Verbräuche[[#This Row],[2027]]*(1-$E136)^1, ""), ""),IF($B$57&gt;Klisz_Verbräuche[[#Headers],[2028]],Refsz_Verbräuche[[#This Row],[2028]],"")))</f>
        <v/>
      </c>
      <c r="T136" s="57" t="str">
        <f>IF(Klisz_Verbräuche[[#Headers],[2029]]=$B$57,IF(COUNTIF($F136:Klisz_Verbräuche[[#This Row],[2028]],"&gt;0")&gt;0, AVERAGEIF($F136:Klisz_Verbräuche[[#This Row],[2028]],"&lt;&gt;"), ""),IF($B$57&lt;Klisz_Verbräuche[[#Headers],[2029]],IF(COUNTIF($F136:Klisz_Verbräuche[[#This Row],[2028]],"&gt;0")&gt;0,IF(COUNTIF($F136:Klisz_Verbräuche[[#This Row],[2028]],"&gt;0")&gt;0,Klisz_Verbräuche[[#This Row],[2028]]*(1-$E136)^1, ""), ""),IF($B$57&gt;Klisz_Verbräuche[[#Headers],[2029]],Refsz_Verbräuche[[#This Row],[2029]],"")))</f>
        <v/>
      </c>
      <c r="U136" s="57" t="str">
        <f>IF(Klisz_Verbräuche[[#Headers],[2030]]=$B$57,IF(COUNTIF($F136:Klisz_Verbräuche[[#This Row],[2029]],"&gt;0")&gt;0, AVERAGEIF($F136:Klisz_Verbräuche[[#This Row],[2029]],"&lt;&gt;"), ""),IF($B$57&lt;Klisz_Verbräuche[[#Headers],[2030]],IF(COUNTIF($F136:Klisz_Verbräuche[[#This Row],[2029]],"&gt;0")&gt;0,IF(COUNTIF($F136:Klisz_Verbräuche[[#This Row],[2029]],"&gt;0")&gt;0,Klisz_Verbräuche[[#This Row],[2029]]*(1-$E136)^1, ""), ""),IF($B$57&gt;Klisz_Verbräuche[[#Headers],[2030]],Refsz_Verbräuche[[#This Row],[2030]],"")))</f>
        <v/>
      </c>
      <c r="V136" s="57" t="str">
        <f>IF(Klisz_Verbräuche[[#Headers],[2035]]=$B$57,IF(COUNTIF($F136:Klisz_Verbräuche[[#This Row],[2030]],"&gt;0")&gt;0, AVERAGEIF($F136:Klisz_Verbräuche[[#This Row],[2030]],"&lt;&gt;"), ""),IF($B$57&lt;Klisz_Verbräuche[[#Headers],[2035]],IF(COUNTIF($F136:Klisz_Verbräuche[[#This Row],[2030]],"&gt;0")&gt;0,IF(COUNTIF($F136:Klisz_Verbräuche[[#This Row],[2030]],"&gt;0")&gt;0,Klisz_Verbräuche[[#This Row],[2030]]*(1-$E136)^5, ""), ""),IF($B$57&gt;Klisz_Verbräuche[[#Headers],[2035]],Refsz_Verbräuche[[#This Row],[2035]],"")))</f>
        <v/>
      </c>
      <c r="W136" s="57" t="str">
        <f>IF(Klisz_Verbräuche[[#Headers],[2040]]=$B$57,IF(COUNTIF($F136:Klisz_Verbräuche[[#This Row],[2035]],"&gt;0")&gt;0, AVERAGEIF($F136:Klisz_Verbräuche[[#This Row],[2035]],"&lt;&gt;"), ""),IF($B$57&lt;Klisz_Verbräuche[[#Headers],[2040]],IF(COUNTIF($F136:Klisz_Verbräuche[[#This Row],[2035]],"&gt;0")&gt;0,IF(COUNTIF($F136:Klisz_Verbräuche[[#This Row],[2035]],"&gt;0")&gt;0,Klisz_Verbräuche[[#This Row],[2035]]*(1-$E136)^5, ""), ""),IF($B$57&gt;Klisz_Verbräuche[[#Headers],[2040]],Refsz_Verbräuche[[#This Row],[2040]],"")))</f>
        <v/>
      </c>
      <c r="X136" s="57" t="str">
        <f>IF(Klisz_Verbräuche[[#Headers],[2045]]=$B$57,IF(COUNTIF($F136:Klisz_Verbräuche[[#This Row],[2040]],"&gt;0")&gt;0, AVERAGEIF($F136:Klisz_Verbräuche[[#This Row],[2040]],"&lt;&gt;"), ""),IF($B$57&lt;Klisz_Verbräuche[[#Headers],[2045]],IF(COUNTIF($F136:Klisz_Verbräuche[[#This Row],[2040]],"&gt;0")&gt;0,IF(COUNTIF($F136:Klisz_Verbräuche[[#This Row],[2040]],"&gt;0")&gt;0,Klisz_Verbräuche[[#This Row],[2040]]*(1-$E136)^5, ""), ""),IF($B$57&gt;Klisz_Verbräuche[[#Headers],[2045]],Refsz_Verbräuche[[#This Row],[2045]],"")))</f>
        <v/>
      </c>
      <c r="Y136" s="57" t="str">
        <f>IF(Klisz_Verbräuche[[#Headers],[2050]]=$B$57,IF(COUNTIF($F136:Klisz_Verbräuche[[#This Row],[2045]],"&gt;0")&gt;0, AVERAGEIF($F136:Klisz_Verbräuche[[#This Row],[2045]],"&lt;&gt;"), ""),IF($B$57&lt;Klisz_Verbräuche[[#Headers],[2050]],IF(COUNTIF($F136:Klisz_Verbräuche[[#This Row],[2045]],"&gt;0")&gt;0,IF(COUNTIF($F136:Klisz_Verbräuche[[#This Row],[2045]],"&gt;0")&gt;0,Klisz_Verbräuche[[#This Row],[2045]]*(1-$E136)^5, ""), ""),IF($B$57&gt;Klisz_Verbräuche[[#Headers],[2050]],Refsz_Verbräuche[[#This Row],[2050]],"")))</f>
        <v/>
      </c>
      <c r="Z136" s="15"/>
    </row>
    <row r="137" spans="2:26" x14ac:dyDescent="0.35">
      <c r="B137" s="15">
        <v>77</v>
      </c>
      <c r="C137" s="20">
        <f>Refsz_Verbräuche[[#This Row],[Datenpunkt]]</f>
        <v>0</v>
      </c>
      <c r="D137" s="29">
        <f>Refsz_Verbräuche[[#This Row],[Einheit]]</f>
        <v>0</v>
      </c>
      <c r="E137" s="122"/>
      <c r="F137" s="15" t="str">
        <f>IF(ISBLANK(Refsz_Verbräuche[[#This Row],[2015]]),"",Refsz_Verbräuche[[#This Row],[2015]])</f>
        <v/>
      </c>
      <c r="G137" s="15" t="str">
        <f>IF(ISBLANK(Refsz_Verbräuche[[#This Row],[2016]]),"",Refsz_Verbräuche[[#This Row],[2016]])</f>
        <v/>
      </c>
      <c r="H137" s="15" t="str">
        <f>IF(ISBLANK(Refsz_Verbräuche[[#This Row],[2017]]),"",Refsz_Verbräuche[[#This Row],[2017]])</f>
        <v/>
      </c>
      <c r="I137" s="15" t="str">
        <f>IF(ISBLANK(Refsz_Verbräuche[[#This Row],[2018]]),"",Refsz_Verbräuche[[#This Row],[2018]])</f>
        <v/>
      </c>
      <c r="J137" s="15" t="str">
        <f>IF(ISBLANK(Refsz_Verbräuche[[#This Row],[2019]]),"",Refsz_Verbräuche[[#This Row],[2019]])</f>
        <v/>
      </c>
      <c r="K137" s="15" t="str">
        <f>IF(ISBLANK(Refsz_Verbräuche[[#This Row],[2020]]),"",Refsz_Verbräuche[[#This Row],[2020]])</f>
        <v/>
      </c>
      <c r="L137" s="15" t="str">
        <f>IF(ISBLANK(Refsz_Verbräuche[[#This Row],[2021]]),"",Refsz_Verbräuche[[#This Row],[2021]])</f>
        <v/>
      </c>
      <c r="M137" s="57" t="str">
        <f>IF(Klisz_Verbräuche[[#Headers],[2022]]=$B$57,IF(COUNTIF($F137:Klisz_Verbräuche[[#This Row],[2021]],"&gt;0")&gt;0, AVERAGEIF($F137:Klisz_Verbräuche[[#This Row],[2021]],"&lt;&gt;"), ""),IF($B$57&lt;Klisz_Verbräuche[[#Headers],[2022]],IF(COUNTIF($F137:Klisz_Verbräuche[[#This Row],[2021]],"&gt;0")&gt;0,IF(COUNTIF($F137:Klisz_Verbräuche[[#This Row],[2021]],"&gt;0")&gt;0,Klisz_Verbräuche[[#This Row],[2021]]*(1-$E137)^1, ""), ""),IF($B$57&gt;Klisz_Verbräuche[[#Headers],[2022]],Refsz_Verbräuche[[#This Row],[2022]],"")))</f>
        <v/>
      </c>
      <c r="N137" s="57" t="str">
        <f>IF(Klisz_Verbräuche[[#Headers],[2023]]=$B$57,IF(COUNTIF($F137:Klisz_Verbräuche[[#This Row],[2022]],"&gt;0")&gt;0, AVERAGEIF($F137:Klisz_Verbräuche[[#This Row],[2022]],"&lt;&gt;"), ""),IF($B$57&lt;Klisz_Verbräuche[[#Headers],[2023]],IF(COUNTIF($F137:Klisz_Verbräuche[[#This Row],[2022]],"&gt;0")&gt;0,IF(COUNTIF($F137:Klisz_Verbräuche[[#This Row],[2022]],"&gt;0")&gt;0,Klisz_Verbräuche[[#This Row],[2022]]*(1-$E137)^1, ""), ""),IF($B$57&gt;Klisz_Verbräuche[[#Headers],[2023]],Refsz_Verbräuche[[#This Row],[2023]],"")))</f>
        <v/>
      </c>
      <c r="O137" s="57" t="str">
        <f>IF(Klisz_Verbräuche[[#Headers],[2024]]=$B$57,IF(COUNTIF($F137:Klisz_Verbräuche[[#This Row],[2023]],"&gt;0")&gt;0, AVERAGEIF($F137:Klisz_Verbräuche[[#This Row],[2023]],"&lt;&gt;"), ""),IF($B$57&lt;Klisz_Verbräuche[[#Headers],[2024]],IF(COUNTIF($F137:Klisz_Verbräuche[[#This Row],[2023]],"&gt;0")&gt;0,IF(COUNTIF($F137:Klisz_Verbräuche[[#This Row],[2023]],"&gt;0")&gt;0,Klisz_Verbräuche[[#This Row],[2023]]*(1-$E137)^1, ""), ""),IF($B$57&gt;Klisz_Verbräuche[[#Headers],[2024]],Refsz_Verbräuche[[#This Row],[2024]],"")))</f>
        <v/>
      </c>
      <c r="P137" s="57" t="str">
        <f>IF(Klisz_Verbräuche[[#Headers],[2025]]=$B$57,IF(COUNTIF($F137:Klisz_Verbräuche[[#This Row],[2024]],"&gt;0")&gt;0, AVERAGEIF($F137:Klisz_Verbräuche[[#This Row],[2024]],"&lt;&gt;"), ""),IF($B$57&lt;Klisz_Verbräuche[[#Headers],[2025]],IF(COUNTIF($F137:Klisz_Verbräuche[[#This Row],[2024]],"&gt;0")&gt;0,IF(COUNTIF($F137:Klisz_Verbräuche[[#This Row],[2024]],"&gt;0")&gt;0,Klisz_Verbräuche[[#This Row],[2024]]*(1-$E137)^1, ""), ""),IF($B$57&gt;Klisz_Verbräuche[[#Headers],[2025]],Refsz_Verbräuche[[#This Row],[2025]],"")))</f>
        <v/>
      </c>
      <c r="Q137" s="57" t="str">
        <f>IF(Klisz_Verbräuche[[#Headers],[2026]]=$B$57,IF(COUNTIF($F137:Klisz_Verbräuche[[#This Row],[2025]],"&gt;0")&gt;0, AVERAGEIF($F137:Klisz_Verbräuche[[#This Row],[2025]],"&lt;&gt;"), ""),IF($B$57&lt;Klisz_Verbräuche[[#Headers],[2026]],IF(COUNTIF($F137:Klisz_Verbräuche[[#This Row],[2025]],"&gt;0")&gt;0,IF(COUNTIF($F137:Klisz_Verbräuche[[#This Row],[2025]],"&gt;0")&gt;0,Klisz_Verbräuche[[#This Row],[2025]]*(1-$E137)^1, ""), ""),IF($B$57&gt;Klisz_Verbräuche[[#Headers],[2026]],Refsz_Verbräuche[[#This Row],[2026]],"")))</f>
        <v/>
      </c>
      <c r="R137" s="57" t="str">
        <f>IF(Klisz_Verbräuche[[#Headers],[2027]]=$B$57,IF(COUNTIF($F137:Klisz_Verbräuche[[#This Row],[2026]],"&gt;0")&gt;0, AVERAGEIF($F137:Klisz_Verbräuche[[#This Row],[2026]],"&lt;&gt;"), ""),IF($B$57&lt;Klisz_Verbräuche[[#Headers],[2027]],IF(COUNTIF($F137:Klisz_Verbräuche[[#This Row],[2026]],"&gt;0")&gt;0,IF(COUNTIF($F137:Klisz_Verbräuche[[#This Row],[2026]],"&gt;0")&gt;0,Klisz_Verbräuche[[#This Row],[2026]]*(1-$E137)^1, ""), ""),IF($B$57&gt;Klisz_Verbräuche[[#Headers],[2027]],Refsz_Verbräuche[[#This Row],[2027]],"")))</f>
        <v/>
      </c>
      <c r="S137" s="57" t="str">
        <f>IF(Klisz_Verbräuche[[#Headers],[2028]]=$B$57,IF(COUNTIF($F137:Klisz_Verbräuche[[#This Row],[2027]],"&gt;0")&gt;0, AVERAGEIF($F137:Klisz_Verbräuche[[#This Row],[2027]],"&lt;&gt;"), ""),IF($B$57&lt;Klisz_Verbräuche[[#Headers],[2028]],IF(COUNTIF($F137:Klisz_Verbräuche[[#This Row],[2027]],"&gt;0")&gt;0,IF(COUNTIF($F137:Klisz_Verbräuche[[#This Row],[2027]],"&gt;0")&gt;0,Klisz_Verbräuche[[#This Row],[2027]]*(1-$E137)^1, ""), ""),IF($B$57&gt;Klisz_Verbräuche[[#Headers],[2028]],Refsz_Verbräuche[[#This Row],[2028]],"")))</f>
        <v/>
      </c>
      <c r="T137" s="57" t="str">
        <f>IF(Klisz_Verbräuche[[#Headers],[2029]]=$B$57,IF(COUNTIF($F137:Klisz_Verbräuche[[#This Row],[2028]],"&gt;0")&gt;0, AVERAGEIF($F137:Klisz_Verbräuche[[#This Row],[2028]],"&lt;&gt;"), ""),IF($B$57&lt;Klisz_Verbräuche[[#Headers],[2029]],IF(COUNTIF($F137:Klisz_Verbräuche[[#This Row],[2028]],"&gt;0")&gt;0,IF(COUNTIF($F137:Klisz_Verbräuche[[#This Row],[2028]],"&gt;0")&gt;0,Klisz_Verbräuche[[#This Row],[2028]]*(1-$E137)^1, ""), ""),IF($B$57&gt;Klisz_Verbräuche[[#Headers],[2029]],Refsz_Verbräuche[[#This Row],[2029]],"")))</f>
        <v/>
      </c>
      <c r="U137" s="57" t="str">
        <f>IF(Klisz_Verbräuche[[#Headers],[2030]]=$B$57,IF(COUNTIF($F137:Klisz_Verbräuche[[#This Row],[2029]],"&gt;0")&gt;0, AVERAGEIF($F137:Klisz_Verbräuche[[#This Row],[2029]],"&lt;&gt;"), ""),IF($B$57&lt;Klisz_Verbräuche[[#Headers],[2030]],IF(COUNTIF($F137:Klisz_Verbräuche[[#This Row],[2029]],"&gt;0")&gt;0,IF(COUNTIF($F137:Klisz_Verbräuche[[#This Row],[2029]],"&gt;0")&gt;0,Klisz_Verbräuche[[#This Row],[2029]]*(1-$E137)^1, ""), ""),IF($B$57&gt;Klisz_Verbräuche[[#Headers],[2030]],Refsz_Verbräuche[[#This Row],[2030]],"")))</f>
        <v/>
      </c>
      <c r="V137" s="57" t="str">
        <f>IF(Klisz_Verbräuche[[#Headers],[2035]]=$B$57,IF(COUNTIF($F137:Klisz_Verbräuche[[#This Row],[2030]],"&gt;0")&gt;0, AVERAGEIF($F137:Klisz_Verbräuche[[#This Row],[2030]],"&lt;&gt;"), ""),IF($B$57&lt;Klisz_Verbräuche[[#Headers],[2035]],IF(COUNTIF($F137:Klisz_Verbräuche[[#This Row],[2030]],"&gt;0")&gt;0,IF(COUNTIF($F137:Klisz_Verbräuche[[#This Row],[2030]],"&gt;0")&gt;0,Klisz_Verbräuche[[#This Row],[2030]]*(1-$E137)^5, ""), ""),IF($B$57&gt;Klisz_Verbräuche[[#Headers],[2035]],Refsz_Verbräuche[[#This Row],[2035]],"")))</f>
        <v/>
      </c>
      <c r="W137" s="57" t="str">
        <f>IF(Klisz_Verbräuche[[#Headers],[2040]]=$B$57,IF(COUNTIF($F137:Klisz_Verbräuche[[#This Row],[2035]],"&gt;0")&gt;0, AVERAGEIF($F137:Klisz_Verbräuche[[#This Row],[2035]],"&lt;&gt;"), ""),IF($B$57&lt;Klisz_Verbräuche[[#Headers],[2040]],IF(COUNTIF($F137:Klisz_Verbräuche[[#This Row],[2035]],"&gt;0")&gt;0,IF(COUNTIF($F137:Klisz_Verbräuche[[#This Row],[2035]],"&gt;0")&gt;0,Klisz_Verbräuche[[#This Row],[2035]]*(1-$E137)^5, ""), ""),IF($B$57&gt;Klisz_Verbräuche[[#Headers],[2040]],Refsz_Verbräuche[[#This Row],[2040]],"")))</f>
        <v/>
      </c>
      <c r="X137" s="57" t="str">
        <f>IF(Klisz_Verbräuche[[#Headers],[2045]]=$B$57,IF(COUNTIF($F137:Klisz_Verbräuche[[#This Row],[2040]],"&gt;0")&gt;0, AVERAGEIF($F137:Klisz_Verbräuche[[#This Row],[2040]],"&lt;&gt;"), ""),IF($B$57&lt;Klisz_Verbräuche[[#Headers],[2045]],IF(COUNTIF($F137:Klisz_Verbräuche[[#This Row],[2040]],"&gt;0")&gt;0,IF(COUNTIF($F137:Klisz_Verbräuche[[#This Row],[2040]],"&gt;0")&gt;0,Klisz_Verbräuche[[#This Row],[2040]]*(1-$E137)^5, ""), ""),IF($B$57&gt;Klisz_Verbräuche[[#Headers],[2045]],Refsz_Verbräuche[[#This Row],[2045]],"")))</f>
        <v/>
      </c>
      <c r="Y137" s="57" t="str">
        <f>IF(Klisz_Verbräuche[[#Headers],[2050]]=$B$57,IF(COUNTIF($F137:Klisz_Verbräuche[[#This Row],[2045]],"&gt;0")&gt;0, AVERAGEIF($F137:Klisz_Verbräuche[[#This Row],[2045]],"&lt;&gt;"), ""),IF($B$57&lt;Klisz_Verbräuche[[#Headers],[2050]],IF(COUNTIF($F137:Klisz_Verbräuche[[#This Row],[2045]],"&gt;0")&gt;0,IF(COUNTIF($F137:Klisz_Verbräuche[[#This Row],[2045]],"&gt;0")&gt;0,Klisz_Verbräuche[[#This Row],[2045]]*(1-$E137)^5, ""), ""),IF($B$57&gt;Klisz_Verbräuche[[#Headers],[2050]],Refsz_Verbräuche[[#This Row],[2050]],"")))</f>
        <v/>
      </c>
      <c r="Z137" s="15"/>
    </row>
    <row r="138" spans="2:26" x14ac:dyDescent="0.35">
      <c r="B138" s="15">
        <v>78</v>
      </c>
      <c r="C138" s="20" t="str">
        <f>Refsz_Verbräuche[[#This Row],[Datenpunkt]]</f>
        <v>Studierendenreisen (Incoming) - Flugreisen</v>
      </c>
      <c r="D138" s="29" t="str">
        <f>Refsz_Verbräuche[[#This Row],[Einheit]]</f>
        <v>Pkm</v>
      </c>
      <c r="E138" s="122"/>
      <c r="F138" s="15" t="str">
        <f>IF(ISBLANK(Refsz_Verbräuche[[#This Row],[2015]]),"",Refsz_Verbräuche[[#This Row],[2015]])</f>
        <v/>
      </c>
      <c r="G138" s="15" t="str">
        <f>IF(ISBLANK(Refsz_Verbräuche[[#This Row],[2016]]),"",Refsz_Verbräuche[[#This Row],[2016]])</f>
        <v/>
      </c>
      <c r="H138" s="15" t="str">
        <f>IF(ISBLANK(Refsz_Verbräuche[[#This Row],[2017]]),"",Refsz_Verbräuche[[#This Row],[2017]])</f>
        <v/>
      </c>
      <c r="I138" s="15" t="str">
        <f>IF(ISBLANK(Refsz_Verbräuche[[#This Row],[2018]]),"",Refsz_Verbräuche[[#This Row],[2018]])</f>
        <v/>
      </c>
      <c r="J138" s="15" t="str">
        <f>IF(ISBLANK(Refsz_Verbräuche[[#This Row],[2019]]),"",Refsz_Verbräuche[[#This Row],[2019]])</f>
        <v/>
      </c>
      <c r="K138" s="15" t="str">
        <f>IF(ISBLANK(Refsz_Verbräuche[[#This Row],[2020]]),"",Refsz_Verbräuche[[#This Row],[2020]])</f>
        <v/>
      </c>
      <c r="L138" s="15" t="str">
        <f>IF(ISBLANK(Refsz_Verbräuche[[#This Row],[2021]]),"",Refsz_Verbräuche[[#This Row],[2021]])</f>
        <v/>
      </c>
      <c r="M138" s="57" t="str">
        <f>IF(Klisz_Verbräuche[[#Headers],[2022]]=$B$57,IF(COUNTIF($F138:Klisz_Verbräuche[[#This Row],[2021]],"&gt;0")&gt;0, AVERAGEIF($F138:Klisz_Verbräuche[[#This Row],[2021]],"&lt;&gt;"), ""),IF($B$57&lt;Klisz_Verbräuche[[#Headers],[2022]],IF(COUNTIF($F138:Klisz_Verbräuche[[#This Row],[2021]],"&gt;0")&gt;0,IF(COUNTIF($F138:Klisz_Verbräuche[[#This Row],[2021]],"&gt;0")&gt;0,Klisz_Verbräuche[[#This Row],[2021]]*(1-$E138)^1, ""), ""),IF($B$57&gt;Klisz_Verbräuche[[#Headers],[2022]],Refsz_Verbräuche[[#This Row],[2022]],"")))</f>
        <v/>
      </c>
      <c r="N138" s="57" t="str">
        <f>IF(Klisz_Verbräuche[[#Headers],[2023]]=$B$57,IF(COUNTIF($F138:Klisz_Verbräuche[[#This Row],[2022]],"&gt;0")&gt;0, AVERAGEIF($F138:Klisz_Verbräuche[[#This Row],[2022]],"&lt;&gt;"), ""),IF($B$57&lt;Klisz_Verbräuche[[#Headers],[2023]],IF(COUNTIF($F138:Klisz_Verbräuche[[#This Row],[2022]],"&gt;0")&gt;0,IF(COUNTIF($F138:Klisz_Verbräuche[[#This Row],[2022]],"&gt;0")&gt;0,Klisz_Verbräuche[[#This Row],[2022]]*(1-$E138)^1, ""), ""),IF($B$57&gt;Klisz_Verbräuche[[#Headers],[2023]],Refsz_Verbräuche[[#This Row],[2023]],"")))</f>
        <v/>
      </c>
      <c r="O138" s="57" t="str">
        <f>IF(Klisz_Verbräuche[[#Headers],[2024]]=$B$57,IF(COUNTIF($F138:Klisz_Verbräuche[[#This Row],[2023]],"&gt;0")&gt;0, AVERAGEIF($F138:Klisz_Verbräuche[[#This Row],[2023]],"&lt;&gt;"), ""),IF($B$57&lt;Klisz_Verbräuche[[#Headers],[2024]],IF(COUNTIF($F138:Klisz_Verbräuche[[#This Row],[2023]],"&gt;0")&gt;0,IF(COUNTIF($F138:Klisz_Verbräuche[[#This Row],[2023]],"&gt;0")&gt;0,Klisz_Verbräuche[[#This Row],[2023]]*(1-$E138)^1, ""), ""),IF($B$57&gt;Klisz_Verbräuche[[#Headers],[2024]],Refsz_Verbräuche[[#This Row],[2024]],"")))</f>
        <v/>
      </c>
      <c r="P138" s="57" t="str">
        <f>IF(Klisz_Verbräuche[[#Headers],[2025]]=$B$57,IF(COUNTIF($F138:Klisz_Verbräuche[[#This Row],[2024]],"&gt;0")&gt;0, AVERAGEIF($F138:Klisz_Verbräuche[[#This Row],[2024]],"&lt;&gt;"), ""),IF($B$57&lt;Klisz_Verbräuche[[#Headers],[2025]],IF(COUNTIF($F138:Klisz_Verbräuche[[#This Row],[2024]],"&gt;0")&gt;0,IF(COUNTIF($F138:Klisz_Verbräuche[[#This Row],[2024]],"&gt;0")&gt;0,Klisz_Verbräuche[[#This Row],[2024]]*(1-$E138)^1, ""), ""),IF($B$57&gt;Klisz_Verbräuche[[#Headers],[2025]],Refsz_Verbräuche[[#This Row],[2025]],"")))</f>
        <v/>
      </c>
      <c r="Q138" s="57" t="str">
        <f>IF(Klisz_Verbräuche[[#Headers],[2026]]=$B$57,IF(COUNTIF($F138:Klisz_Verbräuche[[#This Row],[2025]],"&gt;0")&gt;0, AVERAGEIF($F138:Klisz_Verbräuche[[#This Row],[2025]],"&lt;&gt;"), ""),IF($B$57&lt;Klisz_Verbräuche[[#Headers],[2026]],IF(COUNTIF($F138:Klisz_Verbräuche[[#This Row],[2025]],"&gt;0")&gt;0,IF(COUNTIF($F138:Klisz_Verbräuche[[#This Row],[2025]],"&gt;0")&gt;0,Klisz_Verbräuche[[#This Row],[2025]]*(1-$E138)^1, ""), ""),IF($B$57&gt;Klisz_Verbräuche[[#Headers],[2026]],Refsz_Verbräuche[[#This Row],[2026]],"")))</f>
        <v/>
      </c>
      <c r="R138" s="57" t="str">
        <f>IF(Klisz_Verbräuche[[#Headers],[2027]]=$B$57,IF(COUNTIF($F138:Klisz_Verbräuche[[#This Row],[2026]],"&gt;0")&gt;0, AVERAGEIF($F138:Klisz_Verbräuche[[#This Row],[2026]],"&lt;&gt;"), ""),IF($B$57&lt;Klisz_Verbräuche[[#Headers],[2027]],IF(COUNTIF($F138:Klisz_Verbräuche[[#This Row],[2026]],"&gt;0")&gt;0,IF(COUNTIF($F138:Klisz_Verbräuche[[#This Row],[2026]],"&gt;0")&gt;0,Klisz_Verbräuche[[#This Row],[2026]]*(1-$E138)^1, ""), ""),IF($B$57&gt;Klisz_Verbräuche[[#Headers],[2027]],Refsz_Verbräuche[[#This Row],[2027]],"")))</f>
        <v/>
      </c>
      <c r="S138" s="57" t="str">
        <f>IF(Klisz_Verbräuche[[#Headers],[2028]]=$B$57,IF(COUNTIF($F138:Klisz_Verbräuche[[#This Row],[2027]],"&gt;0")&gt;0, AVERAGEIF($F138:Klisz_Verbräuche[[#This Row],[2027]],"&lt;&gt;"), ""),IF($B$57&lt;Klisz_Verbräuche[[#Headers],[2028]],IF(COUNTIF($F138:Klisz_Verbräuche[[#This Row],[2027]],"&gt;0")&gt;0,IF(COUNTIF($F138:Klisz_Verbräuche[[#This Row],[2027]],"&gt;0")&gt;0,Klisz_Verbräuche[[#This Row],[2027]]*(1-$E138)^1, ""), ""),IF($B$57&gt;Klisz_Verbräuche[[#Headers],[2028]],Refsz_Verbräuche[[#This Row],[2028]],"")))</f>
        <v/>
      </c>
      <c r="T138" s="57" t="str">
        <f>IF(Klisz_Verbräuche[[#Headers],[2029]]=$B$57,IF(COUNTIF($F138:Klisz_Verbräuche[[#This Row],[2028]],"&gt;0")&gt;0, AVERAGEIF($F138:Klisz_Verbräuche[[#This Row],[2028]],"&lt;&gt;"), ""),IF($B$57&lt;Klisz_Verbräuche[[#Headers],[2029]],IF(COUNTIF($F138:Klisz_Verbräuche[[#This Row],[2028]],"&gt;0")&gt;0,IF(COUNTIF($F138:Klisz_Verbräuche[[#This Row],[2028]],"&gt;0")&gt;0,Klisz_Verbräuche[[#This Row],[2028]]*(1-$E138)^1, ""), ""),IF($B$57&gt;Klisz_Verbräuche[[#Headers],[2029]],Refsz_Verbräuche[[#This Row],[2029]],"")))</f>
        <v/>
      </c>
      <c r="U138" s="57" t="str">
        <f>IF(Klisz_Verbräuche[[#Headers],[2030]]=$B$57,IF(COUNTIF($F138:Klisz_Verbräuche[[#This Row],[2029]],"&gt;0")&gt;0, AVERAGEIF($F138:Klisz_Verbräuche[[#This Row],[2029]],"&lt;&gt;"), ""),IF($B$57&lt;Klisz_Verbräuche[[#Headers],[2030]],IF(COUNTIF($F138:Klisz_Verbräuche[[#This Row],[2029]],"&gt;0")&gt;0,IF(COUNTIF($F138:Klisz_Verbräuche[[#This Row],[2029]],"&gt;0")&gt;0,Klisz_Verbräuche[[#This Row],[2029]]*(1-$E138)^1, ""), ""),IF($B$57&gt;Klisz_Verbräuche[[#Headers],[2030]],Refsz_Verbräuche[[#This Row],[2030]],"")))</f>
        <v/>
      </c>
      <c r="V138" s="57" t="str">
        <f>IF(Klisz_Verbräuche[[#Headers],[2035]]=$B$57,IF(COUNTIF($F138:Klisz_Verbräuche[[#This Row],[2030]],"&gt;0")&gt;0, AVERAGEIF($F138:Klisz_Verbräuche[[#This Row],[2030]],"&lt;&gt;"), ""),IF($B$57&lt;Klisz_Verbräuche[[#Headers],[2035]],IF(COUNTIF($F138:Klisz_Verbräuche[[#This Row],[2030]],"&gt;0")&gt;0,IF(COUNTIF($F138:Klisz_Verbräuche[[#This Row],[2030]],"&gt;0")&gt;0,Klisz_Verbräuche[[#This Row],[2030]]*(1-$E138)^5, ""), ""),IF($B$57&gt;Klisz_Verbräuche[[#Headers],[2035]],Refsz_Verbräuche[[#This Row],[2035]],"")))</f>
        <v/>
      </c>
      <c r="W138" s="57" t="str">
        <f>IF(Klisz_Verbräuche[[#Headers],[2040]]=$B$57,IF(COUNTIF($F138:Klisz_Verbräuche[[#This Row],[2035]],"&gt;0")&gt;0, AVERAGEIF($F138:Klisz_Verbräuche[[#This Row],[2035]],"&lt;&gt;"), ""),IF($B$57&lt;Klisz_Verbräuche[[#Headers],[2040]],IF(COUNTIF($F138:Klisz_Verbräuche[[#This Row],[2035]],"&gt;0")&gt;0,IF(COUNTIF($F138:Klisz_Verbräuche[[#This Row],[2035]],"&gt;0")&gt;0,Klisz_Verbräuche[[#This Row],[2035]]*(1-$E138)^5, ""), ""),IF($B$57&gt;Klisz_Verbräuche[[#Headers],[2040]],Refsz_Verbräuche[[#This Row],[2040]],"")))</f>
        <v/>
      </c>
      <c r="X138" s="57" t="str">
        <f>IF(Klisz_Verbräuche[[#Headers],[2045]]=$B$57,IF(COUNTIF($F138:Klisz_Verbräuche[[#This Row],[2040]],"&gt;0")&gt;0, AVERAGEIF($F138:Klisz_Verbräuche[[#This Row],[2040]],"&lt;&gt;"), ""),IF($B$57&lt;Klisz_Verbräuche[[#Headers],[2045]],IF(COUNTIF($F138:Klisz_Verbräuche[[#This Row],[2040]],"&gt;0")&gt;0,IF(COUNTIF($F138:Klisz_Verbräuche[[#This Row],[2040]],"&gt;0")&gt;0,Klisz_Verbräuche[[#This Row],[2040]]*(1-$E138)^5, ""), ""),IF($B$57&gt;Klisz_Verbräuche[[#Headers],[2045]],Refsz_Verbräuche[[#This Row],[2045]],"")))</f>
        <v/>
      </c>
      <c r="Y138" s="57" t="str">
        <f>IF(Klisz_Verbräuche[[#Headers],[2050]]=$B$57,IF(COUNTIF($F138:Klisz_Verbräuche[[#This Row],[2045]],"&gt;0")&gt;0, AVERAGEIF($F138:Klisz_Verbräuche[[#This Row],[2045]],"&lt;&gt;"), ""),IF($B$57&lt;Klisz_Verbräuche[[#Headers],[2050]],IF(COUNTIF($F138:Klisz_Verbräuche[[#This Row],[2045]],"&gt;0")&gt;0,IF(COUNTIF($F138:Klisz_Verbräuche[[#This Row],[2045]],"&gt;0")&gt;0,Klisz_Verbräuche[[#This Row],[2045]]*(1-$E138)^5, ""), ""),IF($B$57&gt;Klisz_Verbräuche[[#Headers],[2050]],Refsz_Verbräuche[[#This Row],[2050]],"")))</f>
        <v/>
      </c>
      <c r="Z138" s="15"/>
    </row>
    <row r="139" spans="2:26" x14ac:dyDescent="0.35">
      <c r="B139" s="15">
        <v>79</v>
      </c>
      <c r="C139" s="20" t="str">
        <f>Refsz_Verbräuche[[#This Row],[Datenpunkt]]</f>
        <v>Studierendenreisen (Incoming) - Eisenbahn (Nahverkehr)</v>
      </c>
      <c r="D139" s="29" t="str">
        <f>Refsz_Verbräuche[[#This Row],[Einheit]]</f>
        <v>Pkm</v>
      </c>
      <c r="E139" s="122"/>
      <c r="F139" s="15" t="str">
        <f>IF(ISBLANK(Refsz_Verbräuche[[#This Row],[2015]]),"",Refsz_Verbräuche[[#This Row],[2015]])</f>
        <v/>
      </c>
      <c r="G139" s="15" t="str">
        <f>IF(ISBLANK(Refsz_Verbräuche[[#This Row],[2016]]),"",Refsz_Verbräuche[[#This Row],[2016]])</f>
        <v/>
      </c>
      <c r="H139" s="15" t="str">
        <f>IF(ISBLANK(Refsz_Verbräuche[[#This Row],[2017]]),"",Refsz_Verbräuche[[#This Row],[2017]])</f>
        <v/>
      </c>
      <c r="I139" s="15" t="str">
        <f>IF(ISBLANK(Refsz_Verbräuche[[#This Row],[2018]]),"",Refsz_Verbräuche[[#This Row],[2018]])</f>
        <v/>
      </c>
      <c r="J139" s="15" t="str">
        <f>IF(ISBLANK(Refsz_Verbräuche[[#This Row],[2019]]),"",Refsz_Verbräuche[[#This Row],[2019]])</f>
        <v/>
      </c>
      <c r="K139" s="15" t="str">
        <f>IF(ISBLANK(Refsz_Verbräuche[[#This Row],[2020]]),"",Refsz_Verbräuche[[#This Row],[2020]])</f>
        <v/>
      </c>
      <c r="L139" s="15" t="str">
        <f>IF(ISBLANK(Refsz_Verbräuche[[#This Row],[2021]]),"",Refsz_Verbräuche[[#This Row],[2021]])</f>
        <v/>
      </c>
      <c r="M139" s="57" t="str">
        <f>IF(Klisz_Verbräuche[[#Headers],[2022]]=$B$57,IF(COUNTIF($F139:Klisz_Verbräuche[[#This Row],[2021]],"&gt;0")&gt;0, AVERAGEIF($F139:Klisz_Verbräuche[[#This Row],[2021]],"&lt;&gt;"), ""),IF($B$57&lt;Klisz_Verbräuche[[#Headers],[2022]],IF(COUNTIF($F139:Klisz_Verbräuche[[#This Row],[2021]],"&gt;0")&gt;0,IF(COUNTIF($F139:Klisz_Verbräuche[[#This Row],[2021]],"&gt;0")&gt;0,Klisz_Verbräuche[[#This Row],[2021]]*(1-$E139)^1, ""), ""),IF($B$57&gt;Klisz_Verbräuche[[#Headers],[2022]],Refsz_Verbräuche[[#This Row],[2022]],"")))</f>
        <v/>
      </c>
      <c r="N139" s="57" t="str">
        <f>IF(Klisz_Verbräuche[[#Headers],[2023]]=$B$57,IF(COUNTIF($F139:Klisz_Verbräuche[[#This Row],[2022]],"&gt;0")&gt;0, AVERAGEIF($F139:Klisz_Verbräuche[[#This Row],[2022]],"&lt;&gt;"), ""),IF($B$57&lt;Klisz_Verbräuche[[#Headers],[2023]],IF(COUNTIF($F139:Klisz_Verbräuche[[#This Row],[2022]],"&gt;0")&gt;0,IF(COUNTIF($F139:Klisz_Verbräuche[[#This Row],[2022]],"&gt;0")&gt;0,Klisz_Verbräuche[[#This Row],[2022]]*(1-$E139)^1, ""), ""),IF($B$57&gt;Klisz_Verbräuche[[#Headers],[2023]],Refsz_Verbräuche[[#This Row],[2023]],"")))</f>
        <v/>
      </c>
      <c r="O139" s="57" t="str">
        <f>IF(Klisz_Verbräuche[[#Headers],[2024]]=$B$57,IF(COUNTIF($F139:Klisz_Verbräuche[[#This Row],[2023]],"&gt;0")&gt;0, AVERAGEIF($F139:Klisz_Verbräuche[[#This Row],[2023]],"&lt;&gt;"), ""),IF($B$57&lt;Klisz_Verbräuche[[#Headers],[2024]],IF(COUNTIF($F139:Klisz_Verbräuche[[#This Row],[2023]],"&gt;0")&gt;0,IF(COUNTIF($F139:Klisz_Verbräuche[[#This Row],[2023]],"&gt;0")&gt;0,Klisz_Verbräuche[[#This Row],[2023]]*(1-$E139)^1, ""), ""),IF($B$57&gt;Klisz_Verbräuche[[#Headers],[2024]],Refsz_Verbräuche[[#This Row],[2024]],"")))</f>
        <v/>
      </c>
      <c r="P139" s="57" t="str">
        <f>IF(Klisz_Verbräuche[[#Headers],[2025]]=$B$57,IF(COUNTIF($F139:Klisz_Verbräuche[[#This Row],[2024]],"&gt;0")&gt;0, AVERAGEIF($F139:Klisz_Verbräuche[[#This Row],[2024]],"&lt;&gt;"), ""),IF($B$57&lt;Klisz_Verbräuche[[#Headers],[2025]],IF(COUNTIF($F139:Klisz_Verbräuche[[#This Row],[2024]],"&gt;0")&gt;0,IF(COUNTIF($F139:Klisz_Verbräuche[[#This Row],[2024]],"&gt;0")&gt;0,Klisz_Verbräuche[[#This Row],[2024]]*(1-$E139)^1, ""), ""),IF($B$57&gt;Klisz_Verbräuche[[#Headers],[2025]],Refsz_Verbräuche[[#This Row],[2025]],"")))</f>
        <v/>
      </c>
      <c r="Q139" s="57" t="str">
        <f>IF(Klisz_Verbräuche[[#Headers],[2026]]=$B$57,IF(COUNTIF($F139:Klisz_Verbräuche[[#This Row],[2025]],"&gt;0")&gt;0, AVERAGEIF($F139:Klisz_Verbräuche[[#This Row],[2025]],"&lt;&gt;"), ""),IF($B$57&lt;Klisz_Verbräuche[[#Headers],[2026]],IF(COUNTIF($F139:Klisz_Verbräuche[[#This Row],[2025]],"&gt;0")&gt;0,IF(COUNTIF($F139:Klisz_Verbräuche[[#This Row],[2025]],"&gt;0")&gt;0,Klisz_Verbräuche[[#This Row],[2025]]*(1-$E139)^1, ""), ""),IF($B$57&gt;Klisz_Verbräuche[[#Headers],[2026]],Refsz_Verbräuche[[#This Row],[2026]],"")))</f>
        <v/>
      </c>
      <c r="R139" s="57" t="str">
        <f>IF(Klisz_Verbräuche[[#Headers],[2027]]=$B$57,IF(COUNTIF($F139:Klisz_Verbräuche[[#This Row],[2026]],"&gt;0")&gt;0, AVERAGEIF($F139:Klisz_Verbräuche[[#This Row],[2026]],"&lt;&gt;"), ""),IF($B$57&lt;Klisz_Verbräuche[[#Headers],[2027]],IF(COUNTIF($F139:Klisz_Verbräuche[[#This Row],[2026]],"&gt;0")&gt;0,IF(COUNTIF($F139:Klisz_Verbräuche[[#This Row],[2026]],"&gt;0")&gt;0,Klisz_Verbräuche[[#This Row],[2026]]*(1-$E139)^1, ""), ""),IF($B$57&gt;Klisz_Verbräuche[[#Headers],[2027]],Refsz_Verbräuche[[#This Row],[2027]],"")))</f>
        <v/>
      </c>
      <c r="S139" s="57" t="str">
        <f>IF(Klisz_Verbräuche[[#Headers],[2028]]=$B$57,IF(COUNTIF($F139:Klisz_Verbräuche[[#This Row],[2027]],"&gt;0")&gt;0, AVERAGEIF($F139:Klisz_Verbräuche[[#This Row],[2027]],"&lt;&gt;"), ""),IF($B$57&lt;Klisz_Verbräuche[[#Headers],[2028]],IF(COUNTIF($F139:Klisz_Verbräuche[[#This Row],[2027]],"&gt;0")&gt;0,IF(COUNTIF($F139:Klisz_Verbräuche[[#This Row],[2027]],"&gt;0")&gt;0,Klisz_Verbräuche[[#This Row],[2027]]*(1-$E139)^1, ""), ""),IF($B$57&gt;Klisz_Verbräuche[[#Headers],[2028]],Refsz_Verbräuche[[#This Row],[2028]],"")))</f>
        <v/>
      </c>
      <c r="T139" s="57" t="str">
        <f>IF(Klisz_Verbräuche[[#Headers],[2029]]=$B$57,IF(COUNTIF($F139:Klisz_Verbräuche[[#This Row],[2028]],"&gt;0")&gt;0, AVERAGEIF($F139:Klisz_Verbräuche[[#This Row],[2028]],"&lt;&gt;"), ""),IF($B$57&lt;Klisz_Verbräuche[[#Headers],[2029]],IF(COUNTIF($F139:Klisz_Verbräuche[[#This Row],[2028]],"&gt;0")&gt;0,IF(COUNTIF($F139:Klisz_Verbräuche[[#This Row],[2028]],"&gt;0")&gt;0,Klisz_Verbräuche[[#This Row],[2028]]*(1-$E139)^1, ""), ""),IF($B$57&gt;Klisz_Verbräuche[[#Headers],[2029]],Refsz_Verbräuche[[#This Row],[2029]],"")))</f>
        <v/>
      </c>
      <c r="U139" s="57" t="str">
        <f>IF(Klisz_Verbräuche[[#Headers],[2030]]=$B$57,IF(COUNTIF($F139:Klisz_Verbräuche[[#This Row],[2029]],"&gt;0")&gt;0, AVERAGEIF($F139:Klisz_Verbräuche[[#This Row],[2029]],"&lt;&gt;"), ""),IF($B$57&lt;Klisz_Verbräuche[[#Headers],[2030]],IF(COUNTIF($F139:Klisz_Verbräuche[[#This Row],[2029]],"&gt;0")&gt;0,IF(COUNTIF($F139:Klisz_Verbräuche[[#This Row],[2029]],"&gt;0")&gt;0,Klisz_Verbräuche[[#This Row],[2029]]*(1-$E139)^1, ""), ""),IF($B$57&gt;Klisz_Verbräuche[[#Headers],[2030]],Refsz_Verbräuche[[#This Row],[2030]],"")))</f>
        <v/>
      </c>
      <c r="V139" s="57" t="str">
        <f>IF(Klisz_Verbräuche[[#Headers],[2035]]=$B$57,IF(COUNTIF($F139:Klisz_Verbräuche[[#This Row],[2030]],"&gt;0")&gt;0, AVERAGEIF($F139:Klisz_Verbräuche[[#This Row],[2030]],"&lt;&gt;"), ""),IF($B$57&lt;Klisz_Verbräuche[[#Headers],[2035]],IF(COUNTIF($F139:Klisz_Verbräuche[[#This Row],[2030]],"&gt;0")&gt;0,IF(COUNTIF($F139:Klisz_Verbräuche[[#This Row],[2030]],"&gt;0")&gt;0,Klisz_Verbräuche[[#This Row],[2030]]*(1-$E139)^5, ""), ""),IF($B$57&gt;Klisz_Verbräuche[[#Headers],[2035]],Refsz_Verbräuche[[#This Row],[2035]],"")))</f>
        <v/>
      </c>
      <c r="W139" s="57" t="str">
        <f>IF(Klisz_Verbräuche[[#Headers],[2040]]=$B$57,IF(COUNTIF($F139:Klisz_Verbräuche[[#This Row],[2035]],"&gt;0")&gt;0, AVERAGEIF($F139:Klisz_Verbräuche[[#This Row],[2035]],"&lt;&gt;"), ""),IF($B$57&lt;Klisz_Verbräuche[[#Headers],[2040]],IF(COUNTIF($F139:Klisz_Verbräuche[[#This Row],[2035]],"&gt;0")&gt;0,IF(COUNTIF($F139:Klisz_Verbräuche[[#This Row],[2035]],"&gt;0")&gt;0,Klisz_Verbräuche[[#This Row],[2035]]*(1-$E139)^5, ""), ""),IF($B$57&gt;Klisz_Verbräuche[[#Headers],[2040]],Refsz_Verbräuche[[#This Row],[2040]],"")))</f>
        <v/>
      </c>
      <c r="X139" s="57" t="str">
        <f>IF(Klisz_Verbräuche[[#Headers],[2045]]=$B$57,IF(COUNTIF($F139:Klisz_Verbräuche[[#This Row],[2040]],"&gt;0")&gt;0, AVERAGEIF($F139:Klisz_Verbräuche[[#This Row],[2040]],"&lt;&gt;"), ""),IF($B$57&lt;Klisz_Verbräuche[[#Headers],[2045]],IF(COUNTIF($F139:Klisz_Verbräuche[[#This Row],[2040]],"&gt;0")&gt;0,IF(COUNTIF($F139:Klisz_Verbräuche[[#This Row],[2040]],"&gt;0")&gt;0,Klisz_Verbräuche[[#This Row],[2040]]*(1-$E139)^5, ""), ""),IF($B$57&gt;Klisz_Verbräuche[[#Headers],[2045]],Refsz_Verbräuche[[#This Row],[2045]],"")))</f>
        <v/>
      </c>
      <c r="Y139" s="57" t="str">
        <f>IF(Klisz_Verbräuche[[#Headers],[2050]]=$B$57,IF(COUNTIF($F139:Klisz_Verbräuche[[#This Row],[2045]],"&gt;0")&gt;0, AVERAGEIF($F139:Klisz_Verbräuche[[#This Row],[2045]],"&lt;&gt;"), ""),IF($B$57&lt;Klisz_Verbräuche[[#Headers],[2050]],IF(COUNTIF($F139:Klisz_Verbräuche[[#This Row],[2045]],"&gt;0")&gt;0,IF(COUNTIF($F139:Klisz_Verbräuche[[#This Row],[2045]],"&gt;0")&gt;0,Klisz_Verbräuche[[#This Row],[2045]]*(1-$E139)^5, ""), ""),IF($B$57&gt;Klisz_Verbräuche[[#Headers],[2050]],Refsz_Verbräuche[[#This Row],[2050]],"")))</f>
        <v/>
      </c>
      <c r="Z139" s="15"/>
    </row>
    <row r="140" spans="2:26" x14ac:dyDescent="0.35">
      <c r="B140" s="15">
        <v>80</v>
      </c>
      <c r="C140" s="20" t="str">
        <f>Refsz_Verbräuche[[#This Row],[Datenpunkt]]</f>
        <v>Studierendenreisen (Incoming) - Privater PKW (alle Antriebsarten)</v>
      </c>
      <c r="D140" s="29" t="str">
        <f>Refsz_Verbräuche[[#This Row],[Einheit]]</f>
        <v>Fkm</v>
      </c>
      <c r="E140" s="122"/>
      <c r="F140" s="15" t="str">
        <f>IF(ISBLANK(Refsz_Verbräuche[[#This Row],[2015]]),"",Refsz_Verbräuche[[#This Row],[2015]])</f>
        <v/>
      </c>
      <c r="G140" s="15" t="str">
        <f>IF(ISBLANK(Refsz_Verbräuche[[#This Row],[2016]]),"",Refsz_Verbräuche[[#This Row],[2016]])</f>
        <v/>
      </c>
      <c r="H140" s="15" t="str">
        <f>IF(ISBLANK(Refsz_Verbräuche[[#This Row],[2017]]),"",Refsz_Verbräuche[[#This Row],[2017]])</f>
        <v/>
      </c>
      <c r="I140" s="15" t="str">
        <f>IF(ISBLANK(Refsz_Verbräuche[[#This Row],[2018]]),"",Refsz_Verbräuche[[#This Row],[2018]])</f>
        <v/>
      </c>
      <c r="J140" s="15" t="str">
        <f>IF(ISBLANK(Refsz_Verbräuche[[#This Row],[2019]]),"",Refsz_Verbräuche[[#This Row],[2019]])</f>
        <v/>
      </c>
      <c r="K140" s="15" t="str">
        <f>IF(ISBLANK(Refsz_Verbräuche[[#This Row],[2020]]),"",Refsz_Verbräuche[[#This Row],[2020]])</f>
        <v/>
      </c>
      <c r="L140" s="15" t="str">
        <f>IF(ISBLANK(Refsz_Verbräuche[[#This Row],[2021]]),"",Refsz_Verbräuche[[#This Row],[2021]])</f>
        <v/>
      </c>
      <c r="M140" s="57" t="str">
        <f>IF(Klisz_Verbräuche[[#Headers],[2022]]=$B$57,IF(COUNTIF($F140:Klisz_Verbräuche[[#This Row],[2021]],"&gt;0")&gt;0, AVERAGEIF($F140:Klisz_Verbräuche[[#This Row],[2021]],"&lt;&gt;"), ""),IF($B$57&lt;Klisz_Verbräuche[[#Headers],[2022]],IF(COUNTIF($F140:Klisz_Verbräuche[[#This Row],[2021]],"&gt;0")&gt;0,IF(COUNTIF($F140:Klisz_Verbräuche[[#This Row],[2021]],"&gt;0")&gt;0,Klisz_Verbräuche[[#This Row],[2021]]*(1-$E140)^1, ""), ""),IF($B$57&gt;Klisz_Verbräuche[[#Headers],[2022]],Refsz_Verbräuche[[#This Row],[2022]],"")))</f>
        <v/>
      </c>
      <c r="N140" s="57" t="str">
        <f>IF(Klisz_Verbräuche[[#Headers],[2023]]=$B$57,IF(COUNTIF($F140:Klisz_Verbräuche[[#This Row],[2022]],"&gt;0")&gt;0, AVERAGEIF($F140:Klisz_Verbräuche[[#This Row],[2022]],"&lt;&gt;"), ""),IF($B$57&lt;Klisz_Verbräuche[[#Headers],[2023]],IF(COUNTIF($F140:Klisz_Verbräuche[[#This Row],[2022]],"&gt;0")&gt;0,IF(COUNTIF($F140:Klisz_Verbräuche[[#This Row],[2022]],"&gt;0")&gt;0,Klisz_Verbräuche[[#This Row],[2022]]*(1-$E140)^1, ""), ""),IF($B$57&gt;Klisz_Verbräuche[[#Headers],[2023]],Refsz_Verbräuche[[#This Row],[2023]],"")))</f>
        <v/>
      </c>
      <c r="O140" s="57" t="str">
        <f>IF(Klisz_Verbräuche[[#Headers],[2024]]=$B$57,IF(COUNTIF($F140:Klisz_Verbräuche[[#This Row],[2023]],"&gt;0")&gt;0, AVERAGEIF($F140:Klisz_Verbräuche[[#This Row],[2023]],"&lt;&gt;"), ""),IF($B$57&lt;Klisz_Verbräuche[[#Headers],[2024]],IF(COUNTIF($F140:Klisz_Verbräuche[[#This Row],[2023]],"&gt;0")&gt;0,IF(COUNTIF($F140:Klisz_Verbräuche[[#This Row],[2023]],"&gt;0")&gt;0,Klisz_Verbräuche[[#This Row],[2023]]*(1-$E140)^1, ""), ""),IF($B$57&gt;Klisz_Verbräuche[[#Headers],[2024]],Refsz_Verbräuche[[#This Row],[2024]],"")))</f>
        <v/>
      </c>
      <c r="P140" s="57" t="str">
        <f>IF(Klisz_Verbräuche[[#Headers],[2025]]=$B$57,IF(COUNTIF($F140:Klisz_Verbräuche[[#This Row],[2024]],"&gt;0")&gt;0, AVERAGEIF($F140:Klisz_Verbräuche[[#This Row],[2024]],"&lt;&gt;"), ""),IF($B$57&lt;Klisz_Verbräuche[[#Headers],[2025]],IF(COUNTIF($F140:Klisz_Verbräuche[[#This Row],[2024]],"&gt;0")&gt;0,IF(COUNTIF($F140:Klisz_Verbräuche[[#This Row],[2024]],"&gt;0")&gt;0,Klisz_Verbräuche[[#This Row],[2024]]*(1-$E140)^1, ""), ""),IF($B$57&gt;Klisz_Verbräuche[[#Headers],[2025]],Refsz_Verbräuche[[#This Row],[2025]],"")))</f>
        <v/>
      </c>
      <c r="Q140" s="57" t="str">
        <f>IF(Klisz_Verbräuche[[#Headers],[2026]]=$B$57,IF(COUNTIF($F140:Klisz_Verbräuche[[#This Row],[2025]],"&gt;0")&gt;0, AVERAGEIF($F140:Klisz_Verbräuche[[#This Row],[2025]],"&lt;&gt;"), ""),IF($B$57&lt;Klisz_Verbräuche[[#Headers],[2026]],IF(COUNTIF($F140:Klisz_Verbräuche[[#This Row],[2025]],"&gt;0")&gt;0,IF(COUNTIF($F140:Klisz_Verbräuche[[#This Row],[2025]],"&gt;0")&gt;0,Klisz_Verbräuche[[#This Row],[2025]]*(1-$E140)^1, ""), ""),IF($B$57&gt;Klisz_Verbräuche[[#Headers],[2026]],Refsz_Verbräuche[[#This Row],[2026]],"")))</f>
        <v/>
      </c>
      <c r="R140" s="57" t="str">
        <f>IF(Klisz_Verbräuche[[#Headers],[2027]]=$B$57,IF(COUNTIF($F140:Klisz_Verbräuche[[#This Row],[2026]],"&gt;0")&gt;0, AVERAGEIF($F140:Klisz_Verbräuche[[#This Row],[2026]],"&lt;&gt;"), ""),IF($B$57&lt;Klisz_Verbräuche[[#Headers],[2027]],IF(COUNTIF($F140:Klisz_Verbräuche[[#This Row],[2026]],"&gt;0")&gt;0,IF(COUNTIF($F140:Klisz_Verbräuche[[#This Row],[2026]],"&gt;0")&gt;0,Klisz_Verbräuche[[#This Row],[2026]]*(1-$E140)^1, ""), ""),IF($B$57&gt;Klisz_Verbräuche[[#Headers],[2027]],Refsz_Verbräuche[[#This Row],[2027]],"")))</f>
        <v/>
      </c>
      <c r="S140" s="57" t="str">
        <f>IF(Klisz_Verbräuche[[#Headers],[2028]]=$B$57,IF(COUNTIF($F140:Klisz_Verbräuche[[#This Row],[2027]],"&gt;0")&gt;0, AVERAGEIF($F140:Klisz_Verbräuche[[#This Row],[2027]],"&lt;&gt;"), ""),IF($B$57&lt;Klisz_Verbräuche[[#Headers],[2028]],IF(COUNTIF($F140:Klisz_Verbräuche[[#This Row],[2027]],"&gt;0")&gt;0,IF(COUNTIF($F140:Klisz_Verbräuche[[#This Row],[2027]],"&gt;0")&gt;0,Klisz_Verbräuche[[#This Row],[2027]]*(1-$E140)^1, ""), ""),IF($B$57&gt;Klisz_Verbräuche[[#Headers],[2028]],Refsz_Verbräuche[[#This Row],[2028]],"")))</f>
        <v/>
      </c>
      <c r="T140" s="57" t="str">
        <f>IF(Klisz_Verbräuche[[#Headers],[2029]]=$B$57,IF(COUNTIF($F140:Klisz_Verbräuche[[#This Row],[2028]],"&gt;0")&gt;0, AVERAGEIF($F140:Klisz_Verbräuche[[#This Row],[2028]],"&lt;&gt;"), ""),IF($B$57&lt;Klisz_Verbräuche[[#Headers],[2029]],IF(COUNTIF($F140:Klisz_Verbräuche[[#This Row],[2028]],"&gt;0")&gt;0,IF(COUNTIF($F140:Klisz_Verbräuche[[#This Row],[2028]],"&gt;0")&gt;0,Klisz_Verbräuche[[#This Row],[2028]]*(1-$E140)^1, ""), ""),IF($B$57&gt;Klisz_Verbräuche[[#Headers],[2029]],Refsz_Verbräuche[[#This Row],[2029]],"")))</f>
        <v/>
      </c>
      <c r="U140" s="57" t="str">
        <f>IF(Klisz_Verbräuche[[#Headers],[2030]]=$B$57,IF(COUNTIF($F140:Klisz_Verbräuche[[#This Row],[2029]],"&gt;0")&gt;0, AVERAGEIF($F140:Klisz_Verbräuche[[#This Row],[2029]],"&lt;&gt;"), ""),IF($B$57&lt;Klisz_Verbräuche[[#Headers],[2030]],IF(COUNTIF($F140:Klisz_Verbräuche[[#This Row],[2029]],"&gt;0")&gt;0,IF(COUNTIF($F140:Klisz_Verbräuche[[#This Row],[2029]],"&gt;0")&gt;0,Klisz_Verbräuche[[#This Row],[2029]]*(1-$E140)^1, ""), ""),IF($B$57&gt;Klisz_Verbräuche[[#Headers],[2030]],Refsz_Verbräuche[[#This Row],[2030]],"")))</f>
        <v/>
      </c>
      <c r="V140" s="57" t="str">
        <f>IF(Klisz_Verbräuche[[#Headers],[2035]]=$B$57,IF(COUNTIF($F140:Klisz_Verbräuche[[#This Row],[2030]],"&gt;0")&gt;0, AVERAGEIF($F140:Klisz_Verbräuche[[#This Row],[2030]],"&lt;&gt;"), ""),IF($B$57&lt;Klisz_Verbräuche[[#Headers],[2035]],IF(COUNTIF($F140:Klisz_Verbräuche[[#This Row],[2030]],"&gt;0")&gt;0,IF(COUNTIF($F140:Klisz_Verbräuche[[#This Row],[2030]],"&gt;0")&gt;0,Klisz_Verbräuche[[#This Row],[2030]]*(1-$E140)^5, ""), ""),IF($B$57&gt;Klisz_Verbräuche[[#Headers],[2035]],Refsz_Verbräuche[[#This Row],[2035]],"")))</f>
        <v/>
      </c>
      <c r="W140" s="57" t="str">
        <f>IF(Klisz_Verbräuche[[#Headers],[2040]]=$B$57,IF(COUNTIF($F140:Klisz_Verbräuche[[#This Row],[2035]],"&gt;0")&gt;0, AVERAGEIF($F140:Klisz_Verbräuche[[#This Row],[2035]],"&lt;&gt;"), ""),IF($B$57&lt;Klisz_Verbräuche[[#Headers],[2040]],IF(COUNTIF($F140:Klisz_Verbräuche[[#This Row],[2035]],"&gt;0")&gt;0,IF(COUNTIF($F140:Klisz_Verbräuche[[#This Row],[2035]],"&gt;0")&gt;0,Klisz_Verbräuche[[#This Row],[2035]]*(1-$E140)^5, ""), ""),IF($B$57&gt;Klisz_Verbräuche[[#Headers],[2040]],Refsz_Verbräuche[[#This Row],[2040]],"")))</f>
        <v/>
      </c>
      <c r="X140" s="57" t="str">
        <f>IF(Klisz_Verbräuche[[#Headers],[2045]]=$B$57,IF(COUNTIF($F140:Klisz_Verbräuche[[#This Row],[2040]],"&gt;0")&gt;0, AVERAGEIF($F140:Klisz_Verbräuche[[#This Row],[2040]],"&lt;&gt;"), ""),IF($B$57&lt;Klisz_Verbräuche[[#Headers],[2045]],IF(COUNTIF($F140:Klisz_Verbräuche[[#This Row],[2040]],"&gt;0")&gt;0,IF(COUNTIF($F140:Klisz_Verbräuche[[#This Row],[2040]],"&gt;0")&gt;0,Klisz_Verbräuche[[#This Row],[2040]]*(1-$E140)^5, ""), ""),IF($B$57&gt;Klisz_Verbräuche[[#Headers],[2045]],Refsz_Verbräuche[[#This Row],[2045]],"")))</f>
        <v/>
      </c>
      <c r="Y140" s="57" t="str">
        <f>IF(Klisz_Verbräuche[[#Headers],[2050]]=$B$57,IF(COUNTIF($F140:Klisz_Verbräuche[[#This Row],[2045]],"&gt;0")&gt;0, AVERAGEIF($F140:Klisz_Verbräuche[[#This Row],[2045]],"&lt;&gt;"), ""),IF($B$57&lt;Klisz_Verbräuche[[#Headers],[2050]],IF(COUNTIF($F140:Klisz_Verbräuche[[#This Row],[2045]],"&gt;0")&gt;0,IF(COUNTIF($F140:Klisz_Verbräuche[[#This Row],[2045]],"&gt;0")&gt;0,Klisz_Verbräuche[[#This Row],[2045]]*(1-$E140)^5, ""), ""),IF($B$57&gt;Klisz_Verbräuche[[#Headers],[2050]],Refsz_Verbräuche[[#This Row],[2050]],"")))</f>
        <v/>
      </c>
      <c r="Z140" s="15"/>
    </row>
    <row r="141" spans="2:26" x14ac:dyDescent="0.35">
      <c r="B141" s="15">
        <v>81</v>
      </c>
      <c r="C141" s="20">
        <f>Refsz_Verbräuche[[#This Row],[Datenpunkt]]</f>
        <v>0</v>
      </c>
      <c r="D141" s="29">
        <f>Refsz_Verbräuche[[#This Row],[Einheit]]</f>
        <v>0</v>
      </c>
      <c r="E141" s="122"/>
      <c r="F141" s="15" t="str">
        <f>IF(ISBLANK(Refsz_Verbräuche[[#This Row],[2015]]),"",Refsz_Verbräuche[[#This Row],[2015]])</f>
        <v/>
      </c>
      <c r="G141" s="15" t="str">
        <f>IF(ISBLANK(Refsz_Verbräuche[[#This Row],[2016]]),"",Refsz_Verbräuche[[#This Row],[2016]])</f>
        <v/>
      </c>
      <c r="H141" s="15" t="str">
        <f>IF(ISBLANK(Refsz_Verbräuche[[#This Row],[2017]]),"",Refsz_Verbräuche[[#This Row],[2017]])</f>
        <v/>
      </c>
      <c r="I141" s="15" t="str">
        <f>IF(ISBLANK(Refsz_Verbräuche[[#This Row],[2018]]),"",Refsz_Verbräuche[[#This Row],[2018]])</f>
        <v/>
      </c>
      <c r="J141" s="15" t="str">
        <f>IF(ISBLANK(Refsz_Verbräuche[[#This Row],[2019]]),"",Refsz_Verbräuche[[#This Row],[2019]])</f>
        <v/>
      </c>
      <c r="K141" s="15" t="str">
        <f>IF(ISBLANK(Refsz_Verbräuche[[#This Row],[2020]]),"",Refsz_Verbräuche[[#This Row],[2020]])</f>
        <v/>
      </c>
      <c r="L141" s="15" t="str">
        <f>IF(ISBLANK(Refsz_Verbräuche[[#This Row],[2021]]),"",Refsz_Verbräuche[[#This Row],[2021]])</f>
        <v/>
      </c>
      <c r="M141" s="57" t="str">
        <f>IF(Klisz_Verbräuche[[#Headers],[2022]]=$B$57,IF(COUNTIF($F141:Klisz_Verbräuche[[#This Row],[2021]],"&gt;0")&gt;0, AVERAGEIF($F141:Klisz_Verbräuche[[#This Row],[2021]],"&lt;&gt;"), ""),IF($B$57&lt;Klisz_Verbräuche[[#Headers],[2022]],IF(COUNTIF($F141:Klisz_Verbräuche[[#This Row],[2021]],"&gt;0")&gt;0,IF(COUNTIF($F141:Klisz_Verbräuche[[#This Row],[2021]],"&gt;0")&gt;0,Klisz_Verbräuche[[#This Row],[2021]]*(1-$E141)^1, ""), ""),IF($B$57&gt;Klisz_Verbräuche[[#Headers],[2022]],Refsz_Verbräuche[[#This Row],[2022]],"")))</f>
        <v/>
      </c>
      <c r="N141" s="57" t="str">
        <f>IF(Klisz_Verbräuche[[#Headers],[2023]]=$B$57,IF(COUNTIF($F141:Klisz_Verbräuche[[#This Row],[2022]],"&gt;0")&gt;0, AVERAGEIF($F141:Klisz_Verbräuche[[#This Row],[2022]],"&lt;&gt;"), ""),IF($B$57&lt;Klisz_Verbräuche[[#Headers],[2023]],IF(COUNTIF($F141:Klisz_Verbräuche[[#This Row],[2022]],"&gt;0")&gt;0,IF(COUNTIF($F141:Klisz_Verbräuche[[#This Row],[2022]],"&gt;0")&gt;0,Klisz_Verbräuche[[#This Row],[2022]]*(1-$E141)^1, ""), ""),IF($B$57&gt;Klisz_Verbräuche[[#Headers],[2023]],Refsz_Verbräuche[[#This Row],[2023]],"")))</f>
        <v/>
      </c>
      <c r="O141" s="57" t="str">
        <f>IF(Klisz_Verbräuche[[#Headers],[2024]]=$B$57,IF(COUNTIF($F141:Klisz_Verbräuche[[#This Row],[2023]],"&gt;0")&gt;0, AVERAGEIF($F141:Klisz_Verbräuche[[#This Row],[2023]],"&lt;&gt;"), ""),IF($B$57&lt;Klisz_Verbräuche[[#Headers],[2024]],IF(COUNTIF($F141:Klisz_Verbräuche[[#This Row],[2023]],"&gt;0")&gt;0,IF(COUNTIF($F141:Klisz_Verbräuche[[#This Row],[2023]],"&gt;0")&gt;0,Klisz_Verbräuche[[#This Row],[2023]]*(1-$E141)^1, ""), ""),IF($B$57&gt;Klisz_Verbräuche[[#Headers],[2024]],Refsz_Verbräuche[[#This Row],[2024]],"")))</f>
        <v/>
      </c>
      <c r="P141" s="57" t="str">
        <f>IF(Klisz_Verbräuche[[#Headers],[2025]]=$B$57,IF(COUNTIF($F141:Klisz_Verbräuche[[#This Row],[2024]],"&gt;0")&gt;0, AVERAGEIF($F141:Klisz_Verbräuche[[#This Row],[2024]],"&lt;&gt;"), ""),IF($B$57&lt;Klisz_Verbräuche[[#Headers],[2025]],IF(COUNTIF($F141:Klisz_Verbräuche[[#This Row],[2024]],"&gt;0")&gt;0,IF(COUNTIF($F141:Klisz_Verbräuche[[#This Row],[2024]],"&gt;0")&gt;0,Klisz_Verbräuche[[#This Row],[2024]]*(1-$E141)^1, ""), ""),IF($B$57&gt;Klisz_Verbräuche[[#Headers],[2025]],Refsz_Verbräuche[[#This Row],[2025]],"")))</f>
        <v/>
      </c>
      <c r="Q141" s="57" t="str">
        <f>IF(Klisz_Verbräuche[[#Headers],[2026]]=$B$57,IF(COUNTIF($F141:Klisz_Verbräuche[[#This Row],[2025]],"&gt;0")&gt;0, AVERAGEIF($F141:Klisz_Verbräuche[[#This Row],[2025]],"&lt;&gt;"), ""),IF($B$57&lt;Klisz_Verbräuche[[#Headers],[2026]],IF(COUNTIF($F141:Klisz_Verbräuche[[#This Row],[2025]],"&gt;0")&gt;0,IF(COUNTIF($F141:Klisz_Verbräuche[[#This Row],[2025]],"&gt;0")&gt;0,Klisz_Verbräuche[[#This Row],[2025]]*(1-$E141)^1, ""), ""),IF($B$57&gt;Klisz_Verbräuche[[#Headers],[2026]],Refsz_Verbräuche[[#This Row],[2026]],"")))</f>
        <v/>
      </c>
      <c r="R141" s="57" t="str">
        <f>IF(Klisz_Verbräuche[[#Headers],[2027]]=$B$57,IF(COUNTIF($F141:Klisz_Verbräuche[[#This Row],[2026]],"&gt;0")&gt;0, AVERAGEIF($F141:Klisz_Verbräuche[[#This Row],[2026]],"&lt;&gt;"), ""),IF($B$57&lt;Klisz_Verbräuche[[#Headers],[2027]],IF(COUNTIF($F141:Klisz_Verbräuche[[#This Row],[2026]],"&gt;0")&gt;0,IF(COUNTIF($F141:Klisz_Verbräuche[[#This Row],[2026]],"&gt;0")&gt;0,Klisz_Verbräuche[[#This Row],[2026]]*(1-$E141)^1, ""), ""),IF($B$57&gt;Klisz_Verbräuche[[#Headers],[2027]],Refsz_Verbräuche[[#This Row],[2027]],"")))</f>
        <v/>
      </c>
      <c r="S141" s="57" t="str">
        <f>IF(Klisz_Verbräuche[[#Headers],[2028]]=$B$57,IF(COUNTIF($F141:Klisz_Verbräuche[[#This Row],[2027]],"&gt;0")&gt;0, AVERAGEIF($F141:Klisz_Verbräuche[[#This Row],[2027]],"&lt;&gt;"), ""),IF($B$57&lt;Klisz_Verbräuche[[#Headers],[2028]],IF(COUNTIF($F141:Klisz_Verbräuche[[#This Row],[2027]],"&gt;0")&gt;0,IF(COUNTIF($F141:Klisz_Verbräuche[[#This Row],[2027]],"&gt;0")&gt;0,Klisz_Verbräuche[[#This Row],[2027]]*(1-$E141)^1, ""), ""),IF($B$57&gt;Klisz_Verbräuche[[#Headers],[2028]],Refsz_Verbräuche[[#This Row],[2028]],"")))</f>
        <v/>
      </c>
      <c r="T141" s="57" t="str">
        <f>IF(Klisz_Verbräuche[[#Headers],[2029]]=$B$57,IF(COUNTIF($F141:Klisz_Verbräuche[[#This Row],[2028]],"&gt;0")&gt;0, AVERAGEIF($F141:Klisz_Verbräuche[[#This Row],[2028]],"&lt;&gt;"), ""),IF($B$57&lt;Klisz_Verbräuche[[#Headers],[2029]],IF(COUNTIF($F141:Klisz_Verbräuche[[#This Row],[2028]],"&gt;0")&gt;0,IF(COUNTIF($F141:Klisz_Verbräuche[[#This Row],[2028]],"&gt;0")&gt;0,Klisz_Verbräuche[[#This Row],[2028]]*(1-$E141)^1, ""), ""),IF($B$57&gt;Klisz_Verbräuche[[#Headers],[2029]],Refsz_Verbräuche[[#This Row],[2029]],"")))</f>
        <v/>
      </c>
      <c r="U141" s="57" t="str">
        <f>IF(Klisz_Verbräuche[[#Headers],[2030]]=$B$57,IF(COUNTIF($F141:Klisz_Verbräuche[[#This Row],[2029]],"&gt;0")&gt;0, AVERAGEIF($F141:Klisz_Verbräuche[[#This Row],[2029]],"&lt;&gt;"), ""),IF($B$57&lt;Klisz_Verbräuche[[#Headers],[2030]],IF(COUNTIF($F141:Klisz_Verbräuche[[#This Row],[2029]],"&gt;0")&gt;0,IF(COUNTIF($F141:Klisz_Verbräuche[[#This Row],[2029]],"&gt;0")&gt;0,Klisz_Verbräuche[[#This Row],[2029]]*(1-$E141)^1, ""), ""),IF($B$57&gt;Klisz_Verbräuche[[#Headers],[2030]],Refsz_Verbräuche[[#This Row],[2030]],"")))</f>
        <v/>
      </c>
      <c r="V141" s="57" t="str">
        <f>IF(Klisz_Verbräuche[[#Headers],[2035]]=$B$57,IF(COUNTIF($F141:Klisz_Verbräuche[[#This Row],[2030]],"&gt;0")&gt;0, AVERAGEIF($F141:Klisz_Verbräuche[[#This Row],[2030]],"&lt;&gt;"), ""),IF($B$57&lt;Klisz_Verbräuche[[#Headers],[2035]],IF(COUNTIF($F141:Klisz_Verbräuche[[#This Row],[2030]],"&gt;0")&gt;0,IF(COUNTIF($F141:Klisz_Verbräuche[[#This Row],[2030]],"&gt;0")&gt;0,Klisz_Verbräuche[[#This Row],[2030]]*(1-$E141)^5, ""), ""),IF($B$57&gt;Klisz_Verbräuche[[#Headers],[2035]],Refsz_Verbräuche[[#This Row],[2035]],"")))</f>
        <v/>
      </c>
      <c r="W141" s="57" t="str">
        <f>IF(Klisz_Verbräuche[[#Headers],[2040]]=$B$57,IF(COUNTIF($F141:Klisz_Verbräuche[[#This Row],[2035]],"&gt;0")&gt;0, AVERAGEIF($F141:Klisz_Verbräuche[[#This Row],[2035]],"&lt;&gt;"), ""),IF($B$57&lt;Klisz_Verbräuche[[#Headers],[2040]],IF(COUNTIF($F141:Klisz_Verbräuche[[#This Row],[2035]],"&gt;0")&gt;0,IF(COUNTIF($F141:Klisz_Verbräuche[[#This Row],[2035]],"&gt;0")&gt;0,Klisz_Verbräuche[[#This Row],[2035]]*(1-$E141)^5, ""), ""),IF($B$57&gt;Klisz_Verbräuche[[#Headers],[2040]],Refsz_Verbräuche[[#This Row],[2040]],"")))</f>
        <v/>
      </c>
      <c r="X141" s="57" t="str">
        <f>IF(Klisz_Verbräuche[[#Headers],[2045]]=$B$57,IF(COUNTIF($F141:Klisz_Verbräuche[[#This Row],[2040]],"&gt;0")&gt;0, AVERAGEIF($F141:Klisz_Verbräuche[[#This Row],[2040]],"&lt;&gt;"), ""),IF($B$57&lt;Klisz_Verbräuche[[#Headers],[2045]],IF(COUNTIF($F141:Klisz_Verbräuche[[#This Row],[2040]],"&gt;0")&gt;0,IF(COUNTIF($F141:Klisz_Verbräuche[[#This Row],[2040]],"&gt;0")&gt;0,Klisz_Verbräuche[[#This Row],[2040]]*(1-$E141)^5, ""), ""),IF($B$57&gt;Klisz_Verbräuche[[#Headers],[2045]],Refsz_Verbräuche[[#This Row],[2045]],"")))</f>
        <v/>
      </c>
      <c r="Y141" s="57" t="str">
        <f>IF(Klisz_Verbräuche[[#Headers],[2050]]=$B$57,IF(COUNTIF($F141:Klisz_Verbräuche[[#This Row],[2045]],"&gt;0")&gt;0, AVERAGEIF($F141:Klisz_Verbräuche[[#This Row],[2045]],"&lt;&gt;"), ""),IF($B$57&lt;Klisz_Verbräuche[[#Headers],[2050]],IF(COUNTIF($F141:Klisz_Verbräuche[[#This Row],[2045]],"&gt;0")&gt;0,IF(COUNTIF($F141:Klisz_Verbräuche[[#This Row],[2045]],"&gt;0")&gt;0,Klisz_Verbräuche[[#This Row],[2045]]*(1-$E141)^5, ""), ""),IF($B$57&gt;Klisz_Verbräuche[[#Headers],[2050]],Refsz_Verbräuche[[#This Row],[2050]],"")))</f>
        <v/>
      </c>
      <c r="Z141" s="15"/>
    </row>
    <row r="142" spans="2:26" x14ac:dyDescent="0.35">
      <c r="B142" s="15">
        <v>82</v>
      </c>
      <c r="C142" s="20" t="str">
        <f>Refsz_Verbräuche[[#This Row],[Datenpunkt]]</f>
        <v>An- und Abreise von Gästen - Flugreisen</v>
      </c>
      <c r="D142" s="29" t="str">
        <f>Refsz_Verbräuche[[#This Row],[Einheit]]</f>
        <v>Pkm</v>
      </c>
      <c r="E142" s="122"/>
      <c r="F142" s="15" t="str">
        <f>IF(ISBLANK(Refsz_Verbräuche[[#This Row],[2015]]),"",Refsz_Verbräuche[[#This Row],[2015]])</f>
        <v/>
      </c>
      <c r="G142" s="15" t="str">
        <f>IF(ISBLANK(Refsz_Verbräuche[[#This Row],[2016]]),"",Refsz_Verbräuche[[#This Row],[2016]])</f>
        <v/>
      </c>
      <c r="H142" s="15" t="str">
        <f>IF(ISBLANK(Refsz_Verbräuche[[#This Row],[2017]]),"",Refsz_Verbräuche[[#This Row],[2017]])</f>
        <v/>
      </c>
      <c r="I142" s="15" t="str">
        <f>IF(ISBLANK(Refsz_Verbräuche[[#This Row],[2018]]),"",Refsz_Verbräuche[[#This Row],[2018]])</f>
        <v/>
      </c>
      <c r="J142" s="15" t="str">
        <f>IF(ISBLANK(Refsz_Verbräuche[[#This Row],[2019]]),"",Refsz_Verbräuche[[#This Row],[2019]])</f>
        <v/>
      </c>
      <c r="K142" s="15" t="str">
        <f>IF(ISBLANK(Refsz_Verbräuche[[#This Row],[2020]]),"",Refsz_Verbräuche[[#This Row],[2020]])</f>
        <v/>
      </c>
      <c r="L142" s="15" t="str">
        <f>IF(ISBLANK(Refsz_Verbräuche[[#This Row],[2021]]),"",Refsz_Verbräuche[[#This Row],[2021]])</f>
        <v/>
      </c>
      <c r="M142" s="57" t="str">
        <f>IF(Klisz_Verbräuche[[#Headers],[2022]]=$B$57,IF(COUNTIF($F142:Klisz_Verbräuche[[#This Row],[2021]],"&gt;0")&gt;0, AVERAGEIF($F142:Klisz_Verbräuche[[#This Row],[2021]],"&lt;&gt;"), ""),IF($B$57&lt;Klisz_Verbräuche[[#Headers],[2022]],IF(COUNTIF($F142:Klisz_Verbräuche[[#This Row],[2021]],"&gt;0")&gt;0,IF(COUNTIF($F142:Klisz_Verbräuche[[#This Row],[2021]],"&gt;0")&gt;0,Klisz_Verbräuche[[#This Row],[2021]]*(1-$E142)^1, ""), ""),IF($B$57&gt;Klisz_Verbräuche[[#Headers],[2022]],Refsz_Verbräuche[[#This Row],[2022]],"")))</f>
        <v/>
      </c>
      <c r="N142" s="57" t="str">
        <f>IF(Klisz_Verbräuche[[#Headers],[2023]]=$B$57,IF(COUNTIF($F142:Klisz_Verbräuche[[#This Row],[2022]],"&gt;0")&gt;0, AVERAGEIF($F142:Klisz_Verbräuche[[#This Row],[2022]],"&lt;&gt;"), ""),IF($B$57&lt;Klisz_Verbräuche[[#Headers],[2023]],IF(COUNTIF($F142:Klisz_Verbräuche[[#This Row],[2022]],"&gt;0")&gt;0,IF(COUNTIF($F142:Klisz_Verbräuche[[#This Row],[2022]],"&gt;0")&gt;0,Klisz_Verbräuche[[#This Row],[2022]]*(1-$E142)^1, ""), ""),IF($B$57&gt;Klisz_Verbräuche[[#Headers],[2023]],Refsz_Verbräuche[[#This Row],[2023]],"")))</f>
        <v/>
      </c>
      <c r="O142" s="57" t="str">
        <f>IF(Klisz_Verbräuche[[#Headers],[2024]]=$B$57,IF(COUNTIF($F142:Klisz_Verbräuche[[#This Row],[2023]],"&gt;0")&gt;0, AVERAGEIF($F142:Klisz_Verbräuche[[#This Row],[2023]],"&lt;&gt;"), ""),IF($B$57&lt;Klisz_Verbräuche[[#Headers],[2024]],IF(COUNTIF($F142:Klisz_Verbräuche[[#This Row],[2023]],"&gt;0")&gt;0,IF(COUNTIF($F142:Klisz_Verbräuche[[#This Row],[2023]],"&gt;0")&gt;0,Klisz_Verbräuche[[#This Row],[2023]]*(1-$E142)^1, ""), ""),IF($B$57&gt;Klisz_Verbräuche[[#Headers],[2024]],Refsz_Verbräuche[[#This Row],[2024]],"")))</f>
        <v/>
      </c>
      <c r="P142" s="57" t="str">
        <f>IF(Klisz_Verbräuche[[#Headers],[2025]]=$B$57,IF(COUNTIF($F142:Klisz_Verbräuche[[#This Row],[2024]],"&gt;0")&gt;0, AVERAGEIF($F142:Klisz_Verbräuche[[#This Row],[2024]],"&lt;&gt;"), ""),IF($B$57&lt;Klisz_Verbräuche[[#Headers],[2025]],IF(COUNTIF($F142:Klisz_Verbräuche[[#This Row],[2024]],"&gt;0")&gt;0,IF(COUNTIF($F142:Klisz_Verbräuche[[#This Row],[2024]],"&gt;0")&gt;0,Klisz_Verbräuche[[#This Row],[2024]]*(1-$E142)^1, ""), ""),IF($B$57&gt;Klisz_Verbräuche[[#Headers],[2025]],Refsz_Verbräuche[[#This Row],[2025]],"")))</f>
        <v/>
      </c>
      <c r="Q142" s="57" t="str">
        <f>IF(Klisz_Verbräuche[[#Headers],[2026]]=$B$57,IF(COUNTIF($F142:Klisz_Verbräuche[[#This Row],[2025]],"&gt;0")&gt;0, AVERAGEIF($F142:Klisz_Verbräuche[[#This Row],[2025]],"&lt;&gt;"), ""),IF($B$57&lt;Klisz_Verbräuche[[#Headers],[2026]],IF(COUNTIF($F142:Klisz_Verbräuche[[#This Row],[2025]],"&gt;0")&gt;0,IF(COUNTIF($F142:Klisz_Verbräuche[[#This Row],[2025]],"&gt;0")&gt;0,Klisz_Verbräuche[[#This Row],[2025]]*(1-$E142)^1, ""), ""),IF($B$57&gt;Klisz_Verbräuche[[#Headers],[2026]],Refsz_Verbräuche[[#This Row],[2026]],"")))</f>
        <v/>
      </c>
      <c r="R142" s="57" t="str">
        <f>IF(Klisz_Verbräuche[[#Headers],[2027]]=$B$57,IF(COUNTIF($F142:Klisz_Verbräuche[[#This Row],[2026]],"&gt;0")&gt;0, AVERAGEIF($F142:Klisz_Verbräuche[[#This Row],[2026]],"&lt;&gt;"), ""),IF($B$57&lt;Klisz_Verbräuche[[#Headers],[2027]],IF(COUNTIF($F142:Klisz_Verbräuche[[#This Row],[2026]],"&gt;0")&gt;0,IF(COUNTIF($F142:Klisz_Verbräuche[[#This Row],[2026]],"&gt;0")&gt;0,Klisz_Verbräuche[[#This Row],[2026]]*(1-$E142)^1, ""), ""),IF($B$57&gt;Klisz_Verbräuche[[#Headers],[2027]],Refsz_Verbräuche[[#This Row],[2027]],"")))</f>
        <v/>
      </c>
      <c r="S142" s="57" t="str">
        <f>IF(Klisz_Verbräuche[[#Headers],[2028]]=$B$57,IF(COUNTIF($F142:Klisz_Verbräuche[[#This Row],[2027]],"&gt;0")&gt;0, AVERAGEIF($F142:Klisz_Verbräuche[[#This Row],[2027]],"&lt;&gt;"), ""),IF($B$57&lt;Klisz_Verbräuche[[#Headers],[2028]],IF(COUNTIF($F142:Klisz_Verbräuche[[#This Row],[2027]],"&gt;0")&gt;0,IF(COUNTIF($F142:Klisz_Verbräuche[[#This Row],[2027]],"&gt;0")&gt;0,Klisz_Verbräuche[[#This Row],[2027]]*(1-$E142)^1, ""), ""),IF($B$57&gt;Klisz_Verbräuche[[#Headers],[2028]],Refsz_Verbräuche[[#This Row],[2028]],"")))</f>
        <v/>
      </c>
      <c r="T142" s="57" t="str">
        <f>IF(Klisz_Verbräuche[[#Headers],[2029]]=$B$57,IF(COUNTIF($F142:Klisz_Verbräuche[[#This Row],[2028]],"&gt;0")&gt;0, AVERAGEIF($F142:Klisz_Verbräuche[[#This Row],[2028]],"&lt;&gt;"), ""),IF($B$57&lt;Klisz_Verbräuche[[#Headers],[2029]],IF(COUNTIF($F142:Klisz_Verbräuche[[#This Row],[2028]],"&gt;0")&gt;0,IF(COUNTIF($F142:Klisz_Verbräuche[[#This Row],[2028]],"&gt;0")&gt;0,Klisz_Verbräuche[[#This Row],[2028]]*(1-$E142)^1, ""), ""),IF($B$57&gt;Klisz_Verbräuche[[#Headers],[2029]],Refsz_Verbräuche[[#This Row],[2029]],"")))</f>
        <v/>
      </c>
      <c r="U142" s="57" t="str">
        <f>IF(Klisz_Verbräuche[[#Headers],[2030]]=$B$57,IF(COUNTIF($F142:Klisz_Verbräuche[[#This Row],[2029]],"&gt;0")&gt;0, AVERAGEIF($F142:Klisz_Verbräuche[[#This Row],[2029]],"&lt;&gt;"), ""),IF($B$57&lt;Klisz_Verbräuche[[#Headers],[2030]],IF(COUNTIF($F142:Klisz_Verbräuche[[#This Row],[2029]],"&gt;0")&gt;0,IF(COUNTIF($F142:Klisz_Verbräuche[[#This Row],[2029]],"&gt;0")&gt;0,Klisz_Verbräuche[[#This Row],[2029]]*(1-$E142)^1, ""), ""),IF($B$57&gt;Klisz_Verbräuche[[#Headers],[2030]],Refsz_Verbräuche[[#This Row],[2030]],"")))</f>
        <v/>
      </c>
      <c r="V142" s="57" t="str">
        <f>IF(Klisz_Verbräuche[[#Headers],[2035]]=$B$57,IF(COUNTIF($F142:Klisz_Verbräuche[[#This Row],[2030]],"&gt;0")&gt;0, AVERAGEIF($F142:Klisz_Verbräuche[[#This Row],[2030]],"&lt;&gt;"), ""),IF($B$57&lt;Klisz_Verbräuche[[#Headers],[2035]],IF(COUNTIF($F142:Klisz_Verbräuche[[#This Row],[2030]],"&gt;0")&gt;0,IF(COUNTIF($F142:Klisz_Verbräuche[[#This Row],[2030]],"&gt;0")&gt;0,Klisz_Verbräuche[[#This Row],[2030]]*(1-$E142)^5, ""), ""),IF($B$57&gt;Klisz_Verbräuche[[#Headers],[2035]],Refsz_Verbräuche[[#This Row],[2035]],"")))</f>
        <v/>
      </c>
      <c r="W142" s="57" t="str">
        <f>IF(Klisz_Verbräuche[[#Headers],[2040]]=$B$57,IF(COUNTIF($F142:Klisz_Verbräuche[[#This Row],[2035]],"&gt;0")&gt;0, AVERAGEIF($F142:Klisz_Verbräuche[[#This Row],[2035]],"&lt;&gt;"), ""),IF($B$57&lt;Klisz_Verbräuche[[#Headers],[2040]],IF(COUNTIF($F142:Klisz_Verbräuche[[#This Row],[2035]],"&gt;0")&gt;0,IF(COUNTIF($F142:Klisz_Verbräuche[[#This Row],[2035]],"&gt;0")&gt;0,Klisz_Verbräuche[[#This Row],[2035]]*(1-$E142)^5, ""), ""),IF($B$57&gt;Klisz_Verbräuche[[#Headers],[2040]],Refsz_Verbräuche[[#This Row],[2040]],"")))</f>
        <v/>
      </c>
      <c r="X142" s="57" t="str">
        <f>IF(Klisz_Verbräuche[[#Headers],[2045]]=$B$57,IF(COUNTIF($F142:Klisz_Verbräuche[[#This Row],[2040]],"&gt;0")&gt;0, AVERAGEIF($F142:Klisz_Verbräuche[[#This Row],[2040]],"&lt;&gt;"), ""),IF($B$57&lt;Klisz_Verbräuche[[#Headers],[2045]],IF(COUNTIF($F142:Klisz_Verbräuche[[#This Row],[2040]],"&gt;0")&gt;0,IF(COUNTIF($F142:Klisz_Verbräuche[[#This Row],[2040]],"&gt;0")&gt;0,Klisz_Verbräuche[[#This Row],[2040]]*(1-$E142)^5, ""), ""),IF($B$57&gt;Klisz_Verbräuche[[#Headers],[2045]],Refsz_Verbräuche[[#This Row],[2045]],"")))</f>
        <v/>
      </c>
      <c r="Y142" s="57" t="str">
        <f>IF(Klisz_Verbräuche[[#Headers],[2050]]=$B$57,IF(COUNTIF($F142:Klisz_Verbräuche[[#This Row],[2045]],"&gt;0")&gt;0, AVERAGEIF($F142:Klisz_Verbräuche[[#This Row],[2045]],"&lt;&gt;"), ""),IF($B$57&lt;Klisz_Verbräuche[[#Headers],[2050]],IF(COUNTIF($F142:Klisz_Verbräuche[[#This Row],[2045]],"&gt;0")&gt;0,IF(COUNTIF($F142:Klisz_Verbräuche[[#This Row],[2045]],"&gt;0")&gt;0,Klisz_Verbräuche[[#This Row],[2045]]*(1-$E142)^5, ""), ""),IF($B$57&gt;Klisz_Verbräuche[[#Headers],[2050]],Refsz_Verbräuche[[#This Row],[2050]],"")))</f>
        <v/>
      </c>
      <c r="Z142" s="15"/>
    </row>
    <row r="143" spans="2:26" x14ac:dyDescent="0.35">
      <c r="B143" s="15">
        <v>83</v>
      </c>
      <c r="C143" s="20" t="str">
        <f>Refsz_Verbräuche[[#This Row],[Datenpunkt]]</f>
        <v>An- und Abreise von Gästen - Eisenbahn (Nahverkehr)</v>
      </c>
      <c r="D143" s="29" t="str">
        <f>Refsz_Verbräuche[[#This Row],[Einheit]]</f>
        <v>Pkm</v>
      </c>
      <c r="E143" s="122"/>
      <c r="F143" s="15" t="str">
        <f>IF(ISBLANK(Refsz_Verbräuche[[#This Row],[2015]]),"",Refsz_Verbräuche[[#This Row],[2015]])</f>
        <v/>
      </c>
      <c r="G143" s="15" t="str">
        <f>IF(ISBLANK(Refsz_Verbräuche[[#This Row],[2016]]),"",Refsz_Verbräuche[[#This Row],[2016]])</f>
        <v/>
      </c>
      <c r="H143" s="15" t="str">
        <f>IF(ISBLANK(Refsz_Verbräuche[[#This Row],[2017]]),"",Refsz_Verbräuche[[#This Row],[2017]])</f>
        <v/>
      </c>
      <c r="I143" s="15" t="str">
        <f>IF(ISBLANK(Refsz_Verbräuche[[#This Row],[2018]]),"",Refsz_Verbräuche[[#This Row],[2018]])</f>
        <v/>
      </c>
      <c r="J143" s="15" t="str">
        <f>IF(ISBLANK(Refsz_Verbräuche[[#This Row],[2019]]),"",Refsz_Verbräuche[[#This Row],[2019]])</f>
        <v/>
      </c>
      <c r="K143" s="15" t="str">
        <f>IF(ISBLANK(Refsz_Verbräuche[[#This Row],[2020]]),"",Refsz_Verbräuche[[#This Row],[2020]])</f>
        <v/>
      </c>
      <c r="L143" s="15" t="str">
        <f>IF(ISBLANK(Refsz_Verbräuche[[#This Row],[2021]]),"",Refsz_Verbräuche[[#This Row],[2021]])</f>
        <v/>
      </c>
      <c r="M143" s="57" t="str">
        <f>IF(Klisz_Verbräuche[[#Headers],[2022]]=$B$57,IF(COUNTIF($F143:Klisz_Verbräuche[[#This Row],[2021]],"&gt;0")&gt;0, AVERAGEIF($F143:Klisz_Verbräuche[[#This Row],[2021]],"&lt;&gt;"), ""),IF($B$57&lt;Klisz_Verbräuche[[#Headers],[2022]],IF(COUNTIF($F143:Klisz_Verbräuche[[#This Row],[2021]],"&gt;0")&gt;0,IF(COUNTIF($F143:Klisz_Verbräuche[[#This Row],[2021]],"&gt;0")&gt;0,Klisz_Verbräuche[[#This Row],[2021]]*(1-$E143)^1, ""), ""),IF($B$57&gt;Klisz_Verbräuche[[#Headers],[2022]],Refsz_Verbräuche[[#This Row],[2022]],"")))</f>
        <v/>
      </c>
      <c r="N143" s="57" t="str">
        <f>IF(Klisz_Verbräuche[[#Headers],[2023]]=$B$57,IF(COUNTIF($F143:Klisz_Verbräuche[[#This Row],[2022]],"&gt;0")&gt;0, AVERAGEIF($F143:Klisz_Verbräuche[[#This Row],[2022]],"&lt;&gt;"), ""),IF($B$57&lt;Klisz_Verbräuche[[#Headers],[2023]],IF(COUNTIF($F143:Klisz_Verbräuche[[#This Row],[2022]],"&gt;0")&gt;0,IF(COUNTIF($F143:Klisz_Verbräuche[[#This Row],[2022]],"&gt;0")&gt;0,Klisz_Verbräuche[[#This Row],[2022]]*(1-$E143)^1, ""), ""),IF($B$57&gt;Klisz_Verbräuche[[#Headers],[2023]],Refsz_Verbräuche[[#This Row],[2023]],"")))</f>
        <v/>
      </c>
      <c r="O143" s="57" t="str">
        <f>IF(Klisz_Verbräuche[[#Headers],[2024]]=$B$57,IF(COUNTIF($F143:Klisz_Verbräuche[[#This Row],[2023]],"&gt;0")&gt;0, AVERAGEIF($F143:Klisz_Verbräuche[[#This Row],[2023]],"&lt;&gt;"), ""),IF($B$57&lt;Klisz_Verbräuche[[#Headers],[2024]],IF(COUNTIF($F143:Klisz_Verbräuche[[#This Row],[2023]],"&gt;0")&gt;0,IF(COUNTIF($F143:Klisz_Verbräuche[[#This Row],[2023]],"&gt;0")&gt;0,Klisz_Verbräuche[[#This Row],[2023]]*(1-$E143)^1, ""), ""),IF($B$57&gt;Klisz_Verbräuche[[#Headers],[2024]],Refsz_Verbräuche[[#This Row],[2024]],"")))</f>
        <v/>
      </c>
      <c r="P143" s="57" t="str">
        <f>IF(Klisz_Verbräuche[[#Headers],[2025]]=$B$57,IF(COUNTIF($F143:Klisz_Verbräuche[[#This Row],[2024]],"&gt;0")&gt;0, AVERAGEIF($F143:Klisz_Verbräuche[[#This Row],[2024]],"&lt;&gt;"), ""),IF($B$57&lt;Klisz_Verbräuche[[#Headers],[2025]],IF(COUNTIF($F143:Klisz_Verbräuche[[#This Row],[2024]],"&gt;0")&gt;0,IF(COUNTIF($F143:Klisz_Verbräuche[[#This Row],[2024]],"&gt;0")&gt;0,Klisz_Verbräuche[[#This Row],[2024]]*(1-$E143)^1, ""), ""),IF($B$57&gt;Klisz_Verbräuche[[#Headers],[2025]],Refsz_Verbräuche[[#This Row],[2025]],"")))</f>
        <v/>
      </c>
      <c r="Q143" s="57" t="str">
        <f>IF(Klisz_Verbräuche[[#Headers],[2026]]=$B$57,IF(COUNTIF($F143:Klisz_Verbräuche[[#This Row],[2025]],"&gt;0")&gt;0, AVERAGEIF($F143:Klisz_Verbräuche[[#This Row],[2025]],"&lt;&gt;"), ""),IF($B$57&lt;Klisz_Verbräuche[[#Headers],[2026]],IF(COUNTIF($F143:Klisz_Verbräuche[[#This Row],[2025]],"&gt;0")&gt;0,IF(COUNTIF($F143:Klisz_Verbräuche[[#This Row],[2025]],"&gt;0")&gt;0,Klisz_Verbräuche[[#This Row],[2025]]*(1-$E143)^1, ""), ""),IF($B$57&gt;Klisz_Verbräuche[[#Headers],[2026]],Refsz_Verbräuche[[#This Row],[2026]],"")))</f>
        <v/>
      </c>
      <c r="R143" s="57" t="str">
        <f>IF(Klisz_Verbräuche[[#Headers],[2027]]=$B$57,IF(COUNTIF($F143:Klisz_Verbräuche[[#This Row],[2026]],"&gt;0")&gt;0, AVERAGEIF($F143:Klisz_Verbräuche[[#This Row],[2026]],"&lt;&gt;"), ""),IF($B$57&lt;Klisz_Verbräuche[[#Headers],[2027]],IF(COUNTIF($F143:Klisz_Verbräuche[[#This Row],[2026]],"&gt;0")&gt;0,IF(COUNTIF($F143:Klisz_Verbräuche[[#This Row],[2026]],"&gt;0")&gt;0,Klisz_Verbräuche[[#This Row],[2026]]*(1-$E143)^1, ""), ""),IF($B$57&gt;Klisz_Verbräuche[[#Headers],[2027]],Refsz_Verbräuche[[#This Row],[2027]],"")))</f>
        <v/>
      </c>
      <c r="S143" s="57" t="str">
        <f>IF(Klisz_Verbräuche[[#Headers],[2028]]=$B$57,IF(COUNTIF($F143:Klisz_Verbräuche[[#This Row],[2027]],"&gt;0")&gt;0, AVERAGEIF($F143:Klisz_Verbräuche[[#This Row],[2027]],"&lt;&gt;"), ""),IF($B$57&lt;Klisz_Verbräuche[[#Headers],[2028]],IF(COUNTIF($F143:Klisz_Verbräuche[[#This Row],[2027]],"&gt;0")&gt;0,IF(COUNTIF($F143:Klisz_Verbräuche[[#This Row],[2027]],"&gt;0")&gt;0,Klisz_Verbräuche[[#This Row],[2027]]*(1-$E143)^1, ""), ""),IF($B$57&gt;Klisz_Verbräuche[[#Headers],[2028]],Refsz_Verbräuche[[#This Row],[2028]],"")))</f>
        <v/>
      </c>
      <c r="T143" s="57" t="str">
        <f>IF(Klisz_Verbräuche[[#Headers],[2029]]=$B$57,IF(COUNTIF($F143:Klisz_Verbräuche[[#This Row],[2028]],"&gt;0")&gt;0, AVERAGEIF($F143:Klisz_Verbräuche[[#This Row],[2028]],"&lt;&gt;"), ""),IF($B$57&lt;Klisz_Verbräuche[[#Headers],[2029]],IF(COUNTIF($F143:Klisz_Verbräuche[[#This Row],[2028]],"&gt;0")&gt;0,IF(COUNTIF($F143:Klisz_Verbräuche[[#This Row],[2028]],"&gt;0")&gt;0,Klisz_Verbräuche[[#This Row],[2028]]*(1-$E143)^1, ""), ""),IF($B$57&gt;Klisz_Verbräuche[[#Headers],[2029]],Refsz_Verbräuche[[#This Row],[2029]],"")))</f>
        <v/>
      </c>
      <c r="U143" s="57" t="str">
        <f>IF(Klisz_Verbräuche[[#Headers],[2030]]=$B$57,IF(COUNTIF($F143:Klisz_Verbräuche[[#This Row],[2029]],"&gt;0")&gt;0, AVERAGEIF($F143:Klisz_Verbräuche[[#This Row],[2029]],"&lt;&gt;"), ""),IF($B$57&lt;Klisz_Verbräuche[[#Headers],[2030]],IF(COUNTIF($F143:Klisz_Verbräuche[[#This Row],[2029]],"&gt;0")&gt;0,IF(COUNTIF($F143:Klisz_Verbräuche[[#This Row],[2029]],"&gt;0")&gt;0,Klisz_Verbräuche[[#This Row],[2029]]*(1-$E143)^1, ""), ""),IF($B$57&gt;Klisz_Verbräuche[[#Headers],[2030]],Refsz_Verbräuche[[#This Row],[2030]],"")))</f>
        <v/>
      </c>
      <c r="V143" s="57" t="str">
        <f>IF(Klisz_Verbräuche[[#Headers],[2035]]=$B$57,IF(COUNTIF($F143:Klisz_Verbräuche[[#This Row],[2030]],"&gt;0")&gt;0, AVERAGEIF($F143:Klisz_Verbräuche[[#This Row],[2030]],"&lt;&gt;"), ""),IF($B$57&lt;Klisz_Verbräuche[[#Headers],[2035]],IF(COUNTIF($F143:Klisz_Verbräuche[[#This Row],[2030]],"&gt;0")&gt;0,IF(COUNTIF($F143:Klisz_Verbräuche[[#This Row],[2030]],"&gt;0")&gt;0,Klisz_Verbräuche[[#This Row],[2030]]*(1-$E143)^5, ""), ""),IF($B$57&gt;Klisz_Verbräuche[[#Headers],[2035]],Refsz_Verbräuche[[#This Row],[2035]],"")))</f>
        <v/>
      </c>
      <c r="W143" s="57" t="str">
        <f>IF(Klisz_Verbräuche[[#Headers],[2040]]=$B$57,IF(COUNTIF($F143:Klisz_Verbräuche[[#This Row],[2035]],"&gt;0")&gt;0, AVERAGEIF($F143:Klisz_Verbräuche[[#This Row],[2035]],"&lt;&gt;"), ""),IF($B$57&lt;Klisz_Verbräuche[[#Headers],[2040]],IF(COUNTIF($F143:Klisz_Verbräuche[[#This Row],[2035]],"&gt;0")&gt;0,IF(COUNTIF($F143:Klisz_Verbräuche[[#This Row],[2035]],"&gt;0")&gt;0,Klisz_Verbräuche[[#This Row],[2035]]*(1-$E143)^5, ""), ""),IF($B$57&gt;Klisz_Verbräuche[[#Headers],[2040]],Refsz_Verbräuche[[#This Row],[2040]],"")))</f>
        <v/>
      </c>
      <c r="X143" s="57" t="str">
        <f>IF(Klisz_Verbräuche[[#Headers],[2045]]=$B$57,IF(COUNTIF($F143:Klisz_Verbräuche[[#This Row],[2040]],"&gt;0")&gt;0, AVERAGEIF($F143:Klisz_Verbräuche[[#This Row],[2040]],"&lt;&gt;"), ""),IF($B$57&lt;Klisz_Verbräuche[[#Headers],[2045]],IF(COUNTIF($F143:Klisz_Verbräuche[[#This Row],[2040]],"&gt;0")&gt;0,IF(COUNTIF($F143:Klisz_Verbräuche[[#This Row],[2040]],"&gt;0")&gt;0,Klisz_Verbräuche[[#This Row],[2040]]*(1-$E143)^5, ""), ""),IF($B$57&gt;Klisz_Verbräuche[[#Headers],[2045]],Refsz_Verbräuche[[#This Row],[2045]],"")))</f>
        <v/>
      </c>
      <c r="Y143" s="57" t="str">
        <f>IF(Klisz_Verbräuche[[#Headers],[2050]]=$B$57,IF(COUNTIF($F143:Klisz_Verbräuche[[#This Row],[2045]],"&gt;0")&gt;0, AVERAGEIF($F143:Klisz_Verbräuche[[#This Row],[2045]],"&lt;&gt;"), ""),IF($B$57&lt;Klisz_Verbräuche[[#Headers],[2050]],IF(COUNTIF($F143:Klisz_Verbräuche[[#This Row],[2045]],"&gt;0")&gt;0,IF(COUNTIF($F143:Klisz_Verbräuche[[#This Row],[2045]],"&gt;0")&gt;0,Klisz_Verbräuche[[#This Row],[2045]]*(1-$E143)^5, ""), ""),IF($B$57&gt;Klisz_Verbräuche[[#Headers],[2050]],Refsz_Verbräuche[[#This Row],[2050]],"")))</f>
        <v/>
      </c>
      <c r="Z143" s="15"/>
    </row>
    <row r="144" spans="2:26" x14ac:dyDescent="0.35">
      <c r="B144" s="15">
        <v>84</v>
      </c>
      <c r="C144" s="20" t="str">
        <f>Refsz_Verbräuche[[#This Row],[Datenpunkt]]</f>
        <v>An- und Abreise von Gästen - Privater PKW (alle Antriebsarten)</v>
      </c>
      <c r="D144" s="29" t="str">
        <f>Refsz_Verbräuche[[#This Row],[Einheit]]</f>
        <v>Fkm</v>
      </c>
      <c r="E144" s="122"/>
      <c r="F144" s="15" t="str">
        <f>IF(ISBLANK(Refsz_Verbräuche[[#This Row],[2015]]),"",Refsz_Verbräuche[[#This Row],[2015]])</f>
        <v/>
      </c>
      <c r="G144" s="15" t="str">
        <f>IF(ISBLANK(Refsz_Verbräuche[[#This Row],[2016]]),"",Refsz_Verbräuche[[#This Row],[2016]])</f>
        <v/>
      </c>
      <c r="H144" s="15" t="str">
        <f>IF(ISBLANK(Refsz_Verbräuche[[#This Row],[2017]]),"",Refsz_Verbräuche[[#This Row],[2017]])</f>
        <v/>
      </c>
      <c r="I144" s="15" t="str">
        <f>IF(ISBLANK(Refsz_Verbräuche[[#This Row],[2018]]),"",Refsz_Verbräuche[[#This Row],[2018]])</f>
        <v/>
      </c>
      <c r="J144" s="15" t="str">
        <f>IF(ISBLANK(Refsz_Verbräuche[[#This Row],[2019]]),"",Refsz_Verbräuche[[#This Row],[2019]])</f>
        <v/>
      </c>
      <c r="K144" s="15" t="str">
        <f>IF(ISBLANK(Refsz_Verbräuche[[#This Row],[2020]]),"",Refsz_Verbräuche[[#This Row],[2020]])</f>
        <v/>
      </c>
      <c r="L144" s="15" t="str">
        <f>IF(ISBLANK(Refsz_Verbräuche[[#This Row],[2021]]),"",Refsz_Verbräuche[[#This Row],[2021]])</f>
        <v/>
      </c>
      <c r="M144" s="57" t="str">
        <f>IF(Klisz_Verbräuche[[#Headers],[2022]]=$B$57,IF(COUNTIF($F144:Klisz_Verbräuche[[#This Row],[2021]],"&gt;0")&gt;0, AVERAGEIF($F144:Klisz_Verbräuche[[#This Row],[2021]],"&lt;&gt;"), ""),IF($B$57&lt;Klisz_Verbräuche[[#Headers],[2022]],IF(COUNTIF($F144:Klisz_Verbräuche[[#This Row],[2021]],"&gt;0")&gt;0,IF(COUNTIF($F144:Klisz_Verbräuche[[#This Row],[2021]],"&gt;0")&gt;0,Klisz_Verbräuche[[#This Row],[2021]]*(1-$E144)^1, ""), ""),IF($B$57&gt;Klisz_Verbräuche[[#Headers],[2022]],Refsz_Verbräuche[[#This Row],[2022]],"")))</f>
        <v/>
      </c>
      <c r="N144" s="57" t="str">
        <f>IF(Klisz_Verbräuche[[#Headers],[2023]]=$B$57,IF(COUNTIF($F144:Klisz_Verbräuche[[#This Row],[2022]],"&gt;0")&gt;0, AVERAGEIF($F144:Klisz_Verbräuche[[#This Row],[2022]],"&lt;&gt;"), ""),IF($B$57&lt;Klisz_Verbräuche[[#Headers],[2023]],IF(COUNTIF($F144:Klisz_Verbräuche[[#This Row],[2022]],"&gt;0")&gt;0,IF(COUNTIF($F144:Klisz_Verbräuche[[#This Row],[2022]],"&gt;0")&gt;0,Klisz_Verbräuche[[#This Row],[2022]]*(1-$E144)^1, ""), ""),IF($B$57&gt;Klisz_Verbräuche[[#Headers],[2023]],Refsz_Verbräuche[[#This Row],[2023]],"")))</f>
        <v/>
      </c>
      <c r="O144" s="57" t="str">
        <f>IF(Klisz_Verbräuche[[#Headers],[2024]]=$B$57,IF(COUNTIF($F144:Klisz_Verbräuche[[#This Row],[2023]],"&gt;0")&gt;0, AVERAGEIF($F144:Klisz_Verbräuche[[#This Row],[2023]],"&lt;&gt;"), ""),IF($B$57&lt;Klisz_Verbräuche[[#Headers],[2024]],IF(COUNTIF($F144:Klisz_Verbräuche[[#This Row],[2023]],"&gt;0")&gt;0,IF(COUNTIF($F144:Klisz_Verbräuche[[#This Row],[2023]],"&gt;0")&gt;0,Klisz_Verbräuche[[#This Row],[2023]]*(1-$E144)^1, ""), ""),IF($B$57&gt;Klisz_Verbräuche[[#Headers],[2024]],Refsz_Verbräuche[[#This Row],[2024]],"")))</f>
        <v/>
      </c>
      <c r="P144" s="57" t="str">
        <f>IF(Klisz_Verbräuche[[#Headers],[2025]]=$B$57,IF(COUNTIF($F144:Klisz_Verbräuche[[#This Row],[2024]],"&gt;0")&gt;0, AVERAGEIF($F144:Klisz_Verbräuche[[#This Row],[2024]],"&lt;&gt;"), ""),IF($B$57&lt;Klisz_Verbräuche[[#Headers],[2025]],IF(COUNTIF($F144:Klisz_Verbräuche[[#This Row],[2024]],"&gt;0")&gt;0,IF(COUNTIF($F144:Klisz_Verbräuche[[#This Row],[2024]],"&gt;0")&gt;0,Klisz_Verbräuche[[#This Row],[2024]]*(1-$E144)^1, ""), ""),IF($B$57&gt;Klisz_Verbräuche[[#Headers],[2025]],Refsz_Verbräuche[[#This Row],[2025]],"")))</f>
        <v/>
      </c>
      <c r="Q144" s="57" t="str">
        <f>IF(Klisz_Verbräuche[[#Headers],[2026]]=$B$57,IF(COUNTIF($F144:Klisz_Verbräuche[[#This Row],[2025]],"&gt;0")&gt;0, AVERAGEIF($F144:Klisz_Verbräuche[[#This Row],[2025]],"&lt;&gt;"), ""),IF($B$57&lt;Klisz_Verbräuche[[#Headers],[2026]],IF(COUNTIF($F144:Klisz_Verbräuche[[#This Row],[2025]],"&gt;0")&gt;0,IF(COUNTIF($F144:Klisz_Verbräuche[[#This Row],[2025]],"&gt;0")&gt;0,Klisz_Verbräuche[[#This Row],[2025]]*(1-$E144)^1, ""), ""),IF($B$57&gt;Klisz_Verbräuche[[#Headers],[2026]],Refsz_Verbräuche[[#This Row],[2026]],"")))</f>
        <v/>
      </c>
      <c r="R144" s="57" t="str">
        <f>IF(Klisz_Verbräuche[[#Headers],[2027]]=$B$57,IF(COUNTIF($F144:Klisz_Verbräuche[[#This Row],[2026]],"&gt;0")&gt;0, AVERAGEIF($F144:Klisz_Verbräuche[[#This Row],[2026]],"&lt;&gt;"), ""),IF($B$57&lt;Klisz_Verbräuche[[#Headers],[2027]],IF(COUNTIF($F144:Klisz_Verbräuche[[#This Row],[2026]],"&gt;0")&gt;0,IF(COUNTIF($F144:Klisz_Verbräuche[[#This Row],[2026]],"&gt;0")&gt;0,Klisz_Verbräuche[[#This Row],[2026]]*(1-$E144)^1, ""), ""),IF($B$57&gt;Klisz_Verbräuche[[#Headers],[2027]],Refsz_Verbräuche[[#This Row],[2027]],"")))</f>
        <v/>
      </c>
      <c r="S144" s="57" t="str">
        <f>IF(Klisz_Verbräuche[[#Headers],[2028]]=$B$57,IF(COUNTIF($F144:Klisz_Verbräuche[[#This Row],[2027]],"&gt;0")&gt;0, AVERAGEIF($F144:Klisz_Verbräuche[[#This Row],[2027]],"&lt;&gt;"), ""),IF($B$57&lt;Klisz_Verbräuche[[#Headers],[2028]],IF(COUNTIF($F144:Klisz_Verbräuche[[#This Row],[2027]],"&gt;0")&gt;0,IF(COUNTIF($F144:Klisz_Verbräuche[[#This Row],[2027]],"&gt;0")&gt;0,Klisz_Verbräuche[[#This Row],[2027]]*(1-$E144)^1, ""), ""),IF($B$57&gt;Klisz_Verbräuche[[#Headers],[2028]],Refsz_Verbräuche[[#This Row],[2028]],"")))</f>
        <v/>
      </c>
      <c r="T144" s="57" t="str">
        <f>IF(Klisz_Verbräuche[[#Headers],[2029]]=$B$57,IF(COUNTIF($F144:Klisz_Verbräuche[[#This Row],[2028]],"&gt;0")&gt;0, AVERAGEIF($F144:Klisz_Verbräuche[[#This Row],[2028]],"&lt;&gt;"), ""),IF($B$57&lt;Klisz_Verbräuche[[#Headers],[2029]],IF(COUNTIF($F144:Klisz_Verbräuche[[#This Row],[2028]],"&gt;0")&gt;0,IF(COUNTIF($F144:Klisz_Verbräuche[[#This Row],[2028]],"&gt;0")&gt;0,Klisz_Verbräuche[[#This Row],[2028]]*(1-$E144)^1, ""), ""),IF($B$57&gt;Klisz_Verbräuche[[#Headers],[2029]],Refsz_Verbräuche[[#This Row],[2029]],"")))</f>
        <v/>
      </c>
      <c r="U144" s="57" t="str">
        <f>IF(Klisz_Verbräuche[[#Headers],[2030]]=$B$57,IF(COUNTIF($F144:Klisz_Verbräuche[[#This Row],[2029]],"&gt;0")&gt;0, AVERAGEIF($F144:Klisz_Verbräuche[[#This Row],[2029]],"&lt;&gt;"), ""),IF($B$57&lt;Klisz_Verbräuche[[#Headers],[2030]],IF(COUNTIF($F144:Klisz_Verbräuche[[#This Row],[2029]],"&gt;0")&gt;0,IF(COUNTIF($F144:Klisz_Verbräuche[[#This Row],[2029]],"&gt;0")&gt;0,Klisz_Verbräuche[[#This Row],[2029]]*(1-$E144)^1, ""), ""),IF($B$57&gt;Klisz_Verbräuche[[#Headers],[2030]],Refsz_Verbräuche[[#This Row],[2030]],"")))</f>
        <v/>
      </c>
      <c r="V144" s="57" t="str">
        <f>IF(Klisz_Verbräuche[[#Headers],[2035]]=$B$57,IF(COUNTIF($F144:Klisz_Verbräuche[[#This Row],[2030]],"&gt;0")&gt;0, AVERAGEIF($F144:Klisz_Verbräuche[[#This Row],[2030]],"&lt;&gt;"), ""),IF($B$57&lt;Klisz_Verbräuche[[#Headers],[2035]],IF(COUNTIF($F144:Klisz_Verbräuche[[#This Row],[2030]],"&gt;0")&gt;0,IF(COUNTIF($F144:Klisz_Verbräuche[[#This Row],[2030]],"&gt;0")&gt;0,Klisz_Verbräuche[[#This Row],[2030]]*(1-$E144)^5, ""), ""),IF($B$57&gt;Klisz_Verbräuche[[#Headers],[2035]],Refsz_Verbräuche[[#This Row],[2035]],"")))</f>
        <v/>
      </c>
      <c r="W144" s="57" t="str">
        <f>IF(Klisz_Verbräuche[[#Headers],[2040]]=$B$57,IF(COUNTIF($F144:Klisz_Verbräuche[[#This Row],[2035]],"&gt;0")&gt;0, AVERAGEIF($F144:Klisz_Verbräuche[[#This Row],[2035]],"&lt;&gt;"), ""),IF($B$57&lt;Klisz_Verbräuche[[#Headers],[2040]],IF(COUNTIF($F144:Klisz_Verbräuche[[#This Row],[2035]],"&gt;0")&gt;0,IF(COUNTIF($F144:Klisz_Verbräuche[[#This Row],[2035]],"&gt;0")&gt;0,Klisz_Verbräuche[[#This Row],[2035]]*(1-$E144)^5, ""), ""),IF($B$57&gt;Klisz_Verbräuche[[#Headers],[2040]],Refsz_Verbräuche[[#This Row],[2040]],"")))</f>
        <v/>
      </c>
      <c r="X144" s="57" t="str">
        <f>IF(Klisz_Verbräuche[[#Headers],[2045]]=$B$57,IF(COUNTIF($F144:Klisz_Verbräuche[[#This Row],[2040]],"&gt;0")&gt;0, AVERAGEIF($F144:Klisz_Verbräuche[[#This Row],[2040]],"&lt;&gt;"), ""),IF($B$57&lt;Klisz_Verbräuche[[#Headers],[2045]],IF(COUNTIF($F144:Klisz_Verbräuche[[#This Row],[2040]],"&gt;0")&gt;0,IF(COUNTIF($F144:Klisz_Verbräuche[[#This Row],[2040]],"&gt;0")&gt;0,Klisz_Verbräuche[[#This Row],[2040]]*(1-$E144)^5, ""), ""),IF($B$57&gt;Klisz_Verbräuche[[#Headers],[2045]],Refsz_Verbräuche[[#This Row],[2045]],"")))</f>
        <v/>
      </c>
      <c r="Y144" s="57" t="str">
        <f>IF(Klisz_Verbräuche[[#Headers],[2050]]=$B$57,IF(COUNTIF($F144:Klisz_Verbräuche[[#This Row],[2045]],"&gt;0")&gt;0, AVERAGEIF($F144:Klisz_Verbräuche[[#This Row],[2045]],"&lt;&gt;"), ""),IF($B$57&lt;Klisz_Verbräuche[[#Headers],[2050]],IF(COUNTIF($F144:Klisz_Verbräuche[[#This Row],[2045]],"&gt;0")&gt;0,IF(COUNTIF($F144:Klisz_Verbräuche[[#This Row],[2045]],"&gt;0")&gt;0,Klisz_Verbräuche[[#This Row],[2045]]*(1-$E144)^5, ""), ""),IF($B$57&gt;Klisz_Verbräuche[[#Headers],[2050]],Refsz_Verbräuche[[#This Row],[2050]],"")))</f>
        <v/>
      </c>
      <c r="Z144" s="15"/>
    </row>
    <row r="145" spans="2:26" x14ac:dyDescent="0.35">
      <c r="B145" s="15">
        <v>85</v>
      </c>
      <c r="C145" s="20">
        <f>Refsz_Verbräuche[[#This Row],[Datenpunkt]]</f>
        <v>0</v>
      </c>
      <c r="D145" s="29">
        <f>Refsz_Verbräuche[[#This Row],[Einheit]]</f>
        <v>0</v>
      </c>
      <c r="E145" s="122"/>
      <c r="F145" s="15" t="str">
        <f>IF(ISBLANK(Refsz_Verbräuche[[#This Row],[2015]]),"",Refsz_Verbräuche[[#This Row],[2015]])</f>
        <v/>
      </c>
      <c r="G145" s="15" t="str">
        <f>IF(ISBLANK(Refsz_Verbräuche[[#This Row],[2016]]),"",Refsz_Verbräuche[[#This Row],[2016]])</f>
        <v/>
      </c>
      <c r="H145" s="15" t="str">
        <f>IF(ISBLANK(Refsz_Verbräuche[[#This Row],[2017]]),"",Refsz_Verbräuche[[#This Row],[2017]])</f>
        <v/>
      </c>
      <c r="I145" s="15" t="str">
        <f>IF(ISBLANK(Refsz_Verbräuche[[#This Row],[2018]]),"",Refsz_Verbräuche[[#This Row],[2018]])</f>
        <v/>
      </c>
      <c r="J145" s="15" t="str">
        <f>IF(ISBLANK(Refsz_Verbräuche[[#This Row],[2019]]),"",Refsz_Verbräuche[[#This Row],[2019]])</f>
        <v/>
      </c>
      <c r="K145" s="15" t="str">
        <f>IF(ISBLANK(Refsz_Verbräuche[[#This Row],[2020]]),"",Refsz_Verbräuche[[#This Row],[2020]])</f>
        <v/>
      </c>
      <c r="L145" s="15" t="str">
        <f>IF(ISBLANK(Refsz_Verbräuche[[#This Row],[2021]]),"",Refsz_Verbräuche[[#This Row],[2021]])</f>
        <v/>
      </c>
      <c r="M145" s="57" t="str">
        <f>IF(Klisz_Verbräuche[[#Headers],[2022]]=$B$57,IF(COUNTIF($F145:Klisz_Verbräuche[[#This Row],[2021]],"&gt;0")&gt;0, AVERAGEIF($F145:Klisz_Verbräuche[[#This Row],[2021]],"&lt;&gt;"), ""),IF($B$57&lt;Klisz_Verbräuche[[#Headers],[2022]],IF(COUNTIF($F145:Klisz_Verbräuche[[#This Row],[2021]],"&gt;0")&gt;0,IF(COUNTIF($F145:Klisz_Verbräuche[[#This Row],[2021]],"&gt;0")&gt;0,Klisz_Verbräuche[[#This Row],[2021]]*(1-$E145)^1, ""), ""),IF($B$57&gt;Klisz_Verbräuche[[#Headers],[2022]],Refsz_Verbräuche[[#This Row],[2022]],"")))</f>
        <v/>
      </c>
      <c r="N145" s="57" t="str">
        <f>IF(Klisz_Verbräuche[[#Headers],[2023]]=$B$57,IF(COUNTIF($F145:Klisz_Verbräuche[[#This Row],[2022]],"&gt;0")&gt;0, AVERAGEIF($F145:Klisz_Verbräuche[[#This Row],[2022]],"&lt;&gt;"), ""),IF($B$57&lt;Klisz_Verbräuche[[#Headers],[2023]],IF(COUNTIF($F145:Klisz_Verbräuche[[#This Row],[2022]],"&gt;0")&gt;0,IF(COUNTIF($F145:Klisz_Verbräuche[[#This Row],[2022]],"&gt;0")&gt;0,Klisz_Verbräuche[[#This Row],[2022]]*(1-$E145)^1, ""), ""),IF($B$57&gt;Klisz_Verbräuche[[#Headers],[2023]],Refsz_Verbräuche[[#This Row],[2023]],"")))</f>
        <v/>
      </c>
      <c r="O145" s="57" t="str">
        <f>IF(Klisz_Verbräuche[[#Headers],[2024]]=$B$57,IF(COUNTIF($F145:Klisz_Verbräuche[[#This Row],[2023]],"&gt;0")&gt;0, AVERAGEIF($F145:Klisz_Verbräuche[[#This Row],[2023]],"&lt;&gt;"), ""),IF($B$57&lt;Klisz_Verbräuche[[#Headers],[2024]],IF(COUNTIF($F145:Klisz_Verbräuche[[#This Row],[2023]],"&gt;0")&gt;0,IF(COUNTIF($F145:Klisz_Verbräuche[[#This Row],[2023]],"&gt;0")&gt;0,Klisz_Verbräuche[[#This Row],[2023]]*(1-$E145)^1, ""), ""),IF($B$57&gt;Klisz_Verbräuche[[#Headers],[2024]],Refsz_Verbräuche[[#This Row],[2024]],"")))</f>
        <v/>
      </c>
      <c r="P145" s="57" t="str">
        <f>IF(Klisz_Verbräuche[[#Headers],[2025]]=$B$57,IF(COUNTIF($F145:Klisz_Verbräuche[[#This Row],[2024]],"&gt;0")&gt;0, AVERAGEIF($F145:Klisz_Verbräuche[[#This Row],[2024]],"&lt;&gt;"), ""),IF($B$57&lt;Klisz_Verbräuche[[#Headers],[2025]],IF(COUNTIF($F145:Klisz_Verbräuche[[#This Row],[2024]],"&gt;0")&gt;0,IF(COUNTIF($F145:Klisz_Verbräuche[[#This Row],[2024]],"&gt;0")&gt;0,Klisz_Verbräuche[[#This Row],[2024]]*(1-$E145)^1, ""), ""),IF($B$57&gt;Klisz_Verbräuche[[#Headers],[2025]],Refsz_Verbräuche[[#This Row],[2025]],"")))</f>
        <v/>
      </c>
      <c r="Q145" s="57" t="str">
        <f>IF(Klisz_Verbräuche[[#Headers],[2026]]=$B$57,IF(COUNTIF($F145:Klisz_Verbräuche[[#This Row],[2025]],"&gt;0")&gt;0, AVERAGEIF($F145:Klisz_Verbräuche[[#This Row],[2025]],"&lt;&gt;"), ""),IF($B$57&lt;Klisz_Verbräuche[[#Headers],[2026]],IF(COUNTIF($F145:Klisz_Verbräuche[[#This Row],[2025]],"&gt;0")&gt;0,IF(COUNTIF($F145:Klisz_Verbräuche[[#This Row],[2025]],"&gt;0")&gt;0,Klisz_Verbräuche[[#This Row],[2025]]*(1-$E145)^1, ""), ""),IF($B$57&gt;Klisz_Verbräuche[[#Headers],[2026]],Refsz_Verbräuche[[#This Row],[2026]],"")))</f>
        <v/>
      </c>
      <c r="R145" s="57" t="str">
        <f>IF(Klisz_Verbräuche[[#Headers],[2027]]=$B$57,IF(COUNTIF($F145:Klisz_Verbräuche[[#This Row],[2026]],"&gt;0")&gt;0, AVERAGEIF($F145:Klisz_Verbräuche[[#This Row],[2026]],"&lt;&gt;"), ""),IF($B$57&lt;Klisz_Verbräuche[[#Headers],[2027]],IF(COUNTIF($F145:Klisz_Verbräuche[[#This Row],[2026]],"&gt;0")&gt;0,IF(COUNTIF($F145:Klisz_Verbräuche[[#This Row],[2026]],"&gt;0")&gt;0,Klisz_Verbräuche[[#This Row],[2026]]*(1-$E145)^1, ""), ""),IF($B$57&gt;Klisz_Verbräuche[[#Headers],[2027]],Refsz_Verbräuche[[#This Row],[2027]],"")))</f>
        <v/>
      </c>
      <c r="S145" s="57" t="str">
        <f>IF(Klisz_Verbräuche[[#Headers],[2028]]=$B$57,IF(COUNTIF($F145:Klisz_Verbräuche[[#This Row],[2027]],"&gt;0")&gt;0, AVERAGEIF($F145:Klisz_Verbräuche[[#This Row],[2027]],"&lt;&gt;"), ""),IF($B$57&lt;Klisz_Verbräuche[[#Headers],[2028]],IF(COUNTIF($F145:Klisz_Verbräuche[[#This Row],[2027]],"&gt;0")&gt;0,IF(COUNTIF($F145:Klisz_Verbräuche[[#This Row],[2027]],"&gt;0")&gt;0,Klisz_Verbräuche[[#This Row],[2027]]*(1-$E145)^1, ""), ""),IF($B$57&gt;Klisz_Verbräuche[[#Headers],[2028]],Refsz_Verbräuche[[#This Row],[2028]],"")))</f>
        <v/>
      </c>
      <c r="T145" s="57" t="str">
        <f>IF(Klisz_Verbräuche[[#Headers],[2029]]=$B$57,IF(COUNTIF($F145:Klisz_Verbräuche[[#This Row],[2028]],"&gt;0")&gt;0, AVERAGEIF($F145:Klisz_Verbräuche[[#This Row],[2028]],"&lt;&gt;"), ""),IF($B$57&lt;Klisz_Verbräuche[[#Headers],[2029]],IF(COUNTIF($F145:Klisz_Verbräuche[[#This Row],[2028]],"&gt;0")&gt;0,IF(COUNTIF($F145:Klisz_Verbräuche[[#This Row],[2028]],"&gt;0")&gt;0,Klisz_Verbräuche[[#This Row],[2028]]*(1-$E145)^1, ""), ""),IF($B$57&gt;Klisz_Verbräuche[[#Headers],[2029]],Refsz_Verbräuche[[#This Row],[2029]],"")))</f>
        <v/>
      </c>
      <c r="U145" s="57" t="str">
        <f>IF(Klisz_Verbräuche[[#Headers],[2030]]=$B$57,IF(COUNTIF($F145:Klisz_Verbräuche[[#This Row],[2029]],"&gt;0")&gt;0, AVERAGEIF($F145:Klisz_Verbräuche[[#This Row],[2029]],"&lt;&gt;"), ""),IF($B$57&lt;Klisz_Verbräuche[[#Headers],[2030]],IF(COUNTIF($F145:Klisz_Verbräuche[[#This Row],[2029]],"&gt;0")&gt;0,IF(COUNTIF($F145:Klisz_Verbräuche[[#This Row],[2029]],"&gt;0")&gt;0,Klisz_Verbräuche[[#This Row],[2029]]*(1-$E145)^1, ""), ""),IF($B$57&gt;Klisz_Verbräuche[[#Headers],[2030]],Refsz_Verbräuche[[#This Row],[2030]],"")))</f>
        <v/>
      </c>
      <c r="V145" s="57" t="str">
        <f>IF(Klisz_Verbräuche[[#Headers],[2035]]=$B$57,IF(COUNTIF($F145:Klisz_Verbräuche[[#This Row],[2030]],"&gt;0")&gt;0, AVERAGEIF($F145:Klisz_Verbräuche[[#This Row],[2030]],"&lt;&gt;"), ""),IF($B$57&lt;Klisz_Verbräuche[[#Headers],[2035]],IF(COUNTIF($F145:Klisz_Verbräuche[[#This Row],[2030]],"&gt;0")&gt;0,IF(COUNTIF($F145:Klisz_Verbräuche[[#This Row],[2030]],"&gt;0")&gt;0,Klisz_Verbräuche[[#This Row],[2030]]*(1-$E145)^5, ""), ""),IF($B$57&gt;Klisz_Verbräuche[[#Headers],[2035]],Refsz_Verbräuche[[#This Row],[2035]],"")))</f>
        <v/>
      </c>
      <c r="W145" s="57" t="str">
        <f>IF(Klisz_Verbräuche[[#Headers],[2040]]=$B$57,IF(COUNTIF($F145:Klisz_Verbräuche[[#This Row],[2035]],"&gt;0")&gt;0, AVERAGEIF($F145:Klisz_Verbräuche[[#This Row],[2035]],"&lt;&gt;"), ""),IF($B$57&lt;Klisz_Verbräuche[[#Headers],[2040]],IF(COUNTIF($F145:Klisz_Verbräuche[[#This Row],[2035]],"&gt;0")&gt;0,IF(COUNTIF($F145:Klisz_Verbräuche[[#This Row],[2035]],"&gt;0")&gt;0,Klisz_Verbräuche[[#This Row],[2035]]*(1-$E145)^5, ""), ""),IF($B$57&gt;Klisz_Verbräuche[[#Headers],[2040]],Refsz_Verbräuche[[#This Row],[2040]],"")))</f>
        <v/>
      </c>
      <c r="X145" s="57" t="str">
        <f>IF(Klisz_Verbräuche[[#Headers],[2045]]=$B$57,IF(COUNTIF($F145:Klisz_Verbräuche[[#This Row],[2040]],"&gt;0")&gt;0, AVERAGEIF($F145:Klisz_Verbräuche[[#This Row],[2040]],"&lt;&gt;"), ""),IF($B$57&lt;Klisz_Verbräuche[[#Headers],[2045]],IF(COUNTIF($F145:Klisz_Verbräuche[[#This Row],[2040]],"&gt;0")&gt;0,IF(COUNTIF($F145:Klisz_Verbräuche[[#This Row],[2040]],"&gt;0")&gt;0,Klisz_Verbräuche[[#This Row],[2040]]*(1-$E145)^5, ""), ""),IF($B$57&gt;Klisz_Verbräuche[[#Headers],[2045]],Refsz_Verbräuche[[#This Row],[2045]],"")))</f>
        <v/>
      </c>
      <c r="Y145" s="57" t="str">
        <f>IF(Klisz_Verbräuche[[#Headers],[2050]]=$B$57,IF(COUNTIF($F145:Klisz_Verbräuche[[#This Row],[2045]],"&gt;0")&gt;0, AVERAGEIF($F145:Klisz_Verbräuche[[#This Row],[2045]],"&lt;&gt;"), ""),IF($B$57&lt;Klisz_Verbräuche[[#Headers],[2050]],IF(COUNTIF($F145:Klisz_Verbräuche[[#This Row],[2045]],"&gt;0")&gt;0,IF(COUNTIF($F145:Klisz_Verbräuche[[#This Row],[2045]],"&gt;0")&gt;0,Klisz_Verbräuche[[#This Row],[2045]]*(1-$E145)^5, ""), ""),IF($B$57&gt;Klisz_Verbräuche[[#Headers],[2050]],Refsz_Verbräuche[[#This Row],[2050]],"")))</f>
        <v/>
      </c>
      <c r="Z145" s="15"/>
    </row>
    <row r="146" spans="2:26" x14ac:dyDescent="0.35">
      <c r="B146" s="15">
        <v>86</v>
      </c>
      <c r="C146" s="20" t="str">
        <f>Refsz_Verbräuche[[#This Row],[Datenpunkt]]</f>
        <v>Abwasser</v>
      </c>
      <c r="D146" s="29" t="str">
        <f>Refsz_Verbräuche[[#This Row],[Einheit]]</f>
        <v>l</v>
      </c>
      <c r="E146" s="122"/>
      <c r="F146" s="15" t="str">
        <f>IF(ISBLANK(Refsz_Verbräuche[[#This Row],[2015]]),"",Refsz_Verbräuche[[#This Row],[2015]])</f>
        <v/>
      </c>
      <c r="G146" s="15" t="str">
        <f>IF(ISBLANK(Refsz_Verbräuche[[#This Row],[2016]]),"",Refsz_Verbräuche[[#This Row],[2016]])</f>
        <v/>
      </c>
      <c r="H146" s="15" t="str">
        <f>IF(ISBLANK(Refsz_Verbräuche[[#This Row],[2017]]),"",Refsz_Verbräuche[[#This Row],[2017]])</f>
        <v/>
      </c>
      <c r="I146" s="15" t="str">
        <f>IF(ISBLANK(Refsz_Verbräuche[[#This Row],[2018]]),"",Refsz_Verbräuche[[#This Row],[2018]])</f>
        <v/>
      </c>
      <c r="J146" s="15" t="str">
        <f>IF(ISBLANK(Refsz_Verbräuche[[#This Row],[2019]]),"",Refsz_Verbräuche[[#This Row],[2019]])</f>
        <v/>
      </c>
      <c r="K146" s="15" t="str">
        <f>IF(ISBLANK(Refsz_Verbräuche[[#This Row],[2020]]),"",Refsz_Verbräuche[[#This Row],[2020]])</f>
        <v/>
      </c>
      <c r="L146" s="15" t="str">
        <f>IF(ISBLANK(Refsz_Verbräuche[[#This Row],[2021]]),"",Refsz_Verbräuche[[#This Row],[2021]])</f>
        <v/>
      </c>
      <c r="M146" s="57" t="str">
        <f>IF(Klisz_Verbräuche[[#Headers],[2022]]=$B$57,IF(COUNTIF($F146:Klisz_Verbräuche[[#This Row],[2021]],"&gt;0")&gt;0, AVERAGEIF($F146:Klisz_Verbräuche[[#This Row],[2021]],"&lt;&gt;"), ""),IF($B$57&lt;Klisz_Verbräuche[[#Headers],[2022]],IF(COUNTIF($F146:Klisz_Verbräuche[[#This Row],[2021]],"&gt;0")&gt;0,IF(COUNTIF($F146:Klisz_Verbräuche[[#This Row],[2021]],"&gt;0")&gt;0,Klisz_Verbräuche[[#This Row],[2021]]*(1-$E146)^1, ""), ""),IF($B$57&gt;Klisz_Verbräuche[[#Headers],[2022]],Refsz_Verbräuche[[#This Row],[2022]],"")))</f>
        <v/>
      </c>
      <c r="N146" s="57" t="str">
        <f>IF(Klisz_Verbräuche[[#Headers],[2023]]=$B$57,IF(COUNTIF($F146:Klisz_Verbräuche[[#This Row],[2022]],"&gt;0")&gt;0, AVERAGEIF($F146:Klisz_Verbräuche[[#This Row],[2022]],"&lt;&gt;"), ""),IF($B$57&lt;Klisz_Verbräuche[[#Headers],[2023]],IF(COUNTIF($F146:Klisz_Verbräuche[[#This Row],[2022]],"&gt;0")&gt;0,IF(COUNTIF($F146:Klisz_Verbräuche[[#This Row],[2022]],"&gt;0")&gt;0,Klisz_Verbräuche[[#This Row],[2022]]*(1-$E146)^1, ""), ""),IF($B$57&gt;Klisz_Verbräuche[[#Headers],[2023]],Refsz_Verbräuche[[#This Row],[2023]],"")))</f>
        <v/>
      </c>
      <c r="O146" s="57" t="str">
        <f>IF(Klisz_Verbräuche[[#Headers],[2024]]=$B$57,IF(COUNTIF($F146:Klisz_Verbräuche[[#This Row],[2023]],"&gt;0")&gt;0, AVERAGEIF($F146:Klisz_Verbräuche[[#This Row],[2023]],"&lt;&gt;"), ""),IF($B$57&lt;Klisz_Verbräuche[[#Headers],[2024]],IF(COUNTIF($F146:Klisz_Verbräuche[[#This Row],[2023]],"&gt;0")&gt;0,IF(COUNTIF($F146:Klisz_Verbräuche[[#This Row],[2023]],"&gt;0")&gt;0,Klisz_Verbräuche[[#This Row],[2023]]*(1-$E146)^1, ""), ""),IF($B$57&gt;Klisz_Verbräuche[[#Headers],[2024]],Refsz_Verbräuche[[#This Row],[2024]],"")))</f>
        <v/>
      </c>
      <c r="P146" s="57" t="str">
        <f>IF(Klisz_Verbräuche[[#Headers],[2025]]=$B$57,IF(COUNTIF($F146:Klisz_Verbräuche[[#This Row],[2024]],"&gt;0")&gt;0, AVERAGEIF($F146:Klisz_Verbräuche[[#This Row],[2024]],"&lt;&gt;"), ""),IF($B$57&lt;Klisz_Verbräuche[[#Headers],[2025]],IF(COUNTIF($F146:Klisz_Verbräuche[[#This Row],[2024]],"&gt;0")&gt;0,IF(COUNTIF($F146:Klisz_Verbräuche[[#This Row],[2024]],"&gt;0")&gt;0,Klisz_Verbräuche[[#This Row],[2024]]*(1-$E146)^1, ""), ""),IF($B$57&gt;Klisz_Verbräuche[[#Headers],[2025]],Refsz_Verbräuche[[#This Row],[2025]],"")))</f>
        <v/>
      </c>
      <c r="Q146" s="57" t="str">
        <f>IF(Klisz_Verbräuche[[#Headers],[2026]]=$B$57,IF(COUNTIF($F146:Klisz_Verbräuche[[#This Row],[2025]],"&gt;0")&gt;0, AVERAGEIF($F146:Klisz_Verbräuche[[#This Row],[2025]],"&lt;&gt;"), ""),IF($B$57&lt;Klisz_Verbräuche[[#Headers],[2026]],IF(COUNTIF($F146:Klisz_Verbräuche[[#This Row],[2025]],"&gt;0")&gt;0,IF(COUNTIF($F146:Klisz_Verbräuche[[#This Row],[2025]],"&gt;0")&gt;0,Klisz_Verbräuche[[#This Row],[2025]]*(1-$E146)^1, ""), ""),IF($B$57&gt;Klisz_Verbräuche[[#Headers],[2026]],Refsz_Verbräuche[[#This Row],[2026]],"")))</f>
        <v/>
      </c>
      <c r="R146" s="57" t="str">
        <f>IF(Klisz_Verbräuche[[#Headers],[2027]]=$B$57,IF(COUNTIF($F146:Klisz_Verbräuche[[#This Row],[2026]],"&gt;0")&gt;0, AVERAGEIF($F146:Klisz_Verbräuche[[#This Row],[2026]],"&lt;&gt;"), ""),IF($B$57&lt;Klisz_Verbräuche[[#Headers],[2027]],IF(COUNTIF($F146:Klisz_Verbräuche[[#This Row],[2026]],"&gt;0")&gt;0,IF(COUNTIF($F146:Klisz_Verbräuche[[#This Row],[2026]],"&gt;0")&gt;0,Klisz_Verbräuche[[#This Row],[2026]]*(1-$E146)^1, ""), ""),IF($B$57&gt;Klisz_Verbräuche[[#Headers],[2027]],Refsz_Verbräuche[[#This Row],[2027]],"")))</f>
        <v/>
      </c>
      <c r="S146" s="57" t="str">
        <f>IF(Klisz_Verbräuche[[#Headers],[2028]]=$B$57,IF(COUNTIF($F146:Klisz_Verbräuche[[#This Row],[2027]],"&gt;0")&gt;0, AVERAGEIF($F146:Klisz_Verbräuche[[#This Row],[2027]],"&lt;&gt;"), ""),IF($B$57&lt;Klisz_Verbräuche[[#Headers],[2028]],IF(COUNTIF($F146:Klisz_Verbräuche[[#This Row],[2027]],"&gt;0")&gt;0,IF(COUNTIF($F146:Klisz_Verbräuche[[#This Row],[2027]],"&gt;0")&gt;0,Klisz_Verbräuche[[#This Row],[2027]]*(1-$E146)^1, ""), ""),IF($B$57&gt;Klisz_Verbräuche[[#Headers],[2028]],Refsz_Verbräuche[[#This Row],[2028]],"")))</f>
        <v/>
      </c>
      <c r="T146" s="57" t="str">
        <f>IF(Klisz_Verbräuche[[#Headers],[2029]]=$B$57,IF(COUNTIF($F146:Klisz_Verbräuche[[#This Row],[2028]],"&gt;0")&gt;0, AVERAGEIF($F146:Klisz_Verbräuche[[#This Row],[2028]],"&lt;&gt;"), ""),IF($B$57&lt;Klisz_Verbräuche[[#Headers],[2029]],IF(COUNTIF($F146:Klisz_Verbräuche[[#This Row],[2028]],"&gt;0")&gt;0,IF(COUNTIF($F146:Klisz_Verbräuche[[#This Row],[2028]],"&gt;0")&gt;0,Klisz_Verbräuche[[#This Row],[2028]]*(1-$E146)^1, ""), ""),IF($B$57&gt;Klisz_Verbräuche[[#Headers],[2029]],Refsz_Verbräuche[[#This Row],[2029]],"")))</f>
        <v/>
      </c>
      <c r="U146" s="57" t="str">
        <f>IF(Klisz_Verbräuche[[#Headers],[2030]]=$B$57,IF(COUNTIF($F146:Klisz_Verbräuche[[#This Row],[2029]],"&gt;0")&gt;0, AVERAGEIF($F146:Klisz_Verbräuche[[#This Row],[2029]],"&lt;&gt;"), ""),IF($B$57&lt;Klisz_Verbräuche[[#Headers],[2030]],IF(COUNTIF($F146:Klisz_Verbräuche[[#This Row],[2029]],"&gt;0")&gt;0,IF(COUNTIF($F146:Klisz_Verbräuche[[#This Row],[2029]],"&gt;0")&gt;0,Klisz_Verbräuche[[#This Row],[2029]]*(1-$E146)^1, ""), ""),IF($B$57&gt;Klisz_Verbräuche[[#Headers],[2030]],Refsz_Verbräuche[[#This Row],[2030]],"")))</f>
        <v/>
      </c>
      <c r="V146" s="57" t="str">
        <f>IF(Klisz_Verbräuche[[#Headers],[2035]]=$B$57,IF(COUNTIF($F146:Klisz_Verbräuche[[#This Row],[2030]],"&gt;0")&gt;0, AVERAGEIF($F146:Klisz_Verbräuche[[#This Row],[2030]],"&lt;&gt;"), ""),IF($B$57&lt;Klisz_Verbräuche[[#Headers],[2035]],IF(COUNTIF($F146:Klisz_Verbräuche[[#This Row],[2030]],"&gt;0")&gt;0,IF(COUNTIF($F146:Klisz_Verbräuche[[#This Row],[2030]],"&gt;0")&gt;0,Klisz_Verbräuche[[#This Row],[2030]]*(1-$E146)^5, ""), ""),IF($B$57&gt;Klisz_Verbräuche[[#Headers],[2035]],Refsz_Verbräuche[[#This Row],[2035]],"")))</f>
        <v/>
      </c>
      <c r="W146" s="57" t="str">
        <f>IF(Klisz_Verbräuche[[#Headers],[2040]]=$B$57,IF(COUNTIF($F146:Klisz_Verbräuche[[#This Row],[2035]],"&gt;0")&gt;0, AVERAGEIF($F146:Klisz_Verbräuche[[#This Row],[2035]],"&lt;&gt;"), ""),IF($B$57&lt;Klisz_Verbräuche[[#Headers],[2040]],IF(COUNTIF($F146:Klisz_Verbräuche[[#This Row],[2035]],"&gt;0")&gt;0,IF(COUNTIF($F146:Klisz_Verbräuche[[#This Row],[2035]],"&gt;0")&gt;0,Klisz_Verbräuche[[#This Row],[2035]]*(1-$E146)^5, ""), ""),IF($B$57&gt;Klisz_Verbräuche[[#Headers],[2040]],Refsz_Verbräuche[[#This Row],[2040]],"")))</f>
        <v/>
      </c>
      <c r="X146" s="57" t="str">
        <f>IF(Klisz_Verbräuche[[#Headers],[2045]]=$B$57,IF(COUNTIF($F146:Klisz_Verbräuche[[#This Row],[2040]],"&gt;0")&gt;0, AVERAGEIF($F146:Klisz_Verbräuche[[#This Row],[2040]],"&lt;&gt;"), ""),IF($B$57&lt;Klisz_Verbräuche[[#Headers],[2045]],IF(COUNTIF($F146:Klisz_Verbräuche[[#This Row],[2040]],"&gt;0")&gt;0,IF(COUNTIF($F146:Klisz_Verbräuche[[#This Row],[2040]],"&gt;0")&gt;0,Klisz_Verbräuche[[#This Row],[2040]]*(1-$E146)^5, ""), ""),IF($B$57&gt;Klisz_Verbräuche[[#Headers],[2045]],Refsz_Verbräuche[[#This Row],[2045]],"")))</f>
        <v/>
      </c>
      <c r="Y146" s="57" t="str">
        <f>IF(Klisz_Verbräuche[[#Headers],[2050]]=$B$57,IF(COUNTIF($F146:Klisz_Verbräuche[[#This Row],[2045]],"&gt;0")&gt;0, AVERAGEIF($F146:Klisz_Verbräuche[[#This Row],[2045]],"&lt;&gt;"), ""),IF($B$57&lt;Klisz_Verbräuche[[#Headers],[2050]],IF(COUNTIF($F146:Klisz_Verbräuche[[#This Row],[2045]],"&gt;0")&gt;0,IF(COUNTIF($F146:Klisz_Verbräuche[[#This Row],[2045]],"&gt;0")&gt;0,Klisz_Verbräuche[[#This Row],[2045]]*(1-$E146)^5, ""), ""),IF($B$57&gt;Klisz_Verbräuche[[#Headers],[2050]],Refsz_Verbräuche[[#This Row],[2050]],"")))</f>
        <v/>
      </c>
      <c r="Z146" s="15"/>
    </row>
    <row r="147" spans="2:26" x14ac:dyDescent="0.35">
      <c r="B147" s="15">
        <v>87</v>
      </c>
      <c r="C147" s="20" t="str">
        <f>Refsz_Verbräuche[[#This Row],[Datenpunkt]]</f>
        <v>Trinkwasser</v>
      </c>
      <c r="D147" s="29" t="str">
        <f>Refsz_Verbräuche[[#This Row],[Einheit]]</f>
        <v>l</v>
      </c>
      <c r="E147" s="122"/>
      <c r="F147" s="15" t="str">
        <f>IF(ISBLANK(Refsz_Verbräuche[[#This Row],[2015]]),"",Refsz_Verbräuche[[#This Row],[2015]])</f>
        <v/>
      </c>
      <c r="G147" s="15" t="str">
        <f>IF(ISBLANK(Refsz_Verbräuche[[#This Row],[2016]]),"",Refsz_Verbräuche[[#This Row],[2016]])</f>
        <v/>
      </c>
      <c r="H147" s="15" t="str">
        <f>IF(ISBLANK(Refsz_Verbräuche[[#This Row],[2017]]),"",Refsz_Verbräuche[[#This Row],[2017]])</f>
        <v/>
      </c>
      <c r="I147" s="15" t="str">
        <f>IF(ISBLANK(Refsz_Verbräuche[[#This Row],[2018]]),"",Refsz_Verbräuche[[#This Row],[2018]])</f>
        <v/>
      </c>
      <c r="J147" s="15" t="str">
        <f>IF(ISBLANK(Refsz_Verbräuche[[#This Row],[2019]]),"",Refsz_Verbräuche[[#This Row],[2019]])</f>
        <v/>
      </c>
      <c r="K147" s="15" t="str">
        <f>IF(ISBLANK(Refsz_Verbräuche[[#This Row],[2020]]),"",Refsz_Verbräuche[[#This Row],[2020]])</f>
        <v/>
      </c>
      <c r="L147" s="15" t="str">
        <f>IF(ISBLANK(Refsz_Verbräuche[[#This Row],[2021]]),"",Refsz_Verbräuche[[#This Row],[2021]])</f>
        <v/>
      </c>
      <c r="M147" s="57" t="str">
        <f>IF(Klisz_Verbräuche[[#Headers],[2022]]=$B$57,IF(COUNTIF($F147:Klisz_Verbräuche[[#This Row],[2021]],"&gt;0")&gt;0, AVERAGEIF($F147:Klisz_Verbräuche[[#This Row],[2021]],"&lt;&gt;"), ""),IF($B$57&lt;Klisz_Verbräuche[[#Headers],[2022]],IF(COUNTIF($F147:Klisz_Verbräuche[[#This Row],[2021]],"&gt;0")&gt;0,IF(COUNTIF($F147:Klisz_Verbräuche[[#This Row],[2021]],"&gt;0")&gt;0,Klisz_Verbräuche[[#This Row],[2021]]*(1-$E147)^1, ""), ""),IF($B$57&gt;Klisz_Verbräuche[[#Headers],[2022]],Refsz_Verbräuche[[#This Row],[2022]],"")))</f>
        <v/>
      </c>
      <c r="N147" s="57" t="str">
        <f>IF(Klisz_Verbräuche[[#Headers],[2023]]=$B$57,IF(COUNTIF($F147:Klisz_Verbräuche[[#This Row],[2022]],"&gt;0")&gt;0, AVERAGEIF($F147:Klisz_Verbräuche[[#This Row],[2022]],"&lt;&gt;"), ""),IF($B$57&lt;Klisz_Verbräuche[[#Headers],[2023]],IF(COUNTIF($F147:Klisz_Verbräuche[[#This Row],[2022]],"&gt;0")&gt;0,IF(COUNTIF($F147:Klisz_Verbräuche[[#This Row],[2022]],"&gt;0")&gt;0,Klisz_Verbräuche[[#This Row],[2022]]*(1-$E147)^1, ""), ""),IF($B$57&gt;Klisz_Verbräuche[[#Headers],[2023]],Refsz_Verbräuche[[#This Row],[2023]],"")))</f>
        <v/>
      </c>
      <c r="O147" s="57" t="str">
        <f>IF(Klisz_Verbräuche[[#Headers],[2024]]=$B$57,IF(COUNTIF($F147:Klisz_Verbräuche[[#This Row],[2023]],"&gt;0")&gt;0, AVERAGEIF($F147:Klisz_Verbräuche[[#This Row],[2023]],"&lt;&gt;"), ""),IF($B$57&lt;Klisz_Verbräuche[[#Headers],[2024]],IF(COUNTIF($F147:Klisz_Verbräuche[[#This Row],[2023]],"&gt;0")&gt;0,IF(COUNTIF($F147:Klisz_Verbräuche[[#This Row],[2023]],"&gt;0")&gt;0,Klisz_Verbräuche[[#This Row],[2023]]*(1-$E147)^1, ""), ""),IF($B$57&gt;Klisz_Verbräuche[[#Headers],[2024]],Refsz_Verbräuche[[#This Row],[2024]],"")))</f>
        <v/>
      </c>
      <c r="P147" s="57" t="str">
        <f>IF(Klisz_Verbräuche[[#Headers],[2025]]=$B$57,IF(COUNTIF($F147:Klisz_Verbräuche[[#This Row],[2024]],"&gt;0")&gt;0, AVERAGEIF($F147:Klisz_Verbräuche[[#This Row],[2024]],"&lt;&gt;"), ""),IF($B$57&lt;Klisz_Verbräuche[[#Headers],[2025]],IF(COUNTIF($F147:Klisz_Verbräuche[[#This Row],[2024]],"&gt;0")&gt;0,IF(COUNTIF($F147:Klisz_Verbräuche[[#This Row],[2024]],"&gt;0")&gt;0,Klisz_Verbräuche[[#This Row],[2024]]*(1-$E147)^1, ""), ""),IF($B$57&gt;Klisz_Verbräuche[[#Headers],[2025]],Refsz_Verbräuche[[#This Row],[2025]],"")))</f>
        <v/>
      </c>
      <c r="Q147" s="57" t="str">
        <f>IF(Klisz_Verbräuche[[#Headers],[2026]]=$B$57,IF(COUNTIF($F147:Klisz_Verbräuche[[#This Row],[2025]],"&gt;0")&gt;0, AVERAGEIF($F147:Klisz_Verbräuche[[#This Row],[2025]],"&lt;&gt;"), ""),IF($B$57&lt;Klisz_Verbräuche[[#Headers],[2026]],IF(COUNTIF($F147:Klisz_Verbräuche[[#This Row],[2025]],"&gt;0")&gt;0,IF(COUNTIF($F147:Klisz_Verbräuche[[#This Row],[2025]],"&gt;0")&gt;0,Klisz_Verbräuche[[#This Row],[2025]]*(1-$E147)^1, ""), ""),IF($B$57&gt;Klisz_Verbräuche[[#Headers],[2026]],Refsz_Verbräuche[[#This Row],[2026]],"")))</f>
        <v/>
      </c>
      <c r="R147" s="57" t="str">
        <f>IF(Klisz_Verbräuche[[#Headers],[2027]]=$B$57,IF(COUNTIF($F147:Klisz_Verbräuche[[#This Row],[2026]],"&gt;0")&gt;0, AVERAGEIF($F147:Klisz_Verbräuche[[#This Row],[2026]],"&lt;&gt;"), ""),IF($B$57&lt;Klisz_Verbräuche[[#Headers],[2027]],IF(COUNTIF($F147:Klisz_Verbräuche[[#This Row],[2026]],"&gt;0")&gt;0,IF(COUNTIF($F147:Klisz_Verbräuche[[#This Row],[2026]],"&gt;0")&gt;0,Klisz_Verbräuche[[#This Row],[2026]]*(1-$E147)^1, ""), ""),IF($B$57&gt;Klisz_Verbräuche[[#Headers],[2027]],Refsz_Verbräuche[[#This Row],[2027]],"")))</f>
        <v/>
      </c>
      <c r="S147" s="57" t="str">
        <f>IF(Klisz_Verbräuche[[#Headers],[2028]]=$B$57,IF(COUNTIF($F147:Klisz_Verbräuche[[#This Row],[2027]],"&gt;0")&gt;0, AVERAGEIF($F147:Klisz_Verbräuche[[#This Row],[2027]],"&lt;&gt;"), ""),IF($B$57&lt;Klisz_Verbräuche[[#Headers],[2028]],IF(COUNTIF($F147:Klisz_Verbräuche[[#This Row],[2027]],"&gt;0")&gt;0,IF(COUNTIF($F147:Klisz_Verbräuche[[#This Row],[2027]],"&gt;0")&gt;0,Klisz_Verbräuche[[#This Row],[2027]]*(1-$E147)^1, ""), ""),IF($B$57&gt;Klisz_Verbräuche[[#Headers],[2028]],Refsz_Verbräuche[[#This Row],[2028]],"")))</f>
        <v/>
      </c>
      <c r="T147" s="57" t="str">
        <f>IF(Klisz_Verbräuche[[#Headers],[2029]]=$B$57,IF(COUNTIF($F147:Klisz_Verbräuche[[#This Row],[2028]],"&gt;0")&gt;0, AVERAGEIF($F147:Klisz_Verbräuche[[#This Row],[2028]],"&lt;&gt;"), ""),IF($B$57&lt;Klisz_Verbräuche[[#Headers],[2029]],IF(COUNTIF($F147:Klisz_Verbräuche[[#This Row],[2028]],"&gt;0")&gt;0,IF(COUNTIF($F147:Klisz_Verbräuche[[#This Row],[2028]],"&gt;0")&gt;0,Klisz_Verbräuche[[#This Row],[2028]]*(1-$E147)^1, ""), ""),IF($B$57&gt;Klisz_Verbräuche[[#Headers],[2029]],Refsz_Verbräuche[[#This Row],[2029]],"")))</f>
        <v/>
      </c>
      <c r="U147" s="57" t="str">
        <f>IF(Klisz_Verbräuche[[#Headers],[2030]]=$B$57,IF(COUNTIF($F147:Klisz_Verbräuche[[#This Row],[2029]],"&gt;0")&gt;0, AVERAGEIF($F147:Klisz_Verbräuche[[#This Row],[2029]],"&lt;&gt;"), ""),IF($B$57&lt;Klisz_Verbräuche[[#Headers],[2030]],IF(COUNTIF($F147:Klisz_Verbräuche[[#This Row],[2029]],"&gt;0")&gt;0,IF(COUNTIF($F147:Klisz_Verbräuche[[#This Row],[2029]],"&gt;0")&gt;0,Klisz_Verbräuche[[#This Row],[2029]]*(1-$E147)^1, ""), ""),IF($B$57&gt;Klisz_Verbräuche[[#Headers],[2030]],Refsz_Verbräuche[[#This Row],[2030]],"")))</f>
        <v/>
      </c>
      <c r="V147" s="57" t="str">
        <f>IF(Klisz_Verbräuche[[#Headers],[2035]]=$B$57,IF(COUNTIF($F147:Klisz_Verbräuche[[#This Row],[2030]],"&gt;0")&gt;0, AVERAGEIF($F147:Klisz_Verbräuche[[#This Row],[2030]],"&lt;&gt;"), ""),IF($B$57&lt;Klisz_Verbräuche[[#Headers],[2035]],IF(COUNTIF($F147:Klisz_Verbräuche[[#This Row],[2030]],"&gt;0")&gt;0,IF(COUNTIF($F147:Klisz_Verbräuche[[#This Row],[2030]],"&gt;0")&gt;0,Klisz_Verbräuche[[#This Row],[2030]]*(1-$E147)^5, ""), ""),IF($B$57&gt;Klisz_Verbräuche[[#Headers],[2035]],Refsz_Verbräuche[[#This Row],[2035]],"")))</f>
        <v/>
      </c>
      <c r="W147" s="57" t="str">
        <f>IF(Klisz_Verbräuche[[#Headers],[2040]]=$B$57,IF(COUNTIF($F147:Klisz_Verbräuche[[#This Row],[2035]],"&gt;0")&gt;0, AVERAGEIF($F147:Klisz_Verbräuche[[#This Row],[2035]],"&lt;&gt;"), ""),IF($B$57&lt;Klisz_Verbräuche[[#Headers],[2040]],IF(COUNTIF($F147:Klisz_Verbräuche[[#This Row],[2035]],"&gt;0")&gt;0,IF(COUNTIF($F147:Klisz_Verbräuche[[#This Row],[2035]],"&gt;0")&gt;0,Klisz_Verbräuche[[#This Row],[2035]]*(1-$E147)^5, ""), ""),IF($B$57&gt;Klisz_Verbräuche[[#Headers],[2040]],Refsz_Verbräuche[[#This Row],[2040]],"")))</f>
        <v/>
      </c>
      <c r="X147" s="57" t="str">
        <f>IF(Klisz_Verbräuche[[#Headers],[2045]]=$B$57,IF(COUNTIF($F147:Klisz_Verbräuche[[#This Row],[2040]],"&gt;0")&gt;0, AVERAGEIF($F147:Klisz_Verbräuche[[#This Row],[2040]],"&lt;&gt;"), ""),IF($B$57&lt;Klisz_Verbräuche[[#Headers],[2045]],IF(COUNTIF($F147:Klisz_Verbräuche[[#This Row],[2040]],"&gt;0")&gt;0,IF(COUNTIF($F147:Klisz_Verbräuche[[#This Row],[2040]],"&gt;0")&gt;0,Klisz_Verbräuche[[#This Row],[2040]]*(1-$E147)^5, ""), ""),IF($B$57&gt;Klisz_Verbräuche[[#Headers],[2045]],Refsz_Verbräuche[[#This Row],[2045]],"")))</f>
        <v/>
      </c>
      <c r="Y147" s="57" t="str">
        <f>IF(Klisz_Verbräuche[[#Headers],[2050]]=$B$57,IF(COUNTIF($F147:Klisz_Verbräuche[[#This Row],[2045]],"&gt;0")&gt;0, AVERAGEIF($F147:Klisz_Verbräuche[[#This Row],[2045]],"&lt;&gt;"), ""),IF($B$57&lt;Klisz_Verbräuche[[#Headers],[2050]],IF(COUNTIF($F147:Klisz_Verbräuche[[#This Row],[2045]],"&gt;0")&gt;0,IF(COUNTIF($F147:Klisz_Verbräuche[[#This Row],[2045]],"&gt;0")&gt;0,Klisz_Verbräuche[[#This Row],[2045]]*(1-$E147)^5, ""), ""),IF($B$57&gt;Klisz_Verbräuche[[#Headers],[2050]],Refsz_Verbräuche[[#This Row],[2050]],"")))</f>
        <v/>
      </c>
      <c r="Z147" s="15"/>
    </row>
    <row r="148" spans="2:26" x14ac:dyDescent="0.35">
      <c r="B148" s="15">
        <v>88</v>
      </c>
      <c r="C148" s="20">
        <f>Refsz_Verbräuche[[#This Row],[Datenpunkt]]</f>
        <v>0</v>
      </c>
      <c r="D148" s="29">
        <f>Refsz_Verbräuche[[#This Row],[Einheit]]</f>
        <v>0</v>
      </c>
      <c r="E148" s="122"/>
      <c r="F148" s="15" t="str">
        <f>IF(ISBLANK(Refsz_Verbräuche[[#This Row],[2015]]),"",Refsz_Verbräuche[[#This Row],[2015]])</f>
        <v/>
      </c>
      <c r="G148" s="15" t="str">
        <f>IF(ISBLANK(Refsz_Verbräuche[[#This Row],[2016]]),"",Refsz_Verbräuche[[#This Row],[2016]])</f>
        <v/>
      </c>
      <c r="H148" s="15" t="str">
        <f>IF(ISBLANK(Refsz_Verbräuche[[#This Row],[2017]]),"",Refsz_Verbräuche[[#This Row],[2017]])</f>
        <v/>
      </c>
      <c r="I148" s="15" t="str">
        <f>IF(ISBLANK(Refsz_Verbräuche[[#This Row],[2018]]),"",Refsz_Verbräuche[[#This Row],[2018]])</f>
        <v/>
      </c>
      <c r="J148" s="15" t="str">
        <f>IF(ISBLANK(Refsz_Verbräuche[[#This Row],[2019]]),"",Refsz_Verbräuche[[#This Row],[2019]])</f>
        <v/>
      </c>
      <c r="K148" s="15" t="str">
        <f>IF(ISBLANK(Refsz_Verbräuche[[#This Row],[2020]]),"",Refsz_Verbräuche[[#This Row],[2020]])</f>
        <v/>
      </c>
      <c r="L148" s="15" t="str">
        <f>IF(ISBLANK(Refsz_Verbräuche[[#This Row],[2021]]),"",Refsz_Verbräuche[[#This Row],[2021]])</f>
        <v/>
      </c>
      <c r="M148" s="57" t="str">
        <f>IF(Klisz_Verbräuche[[#Headers],[2022]]=$B$57,IF(COUNTIF($F148:Klisz_Verbräuche[[#This Row],[2021]],"&gt;0")&gt;0, AVERAGEIF($F148:Klisz_Verbräuche[[#This Row],[2021]],"&lt;&gt;"), ""),IF($B$57&lt;Klisz_Verbräuche[[#Headers],[2022]],IF(COUNTIF($F148:Klisz_Verbräuche[[#This Row],[2021]],"&gt;0")&gt;0,IF(COUNTIF($F148:Klisz_Verbräuche[[#This Row],[2021]],"&gt;0")&gt;0,Klisz_Verbräuche[[#This Row],[2021]]*(1-$E148)^1, ""), ""),IF($B$57&gt;Klisz_Verbräuche[[#Headers],[2022]],Refsz_Verbräuche[[#This Row],[2022]],"")))</f>
        <v/>
      </c>
      <c r="N148" s="57" t="str">
        <f>IF(Klisz_Verbräuche[[#Headers],[2023]]=$B$57,IF(COUNTIF($F148:Klisz_Verbräuche[[#This Row],[2022]],"&gt;0")&gt;0, AVERAGEIF($F148:Klisz_Verbräuche[[#This Row],[2022]],"&lt;&gt;"), ""),IF($B$57&lt;Klisz_Verbräuche[[#Headers],[2023]],IF(COUNTIF($F148:Klisz_Verbräuche[[#This Row],[2022]],"&gt;0")&gt;0,IF(COUNTIF($F148:Klisz_Verbräuche[[#This Row],[2022]],"&gt;0")&gt;0,Klisz_Verbräuche[[#This Row],[2022]]*(1-$E148)^1, ""), ""),IF($B$57&gt;Klisz_Verbräuche[[#Headers],[2023]],Refsz_Verbräuche[[#This Row],[2023]],"")))</f>
        <v/>
      </c>
      <c r="O148" s="57" t="str">
        <f>IF(Klisz_Verbräuche[[#Headers],[2024]]=$B$57,IF(COUNTIF($F148:Klisz_Verbräuche[[#This Row],[2023]],"&gt;0")&gt;0, AVERAGEIF($F148:Klisz_Verbräuche[[#This Row],[2023]],"&lt;&gt;"), ""),IF($B$57&lt;Klisz_Verbräuche[[#Headers],[2024]],IF(COUNTIF($F148:Klisz_Verbräuche[[#This Row],[2023]],"&gt;0")&gt;0,IF(COUNTIF($F148:Klisz_Verbräuche[[#This Row],[2023]],"&gt;0")&gt;0,Klisz_Verbräuche[[#This Row],[2023]]*(1-$E148)^1, ""), ""),IF($B$57&gt;Klisz_Verbräuche[[#Headers],[2024]],Refsz_Verbräuche[[#This Row],[2024]],"")))</f>
        <v/>
      </c>
      <c r="P148" s="57" t="str">
        <f>IF(Klisz_Verbräuche[[#Headers],[2025]]=$B$57,IF(COUNTIF($F148:Klisz_Verbräuche[[#This Row],[2024]],"&gt;0")&gt;0, AVERAGEIF($F148:Klisz_Verbräuche[[#This Row],[2024]],"&lt;&gt;"), ""),IF($B$57&lt;Klisz_Verbräuche[[#Headers],[2025]],IF(COUNTIF($F148:Klisz_Verbräuche[[#This Row],[2024]],"&gt;0")&gt;0,IF(COUNTIF($F148:Klisz_Verbräuche[[#This Row],[2024]],"&gt;0")&gt;0,Klisz_Verbräuche[[#This Row],[2024]]*(1-$E148)^1, ""), ""),IF($B$57&gt;Klisz_Verbräuche[[#Headers],[2025]],Refsz_Verbräuche[[#This Row],[2025]],"")))</f>
        <v/>
      </c>
      <c r="Q148" s="57" t="str">
        <f>IF(Klisz_Verbräuche[[#Headers],[2026]]=$B$57,IF(COUNTIF($F148:Klisz_Verbräuche[[#This Row],[2025]],"&gt;0")&gt;0, AVERAGEIF($F148:Klisz_Verbräuche[[#This Row],[2025]],"&lt;&gt;"), ""),IF($B$57&lt;Klisz_Verbräuche[[#Headers],[2026]],IF(COUNTIF($F148:Klisz_Verbräuche[[#This Row],[2025]],"&gt;0")&gt;0,IF(COUNTIF($F148:Klisz_Verbräuche[[#This Row],[2025]],"&gt;0")&gt;0,Klisz_Verbräuche[[#This Row],[2025]]*(1-$E148)^1, ""), ""),IF($B$57&gt;Klisz_Verbräuche[[#Headers],[2026]],Refsz_Verbräuche[[#This Row],[2026]],"")))</f>
        <v/>
      </c>
      <c r="R148" s="57" t="str">
        <f>IF(Klisz_Verbräuche[[#Headers],[2027]]=$B$57,IF(COUNTIF($F148:Klisz_Verbräuche[[#This Row],[2026]],"&gt;0")&gt;0, AVERAGEIF($F148:Klisz_Verbräuche[[#This Row],[2026]],"&lt;&gt;"), ""),IF($B$57&lt;Klisz_Verbräuche[[#Headers],[2027]],IF(COUNTIF($F148:Klisz_Verbräuche[[#This Row],[2026]],"&gt;0")&gt;0,IF(COUNTIF($F148:Klisz_Verbräuche[[#This Row],[2026]],"&gt;0")&gt;0,Klisz_Verbräuche[[#This Row],[2026]]*(1-$E148)^1, ""), ""),IF($B$57&gt;Klisz_Verbräuche[[#Headers],[2027]],Refsz_Verbräuche[[#This Row],[2027]],"")))</f>
        <v/>
      </c>
      <c r="S148" s="57" t="str">
        <f>IF(Klisz_Verbräuche[[#Headers],[2028]]=$B$57,IF(COUNTIF($F148:Klisz_Verbräuche[[#This Row],[2027]],"&gt;0")&gt;0, AVERAGEIF($F148:Klisz_Verbräuche[[#This Row],[2027]],"&lt;&gt;"), ""),IF($B$57&lt;Klisz_Verbräuche[[#Headers],[2028]],IF(COUNTIF($F148:Klisz_Verbräuche[[#This Row],[2027]],"&gt;0")&gt;0,IF(COUNTIF($F148:Klisz_Verbräuche[[#This Row],[2027]],"&gt;0")&gt;0,Klisz_Verbräuche[[#This Row],[2027]]*(1-$E148)^1, ""), ""),IF($B$57&gt;Klisz_Verbräuche[[#Headers],[2028]],Refsz_Verbräuche[[#This Row],[2028]],"")))</f>
        <v/>
      </c>
      <c r="T148" s="57" t="str">
        <f>IF(Klisz_Verbräuche[[#Headers],[2029]]=$B$57,IF(COUNTIF($F148:Klisz_Verbräuche[[#This Row],[2028]],"&gt;0")&gt;0, AVERAGEIF($F148:Klisz_Verbräuche[[#This Row],[2028]],"&lt;&gt;"), ""),IF($B$57&lt;Klisz_Verbräuche[[#Headers],[2029]],IF(COUNTIF($F148:Klisz_Verbräuche[[#This Row],[2028]],"&gt;0")&gt;0,IF(COUNTIF($F148:Klisz_Verbräuche[[#This Row],[2028]],"&gt;0")&gt;0,Klisz_Verbräuche[[#This Row],[2028]]*(1-$E148)^1, ""), ""),IF($B$57&gt;Klisz_Verbräuche[[#Headers],[2029]],Refsz_Verbräuche[[#This Row],[2029]],"")))</f>
        <v/>
      </c>
      <c r="U148" s="57" t="str">
        <f>IF(Klisz_Verbräuche[[#Headers],[2030]]=$B$57,IF(COUNTIF($F148:Klisz_Verbräuche[[#This Row],[2029]],"&gt;0")&gt;0, AVERAGEIF($F148:Klisz_Verbräuche[[#This Row],[2029]],"&lt;&gt;"), ""),IF($B$57&lt;Klisz_Verbräuche[[#Headers],[2030]],IF(COUNTIF($F148:Klisz_Verbräuche[[#This Row],[2029]],"&gt;0")&gt;0,IF(COUNTIF($F148:Klisz_Verbräuche[[#This Row],[2029]],"&gt;0")&gt;0,Klisz_Verbräuche[[#This Row],[2029]]*(1-$E148)^1, ""), ""),IF($B$57&gt;Klisz_Verbräuche[[#Headers],[2030]],Refsz_Verbräuche[[#This Row],[2030]],"")))</f>
        <v/>
      </c>
      <c r="V148" s="57" t="str">
        <f>IF(Klisz_Verbräuche[[#Headers],[2035]]=$B$57,IF(COUNTIF($F148:Klisz_Verbräuche[[#This Row],[2030]],"&gt;0")&gt;0, AVERAGEIF($F148:Klisz_Verbräuche[[#This Row],[2030]],"&lt;&gt;"), ""),IF($B$57&lt;Klisz_Verbräuche[[#Headers],[2035]],IF(COUNTIF($F148:Klisz_Verbräuche[[#This Row],[2030]],"&gt;0")&gt;0,IF(COUNTIF($F148:Klisz_Verbräuche[[#This Row],[2030]],"&gt;0")&gt;0,Klisz_Verbräuche[[#This Row],[2030]]*(1-$E148)^5, ""), ""),IF($B$57&gt;Klisz_Verbräuche[[#Headers],[2035]],Refsz_Verbräuche[[#This Row],[2035]],"")))</f>
        <v/>
      </c>
      <c r="W148" s="57" t="str">
        <f>IF(Klisz_Verbräuche[[#Headers],[2040]]=$B$57,IF(COUNTIF($F148:Klisz_Verbräuche[[#This Row],[2035]],"&gt;0")&gt;0, AVERAGEIF($F148:Klisz_Verbräuche[[#This Row],[2035]],"&lt;&gt;"), ""),IF($B$57&lt;Klisz_Verbräuche[[#Headers],[2040]],IF(COUNTIF($F148:Klisz_Verbräuche[[#This Row],[2035]],"&gt;0")&gt;0,IF(COUNTIF($F148:Klisz_Verbräuche[[#This Row],[2035]],"&gt;0")&gt;0,Klisz_Verbräuche[[#This Row],[2035]]*(1-$E148)^5, ""), ""),IF($B$57&gt;Klisz_Verbräuche[[#Headers],[2040]],Refsz_Verbräuche[[#This Row],[2040]],"")))</f>
        <v/>
      </c>
      <c r="X148" s="57" t="str">
        <f>IF(Klisz_Verbräuche[[#Headers],[2045]]=$B$57,IF(COUNTIF($F148:Klisz_Verbräuche[[#This Row],[2040]],"&gt;0")&gt;0, AVERAGEIF($F148:Klisz_Verbräuche[[#This Row],[2040]],"&lt;&gt;"), ""),IF($B$57&lt;Klisz_Verbräuche[[#Headers],[2045]],IF(COUNTIF($F148:Klisz_Verbräuche[[#This Row],[2040]],"&gt;0")&gt;0,IF(COUNTIF($F148:Klisz_Verbräuche[[#This Row],[2040]],"&gt;0")&gt;0,Klisz_Verbräuche[[#This Row],[2040]]*(1-$E148)^5, ""), ""),IF($B$57&gt;Klisz_Verbräuche[[#Headers],[2045]],Refsz_Verbräuche[[#This Row],[2045]],"")))</f>
        <v/>
      </c>
      <c r="Y148" s="57" t="str">
        <f>IF(Klisz_Verbräuche[[#Headers],[2050]]=$B$57,IF(COUNTIF($F148:Klisz_Verbräuche[[#This Row],[2045]],"&gt;0")&gt;0, AVERAGEIF($F148:Klisz_Verbräuche[[#This Row],[2045]],"&lt;&gt;"), ""),IF($B$57&lt;Klisz_Verbräuche[[#Headers],[2050]],IF(COUNTIF($F148:Klisz_Verbräuche[[#This Row],[2045]],"&gt;0")&gt;0,IF(COUNTIF($F148:Klisz_Verbräuche[[#This Row],[2045]],"&gt;0")&gt;0,Klisz_Verbräuche[[#This Row],[2045]]*(1-$E148)^5, ""), ""),IF($B$57&gt;Klisz_Verbräuche[[#Headers],[2050]],Refsz_Verbräuche[[#This Row],[2050]],"")))</f>
        <v/>
      </c>
      <c r="Z148" s="15"/>
    </row>
    <row r="149" spans="2:26" x14ac:dyDescent="0.35">
      <c r="B149" s="15">
        <v>89</v>
      </c>
      <c r="C149" s="20" t="str">
        <f>Refsz_Verbräuche[[#This Row],[Datenpunkt]]</f>
        <v>Recyclingpapier</v>
      </c>
      <c r="D149" s="29" t="str">
        <f>Refsz_Verbräuche[[#This Row],[Einheit]]</f>
        <v>kg</v>
      </c>
      <c r="E149" s="122"/>
      <c r="F149" s="15" t="str">
        <f>IF(ISBLANK(Refsz_Verbräuche[[#This Row],[2015]]),"",Refsz_Verbräuche[[#This Row],[2015]])</f>
        <v/>
      </c>
      <c r="G149" s="15" t="str">
        <f>IF(ISBLANK(Refsz_Verbräuche[[#This Row],[2016]]),"",Refsz_Verbräuche[[#This Row],[2016]])</f>
        <v/>
      </c>
      <c r="H149" s="15" t="str">
        <f>IF(ISBLANK(Refsz_Verbräuche[[#This Row],[2017]]),"",Refsz_Verbräuche[[#This Row],[2017]])</f>
        <v/>
      </c>
      <c r="I149" s="15" t="str">
        <f>IF(ISBLANK(Refsz_Verbräuche[[#This Row],[2018]]),"",Refsz_Verbräuche[[#This Row],[2018]])</f>
        <v/>
      </c>
      <c r="J149" s="15" t="str">
        <f>IF(ISBLANK(Refsz_Verbräuche[[#This Row],[2019]]),"",Refsz_Verbräuche[[#This Row],[2019]])</f>
        <v/>
      </c>
      <c r="K149" s="15" t="str">
        <f>IF(ISBLANK(Refsz_Verbräuche[[#This Row],[2020]]),"",Refsz_Verbräuche[[#This Row],[2020]])</f>
        <v/>
      </c>
      <c r="L149" s="15" t="str">
        <f>IF(ISBLANK(Refsz_Verbräuche[[#This Row],[2021]]),"",Refsz_Verbräuche[[#This Row],[2021]])</f>
        <v/>
      </c>
      <c r="M149" s="57" t="str">
        <f>IF(Klisz_Verbräuche[[#Headers],[2022]]=$B$57,IF(COUNTIF($F149:Klisz_Verbräuche[[#This Row],[2021]],"&gt;0")&gt;0, AVERAGEIF($F149:Klisz_Verbräuche[[#This Row],[2021]],"&lt;&gt;"), ""),IF($B$57&lt;Klisz_Verbräuche[[#Headers],[2022]],IF(COUNTIF($F149:Klisz_Verbräuche[[#This Row],[2021]],"&gt;0")&gt;0,IF(COUNTIF($F149:Klisz_Verbräuche[[#This Row],[2021]],"&gt;0")&gt;0,Klisz_Verbräuche[[#This Row],[2021]]*(1-$E149)^1, ""), ""),IF($B$57&gt;Klisz_Verbräuche[[#Headers],[2022]],Refsz_Verbräuche[[#This Row],[2022]],"")))</f>
        <v/>
      </c>
      <c r="N149" s="57" t="str">
        <f>IF(Klisz_Verbräuche[[#Headers],[2023]]=$B$57,IF(COUNTIF($F149:Klisz_Verbräuche[[#This Row],[2022]],"&gt;0")&gt;0, AVERAGEIF($F149:Klisz_Verbräuche[[#This Row],[2022]],"&lt;&gt;"), ""),IF($B$57&lt;Klisz_Verbräuche[[#Headers],[2023]],IF(COUNTIF($F149:Klisz_Verbräuche[[#This Row],[2022]],"&gt;0")&gt;0,IF(COUNTIF($F149:Klisz_Verbräuche[[#This Row],[2022]],"&gt;0")&gt;0,Klisz_Verbräuche[[#This Row],[2022]]*(1-$E149)^1, ""), ""),IF($B$57&gt;Klisz_Verbräuche[[#Headers],[2023]],Refsz_Verbräuche[[#This Row],[2023]],"")))</f>
        <v/>
      </c>
      <c r="O149" s="57" t="str">
        <f>IF(Klisz_Verbräuche[[#Headers],[2024]]=$B$57,IF(COUNTIF($F149:Klisz_Verbräuche[[#This Row],[2023]],"&gt;0")&gt;0, AVERAGEIF($F149:Klisz_Verbräuche[[#This Row],[2023]],"&lt;&gt;"), ""),IF($B$57&lt;Klisz_Verbräuche[[#Headers],[2024]],IF(COUNTIF($F149:Klisz_Verbräuche[[#This Row],[2023]],"&gt;0")&gt;0,IF(COUNTIF($F149:Klisz_Verbräuche[[#This Row],[2023]],"&gt;0")&gt;0,Klisz_Verbräuche[[#This Row],[2023]]*(1-$E149)^1, ""), ""),IF($B$57&gt;Klisz_Verbräuche[[#Headers],[2024]],Refsz_Verbräuche[[#This Row],[2024]],"")))</f>
        <v/>
      </c>
      <c r="P149" s="57" t="str">
        <f>IF(Klisz_Verbräuche[[#Headers],[2025]]=$B$57,IF(COUNTIF($F149:Klisz_Verbräuche[[#This Row],[2024]],"&gt;0")&gt;0, AVERAGEIF($F149:Klisz_Verbräuche[[#This Row],[2024]],"&lt;&gt;"), ""),IF($B$57&lt;Klisz_Verbräuche[[#Headers],[2025]],IF(COUNTIF($F149:Klisz_Verbräuche[[#This Row],[2024]],"&gt;0")&gt;0,IF(COUNTIF($F149:Klisz_Verbräuche[[#This Row],[2024]],"&gt;0")&gt;0,Klisz_Verbräuche[[#This Row],[2024]]*(1-$E149)^1, ""), ""),IF($B$57&gt;Klisz_Verbräuche[[#Headers],[2025]],Refsz_Verbräuche[[#This Row],[2025]],"")))</f>
        <v/>
      </c>
      <c r="Q149" s="57" t="str">
        <f>IF(Klisz_Verbräuche[[#Headers],[2026]]=$B$57,IF(COUNTIF($F149:Klisz_Verbräuche[[#This Row],[2025]],"&gt;0")&gt;0, AVERAGEIF($F149:Klisz_Verbräuche[[#This Row],[2025]],"&lt;&gt;"), ""),IF($B$57&lt;Klisz_Verbräuche[[#Headers],[2026]],IF(COUNTIF($F149:Klisz_Verbräuche[[#This Row],[2025]],"&gt;0")&gt;0,IF(COUNTIF($F149:Klisz_Verbräuche[[#This Row],[2025]],"&gt;0")&gt;0,Klisz_Verbräuche[[#This Row],[2025]]*(1-$E149)^1, ""), ""),IF($B$57&gt;Klisz_Verbräuche[[#Headers],[2026]],Refsz_Verbräuche[[#This Row],[2026]],"")))</f>
        <v/>
      </c>
      <c r="R149" s="57" t="str">
        <f>IF(Klisz_Verbräuche[[#Headers],[2027]]=$B$57,IF(COUNTIF($F149:Klisz_Verbräuche[[#This Row],[2026]],"&gt;0")&gt;0, AVERAGEIF($F149:Klisz_Verbräuche[[#This Row],[2026]],"&lt;&gt;"), ""),IF($B$57&lt;Klisz_Verbräuche[[#Headers],[2027]],IF(COUNTIF($F149:Klisz_Verbräuche[[#This Row],[2026]],"&gt;0")&gt;0,IF(COUNTIF($F149:Klisz_Verbräuche[[#This Row],[2026]],"&gt;0")&gt;0,Klisz_Verbräuche[[#This Row],[2026]]*(1-$E149)^1, ""), ""),IF($B$57&gt;Klisz_Verbräuche[[#Headers],[2027]],Refsz_Verbräuche[[#This Row],[2027]],"")))</f>
        <v/>
      </c>
      <c r="S149" s="57" t="str">
        <f>IF(Klisz_Verbräuche[[#Headers],[2028]]=$B$57,IF(COUNTIF($F149:Klisz_Verbräuche[[#This Row],[2027]],"&gt;0")&gt;0, AVERAGEIF($F149:Klisz_Verbräuche[[#This Row],[2027]],"&lt;&gt;"), ""),IF($B$57&lt;Klisz_Verbräuche[[#Headers],[2028]],IF(COUNTIF($F149:Klisz_Verbräuche[[#This Row],[2027]],"&gt;0")&gt;0,IF(COUNTIF($F149:Klisz_Verbräuche[[#This Row],[2027]],"&gt;0")&gt;0,Klisz_Verbräuche[[#This Row],[2027]]*(1-$E149)^1, ""), ""),IF($B$57&gt;Klisz_Verbräuche[[#Headers],[2028]],Refsz_Verbräuche[[#This Row],[2028]],"")))</f>
        <v/>
      </c>
      <c r="T149" s="57" t="str">
        <f>IF(Klisz_Verbräuche[[#Headers],[2029]]=$B$57,IF(COUNTIF($F149:Klisz_Verbräuche[[#This Row],[2028]],"&gt;0")&gt;0, AVERAGEIF($F149:Klisz_Verbräuche[[#This Row],[2028]],"&lt;&gt;"), ""),IF($B$57&lt;Klisz_Verbräuche[[#Headers],[2029]],IF(COUNTIF($F149:Klisz_Verbräuche[[#This Row],[2028]],"&gt;0")&gt;0,IF(COUNTIF($F149:Klisz_Verbräuche[[#This Row],[2028]],"&gt;0")&gt;0,Klisz_Verbräuche[[#This Row],[2028]]*(1-$E149)^1, ""), ""),IF($B$57&gt;Klisz_Verbräuche[[#Headers],[2029]],Refsz_Verbräuche[[#This Row],[2029]],"")))</f>
        <v/>
      </c>
      <c r="U149" s="57" t="str">
        <f>IF(Klisz_Verbräuche[[#Headers],[2030]]=$B$57,IF(COUNTIF($F149:Klisz_Verbräuche[[#This Row],[2029]],"&gt;0")&gt;0, AVERAGEIF($F149:Klisz_Verbräuche[[#This Row],[2029]],"&lt;&gt;"), ""),IF($B$57&lt;Klisz_Verbräuche[[#Headers],[2030]],IF(COUNTIF($F149:Klisz_Verbräuche[[#This Row],[2029]],"&gt;0")&gt;0,IF(COUNTIF($F149:Klisz_Verbräuche[[#This Row],[2029]],"&gt;0")&gt;0,Klisz_Verbräuche[[#This Row],[2029]]*(1-$E149)^1, ""), ""),IF($B$57&gt;Klisz_Verbräuche[[#Headers],[2030]],Refsz_Verbräuche[[#This Row],[2030]],"")))</f>
        <v/>
      </c>
      <c r="V149" s="57" t="str">
        <f>IF(Klisz_Verbräuche[[#Headers],[2035]]=$B$57,IF(COUNTIF($F149:Klisz_Verbräuche[[#This Row],[2030]],"&gt;0")&gt;0, AVERAGEIF($F149:Klisz_Verbräuche[[#This Row],[2030]],"&lt;&gt;"), ""),IF($B$57&lt;Klisz_Verbräuche[[#Headers],[2035]],IF(COUNTIF($F149:Klisz_Verbräuche[[#This Row],[2030]],"&gt;0")&gt;0,IF(COUNTIF($F149:Klisz_Verbräuche[[#This Row],[2030]],"&gt;0")&gt;0,Klisz_Verbräuche[[#This Row],[2030]]*(1-$E149)^5, ""), ""),IF($B$57&gt;Klisz_Verbräuche[[#Headers],[2035]],Refsz_Verbräuche[[#This Row],[2035]],"")))</f>
        <v/>
      </c>
      <c r="W149" s="57" t="str">
        <f>IF(Klisz_Verbräuche[[#Headers],[2040]]=$B$57,IF(COUNTIF($F149:Klisz_Verbräuche[[#This Row],[2035]],"&gt;0")&gt;0, AVERAGEIF($F149:Klisz_Verbräuche[[#This Row],[2035]],"&lt;&gt;"), ""),IF($B$57&lt;Klisz_Verbräuche[[#Headers],[2040]],IF(COUNTIF($F149:Klisz_Verbräuche[[#This Row],[2035]],"&gt;0")&gt;0,IF(COUNTIF($F149:Klisz_Verbräuche[[#This Row],[2035]],"&gt;0")&gt;0,Klisz_Verbräuche[[#This Row],[2035]]*(1-$E149)^5, ""), ""),IF($B$57&gt;Klisz_Verbräuche[[#Headers],[2040]],Refsz_Verbräuche[[#This Row],[2040]],"")))</f>
        <v/>
      </c>
      <c r="X149" s="57" t="str">
        <f>IF(Klisz_Verbräuche[[#Headers],[2045]]=$B$57,IF(COUNTIF($F149:Klisz_Verbräuche[[#This Row],[2040]],"&gt;0")&gt;0, AVERAGEIF($F149:Klisz_Verbräuche[[#This Row],[2040]],"&lt;&gt;"), ""),IF($B$57&lt;Klisz_Verbräuche[[#Headers],[2045]],IF(COUNTIF($F149:Klisz_Verbräuche[[#This Row],[2040]],"&gt;0")&gt;0,IF(COUNTIF($F149:Klisz_Verbräuche[[#This Row],[2040]],"&gt;0")&gt;0,Klisz_Verbräuche[[#This Row],[2040]]*(1-$E149)^5, ""), ""),IF($B$57&gt;Klisz_Verbräuche[[#Headers],[2045]],Refsz_Verbräuche[[#This Row],[2045]],"")))</f>
        <v/>
      </c>
      <c r="Y149" s="57" t="str">
        <f>IF(Klisz_Verbräuche[[#Headers],[2050]]=$B$57,IF(COUNTIF($F149:Klisz_Verbräuche[[#This Row],[2045]],"&gt;0")&gt;0, AVERAGEIF($F149:Klisz_Verbräuche[[#This Row],[2045]],"&lt;&gt;"), ""),IF($B$57&lt;Klisz_Verbräuche[[#Headers],[2050]],IF(COUNTIF($F149:Klisz_Verbräuche[[#This Row],[2045]],"&gt;0")&gt;0,IF(COUNTIF($F149:Klisz_Verbräuche[[#This Row],[2045]],"&gt;0")&gt;0,Klisz_Verbräuche[[#This Row],[2045]]*(1-$E149)^5, ""), ""),IF($B$57&gt;Klisz_Verbräuche[[#Headers],[2050]],Refsz_Verbräuche[[#This Row],[2050]],"")))</f>
        <v/>
      </c>
      <c r="Z149" s="15"/>
    </row>
    <row r="150" spans="2:26" x14ac:dyDescent="0.35">
      <c r="B150" s="15">
        <v>90</v>
      </c>
      <c r="C150" s="20" t="str">
        <f>Refsz_Verbräuche[[#This Row],[Datenpunkt]]</f>
        <v>Frischfaserpapier</v>
      </c>
      <c r="D150" s="29" t="str">
        <f>Refsz_Verbräuche[[#This Row],[Einheit]]</f>
        <v>kg</v>
      </c>
      <c r="E150" s="122"/>
      <c r="F150" s="15" t="str">
        <f>IF(ISBLANK(Refsz_Verbräuche[[#This Row],[2015]]),"",Refsz_Verbräuche[[#This Row],[2015]])</f>
        <v/>
      </c>
      <c r="G150" s="15" t="str">
        <f>IF(ISBLANK(Refsz_Verbräuche[[#This Row],[2016]]),"",Refsz_Verbräuche[[#This Row],[2016]])</f>
        <v/>
      </c>
      <c r="H150" s="15" t="str">
        <f>IF(ISBLANK(Refsz_Verbräuche[[#This Row],[2017]]),"",Refsz_Verbräuche[[#This Row],[2017]])</f>
        <v/>
      </c>
      <c r="I150" s="15" t="str">
        <f>IF(ISBLANK(Refsz_Verbräuche[[#This Row],[2018]]),"",Refsz_Verbräuche[[#This Row],[2018]])</f>
        <v/>
      </c>
      <c r="J150" s="15" t="str">
        <f>IF(ISBLANK(Refsz_Verbräuche[[#This Row],[2019]]),"",Refsz_Verbräuche[[#This Row],[2019]])</f>
        <v/>
      </c>
      <c r="K150" s="15" t="str">
        <f>IF(ISBLANK(Refsz_Verbräuche[[#This Row],[2020]]),"",Refsz_Verbräuche[[#This Row],[2020]])</f>
        <v/>
      </c>
      <c r="L150" s="15" t="str">
        <f>IF(ISBLANK(Refsz_Verbräuche[[#This Row],[2021]]),"",Refsz_Verbräuche[[#This Row],[2021]])</f>
        <v/>
      </c>
      <c r="M150" s="57" t="str">
        <f>IF(Klisz_Verbräuche[[#Headers],[2022]]=$B$57,IF(COUNTIF($F150:Klisz_Verbräuche[[#This Row],[2021]],"&gt;0")&gt;0, AVERAGEIF($F150:Klisz_Verbräuche[[#This Row],[2021]],"&lt;&gt;"), ""),IF($B$57&lt;Klisz_Verbräuche[[#Headers],[2022]],IF(COUNTIF($F150:Klisz_Verbräuche[[#This Row],[2021]],"&gt;0")&gt;0,IF(COUNTIF($F150:Klisz_Verbräuche[[#This Row],[2021]],"&gt;0")&gt;0,Klisz_Verbräuche[[#This Row],[2021]]*(1-$E150)^1, ""), ""),IF($B$57&gt;Klisz_Verbräuche[[#Headers],[2022]],Refsz_Verbräuche[[#This Row],[2022]],"")))</f>
        <v/>
      </c>
      <c r="N150" s="57" t="str">
        <f>IF(Klisz_Verbräuche[[#Headers],[2023]]=$B$57,IF(COUNTIF($F150:Klisz_Verbräuche[[#This Row],[2022]],"&gt;0")&gt;0, AVERAGEIF($F150:Klisz_Verbräuche[[#This Row],[2022]],"&lt;&gt;"), ""),IF($B$57&lt;Klisz_Verbräuche[[#Headers],[2023]],IF(COUNTIF($F150:Klisz_Verbräuche[[#This Row],[2022]],"&gt;0")&gt;0,IF(COUNTIF($F150:Klisz_Verbräuche[[#This Row],[2022]],"&gt;0")&gt;0,Klisz_Verbräuche[[#This Row],[2022]]*(1-$E150)^1, ""), ""),IF($B$57&gt;Klisz_Verbräuche[[#Headers],[2023]],Refsz_Verbräuche[[#This Row],[2023]],"")))</f>
        <v/>
      </c>
      <c r="O150" s="57" t="str">
        <f>IF(Klisz_Verbräuche[[#Headers],[2024]]=$B$57,IF(COUNTIF($F150:Klisz_Verbräuche[[#This Row],[2023]],"&gt;0")&gt;0, AVERAGEIF($F150:Klisz_Verbräuche[[#This Row],[2023]],"&lt;&gt;"), ""),IF($B$57&lt;Klisz_Verbräuche[[#Headers],[2024]],IF(COUNTIF($F150:Klisz_Verbräuche[[#This Row],[2023]],"&gt;0")&gt;0,IF(COUNTIF($F150:Klisz_Verbräuche[[#This Row],[2023]],"&gt;0")&gt;0,Klisz_Verbräuche[[#This Row],[2023]]*(1-$E150)^1, ""), ""),IF($B$57&gt;Klisz_Verbräuche[[#Headers],[2024]],Refsz_Verbräuche[[#This Row],[2024]],"")))</f>
        <v/>
      </c>
      <c r="P150" s="57" t="str">
        <f>IF(Klisz_Verbräuche[[#Headers],[2025]]=$B$57,IF(COUNTIF($F150:Klisz_Verbräuche[[#This Row],[2024]],"&gt;0")&gt;0, AVERAGEIF($F150:Klisz_Verbräuche[[#This Row],[2024]],"&lt;&gt;"), ""),IF($B$57&lt;Klisz_Verbräuche[[#Headers],[2025]],IF(COUNTIF($F150:Klisz_Verbräuche[[#This Row],[2024]],"&gt;0")&gt;0,IF(COUNTIF($F150:Klisz_Verbräuche[[#This Row],[2024]],"&gt;0")&gt;0,Klisz_Verbräuche[[#This Row],[2024]]*(1-$E150)^1, ""), ""),IF($B$57&gt;Klisz_Verbräuche[[#Headers],[2025]],Refsz_Verbräuche[[#This Row],[2025]],"")))</f>
        <v/>
      </c>
      <c r="Q150" s="57" t="str">
        <f>IF(Klisz_Verbräuche[[#Headers],[2026]]=$B$57,IF(COUNTIF($F150:Klisz_Verbräuche[[#This Row],[2025]],"&gt;0")&gt;0, AVERAGEIF($F150:Klisz_Verbräuche[[#This Row],[2025]],"&lt;&gt;"), ""),IF($B$57&lt;Klisz_Verbräuche[[#Headers],[2026]],IF(COUNTIF($F150:Klisz_Verbräuche[[#This Row],[2025]],"&gt;0")&gt;0,IF(COUNTIF($F150:Klisz_Verbräuche[[#This Row],[2025]],"&gt;0")&gt;0,Klisz_Verbräuche[[#This Row],[2025]]*(1-$E150)^1, ""), ""),IF($B$57&gt;Klisz_Verbräuche[[#Headers],[2026]],Refsz_Verbräuche[[#This Row],[2026]],"")))</f>
        <v/>
      </c>
      <c r="R150" s="57" t="str">
        <f>IF(Klisz_Verbräuche[[#Headers],[2027]]=$B$57,IF(COUNTIF($F150:Klisz_Verbräuche[[#This Row],[2026]],"&gt;0")&gt;0, AVERAGEIF($F150:Klisz_Verbräuche[[#This Row],[2026]],"&lt;&gt;"), ""),IF($B$57&lt;Klisz_Verbräuche[[#Headers],[2027]],IF(COUNTIF($F150:Klisz_Verbräuche[[#This Row],[2026]],"&gt;0")&gt;0,IF(COUNTIF($F150:Klisz_Verbräuche[[#This Row],[2026]],"&gt;0")&gt;0,Klisz_Verbräuche[[#This Row],[2026]]*(1-$E150)^1, ""), ""),IF($B$57&gt;Klisz_Verbräuche[[#Headers],[2027]],Refsz_Verbräuche[[#This Row],[2027]],"")))</f>
        <v/>
      </c>
      <c r="S150" s="57" t="str">
        <f>IF(Klisz_Verbräuche[[#Headers],[2028]]=$B$57,IF(COUNTIF($F150:Klisz_Verbräuche[[#This Row],[2027]],"&gt;0")&gt;0, AVERAGEIF($F150:Klisz_Verbräuche[[#This Row],[2027]],"&lt;&gt;"), ""),IF($B$57&lt;Klisz_Verbräuche[[#Headers],[2028]],IF(COUNTIF($F150:Klisz_Verbräuche[[#This Row],[2027]],"&gt;0")&gt;0,IF(COUNTIF($F150:Klisz_Verbräuche[[#This Row],[2027]],"&gt;0")&gt;0,Klisz_Verbräuche[[#This Row],[2027]]*(1-$E150)^1, ""), ""),IF($B$57&gt;Klisz_Verbräuche[[#Headers],[2028]],Refsz_Verbräuche[[#This Row],[2028]],"")))</f>
        <v/>
      </c>
      <c r="T150" s="57" t="str">
        <f>IF(Klisz_Verbräuche[[#Headers],[2029]]=$B$57,IF(COUNTIF($F150:Klisz_Verbräuche[[#This Row],[2028]],"&gt;0")&gt;0, AVERAGEIF($F150:Klisz_Verbräuche[[#This Row],[2028]],"&lt;&gt;"), ""),IF($B$57&lt;Klisz_Verbräuche[[#Headers],[2029]],IF(COUNTIF($F150:Klisz_Verbräuche[[#This Row],[2028]],"&gt;0")&gt;0,IF(COUNTIF($F150:Klisz_Verbräuche[[#This Row],[2028]],"&gt;0")&gt;0,Klisz_Verbräuche[[#This Row],[2028]]*(1-$E150)^1, ""), ""),IF($B$57&gt;Klisz_Verbräuche[[#Headers],[2029]],Refsz_Verbräuche[[#This Row],[2029]],"")))</f>
        <v/>
      </c>
      <c r="U150" s="57" t="str">
        <f>IF(Klisz_Verbräuche[[#Headers],[2030]]=$B$57,IF(COUNTIF($F150:Klisz_Verbräuche[[#This Row],[2029]],"&gt;0")&gt;0, AVERAGEIF($F150:Klisz_Verbräuche[[#This Row],[2029]],"&lt;&gt;"), ""),IF($B$57&lt;Klisz_Verbräuche[[#Headers],[2030]],IF(COUNTIF($F150:Klisz_Verbräuche[[#This Row],[2029]],"&gt;0")&gt;0,IF(COUNTIF($F150:Klisz_Verbräuche[[#This Row],[2029]],"&gt;0")&gt;0,Klisz_Verbräuche[[#This Row],[2029]]*(1-$E150)^1, ""), ""),IF($B$57&gt;Klisz_Verbräuche[[#Headers],[2030]],Refsz_Verbräuche[[#This Row],[2030]],"")))</f>
        <v/>
      </c>
      <c r="V150" s="57" t="str">
        <f>IF(Klisz_Verbräuche[[#Headers],[2035]]=$B$57,IF(COUNTIF($F150:Klisz_Verbräuche[[#This Row],[2030]],"&gt;0")&gt;0, AVERAGEIF($F150:Klisz_Verbräuche[[#This Row],[2030]],"&lt;&gt;"), ""),IF($B$57&lt;Klisz_Verbräuche[[#Headers],[2035]],IF(COUNTIF($F150:Klisz_Verbräuche[[#This Row],[2030]],"&gt;0")&gt;0,IF(COUNTIF($F150:Klisz_Verbräuche[[#This Row],[2030]],"&gt;0")&gt;0,Klisz_Verbräuche[[#This Row],[2030]]*(1-$E150)^5, ""), ""),IF($B$57&gt;Klisz_Verbräuche[[#Headers],[2035]],Refsz_Verbräuche[[#This Row],[2035]],"")))</f>
        <v/>
      </c>
      <c r="W150" s="57" t="str">
        <f>IF(Klisz_Verbräuche[[#Headers],[2040]]=$B$57,IF(COUNTIF($F150:Klisz_Verbräuche[[#This Row],[2035]],"&gt;0")&gt;0, AVERAGEIF($F150:Klisz_Verbräuche[[#This Row],[2035]],"&lt;&gt;"), ""),IF($B$57&lt;Klisz_Verbräuche[[#Headers],[2040]],IF(COUNTIF($F150:Klisz_Verbräuche[[#This Row],[2035]],"&gt;0")&gt;0,IF(COUNTIF($F150:Klisz_Verbräuche[[#This Row],[2035]],"&gt;0")&gt;0,Klisz_Verbräuche[[#This Row],[2035]]*(1-$E150)^5, ""), ""),IF($B$57&gt;Klisz_Verbräuche[[#Headers],[2040]],Refsz_Verbräuche[[#This Row],[2040]],"")))</f>
        <v/>
      </c>
      <c r="X150" s="57" t="str">
        <f>IF(Klisz_Verbräuche[[#Headers],[2045]]=$B$57,IF(COUNTIF($F150:Klisz_Verbräuche[[#This Row],[2040]],"&gt;0")&gt;0, AVERAGEIF($F150:Klisz_Verbräuche[[#This Row],[2040]],"&lt;&gt;"), ""),IF($B$57&lt;Klisz_Verbräuche[[#Headers],[2045]],IF(COUNTIF($F150:Klisz_Verbräuche[[#This Row],[2040]],"&gt;0")&gt;0,IF(COUNTIF($F150:Klisz_Verbräuche[[#This Row],[2040]],"&gt;0")&gt;0,Klisz_Verbräuche[[#This Row],[2040]]*(1-$E150)^5, ""), ""),IF($B$57&gt;Klisz_Verbräuche[[#Headers],[2045]],Refsz_Verbräuche[[#This Row],[2045]],"")))</f>
        <v/>
      </c>
      <c r="Y150" s="57" t="str">
        <f>IF(Klisz_Verbräuche[[#Headers],[2050]]=$B$57,IF(COUNTIF($F150:Klisz_Verbräuche[[#This Row],[2045]],"&gt;0")&gt;0, AVERAGEIF($F150:Klisz_Verbräuche[[#This Row],[2045]],"&lt;&gt;"), ""),IF($B$57&lt;Klisz_Verbräuche[[#Headers],[2050]],IF(COUNTIF($F150:Klisz_Verbräuche[[#This Row],[2045]],"&gt;0")&gt;0,IF(COUNTIF($F150:Klisz_Verbräuche[[#This Row],[2045]],"&gt;0")&gt;0,Klisz_Verbräuche[[#This Row],[2045]]*(1-$E150)^5, ""), ""),IF($B$57&gt;Klisz_Verbräuche[[#Headers],[2050]],Refsz_Verbräuche[[#This Row],[2050]],"")))</f>
        <v/>
      </c>
      <c r="Z150" s="15"/>
    </row>
    <row r="151" spans="2:26" x14ac:dyDescent="0.35">
      <c r="B151" s="15">
        <v>91</v>
      </c>
      <c r="C151" s="20" t="str">
        <f>Refsz_Verbräuche[[#This Row],[Datenpunkt]]</f>
        <v>Toilettenpapier (Recycling)</v>
      </c>
      <c r="D151" s="29" t="str">
        <f>Refsz_Verbräuche[[#This Row],[Einheit]]</f>
        <v>t</v>
      </c>
      <c r="E151" s="122"/>
      <c r="F151" s="15" t="str">
        <f>IF(ISBLANK(Refsz_Verbräuche[[#This Row],[2015]]),"",Refsz_Verbräuche[[#This Row],[2015]])</f>
        <v/>
      </c>
      <c r="G151" s="15" t="str">
        <f>IF(ISBLANK(Refsz_Verbräuche[[#This Row],[2016]]),"",Refsz_Verbräuche[[#This Row],[2016]])</f>
        <v/>
      </c>
      <c r="H151" s="15" t="str">
        <f>IF(ISBLANK(Refsz_Verbräuche[[#This Row],[2017]]),"",Refsz_Verbräuche[[#This Row],[2017]])</f>
        <v/>
      </c>
      <c r="I151" s="15" t="str">
        <f>IF(ISBLANK(Refsz_Verbräuche[[#This Row],[2018]]),"",Refsz_Verbräuche[[#This Row],[2018]])</f>
        <v/>
      </c>
      <c r="J151" s="15" t="str">
        <f>IF(ISBLANK(Refsz_Verbräuche[[#This Row],[2019]]),"",Refsz_Verbräuche[[#This Row],[2019]])</f>
        <v/>
      </c>
      <c r="K151" s="15" t="str">
        <f>IF(ISBLANK(Refsz_Verbräuche[[#This Row],[2020]]),"",Refsz_Verbräuche[[#This Row],[2020]])</f>
        <v/>
      </c>
      <c r="L151" s="15" t="str">
        <f>IF(ISBLANK(Refsz_Verbräuche[[#This Row],[2021]]),"",Refsz_Verbräuche[[#This Row],[2021]])</f>
        <v/>
      </c>
      <c r="M151" s="57" t="str">
        <f>IF(Klisz_Verbräuche[[#Headers],[2022]]=$B$57,IF(COUNTIF($F151:Klisz_Verbräuche[[#This Row],[2021]],"&gt;0")&gt;0, AVERAGEIF($F151:Klisz_Verbräuche[[#This Row],[2021]],"&lt;&gt;"), ""),IF($B$57&lt;Klisz_Verbräuche[[#Headers],[2022]],IF(COUNTIF($F151:Klisz_Verbräuche[[#This Row],[2021]],"&gt;0")&gt;0,IF(COUNTIF($F151:Klisz_Verbräuche[[#This Row],[2021]],"&gt;0")&gt;0,Klisz_Verbräuche[[#This Row],[2021]]*(1-$E151)^1, ""), ""),IF($B$57&gt;Klisz_Verbräuche[[#Headers],[2022]],Refsz_Verbräuche[[#This Row],[2022]],"")))</f>
        <v/>
      </c>
      <c r="N151" s="57" t="str">
        <f>IF(Klisz_Verbräuche[[#Headers],[2023]]=$B$57,IF(COUNTIF($F151:Klisz_Verbräuche[[#This Row],[2022]],"&gt;0")&gt;0, AVERAGEIF($F151:Klisz_Verbräuche[[#This Row],[2022]],"&lt;&gt;"), ""),IF($B$57&lt;Klisz_Verbräuche[[#Headers],[2023]],IF(COUNTIF($F151:Klisz_Verbräuche[[#This Row],[2022]],"&gt;0")&gt;0,IF(COUNTIF($F151:Klisz_Verbräuche[[#This Row],[2022]],"&gt;0")&gt;0,Klisz_Verbräuche[[#This Row],[2022]]*(1-$E151)^1, ""), ""),IF($B$57&gt;Klisz_Verbräuche[[#Headers],[2023]],Refsz_Verbräuche[[#This Row],[2023]],"")))</f>
        <v/>
      </c>
      <c r="O151" s="57" t="str">
        <f>IF(Klisz_Verbräuche[[#Headers],[2024]]=$B$57,IF(COUNTIF($F151:Klisz_Verbräuche[[#This Row],[2023]],"&gt;0")&gt;0, AVERAGEIF($F151:Klisz_Verbräuche[[#This Row],[2023]],"&lt;&gt;"), ""),IF($B$57&lt;Klisz_Verbräuche[[#Headers],[2024]],IF(COUNTIF($F151:Klisz_Verbräuche[[#This Row],[2023]],"&gt;0")&gt;0,IF(COUNTIF($F151:Klisz_Verbräuche[[#This Row],[2023]],"&gt;0")&gt;0,Klisz_Verbräuche[[#This Row],[2023]]*(1-$E151)^1, ""), ""),IF($B$57&gt;Klisz_Verbräuche[[#Headers],[2024]],Refsz_Verbräuche[[#This Row],[2024]],"")))</f>
        <v/>
      </c>
      <c r="P151" s="57" t="str">
        <f>IF(Klisz_Verbräuche[[#Headers],[2025]]=$B$57,IF(COUNTIF($F151:Klisz_Verbräuche[[#This Row],[2024]],"&gt;0")&gt;0, AVERAGEIF($F151:Klisz_Verbräuche[[#This Row],[2024]],"&lt;&gt;"), ""),IF($B$57&lt;Klisz_Verbräuche[[#Headers],[2025]],IF(COUNTIF($F151:Klisz_Verbräuche[[#This Row],[2024]],"&gt;0")&gt;0,IF(COUNTIF($F151:Klisz_Verbräuche[[#This Row],[2024]],"&gt;0")&gt;0,Klisz_Verbräuche[[#This Row],[2024]]*(1-$E151)^1, ""), ""),IF($B$57&gt;Klisz_Verbräuche[[#Headers],[2025]],Refsz_Verbräuche[[#This Row],[2025]],"")))</f>
        <v/>
      </c>
      <c r="Q151" s="57" t="str">
        <f>IF(Klisz_Verbräuche[[#Headers],[2026]]=$B$57,IF(COUNTIF($F151:Klisz_Verbräuche[[#This Row],[2025]],"&gt;0")&gt;0, AVERAGEIF($F151:Klisz_Verbräuche[[#This Row],[2025]],"&lt;&gt;"), ""),IF($B$57&lt;Klisz_Verbräuche[[#Headers],[2026]],IF(COUNTIF($F151:Klisz_Verbräuche[[#This Row],[2025]],"&gt;0")&gt;0,IF(COUNTIF($F151:Klisz_Verbräuche[[#This Row],[2025]],"&gt;0")&gt;0,Klisz_Verbräuche[[#This Row],[2025]]*(1-$E151)^1, ""), ""),IF($B$57&gt;Klisz_Verbräuche[[#Headers],[2026]],Refsz_Verbräuche[[#This Row],[2026]],"")))</f>
        <v/>
      </c>
      <c r="R151" s="57" t="str">
        <f>IF(Klisz_Verbräuche[[#Headers],[2027]]=$B$57,IF(COUNTIF($F151:Klisz_Verbräuche[[#This Row],[2026]],"&gt;0")&gt;0, AVERAGEIF($F151:Klisz_Verbräuche[[#This Row],[2026]],"&lt;&gt;"), ""),IF($B$57&lt;Klisz_Verbräuche[[#Headers],[2027]],IF(COUNTIF($F151:Klisz_Verbräuche[[#This Row],[2026]],"&gt;0")&gt;0,IF(COUNTIF($F151:Klisz_Verbräuche[[#This Row],[2026]],"&gt;0")&gt;0,Klisz_Verbräuche[[#This Row],[2026]]*(1-$E151)^1, ""), ""),IF($B$57&gt;Klisz_Verbräuche[[#Headers],[2027]],Refsz_Verbräuche[[#This Row],[2027]],"")))</f>
        <v/>
      </c>
      <c r="S151" s="57" t="str">
        <f>IF(Klisz_Verbräuche[[#Headers],[2028]]=$B$57,IF(COUNTIF($F151:Klisz_Verbräuche[[#This Row],[2027]],"&gt;0")&gt;0, AVERAGEIF($F151:Klisz_Verbräuche[[#This Row],[2027]],"&lt;&gt;"), ""),IF($B$57&lt;Klisz_Verbräuche[[#Headers],[2028]],IF(COUNTIF($F151:Klisz_Verbräuche[[#This Row],[2027]],"&gt;0")&gt;0,IF(COUNTIF($F151:Klisz_Verbräuche[[#This Row],[2027]],"&gt;0")&gt;0,Klisz_Verbräuche[[#This Row],[2027]]*(1-$E151)^1, ""), ""),IF($B$57&gt;Klisz_Verbräuche[[#Headers],[2028]],Refsz_Verbräuche[[#This Row],[2028]],"")))</f>
        <v/>
      </c>
      <c r="T151" s="57" t="str">
        <f>IF(Klisz_Verbräuche[[#Headers],[2029]]=$B$57,IF(COUNTIF($F151:Klisz_Verbräuche[[#This Row],[2028]],"&gt;0")&gt;0, AVERAGEIF($F151:Klisz_Verbräuche[[#This Row],[2028]],"&lt;&gt;"), ""),IF($B$57&lt;Klisz_Verbräuche[[#Headers],[2029]],IF(COUNTIF($F151:Klisz_Verbräuche[[#This Row],[2028]],"&gt;0")&gt;0,IF(COUNTIF($F151:Klisz_Verbräuche[[#This Row],[2028]],"&gt;0")&gt;0,Klisz_Verbräuche[[#This Row],[2028]]*(1-$E151)^1, ""), ""),IF($B$57&gt;Klisz_Verbräuche[[#Headers],[2029]],Refsz_Verbräuche[[#This Row],[2029]],"")))</f>
        <v/>
      </c>
      <c r="U151" s="57" t="str">
        <f>IF(Klisz_Verbräuche[[#Headers],[2030]]=$B$57,IF(COUNTIF($F151:Klisz_Verbräuche[[#This Row],[2029]],"&gt;0")&gt;0, AVERAGEIF($F151:Klisz_Verbräuche[[#This Row],[2029]],"&lt;&gt;"), ""),IF($B$57&lt;Klisz_Verbräuche[[#Headers],[2030]],IF(COUNTIF($F151:Klisz_Verbräuche[[#This Row],[2029]],"&gt;0")&gt;0,IF(COUNTIF($F151:Klisz_Verbräuche[[#This Row],[2029]],"&gt;0")&gt;0,Klisz_Verbräuche[[#This Row],[2029]]*(1-$E151)^1, ""), ""),IF($B$57&gt;Klisz_Verbräuche[[#Headers],[2030]],Refsz_Verbräuche[[#This Row],[2030]],"")))</f>
        <v/>
      </c>
      <c r="V151" s="57" t="str">
        <f>IF(Klisz_Verbräuche[[#Headers],[2035]]=$B$57,IF(COUNTIF($F151:Klisz_Verbräuche[[#This Row],[2030]],"&gt;0")&gt;0, AVERAGEIF($F151:Klisz_Verbräuche[[#This Row],[2030]],"&lt;&gt;"), ""),IF($B$57&lt;Klisz_Verbräuche[[#Headers],[2035]],IF(COUNTIF($F151:Klisz_Verbräuche[[#This Row],[2030]],"&gt;0")&gt;0,IF(COUNTIF($F151:Klisz_Verbräuche[[#This Row],[2030]],"&gt;0")&gt;0,Klisz_Verbräuche[[#This Row],[2030]]*(1-$E151)^5, ""), ""),IF($B$57&gt;Klisz_Verbräuche[[#Headers],[2035]],Refsz_Verbräuche[[#This Row],[2035]],"")))</f>
        <v/>
      </c>
      <c r="W151" s="57" t="str">
        <f>IF(Klisz_Verbräuche[[#Headers],[2040]]=$B$57,IF(COUNTIF($F151:Klisz_Verbräuche[[#This Row],[2035]],"&gt;0")&gt;0, AVERAGEIF($F151:Klisz_Verbräuche[[#This Row],[2035]],"&lt;&gt;"), ""),IF($B$57&lt;Klisz_Verbräuche[[#Headers],[2040]],IF(COUNTIF($F151:Klisz_Verbräuche[[#This Row],[2035]],"&gt;0")&gt;0,IF(COUNTIF($F151:Klisz_Verbräuche[[#This Row],[2035]],"&gt;0")&gt;0,Klisz_Verbräuche[[#This Row],[2035]]*(1-$E151)^5, ""), ""),IF($B$57&gt;Klisz_Verbräuche[[#Headers],[2040]],Refsz_Verbräuche[[#This Row],[2040]],"")))</f>
        <v/>
      </c>
      <c r="X151" s="57" t="str">
        <f>IF(Klisz_Verbräuche[[#Headers],[2045]]=$B$57,IF(COUNTIF($F151:Klisz_Verbräuche[[#This Row],[2040]],"&gt;0")&gt;0, AVERAGEIF($F151:Klisz_Verbräuche[[#This Row],[2040]],"&lt;&gt;"), ""),IF($B$57&lt;Klisz_Verbräuche[[#Headers],[2045]],IF(COUNTIF($F151:Klisz_Verbräuche[[#This Row],[2040]],"&gt;0")&gt;0,IF(COUNTIF($F151:Klisz_Verbräuche[[#This Row],[2040]],"&gt;0")&gt;0,Klisz_Verbräuche[[#This Row],[2040]]*(1-$E151)^5, ""), ""),IF($B$57&gt;Klisz_Verbräuche[[#Headers],[2045]],Refsz_Verbräuche[[#This Row],[2045]],"")))</f>
        <v/>
      </c>
      <c r="Y151" s="57" t="str">
        <f>IF(Klisz_Verbräuche[[#Headers],[2050]]=$B$57,IF(COUNTIF($F151:Klisz_Verbräuche[[#This Row],[2045]],"&gt;0")&gt;0, AVERAGEIF($F151:Klisz_Verbräuche[[#This Row],[2045]],"&lt;&gt;"), ""),IF($B$57&lt;Klisz_Verbräuche[[#Headers],[2050]],IF(COUNTIF($F151:Klisz_Verbräuche[[#This Row],[2045]],"&gt;0")&gt;0,IF(COUNTIF($F151:Klisz_Verbräuche[[#This Row],[2045]],"&gt;0")&gt;0,Klisz_Verbräuche[[#This Row],[2045]]*(1-$E151)^5, ""), ""),IF($B$57&gt;Klisz_Verbräuche[[#Headers],[2050]],Refsz_Verbräuche[[#This Row],[2050]],"")))</f>
        <v/>
      </c>
      <c r="Z151" s="15"/>
    </row>
    <row r="152" spans="2:26" x14ac:dyDescent="0.35">
      <c r="B152" s="15">
        <v>92</v>
      </c>
      <c r="C152" s="20" t="str">
        <f>Refsz_Verbräuche[[#This Row],[Datenpunkt]]</f>
        <v>Papierhandtücher (Recycling)</v>
      </c>
      <c r="D152" s="29" t="str">
        <f>Refsz_Verbräuche[[#This Row],[Einheit]]</f>
        <v>t</v>
      </c>
      <c r="E152" s="122"/>
      <c r="F152" s="15" t="str">
        <f>IF(ISBLANK(Refsz_Verbräuche[[#This Row],[2015]]),"",Refsz_Verbräuche[[#This Row],[2015]])</f>
        <v/>
      </c>
      <c r="G152" s="15" t="str">
        <f>IF(ISBLANK(Refsz_Verbräuche[[#This Row],[2016]]),"",Refsz_Verbräuche[[#This Row],[2016]])</f>
        <v/>
      </c>
      <c r="H152" s="15" t="str">
        <f>IF(ISBLANK(Refsz_Verbräuche[[#This Row],[2017]]),"",Refsz_Verbräuche[[#This Row],[2017]])</f>
        <v/>
      </c>
      <c r="I152" s="15" t="str">
        <f>IF(ISBLANK(Refsz_Verbräuche[[#This Row],[2018]]),"",Refsz_Verbräuche[[#This Row],[2018]])</f>
        <v/>
      </c>
      <c r="J152" s="15" t="str">
        <f>IF(ISBLANK(Refsz_Verbräuche[[#This Row],[2019]]),"",Refsz_Verbräuche[[#This Row],[2019]])</f>
        <v/>
      </c>
      <c r="K152" s="15" t="str">
        <f>IF(ISBLANK(Refsz_Verbräuche[[#This Row],[2020]]),"",Refsz_Verbräuche[[#This Row],[2020]])</f>
        <v/>
      </c>
      <c r="L152" s="15" t="str">
        <f>IF(ISBLANK(Refsz_Verbräuche[[#This Row],[2021]]),"",Refsz_Verbräuche[[#This Row],[2021]])</f>
        <v/>
      </c>
      <c r="M152" s="57" t="str">
        <f>IF(Klisz_Verbräuche[[#Headers],[2022]]=$B$57,IF(COUNTIF($F152:Klisz_Verbräuche[[#This Row],[2021]],"&gt;0")&gt;0, AVERAGEIF($F152:Klisz_Verbräuche[[#This Row],[2021]],"&lt;&gt;"), ""),IF($B$57&lt;Klisz_Verbräuche[[#Headers],[2022]],IF(COUNTIF($F152:Klisz_Verbräuche[[#This Row],[2021]],"&gt;0")&gt;0,IF(COUNTIF($F152:Klisz_Verbräuche[[#This Row],[2021]],"&gt;0")&gt;0,Klisz_Verbräuche[[#This Row],[2021]]*(1-$E152)^1, ""), ""),IF($B$57&gt;Klisz_Verbräuche[[#Headers],[2022]],Refsz_Verbräuche[[#This Row],[2022]],"")))</f>
        <v/>
      </c>
      <c r="N152" s="57" t="str">
        <f>IF(Klisz_Verbräuche[[#Headers],[2023]]=$B$57,IF(COUNTIF($F152:Klisz_Verbräuche[[#This Row],[2022]],"&gt;0")&gt;0, AVERAGEIF($F152:Klisz_Verbräuche[[#This Row],[2022]],"&lt;&gt;"), ""),IF($B$57&lt;Klisz_Verbräuche[[#Headers],[2023]],IF(COUNTIF($F152:Klisz_Verbräuche[[#This Row],[2022]],"&gt;0")&gt;0,IF(COUNTIF($F152:Klisz_Verbräuche[[#This Row],[2022]],"&gt;0")&gt;0,Klisz_Verbräuche[[#This Row],[2022]]*(1-$E152)^1, ""), ""),IF($B$57&gt;Klisz_Verbräuche[[#Headers],[2023]],Refsz_Verbräuche[[#This Row],[2023]],"")))</f>
        <v/>
      </c>
      <c r="O152" s="57" t="str">
        <f>IF(Klisz_Verbräuche[[#Headers],[2024]]=$B$57,IF(COUNTIF($F152:Klisz_Verbräuche[[#This Row],[2023]],"&gt;0")&gt;0, AVERAGEIF($F152:Klisz_Verbräuche[[#This Row],[2023]],"&lt;&gt;"), ""),IF($B$57&lt;Klisz_Verbräuche[[#Headers],[2024]],IF(COUNTIF($F152:Klisz_Verbräuche[[#This Row],[2023]],"&gt;0")&gt;0,IF(COUNTIF($F152:Klisz_Verbräuche[[#This Row],[2023]],"&gt;0")&gt;0,Klisz_Verbräuche[[#This Row],[2023]]*(1-$E152)^1, ""), ""),IF($B$57&gt;Klisz_Verbräuche[[#Headers],[2024]],Refsz_Verbräuche[[#This Row],[2024]],"")))</f>
        <v/>
      </c>
      <c r="P152" s="57" t="str">
        <f>IF(Klisz_Verbräuche[[#Headers],[2025]]=$B$57,IF(COUNTIF($F152:Klisz_Verbräuche[[#This Row],[2024]],"&gt;0")&gt;0, AVERAGEIF($F152:Klisz_Verbräuche[[#This Row],[2024]],"&lt;&gt;"), ""),IF($B$57&lt;Klisz_Verbräuche[[#Headers],[2025]],IF(COUNTIF($F152:Klisz_Verbräuche[[#This Row],[2024]],"&gt;0")&gt;0,IF(COUNTIF($F152:Klisz_Verbräuche[[#This Row],[2024]],"&gt;0")&gt;0,Klisz_Verbräuche[[#This Row],[2024]]*(1-$E152)^1, ""), ""),IF($B$57&gt;Klisz_Verbräuche[[#Headers],[2025]],Refsz_Verbräuche[[#This Row],[2025]],"")))</f>
        <v/>
      </c>
      <c r="Q152" s="57" t="str">
        <f>IF(Klisz_Verbräuche[[#Headers],[2026]]=$B$57,IF(COUNTIF($F152:Klisz_Verbräuche[[#This Row],[2025]],"&gt;0")&gt;0, AVERAGEIF($F152:Klisz_Verbräuche[[#This Row],[2025]],"&lt;&gt;"), ""),IF($B$57&lt;Klisz_Verbräuche[[#Headers],[2026]],IF(COUNTIF($F152:Klisz_Verbräuche[[#This Row],[2025]],"&gt;0")&gt;0,IF(COUNTIF($F152:Klisz_Verbräuche[[#This Row],[2025]],"&gt;0")&gt;0,Klisz_Verbräuche[[#This Row],[2025]]*(1-$E152)^1, ""), ""),IF($B$57&gt;Klisz_Verbräuche[[#Headers],[2026]],Refsz_Verbräuche[[#This Row],[2026]],"")))</f>
        <v/>
      </c>
      <c r="R152" s="57" t="str">
        <f>IF(Klisz_Verbräuche[[#Headers],[2027]]=$B$57,IF(COUNTIF($F152:Klisz_Verbräuche[[#This Row],[2026]],"&gt;0")&gt;0, AVERAGEIF($F152:Klisz_Verbräuche[[#This Row],[2026]],"&lt;&gt;"), ""),IF($B$57&lt;Klisz_Verbräuche[[#Headers],[2027]],IF(COUNTIF($F152:Klisz_Verbräuche[[#This Row],[2026]],"&gt;0")&gt;0,IF(COUNTIF($F152:Klisz_Verbräuche[[#This Row],[2026]],"&gt;0")&gt;0,Klisz_Verbräuche[[#This Row],[2026]]*(1-$E152)^1, ""), ""),IF($B$57&gt;Klisz_Verbräuche[[#Headers],[2027]],Refsz_Verbräuche[[#This Row],[2027]],"")))</f>
        <v/>
      </c>
      <c r="S152" s="57" t="str">
        <f>IF(Klisz_Verbräuche[[#Headers],[2028]]=$B$57,IF(COUNTIF($F152:Klisz_Verbräuche[[#This Row],[2027]],"&gt;0")&gt;0, AVERAGEIF($F152:Klisz_Verbräuche[[#This Row],[2027]],"&lt;&gt;"), ""),IF($B$57&lt;Klisz_Verbräuche[[#Headers],[2028]],IF(COUNTIF($F152:Klisz_Verbräuche[[#This Row],[2027]],"&gt;0")&gt;0,IF(COUNTIF($F152:Klisz_Verbräuche[[#This Row],[2027]],"&gt;0")&gt;0,Klisz_Verbräuche[[#This Row],[2027]]*(1-$E152)^1, ""), ""),IF($B$57&gt;Klisz_Verbräuche[[#Headers],[2028]],Refsz_Verbräuche[[#This Row],[2028]],"")))</f>
        <v/>
      </c>
      <c r="T152" s="57" t="str">
        <f>IF(Klisz_Verbräuche[[#Headers],[2029]]=$B$57,IF(COUNTIF($F152:Klisz_Verbräuche[[#This Row],[2028]],"&gt;0")&gt;0, AVERAGEIF($F152:Klisz_Verbräuche[[#This Row],[2028]],"&lt;&gt;"), ""),IF($B$57&lt;Klisz_Verbräuche[[#Headers],[2029]],IF(COUNTIF($F152:Klisz_Verbräuche[[#This Row],[2028]],"&gt;0")&gt;0,IF(COUNTIF($F152:Klisz_Verbräuche[[#This Row],[2028]],"&gt;0")&gt;0,Klisz_Verbräuche[[#This Row],[2028]]*(1-$E152)^1, ""), ""),IF($B$57&gt;Klisz_Verbräuche[[#Headers],[2029]],Refsz_Verbräuche[[#This Row],[2029]],"")))</f>
        <v/>
      </c>
      <c r="U152" s="57" t="str">
        <f>IF(Klisz_Verbräuche[[#Headers],[2030]]=$B$57,IF(COUNTIF($F152:Klisz_Verbräuche[[#This Row],[2029]],"&gt;0")&gt;0, AVERAGEIF($F152:Klisz_Verbräuche[[#This Row],[2029]],"&lt;&gt;"), ""),IF($B$57&lt;Klisz_Verbräuche[[#Headers],[2030]],IF(COUNTIF($F152:Klisz_Verbräuche[[#This Row],[2029]],"&gt;0")&gt;0,IF(COUNTIF($F152:Klisz_Verbräuche[[#This Row],[2029]],"&gt;0")&gt;0,Klisz_Verbräuche[[#This Row],[2029]]*(1-$E152)^1, ""), ""),IF($B$57&gt;Klisz_Verbräuche[[#Headers],[2030]],Refsz_Verbräuche[[#This Row],[2030]],"")))</f>
        <v/>
      </c>
      <c r="V152" s="57" t="str">
        <f>IF(Klisz_Verbräuche[[#Headers],[2035]]=$B$57,IF(COUNTIF($F152:Klisz_Verbräuche[[#This Row],[2030]],"&gt;0")&gt;0, AVERAGEIF($F152:Klisz_Verbräuche[[#This Row],[2030]],"&lt;&gt;"), ""),IF($B$57&lt;Klisz_Verbräuche[[#Headers],[2035]],IF(COUNTIF($F152:Klisz_Verbräuche[[#This Row],[2030]],"&gt;0")&gt;0,IF(COUNTIF($F152:Klisz_Verbräuche[[#This Row],[2030]],"&gt;0")&gt;0,Klisz_Verbräuche[[#This Row],[2030]]*(1-$E152)^5, ""), ""),IF($B$57&gt;Klisz_Verbräuche[[#Headers],[2035]],Refsz_Verbräuche[[#This Row],[2035]],"")))</f>
        <v/>
      </c>
      <c r="W152" s="57" t="str">
        <f>IF(Klisz_Verbräuche[[#Headers],[2040]]=$B$57,IF(COUNTIF($F152:Klisz_Verbräuche[[#This Row],[2035]],"&gt;0")&gt;0, AVERAGEIF($F152:Klisz_Verbräuche[[#This Row],[2035]],"&lt;&gt;"), ""),IF($B$57&lt;Klisz_Verbräuche[[#Headers],[2040]],IF(COUNTIF($F152:Klisz_Verbräuche[[#This Row],[2035]],"&gt;0")&gt;0,IF(COUNTIF($F152:Klisz_Verbräuche[[#This Row],[2035]],"&gt;0")&gt;0,Klisz_Verbräuche[[#This Row],[2035]]*(1-$E152)^5, ""), ""),IF($B$57&gt;Klisz_Verbräuche[[#Headers],[2040]],Refsz_Verbräuche[[#This Row],[2040]],"")))</f>
        <v/>
      </c>
      <c r="X152" s="57" t="str">
        <f>IF(Klisz_Verbräuche[[#Headers],[2045]]=$B$57,IF(COUNTIF($F152:Klisz_Verbräuche[[#This Row],[2040]],"&gt;0")&gt;0, AVERAGEIF($F152:Klisz_Verbräuche[[#This Row],[2040]],"&lt;&gt;"), ""),IF($B$57&lt;Klisz_Verbräuche[[#Headers],[2045]],IF(COUNTIF($F152:Klisz_Verbräuche[[#This Row],[2040]],"&gt;0")&gt;0,IF(COUNTIF($F152:Klisz_Verbräuche[[#This Row],[2040]],"&gt;0")&gt;0,Klisz_Verbräuche[[#This Row],[2040]]*(1-$E152)^5, ""), ""),IF($B$57&gt;Klisz_Verbräuche[[#Headers],[2045]],Refsz_Verbräuche[[#This Row],[2045]],"")))</f>
        <v/>
      </c>
      <c r="Y152" s="57" t="str">
        <f>IF(Klisz_Verbräuche[[#Headers],[2050]]=$B$57,IF(COUNTIF($F152:Klisz_Verbräuche[[#This Row],[2045]],"&gt;0")&gt;0, AVERAGEIF($F152:Klisz_Verbräuche[[#This Row],[2045]],"&lt;&gt;"), ""),IF($B$57&lt;Klisz_Verbräuche[[#Headers],[2050]],IF(COUNTIF($F152:Klisz_Verbräuche[[#This Row],[2045]],"&gt;0")&gt;0,IF(COUNTIF($F152:Klisz_Verbräuche[[#This Row],[2045]],"&gt;0")&gt;0,Klisz_Verbräuche[[#This Row],[2045]]*(1-$E152)^5, ""), ""),IF($B$57&gt;Klisz_Verbräuche[[#Headers],[2050]],Refsz_Verbräuche[[#This Row],[2050]],"")))</f>
        <v/>
      </c>
      <c r="Z152" s="15"/>
    </row>
    <row r="153" spans="2:26" x14ac:dyDescent="0.35">
      <c r="B153" s="15">
        <v>93</v>
      </c>
      <c r="C153" s="20">
        <f>Refsz_Verbräuche[[#This Row],[Datenpunkt]]</f>
        <v>0</v>
      </c>
      <c r="D153" s="29">
        <f>Refsz_Verbräuche[[#This Row],[Einheit]]</f>
        <v>0</v>
      </c>
      <c r="E153" s="122"/>
      <c r="F153" s="15" t="str">
        <f>IF(ISBLANK(Refsz_Verbräuche[[#This Row],[2015]]),"",Refsz_Verbräuche[[#This Row],[2015]])</f>
        <v/>
      </c>
      <c r="G153" s="15" t="str">
        <f>IF(ISBLANK(Refsz_Verbräuche[[#This Row],[2016]]),"",Refsz_Verbräuche[[#This Row],[2016]])</f>
        <v/>
      </c>
      <c r="H153" s="15" t="str">
        <f>IF(ISBLANK(Refsz_Verbräuche[[#This Row],[2017]]),"",Refsz_Verbräuche[[#This Row],[2017]])</f>
        <v/>
      </c>
      <c r="I153" s="15" t="str">
        <f>IF(ISBLANK(Refsz_Verbräuche[[#This Row],[2018]]),"",Refsz_Verbräuche[[#This Row],[2018]])</f>
        <v/>
      </c>
      <c r="J153" s="15" t="str">
        <f>IF(ISBLANK(Refsz_Verbräuche[[#This Row],[2019]]),"",Refsz_Verbräuche[[#This Row],[2019]])</f>
        <v/>
      </c>
      <c r="K153" s="15" t="str">
        <f>IF(ISBLANK(Refsz_Verbräuche[[#This Row],[2020]]),"",Refsz_Verbräuche[[#This Row],[2020]])</f>
        <v/>
      </c>
      <c r="L153" s="15" t="str">
        <f>IF(ISBLANK(Refsz_Verbräuche[[#This Row],[2021]]),"",Refsz_Verbräuche[[#This Row],[2021]])</f>
        <v/>
      </c>
      <c r="M153" s="57" t="str">
        <f>IF(Klisz_Verbräuche[[#Headers],[2022]]=$B$57,IF(COUNTIF($F153:Klisz_Verbräuche[[#This Row],[2021]],"&gt;0")&gt;0, AVERAGEIF($F153:Klisz_Verbräuche[[#This Row],[2021]],"&lt;&gt;"), ""),IF($B$57&lt;Klisz_Verbräuche[[#Headers],[2022]],IF(COUNTIF($F153:Klisz_Verbräuche[[#This Row],[2021]],"&gt;0")&gt;0,IF(COUNTIF($F153:Klisz_Verbräuche[[#This Row],[2021]],"&gt;0")&gt;0,Klisz_Verbräuche[[#This Row],[2021]]*(1-$E153)^1, ""), ""),IF($B$57&gt;Klisz_Verbräuche[[#Headers],[2022]],Refsz_Verbräuche[[#This Row],[2022]],"")))</f>
        <v/>
      </c>
      <c r="N153" s="57" t="str">
        <f>IF(Klisz_Verbräuche[[#Headers],[2023]]=$B$57,IF(COUNTIF($F153:Klisz_Verbräuche[[#This Row],[2022]],"&gt;0")&gt;0, AVERAGEIF($F153:Klisz_Verbräuche[[#This Row],[2022]],"&lt;&gt;"), ""),IF($B$57&lt;Klisz_Verbräuche[[#Headers],[2023]],IF(COUNTIF($F153:Klisz_Verbräuche[[#This Row],[2022]],"&gt;0")&gt;0,IF(COUNTIF($F153:Klisz_Verbräuche[[#This Row],[2022]],"&gt;0")&gt;0,Klisz_Verbräuche[[#This Row],[2022]]*(1-$E153)^1, ""), ""),IF($B$57&gt;Klisz_Verbräuche[[#Headers],[2023]],Refsz_Verbräuche[[#This Row],[2023]],"")))</f>
        <v/>
      </c>
      <c r="O153" s="57" t="str">
        <f>IF(Klisz_Verbräuche[[#Headers],[2024]]=$B$57,IF(COUNTIF($F153:Klisz_Verbräuche[[#This Row],[2023]],"&gt;0")&gt;0, AVERAGEIF($F153:Klisz_Verbräuche[[#This Row],[2023]],"&lt;&gt;"), ""),IF($B$57&lt;Klisz_Verbräuche[[#Headers],[2024]],IF(COUNTIF($F153:Klisz_Verbräuche[[#This Row],[2023]],"&gt;0")&gt;0,IF(COUNTIF($F153:Klisz_Verbräuche[[#This Row],[2023]],"&gt;0")&gt;0,Klisz_Verbräuche[[#This Row],[2023]]*(1-$E153)^1, ""), ""),IF($B$57&gt;Klisz_Verbräuche[[#Headers],[2024]],Refsz_Verbräuche[[#This Row],[2024]],"")))</f>
        <v/>
      </c>
      <c r="P153" s="57" t="str">
        <f>IF(Klisz_Verbräuche[[#Headers],[2025]]=$B$57,IF(COUNTIF($F153:Klisz_Verbräuche[[#This Row],[2024]],"&gt;0")&gt;0, AVERAGEIF($F153:Klisz_Verbräuche[[#This Row],[2024]],"&lt;&gt;"), ""),IF($B$57&lt;Klisz_Verbräuche[[#Headers],[2025]],IF(COUNTIF($F153:Klisz_Verbräuche[[#This Row],[2024]],"&gt;0")&gt;0,IF(COUNTIF($F153:Klisz_Verbräuche[[#This Row],[2024]],"&gt;0")&gt;0,Klisz_Verbräuche[[#This Row],[2024]]*(1-$E153)^1, ""), ""),IF($B$57&gt;Klisz_Verbräuche[[#Headers],[2025]],Refsz_Verbräuche[[#This Row],[2025]],"")))</f>
        <v/>
      </c>
      <c r="Q153" s="57" t="str">
        <f>IF(Klisz_Verbräuche[[#Headers],[2026]]=$B$57,IF(COUNTIF($F153:Klisz_Verbräuche[[#This Row],[2025]],"&gt;0")&gt;0, AVERAGEIF($F153:Klisz_Verbräuche[[#This Row],[2025]],"&lt;&gt;"), ""),IF($B$57&lt;Klisz_Verbräuche[[#Headers],[2026]],IF(COUNTIF($F153:Klisz_Verbräuche[[#This Row],[2025]],"&gt;0")&gt;0,IF(COUNTIF($F153:Klisz_Verbräuche[[#This Row],[2025]],"&gt;0")&gt;0,Klisz_Verbräuche[[#This Row],[2025]]*(1-$E153)^1, ""), ""),IF($B$57&gt;Klisz_Verbräuche[[#Headers],[2026]],Refsz_Verbräuche[[#This Row],[2026]],"")))</f>
        <v/>
      </c>
      <c r="R153" s="57" t="str">
        <f>IF(Klisz_Verbräuche[[#Headers],[2027]]=$B$57,IF(COUNTIF($F153:Klisz_Verbräuche[[#This Row],[2026]],"&gt;0")&gt;0, AVERAGEIF($F153:Klisz_Verbräuche[[#This Row],[2026]],"&lt;&gt;"), ""),IF($B$57&lt;Klisz_Verbräuche[[#Headers],[2027]],IF(COUNTIF($F153:Klisz_Verbräuche[[#This Row],[2026]],"&gt;0")&gt;0,IF(COUNTIF($F153:Klisz_Verbräuche[[#This Row],[2026]],"&gt;0")&gt;0,Klisz_Verbräuche[[#This Row],[2026]]*(1-$E153)^1, ""), ""),IF($B$57&gt;Klisz_Verbräuche[[#Headers],[2027]],Refsz_Verbräuche[[#This Row],[2027]],"")))</f>
        <v/>
      </c>
      <c r="S153" s="57" t="str">
        <f>IF(Klisz_Verbräuche[[#Headers],[2028]]=$B$57,IF(COUNTIF($F153:Klisz_Verbräuche[[#This Row],[2027]],"&gt;0")&gt;0, AVERAGEIF($F153:Klisz_Verbräuche[[#This Row],[2027]],"&lt;&gt;"), ""),IF($B$57&lt;Klisz_Verbräuche[[#Headers],[2028]],IF(COUNTIF($F153:Klisz_Verbräuche[[#This Row],[2027]],"&gt;0")&gt;0,IF(COUNTIF($F153:Klisz_Verbräuche[[#This Row],[2027]],"&gt;0")&gt;0,Klisz_Verbräuche[[#This Row],[2027]]*(1-$E153)^1, ""), ""),IF($B$57&gt;Klisz_Verbräuche[[#Headers],[2028]],Refsz_Verbräuche[[#This Row],[2028]],"")))</f>
        <v/>
      </c>
      <c r="T153" s="57" t="str">
        <f>IF(Klisz_Verbräuche[[#Headers],[2029]]=$B$57,IF(COUNTIF($F153:Klisz_Verbräuche[[#This Row],[2028]],"&gt;0")&gt;0, AVERAGEIF($F153:Klisz_Verbräuche[[#This Row],[2028]],"&lt;&gt;"), ""),IF($B$57&lt;Klisz_Verbräuche[[#Headers],[2029]],IF(COUNTIF($F153:Klisz_Verbräuche[[#This Row],[2028]],"&gt;0")&gt;0,IF(COUNTIF($F153:Klisz_Verbräuche[[#This Row],[2028]],"&gt;0")&gt;0,Klisz_Verbräuche[[#This Row],[2028]]*(1-$E153)^1, ""), ""),IF($B$57&gt;Klisz_Verbräuche[[#Headers],[2029]],Refsz_Verbräuche[[#This Row],[2029]],"")))</f>
        <v/>
      </c>
      <c r="U153" s="57" t="str">
        <f>IF(Klisz_Verbräuche[[#Headers],[2030]]=$B$57,IF(COUNTIF($F153:Klisz_Verbräuche[[#This Row],[2029]],"&gt;0")&gt;0, AVERAGEIF($F153:Klisz_Verbräuche[[#This Row],[2029]],"&lt;&gt;"), ""),IF($B$57&lt;Klisz_Verbräuche[[#Headers],[2030]],IF(COUNTIF($F153:Klisz_Verbräuche[[#This Row],[2029]],"&gt;0")&gt;0,IF(COUNTIF($F153:Klisz_Verbräuche[[#This Row],[2029]],"&gt;0")&gt;0,Klisz_Verbräuche[[#This Row],[2029]]*(1-$E153)^1, ""), ""),IF($B$57&gt;Klisz_Verbräuche[[#Headers],[2030]],Refsz_Verbräuche[[#This Row],[2030]],"")))</f>
        <v/>
      </c>
      <c r="V153" s="57" t="str">
        <f>IF(Klisz_Verbräuche[[#Headers],[2035]]=$B$57,IF(COUNTIF($F153:Klisz_Verbräuche[[#This Row],[2030]],"&gt;0")&gt;0, AVERAGEIF($F153:Klisz_Verbräuche[[#This Row],[2030]],"&lt;&gt;"), ""),IF($B$57&lt;Klisz_Verbräuche[[#Headers],[2035]],IF(COUNTIF($F153:Klisz_Verbräuche[[#This Row],[2030]],"&gt;0")&gt;0,IF(COUNTIF($F153:Klisz_Verbräuche[[#This Row],[2030]],"&gt;0")&gt;0,Klisz_Verbräuche[[#This Row],[2030]]*(1-$E153)^5, ""), ""),IF($B$57&gt;Klisz_Verbräuche[[#Headers],[2035]],Refsz_Verbräuche[[#This Row],[2035]],"")))</f>
        <v/>
      </c>
      <c r="W153" s="57" t="str">
        <f>IF(Klisz_Verbräuche[[#Headers],[2040]]=$B$57,IF(COUNTIF($F153:Klisz_Verbräuche[[#This Row],[2035]],"&gt;0")&gt;0, AVERAGEIF($F153:Klisz_Verbräuche[[#This Row],[2035]],"&lt;&gt;"), ""),IF($B$57&lt;Klisz_Verbräuche[[#Headers],[2040]],IF(COUNTIF($F153:Klisz_Verbräuche[[#This Row],[2035]],"&gt;0")&gt;0,IF(COUNTIF($F153:Klisz_Verbräuche[[#This Row],[2035]],"&gt;0")&gt;0,Klisz_Verbräuche[[#This Row],[2035]]*(1-$E153)^5, ""), ""),IF($B$57&gt;Klisz_Verbräuche[[#Headers],[2040]],Refsz_Verbräuche[[#This Row],[2040]],"")))</f>
        <v/>
      </c>
      <c r="X153" s="57" t="str">
        <f>IF(Klisz_Verbräuche[[#Headers],[2045]]=$B$57,IF(COUNTIF($F153:Klisz_Verbräuche[[#This Row],[2040]],"&gt;0")&gt;0, AVERAGEIF($F153:Klisz_Verbräuche[[#This Row],[2040]],"&lt;&gt;"), ""),IF($B$57&lt;Klisz_Verbräuche[[#Headers],[2045]],IF(COUNTIF($F153:Klisz_Verbräuche[[#This Row],[2040]],"&gt;0")&gt;0,IF(COUNTIF($F153:Klisz_Verbräuche[[#This Row],[2040]],"&gt;0")&gt;0,Klisz_Verbräuche[[#This Row],[2040]]*(1-$E153)^5, ""), ""),IF($B$57&gt;Klisz_Verbräuche[[#Headers],[2045]],Refsz_Verbräuche[[#This Row],[2045]],"")))</f>
        <v/>
      </c>
      <c r="Y153" s="57" t="str">
        <f>IF(Klisz_Verbräuche[[#Headers],[2050]]=$B$57,IF(COUNTIF($F153:Klisz_Verbräuche[[#This Row],[2045]],"&gt;0")&gt;0, AVERAGEIF($F153:Klisz_Verbräuche[[#This Row],[2045]],"&lt;&gt;"), ""),IF($B$57&lt;Klisz_Verbräuche[[#Headers],[2050]],IF(COUNTIF($F153:Klisz_Verbräuche[[#This Row],[2045]],"&gt;0")&gt;0,IF(COUNTIF($F153:Klisz_Verbräuche[[#This Row],[2045]],"&gt;0")&gt;0,Klisz_Verbräuche[[#This Row],[2045]]*(1-$E153)^5, ""), ""),IF($B$57&gt;Klisz_Verbräuche[[#Headers],[2050]],Refsz_Verbräuche[[#This Row],[2050]],"")))</f>
        <v/>
      </c>
      <c r="Z153" s="15"/>
    </row>
    <row r="154" spans="2:26" x14ac:dyDescent="0.35">
      <c r="B154" s="15">
        <v>94</v>
      </c>
      <c r="C154" s="20" t="str">
        <f>Refsz_Verbräuche[[#This Row],[Datenpunkt]]</f>
        <v>Outgesourcte Leistungen des Rechenzentrums</v>
      </c>
      <c r="D154" s="29" t="str">
        <f>Refsz_Verbräuche[[#This Row],[Einheit]]</f>
        <v>GByte</v>
      </c>
      <c r="E154" s="122"/>
      <c r="F154" s="15" t="str">
        <f>IF(ISBLANK(Refsz_Verbräuche[[#This Row],[2015]]),"",Refsz_Verbräuche[[#This Row],[2015]])</f>
        <v/>
      </c>
      <c r="G154" s="15" t="str">
        <f>IF(ISBLANK(Refsz_Verbräuche[[#This Row],[2016]]),"",Refsz_Verbräuche[[#This Row],[2016]])</f>
        <v/>
      </c>
      <c r="H154" s="15" t="str">
        <f>IF(ISBLANK(Refsz_Verbräuche[[#This Row],[2017]]),"",Refsz_Verbräuche[[#This Row],[2017]])</f>
        <v/>
      </c>
      <c r="I154" s="15" t="str">
        <f>IF(ISBLANK(Refsz_Verbräuche[[#This Row],[2018]]),"",Refsz_Verbräuche[[#This Row],[2018]])</f>
        <v/>
      </c>
      <c r="J154" s="15" t="str">
        <f>IF(ISBLANK(Refsz_Verbräuche[[#This Row],[2019]]),"",Refsz_Verbräuche[[#This Row],[2019]])</f>
        <v/>
      </c>
      <c r="K154" s="15" t="str">
        <f>IF(ISBLANK(Refsz_Verbräuche[[#This Row],[2020]]),"",Refsz_Verbräuche[[#This Row],[2020]])</f>
        <v/>
      </c>
      <c r="L154" s="15" t="str">
        <f>IF(ISBLANK(Refsz_Verbräuche[[#This Row],[2021]]),"",Refsz_Verbräuche[[#This Row],[2021]])</f>
        <v/>
      </c>
      <c r="M154" s="57" t="str">
        <f>IF(Klisz_Verbräuche[[#Headers],[2022]]=$B$57,IF(COUNTIF($F154:Klisz_Verbräuche[[#This Row],[2021]],"&gt;0")&gt;0, AVERAGEIF($F154:Klisz_Verbräuche[[#This Row],[2021]],"&lt;&gt;"), ""),IF($B$57&lt;Klisz_Verbräuche[[#Headers],[2022]],IF(COUNTIF($F154:Klisz_Verbräuche[[#This Row],[2021]],"&gt;0")&gt;0,IF(COUNTIF($F154:Klisz_Verbräuche[[#This Row],[2021]],"&gt;0")&gt;0,Klisz_Verbräuche[[#This Row],[2021]]*(1-$E154)^1, ""), ""),IF($B$57&gt;Klisz_Verbräuche[[#Headers],[2022]],Refsz_Verbräuche[[#This Row],[2022]],"")))</f>
        <v/>
      </c>
      <c r="N154" s="57" t="str">
        <f>IF(Klisz_Verbräuche[[#Headers],[2023]]=$B$57,IF(COUNTIF($F154:Klisz_Verbräuche[[#This Row],[2022]],"&gt;0")&gt;0, AVERAGEIF($F154:Klisz_Verbräuche[[#This Row],[2022]],"&lt;&gt;"), ""),IF($B$57&lt;Klisz_Verbräuche[[#Headers],[2023]],IF(COUNTIF($F154:Klisz_Verbräuche[[#This Row],[2022]],"&gt;0")&gt;0,IF(COUNTIF($F154:Klisz_Verbräuche[[#This Row],[2022]],"&gt;0")&gt;0,Klisz_Verbräuche[[#This Row],[2022]]*(1-$E154)^1, ""), ""),IF($B$57&gt;Klisz_Verbräuche[[#Headers],[2023]],Refsz_Verbräuche[[#This Row],[2023]],"")))</f>
        <v/>
      </c>
      <c r="O154" s="57" t="str">
        <f>IF(Klisz_Verbräuche[[#Headers],[2024]]=$B$57,IF(COUNTIF($F154:Klisz_Verbräuche[[#This Row],[2023]],"&gt;0")&gt;0, AVERAGEIF($F154:Klisz_Verbräuche[[#This Row],[2023]],"&lt;&gt;"), ""),IF($B$57&lt;Klisz_Verbräuche[[#Headers],[2024]],IF(COUNTIF($F154:Klisz_Verbräuche[[#This Row],[2023]],"&gt;0")&gt;0,IF(COUNTIF($F154:Klisz_Verbräuche[[#This Row],[2023]],"&gt;0")&gt;0,Klisz_Verbräuche[[#This Row],[2023]]*(1-$E154)^1, ""), ""),IF($B$57&gt;Klisz_Verbräuche[[#Headers],[2024]],Refsz_Verbräuche[[#This Row],[2024]],"")))</f>
        <v/>
      </c>
      <c r="P154" s="57" t="str">
        <f>IF(Klisz_Verbräuche[[#Headers],[2025]]=$B$57,IF(COUNTIF($F154:Klisz_Verbräuche[[#This Row],[2024]],"&gt;0")&gt;0, AVERAGEIF($F154:Klisz_Verbräuche[[#This Row],[2024]],"&lt;&gt;"), ""),IF($B$57&lt;Klisz_Verbräuche[[#Headers],[2025]],IF(COUNTIF($F154:Klisz_Verbräuche[[#This Row],[2024]],"&gt;0")&gt;0,IF(COUNTIF($F154:Klisz_Verbräuche[[#This Row],[2024]],"&gt;0")&gt;0,Klisz_Verbräuche[[#This Row],[2024]]*(1-$E154)^1, ""), ""),IF($B$57&gt;Klisz_Verbräuche[[#Headers],[2025]],Refsz_Verbräuche[[#This Row],[2025]],"")))</f>
        <v/>
      </c>
      <c r="Q154" s="57" t="str">
        <f>IF(Klisz_Verbräuche[[#Headers],[2026]]=$B$57,IF(COUNTIF($F154:Klisz_Verbräuche[[#This Row],[2025]],"&gt;0")&gt;0, AVERAGEIF($F154:Klisz_Verbräuche[[#This Row],[2025]],"&lt;&gt;"), ""),IF($B$57&lt;Klisz_Verbräuche[[#Headers],[2026]],IF(COUNTIF($F154:Klisz_Verbräuche[[#This Row],[2025]],"&gt;0")&gt;0,IF(COUNTIF($F154:Klisz_Verbräuche[[#This Row],[2025]],"&gt;0")&gt;0,Klisz_Verbräuche[[#This Row],[2025]]*(1-$E154)^1, ""), ""),IF($B$57&gt;Klisz_Verbräuche[[#Headers],[2026]],Refsz_Verbräuche[[#This Row],[2026]],"")))</f>
        <v/>
      </c>
      <c r="R154" s="57" t="str">
        <f>IF(Klisz_Verbräuche[[#Headers],[2027]]=$B$57,IF(COUNTIF($F154:Klisz_Verbräuche[[#This Row],[2026]],"&gt;0")&gt;0, AVERAGEIF($F154:Klisz_Verbräuche[[#This Row],[2026]],"&lt;&gt;"), ""),IF($B$57&lt;Klisz_Verbräuche[[#Headers],[2027]],IF(COUNTIF($F154:Klisz_Verbräuche[[#This Row],[2026]],"&gt;0")&gt;0,IF(COUNTIF($F154:Klisz_Verbräuche[[#This Row],[2026]],"&gt;0")&gt;0,Klisz_Verbräuche[[#This Row],[2026]]*(1-$E154)^1, ""), ""),IF($B$57&gt;Klisz_Verbräuche[[#Headers],[2027]],Refsz_Verbräuche[[#This Row],[2027]],"")))</f>
        <v/>
      </c>
      <c r="S154" s="57" t="str">
        <f>IF(Klisz_Verbräuche[[#Headers],[2028]]=$B$57,IF(COUNTIF($F154:Klisz_Verbräuche[[#This Row],[2027]],"&gt;0")&gt;0, AVERAGEIF($F154:Klisz_Verbräuche[[#This Row],[2027]],"&lt;&gt;"), ""),IF($B$57&lt;Klisz_Verbräuche[[#Headers],[2028]],IF(COUNTIF($F154:Klisz_Verbräuche[[#This Row],[2027]],"&gt;0")&gt;0,IF(COUNTIF($F154:Klisz_Verbräuche[[#This Row],[2027]],"&gt;0")&gt;0,Klisz_Verbräuche[[#This Row],[2027]]*(1-$E154)^1, ""), ""),IF($B$57&gt;Klisz_Verbräuche[[#Headers],[2028]],Refsz_Verbräuche[[#This Row],[2028]],"")))</f>
        <v/>
      </c>
      <c r="T154" s="57" t="str">
        <f>IF(Klisz_Verbräuche[[#Headers],[2029]]=$B$57,IF(COUNTIF($F154:Klisz_Verbräuche[[#This Row],[2028]],"&gt;0")&gt;0, AVERAGEIF($F154:Klisz_Verbräuche[[#This Row],[2028]],"&lt;&gt;"), ""),IF($B$57&lt;Klisz_Verbräuche[[#Headers],[2029]],IF(COUNTIF($F154:Klisz_Verbräuche[[#This Row],[2028]],"&gt;0")&gt;0,IF(COUNTIF($F154:Klisz_Verbräuche[[#This Row],[2028]],"&gt;0")&gt;0,Klisz_Verbräuche[[#This Row],[2028]]*(1-$E154)^1, ""), ""),IF($B$57&gt;Klisz_Verbräuche[[#Headers],[2029]],Refsz_Verbräuche[[#This Row],[2029]],"")))</f>
        <v/>
      </c>
      <c r="U154" s="57" t="str">
        <f>IF(Klisz_Verbräuche[[#Headers],[2030]]=$B$57,IF(COUNTIF($F154:Klisz_Verbräuche[[#This Row],[2029]],"&gt;0")&gt;0, AVERAGEIF($F154:Klisz_Verbräuche[[#This Row],[2029]],"&lt;&gt;"), ""),IF($B$57&lt;Klisz_Verbräuche[[#Headers],[2030]],IF(COUNTIF($F154:Klisz_Verbräuche[[#This Row],[2029]],"&gt;0")&gt;0,IF(COUNTIF($F154:Klisz_Verbräuche[[#This Row],[2029]],"&gt;0")&gt;0,Klisz_Verbräuche[[#This Row],[2029]]*(1-$E154)^1, ""), ""),IF($B$57&gt;Klisz_Verbräuche[[#Headers],[2030]],Refsz_Verbräuche[[#This Row],[2030]],"")))</f>
        <v/>
      </c>
      <c r="V154" s="57" t="str">
        <f>IF(Klisz_Verbräuche[[#Headers],[2035]]=$B$57,IF(COUNTIF($F154:Klisz_Verbräuche[[#This Row],[2030]],"&gt;0")&gt;0, AVERAGEIF($F154:Klisz_Verbräuche[[#This Row],[2030]],"&lt;&gt;"), ""),IF($B$57&lt;Klisz_Verbräuche[[#Headers],[2035]],IF(COUNTIF($F154:Klisz_Verbräuche[[#This Row],[2030]],"&gt;0")&gt;0,IF(COUNTIF($F154:Klisz_Verbräuche[[#This Row],[2030]],"&gt;0")&gt;0,Klisz_Verbräuche[[#This Row],[2030]]*(1-$E154)^5, ""), ""),IF($B$57&gt;Klisz_Verbräuche[[#Headers],[2035]],Refsz_Verbräuche[[#This Row],[2035]],"")))</f>
        <v/>
      </c>
      <c r="W154" s="57" t="str">
        <f>IF(Klisz_Verbräuche[[#Headers],[2040]]=$B$57,IF(COUNTIF($F154:Klisz_Verbräuche[[#This Row],[2035]],"&gt;0")&gt;0, AVERAGEIF($F154:Klisz_Verbräuche[[#This Row],[2035]],"&lt;&gt;"), ""),IF($B$57&lt;Klisz_Verbräuche[[#Headers],[2040]],IF(COUNTIF($F154:Klisz_Verbräuche[[#This Row],[2035]],"&gt;0")&gt;0,IF(COUNTIF($F154:Klisz_Verbräuche[[#This Row],[2035]],"&gt;0")&gt;0,Klisz_Verbräuche[[#This Row],[2035]]*(1-$E154)^5, ""), ""),IF($B$57&gt;Klisz_Verbräuche[[#Headers],[2040]],Refsz_Verbräuche[[#This Row],[2040]],"")))</f>
        <v/>
      </c>
      <c r="X154" s="57" t="str">
        <f>IF(Klisz_Verbräuche[[#Headers],[2045]]=$B$57,IF(COUNTIF($F154:Klisz_Verbräuche[[#This Row],[2040]],"&gt;0")&gt;0, AVERAGEIF($F154:Klisz_Verbräuche[[#This Row],[2040]],"&lt;&gt;"), ""),IF($B$57&lt;Klisz_Verbräuche[[#Headers],[2045]],IF(COUNTIF($F154:Klisz_Verbräuche[[#This Row],[2040]],"&gt;0")&gt;0,IF(COUNTIF($F154:Klisz_Verbräuche[[#This Row],[2040]],"&gt;0")&gt;0,Klisz_Verbräuche[[#This Row],[2040]]*(1-$E154)^5, ""), ""),IF($B$57&gt;Klisz_Verbräuche[[#Headers],[2045]],Refsz_Verbräuche[[#This Row],[2045]],"")))</f>
        <v/>
      </c>
      <c r="Y154" s="57" t="str">
        <f>IF(Klisz_Verbräuche[[#Headers],[2050]]=$B$57,IF(COUNTIF($F154:Klisz_Verbräuche[[#This Row],[2045]],"&gt;0")&gt;0, AVERAGEIF($F154:Klisz_Verbräuche[[#This Row],[2045]],"&lt;&gt;"), ""),IF($B$57&lt;Klisz_Verbräuche[[#Headers],[2050]],IF(COUNTIF($F154:Klisz_Verbräuche[[#This Row],[2045]],"&gt;0")&gt;0,IF(COUNTIF($F154:Klisz_Verbräuche[[#This Row],[2045]],"&gt;0")&gt;0,Klisz_Verbräuche[[#This Row],[2045]]*(1-$E154)^5, ""), ""),IF($B$57&gt;Klisz_Verbräuche[[#Headers],[2050]],Refsz_Verbräuche[[#This Row],[2050]],"")))</f>
        <v/>
      </c>
      <c r="Z154" s="15"/>
    </row>
    <row r="155" spans="2:26" x14ac:dyDescent="0.35">
      <c r="B155" s="15">
        <v>95</v>
      </c>
      <c r="C155" s="20" t="str">
        <f>Refsz_Verbräuche[[#This Row],[Datenpunkt]]</f>
        <v>Beamer</v>
      </c>
      <c r="D155" s="29" t="str">
        <f>Refsz_Verbräuche[[#This Row],[Einheit]]</f>
        <v>Stk</v>
      </c>
      <c r="E155" s="122"/>
      <c r="F155" s="15" t="str">
        <f>IF(ISBLANK(Refsz_Verbräuche[[#This Row],[2015]]),"",Refsz_Verbräuche[[#This Row],[2015]])</f>
        <v/>
      </c>
      <c r="G155" s="15" t="str">
        <f>IF(ISBLANK(Refsz_Verbräuche[[#This Row],[2016]]),"",Refsz_Verbräuche[[#This Row],[2016]])</f>
        <v/>
      </c>
      <c r="H155" s="15" t="str">
        <f>IF(ISBLANK(Refsz_Verbräuche[[#This Row],[2017]]),"",Refsz_Verbräuche[[#This Row],[2017]])</f>
        <v/>
      </c>
      <c r="I155" s="15" t="str">
        <f>IF(ISBLANK(Refsz_Verbräuche[[#This Row],[2018]]),"",Refsz_Verbräuche[[#This Row],[2018]])</f>
        <v/>
      </c>
      <c r="J155" s="15" t="str">
        <f>IF(ISBLANK(Refsz_Verbräuche[[#This Row],[2019]]),"",Refsz_Verbräuche[[#This Row],[2019]])</f>
        <v/>
      </c>
      <c r="K155" s="15" t="str">
        <f>IF(ISBLANK(Refsz_Verbräuche[[#This Row],[2020]]),"",Refsz_Verbräuche[[#This Row],[2020]])</f>
        <v/>
      </c>
      <c r="L155" s="15" t="str">
        <f>IF(ISBLANK(Refsz_Verbräuche[[#This Row],[2021]]),"",Refsz_Verbräuche[[#This Row],[2021]])</f>
        <v/>
      </c>
      <c r="M155" s="57" t="str">
        <f>IF(Klisz_Verbräuche[[#Headers],[2022]]=$B$57,IF(COUNTIF($F155:Klisz_Verbräuche[[#This Row],[2021]],"&gt;0")&gt;0, AVERAGEIF($F155:Klisz_Verbräuche[[#This Row],[2021]],"&lt;&gt;"), ""),IF($B$57&lt;Klisz_Verbräuche[[#Headers],[2022]],IF(COUNTIF($F155:Klisz_Verbräuche[[#This Row],[2021]],"&gt;0")&gt;0,IF(COUNTIF($F155:Klisz_Verbräuche[[#This Row],[2021]],"&gt;0")&gt;0,Klisz_Verbräuche[[#This Row],[2021]]*(1-$E155)^1, ""), ""),IF($B$57&gt;Klisz_Verbräuche[[#Headers],[2022]],Refsz_Verbräuche[[#This Row],[2022]],"")))</f>
        <v/>
      </c>
      <c r="N155" s="57" t="str">
        <f>IF(Klisz_Verbräuche[[#Headers],[2023]]=$B$57,IF(COUNTIF($F155:Klisz_Verbräuche[[#This Row],[2022]],"&gt;0")&gt;0, AVERAGEIF($F155:Klisz_Verbräuche[[#This Row],[2022]],"&lt;&gt;"), ""),IF($B$57&lt;Klisz_Verbräuche[[#Headers],[2023]],IF(COUNTIF($F155:Klisz_Verbräuche[[#This Row],[2022]],"&gt;0")&gt;0,IF(COUNTIF($F155:Klisz_Verbräuche[[#This Row],[2022]],"&gt;0")&gt;0,Klisz_Verbräuche[[#This Row],[2022]]*(1-$E155)^1, ""), ""),IF($B$57&gt;Klisz_Verbräuche[[#Headers],[2023]],Refsz_Verbräuche[[#This Row],[2023]],"")))</f>
        <v/>
      </c>
      <c r="O155" s="57" t="str">
        <f>IF(Klisz_Verbräuche[[#Headers],[2024]]=$B$57,IF(COUNTIF($F155:Klisz_Verbräuche[[#This Row],[2023]],"&gt;0")&gt;0, AVERAGEIF($F155:Klisz_Verbräuche[[#This Row],[2023]],"&lt;&gt;"), ""),IF($B$57&lt;Klisz_Verbräuche[[#Headers],[2024]],IF(COUNTIF($F155:Klisz_Verbräuche[[#This Row],[2023]],"&gt;0")&gt;0,IF(COUNTIF($F155:Klisz_Verbräuche[[#This Row],[2023]],"&gt;0")&gt;0,Klisz_Verbräuche[[#This Row],[2023]]*(1-$E155)^1, ""), ""),IF($B$57&gt;Klisz_Verbräuche[[#Headers],[2024]],Refsz_Verbräuche[[#This Row],[2024]],"")))</f>
        <v/>
      </c>
      <c r="P155" s="57" t="str">
        <f>IF(Klisz_Verbräuche[[#Headers],[2025]]=$B$57,IF(COUNTIF($F155:Klisz_Verbräuche[[#This Row],[2024]],"&gt;0")&gt;0, AVERAGEIF($F155:Klisz_Verbräuche[[#This Row],[2024]],"&lt;&gt;"), ""),IF($B$57&lt;Klisz_Verbräuche[[#Headers],[2025]],IF(COUNTIF($F155:Klisz_Verbräuche[[#This Row],[2024]],"&gt;0")&gt;0,IF(COUNTIF($F155:Klisz_Verbräuche[[#This Row],[2024]],"&gt;0")&gt;0,Klisz_Verbräuche[[#This Row],[2024]]*(1-$E155)^1, ""), ""),IF($B$57&gt;Klisz_Verbräuche[[#Headers],[2025]],Refsz_Verbräuche[[#This Row],[2025]],"")))</f>
        <v/>
      </c>
      <c r="Q155" s="57" t="str">
        <f>IF(Klisz_Verbräuche[[#Headers],[2026]]=$B$57,IF(COUNTIF($F155:Klisz_Verbräuche[[#This Row],[2025]],"&gt;0")&gt;0, AVERAGEIF($F155:Klisz_Verbräuche[[#This Row],[2025]],"&lt;&gt;"), ""),IF($B$57&lt;Klisz_Verbräuche[[#Headers],[2026]],IF(COUNTIF($F155:Klisz_Verbräuche[[#This Row],[2025]],"&gt;0")&gt;0,IF(COUNTIF($F155:Klisz_Verbräuche[[#This Row],[2025]],"&gt;0")&gt;0,Klisz_Verbräuche[[#This Row],[2025]]*(1-$E155)^1, ""), ""),IF($B$57&gt;Klisz_Verbräuche[[#Headers],[2026]],Refsz_Verbräuche[[#This Row],[2026]],"")))</f>
        <v/>
      </c>
      <c r="R155" s="57" t="str">
        <f>IF(Klisz_Verbräuche[[#Headers],[2027]]=$B$57,IF(COUNTIF($F155:Klisz_Verbräuche[[#This Row],[2026]],"&gt;0")&gt;0, AVERAGEIF($F155:Klisz_Verbräuche[[#This Row],[2026]],"&lt;&gt;"), ""),IF($B$57&lt;Klisz_Verbräuche[[#Headers],[2027]],IF(COUNTIF($F155:Klisz_Verbräuche[[#This Row],[2026]],"&gt;0")&gt;0,IF(COUNTIF($F155:Klisz_Verbräuche[[#This Row],[2026]],"&gt;0")&gt;0,Klisz_Verbräuche[[#This Row],[2026]]*(1-$E155)^1, ""), ""),IF($B$57&gt;Klisz_Verbräuche[[#Headers],[2027]],Refsz_Verbräuche[[#This Row],[2027]],"")))</f>
        <v/>
      </c>
      <c r="S155" s="57" t="str">
        <f>IF(Klisz_Verbräuche[[#Headers],[2028]]=$B$57,IF(COUNTIF($F155:Klisz_Verbräuche[[#This Row],[2027]],"&gt;0")&gt;0, AVERAGEIF($F155:Klisz_Verbräuche[[#This Row],[2027]],"&lt;&gt;"), ""),IF($B$57&lt;Klisz_Verbräuche[[#Headers],[2028]],IF(COUNTIF($F155:Klisz_Verbräuche[[#This Row],[2027]],"&gt;0")&gt;0,IF(COUNTIF($F155:Klisz_Verbräuche[[#This Row],[2027]],"&gt;0")&gt;0,Klisz_Verbräuche[[#This Row],[2027]]*(1-$E155)^1, ""), ""),IF($B$57&gt;Klisz_Verbräuche[[#Headers],[2028]],Refsz_Verbräuche[[#This Row],[2028]],"")))</f>
        <v/>
      </c>
      <c r="T155" s="57" t="str">
        <f>IF(Klisz_Verbräuche[[#Headers],[2029]]=$B$57,IF(COUNTIF($F155:Klisz_Verbräuche[[#This Row],[2028]],"&gt;0")&gt;0, AVERAGEIF($F155:Klisz_Verbräuche[[#This Row],[2028]],"&lt;&gt;"), ""),IF($B$57&lt;Klisz_Verbräuche[[#Headers],[2029]],IF(COUNTIF($F155:Klisz_Verbräuche[[#This Row],[2028]],"&gt;0")&gt;0,IF(COUNTIF($F155:Klisz_Verbräuche[[#This Row],[2028]],"&gt;0")&gt;0,Klisz_Verbräuche[[#This Row],[2028]]*(1-$E155)^1, ""), ""),IF($B$57&gt;Klisz_Verbräuche[[#Headers],[2029]],Refsz_Verbräuche[[#This Row],[2029]],"")))</f>
        <v/>
      </c>
      <c r="U155" s="57" t="str">
        <f>IF(Klisz_Verbräuche[[#Headers],[2030]]=$B$57,IF(COUNTIF($F155:Klisz_Verbräuche[[#This Row],[2029]],"&gt;0")&gt;0, AVERAGEIF($F155:Klisz_Verbräuche[[#This Row],[2029]],"&lt;&gt;"), ""),IF($B$57&lt;Klisz_Verbräuche[[#Headers],[2030]],IF(COUNTIF($F155:Klisz_Verbräuche[[#This Row],[2029]],"&gt;0")&gt;0,IF(COUNTIF($F155:Klisz_Verbräuche[[#This Row],[2029]],"&gt;0")&gt;0,Klisz_Verbräuche[[#This Row],[2029]]*(1-$E155)^1, ""), ""),IF($B$57&gt;Klisz_Verbräuche[[#Headers],[2030]],Refsz_Verbräuche[[#This Row],[2030]],"")))</f>
        <v/>
      </c>
      <c r="V155" s="57" t="str">
        <f>IF(Klisz_Verbräuche[[#Headers],[2035]]=$B$57,IF(COUNTIF($F155:Klisz_Verbräuche[[#This Row],[2030]],"&gt;0")&gt;0, AVERAGEIF($F155:Klisz_Verbräuche[[#This Row],[2030]],"&lt;&gt;"), ""),IF($B$57&lt;Klisz_Verbräuche[[#Headers],[2035]],IF(COUNTIF($F155:Klisz_Verbräuche[[#This Row],[2030]],"&gt;0")&gt;0,IF(COUNTIF($F155:Klisz_Verbräuche[[#This Row],[2030]],"&gt;0")&gt;0,Klisz_Verbräuche[[#This Row],[2030]]*(1-$E155)^5, ""), ""),IF($B$57&gt;Klisz_Verbräuche[[#Headers],[2035]],Refsz_Verbräuche[[#This Row],[2035]],"")))</f>
        <v/>
      </c>
      <c r="W155" s="57" t="str">
        <f>IF(Klisz_Verbräuche[[#Headers],[2040]]=$B$57,IF(COUNTIF($F155:Klisz_Verbräuche[[#This Row],[2035]],"&gt;0")&gt;0, AVERAGEIF($F155:Klisz_Verbräuche[[#This Row],[2035]],"&lt;&gt;"), ""),IF($B$57&lt;Klisz_Verbräuche[[#Headers],[2040]],IF(COUNTIF($F155:Klisz_Verbräuche[[#This Row],[2035]],"&gt;0")&gt;0,IF(COUNTIF($F155:Klisz_Verbräuche[[#This Row],[2035]],"&gt;0")&gt;0,Klisz_Verbräuche[[#This Row],[2035]]*(1-$E155)^5, ""), ""),IF($B$57&gt;Klisz_Verbräuche[[#Headers],[2040]],Refsz_Verbräuche[[#This Row],[2040]],"")))</f>
        <v/>
      </c>
      <c r="X155" s="57" t="str">
        <f>IF(Klisz_Verbräuche[[#Headers],[2045]]=$B$57,IF(COUNTIF($F155:Klisz_Verbräuche[[#This Row],[2040]],"&gt;0")&gt;0, AVERAGEIF($F155:Klisz_Verbräuche[[#This Row],[2040]],"&lt;&gt;"), ""),IF($B$57&lt;Klisz_Verbräuche[[#Headers],[2045]],IF(COUNTIF($F155:Klisz_Verbräuche[[#This Row],[2040]],"&gt;0")&gt;0,IF(COUNTIF($F155:Klisz_Verbräuche[[#This Row],[2040]],"&gt;0")&gt;0,Klisz_Verbräuche[[#This Row],[2040]]*(1-$E155)^5, ""), ""),IF($B$57&gt;Klisz_Verbräuche[[#Headers],[2045]],Refsz_Verbräuche[[#This Row],[2045]],"")))</f>
        <v/>
      </c>
      <c r="Y155" s="57" t="str">
        <f>IF(Klisz_Verbräuche[[#Headers],[2050]]=$B$57,IF(COUNTIF($F155:Klisz_Verbräuche[[#This Row],[2045]],"&gt;0")&gt;0, AVERAGEIF($F155:Klisz_Verbräuche[[#This Row],[2045]],"&lt;&gt;"), ""),IF($B$57&lt;Klisz_Verbräuche[[#Headers],[2050]],IF(COUNTIF($F155:Klisz_Verbräuche[[#This Row],[2045]],"&gt;0")&gt;0,IF(COUNTIF($F155:Klisz_Verbräuche[[#This Row],[2045]],"&gt;0")&gt;0,Klisz_Verbräuche[[#This Row],[2045]]*(1-$E155)^5, ""), ""),IF($B$57&gt;Klisz_Verbräuche[[#Headers],[2050]],Refsz_Verbräuche[[#This Row],[2050]],"")))</f>
        <v/>
      </c>
      <c r="Z155" s="15"/>
    </row>
    <row r="156" spans="2:26" x14ac:dyDescent="0.35">
      <c r="B156" s="15">
        <v>96</v>
      </c>
      <c r="C156" s="20" t="str">
        <f>Refsz_Verbräuche[[#This Row],[Datenpunkt]]</f>
        <v>Notebook/Laptop</v>
      </c>
      <c r="D156" s="29" t="str">
        <f>Refsz_Verbräuche[[#This Row],[Einheit]]</f>
        <v>Stk</v>
      </c>
      <c r="E156" s="122"/>
      <c r="F156" s="15" t="str">
        <f>IF(ISBLANK(Refsz_Verbräuche[[#This Row],[2015]]),"",Refsz_Verbräuche[[#This Row],[2015]])</f>
        <v/>
      </c>
      <c r="G156" s="15" t="str">
        <f>IF(ISBLANK(Refsz_Verbräuche[[#This Row],[2016]]),"",Refsz_Verbräuche[[#This Row],[2016]])</f>
        <v/>
      </c>
      <c r="H156" s="15" t="str">
        <f>IF(ISBLANK(Refsz_Verbräuche[[#This Row],[2017]]),"",Refsz_Verbräuche[[#This Row],[2017]])</f>
        <v/>
      </c>
      <c r="I156" s="15" t="str">
        <f>IF(ISBLANK(Refsz_Verbräuche[[#This Row],[2018]]),"",Refsz_Verbräuche[[#This Row],[2018]])</f>
        <v/>
      </c>
      <c r="J156" s="15" t="str">
        <f>IF(ISBLANK(Refsz_Verbräuche[[#This Row],[2019]]),"",Refsz_Verbräuche[[#This Row],[2019]])</f>
        <v/>
      </c>
      <c r="K156" s="15" t="str">
        <f>IF(ISBLANK(Refsz_Verbräuche[[#This Row],[2020]]),"",Refsz_Verbräuche[[#This Row],[2020]])</f>
        <v/>
      </c>
      <c r="L156" s="15" t="str">
        <f>IF(ISBLANK(Refsz_Verbräuche[[#This Row],[2021]]),"",Refsz_Verbräuche[[#This Row],[2021]])</f>
        <v/>
      </c>
      <c r="M156" s="57" t="str">
        <f>IF(Klisz_Verbräuche[[#Headers],[2022]]=$B$57,IF(COUNTIF($F156:Klisz_Verbräuche[[#This Row],[2021]],"&gt;0")&gt;0, AVERAGEIF($F156:Klisz_Verbräuche[[#This Row],[2021]],"&lt;&gt;"), ""),IF($B$57&lt;Klisz_Verbräuche[[#Headers],[2022]],IF(COUNTIF($F156:Klisz_Verbräuche[[#This Row],[2021]],"&gt;0")&gt;0,IF(COUNTIF($F156:Klisz_Verbräuche[[#This Row],[2021]],"&gt;0")&gt;0,Klisz_Verbräuche[[#This Row],[2021]]*(1-$E156)^1, ""), ""),IF($B$57&gt;Klisz_Verbräuche[[#Headers],[2022]],Refsz_Verbräuche[[#This Row],[2022]],"")))</f>
        <v/>
      </c>
      <c r="N156" s="57" t="str">
        <f>IF(Klisz_Verbräuche[[#Headers],[2023]]=$B$57,IF(COUNTIF($F156:Klisz_Verbräuche[[#This Row],[2022]],"&gt;0")&gt;0, AVERAGEIF($F156:Klisz_Verbräuche[[#This Row],[2022]],"&lt;&gt;"), ""),IF($B$57&lt;Klisz_Verbräuche[[#Headers],[2023]],IF(COUNTIF($F156:Klisz_Verbräuche[[#This Row],[2022]],"&gt;0")&gt;0,IF(COUNTIF($F156:Klisz_Verbräuche[[#This Row],[2022]],"&gt;0")&gt;0,Klisz_Verbräuche[[#This Row],[2022]]*(1-$E156)^1, ""), ""),IF($B$57&gt;Klisz_Verbräuche[[#Headers],[2023]],Refsz_Verbräuche[[#This Row],[2023]],"")))</f>
        <v/>
      </c>
      <c r="O156" s="57" t="str">
        <f>IF(Klisz_Verbräuche[[#Headers],[2024]]=$B$57,IF(COUNTIF($F156:Klisz_Verbräuche[[#This Row],[2023]],"&gt;0")&gt;0, AVERAGEIF($F156:Klisz_Verbräuche[[#This Row],[2023]],"&lt;&gt;"), ""),IF($B$57&lt;Klisz_Verbräuche[[#Headers],[2024]],IF(COUNTIF($F156:Klisz_Verbräuche[[#This Row],[2023]],"&gt;0")&gt;0,IF(COUNTIF($F156:Klisz_Verbräuche[[#This Row],[2023]],"&gt;0")&gt;0,Klisz_Verbräuche[[#This Row],[2023]]*(1-$E156)^1, ""), ""),IF($B$57&gt;Klisz_Verbräuche[[#Headers],[2024]],Refsz_Verbräuche[[#This Row],[2024]],"")))</f>
        <v/>
      </c>
      <c r="P156" s="57" t="str">
        <f>IF(Klisz_Verbräuche[[#Headers],[2025]]=$B$57,IF(COUNTIF($F156:Klisz_Verbräuche[[#This Row],[2024]],"&gt;0")&gt;0, AVERAGEIF($F156:Klisz_Verbräuche[[#This Row],[2024]],"&lt;&gt;"), ""),IF($B$57&lt;Klisz_Verbräuche[[#Headers],[2025]],IF(COUNTIF($F156:Klisz_Verbräuche[[#This Row],[2024]],"&gt;0")&gt;0,IF(COUNTIF($F156:Klisz_Verbräuche[[#This Row],[2024]],"&gt;0")&gt;0,Klisz_Verbräuche[[#This Row],[2024]]*(1-$E156)^1, ""), ""),IF($B$57&gt;Klisz_Verbräuche[[#Headers],[2025]],Refsz_Verbräuche[[#This Row],[2025]],"")))</f>
        <v/>
      </c>
      <c r="Q156" s="57" t="str">
        <f>IF(Klisz_Verbräuche[[#Headers],[2026]]=$B$57,IF(COUNTIF($F156:Klisz_Verbräuche[[#This Row],[2025]],"&gt;0")&gt;0, AVERAGEIF($F156:Klisz_Verbräuche[[#This Row],[2025]],"&lt;&gt;"), ""),IF($B$57&lt;Klisz_Verbräuche[[#Headers],[2026]],IF(COUNTIF($F156:Klisz_Verbräuche[[#This Row],[2025]],"&gt;0")&gt;0,IF(COUNTIF($F156:Klisz_Verbräuche[[#This Row],[2025]],"&gt;0")&gt;0,Klisz_Verbräuche[[#This Row],[2025]]*(1-$E156)^1, ""), ""),IF($B$57&gt;Klisz_Verbräuche[[#Headers],[2026]],Refsz_Verbräuche[[#This Row],[2026]],"")))</f>
        <v/>
      </c>
      <c r="R156" s="57" t="str">
        <f>IF(Klisz_Verbräuche[[#Headers],[2027]]=$B$57,IF(COUNTIF($F156:Klisz_Verbräuche[[#This Row],[2026]],"&gt;0")&gt;0, AVERAGEIF($F156:Klisz_Verbräuche[[#This Row],[2026]],"&lt;&gt;"), ""),IF($B$57&lt;Klisz_Verbräuche[[#Headers],[2027]],IF(COUNTIF($F156:Klisz_Verbräuche[[#This Row],[2026]],"&gt;0")&gt;0,IF(COUNTIF($F156:Klisz_Verbräuche[[#This Row],[2026]],"&gt;0")&gt;0,Klisz_Verbräuche[[#This Row],[2026]]*(1-$E156)^1, ""), ""),IF($B$57&gt;Klisz_Verbräuche[[#Headers],[2027]],Refsz_Verbräuche[[#This Row],[2027]],"")))</f>
        <v/>
      </c>
      <c r="S156" s="57" t="str">
        <f>IF(Klisz_Verbräuche[[#Headers],[2028]]=$B$57,IF(COUNTIF($F156:Klisz_Verbräuche[[#This Row],[2027]],"&gt;0")&gt;0, AVERAGEIF($F156:Klisz_Verbräuche[[#This Row],[2027]],"&lt;&gt;"), ""),IF($B$57&lt;Klisz_Verbräuche[[#Headers],[2028]],IF(COUNTIF($F156:Klisz_Verbräuche[[#This Row],[2027]],"&gt;0")&gt;0,IF(COUNTIF($F156:Klisz_Verbräuche[[#This Row],[2027]],"&gt;0")&gt;0,Klisz_Verbräuche[[#This Row],[2027]]*(1-$E156)^1, ""), ""),IF($B$57&gt;Klisz_Verbräuche[[#Headers],[2028]],Refsz_Verbräuche[[#This Row],[2028]],"")))</f>
        <v/>
      </c>
      <c r="T156" s="57" t="str">
        <f>IF(Klisz_Verbräuche[[#Headers],[2029]]=$B$57,IF(COUNTIF($F156:Klisz_Verbräuche[[#This Row],[2028]],"&gt;0")&gt;0, AVERAGEIF($F156:Klisz_Verbräuche[[#This Row],[2028]],"&lt;&gt;"), ""),IF($B$57&lt;Klisz_Verbräuche[[#Headers],[2029]],IF(COUNTIF($F156:Klisz_Verbräuche[[#This Row],[2028]],"&gt;0")&gt;0,IF(COUNTIF($F156:Klisz_Verbräuche[[#This Row],[2028]],"&gt;0")&gt;0,Klisz_Verbräuche[[#This Row],[2028]]*(1-$E156)^1, ""), ""),IF($B$57&gt;Klisz_Verbräuche[[#Headers],[2029]],Refsz_Verbräuche[[#This Row],[2029]],"")))</f>
        <v/>
      </c>
      <c r="U156" s="57" t="str">
        <f>IF(Klisz_Verbräuche[[#Headers],[2030]]=$B$57,IF(COUNTIF($F156:Klisz_Verbräuche[[#This Row],[2029]],"&gt;0")&gt;0, AVERAGEIF($F156:Klisz_Verbräuche[[#This Row],[2029]],"&lt;&gt;"), ""),IF($B$57&lt;Klisz_Verbräuche[[#Headers],[2030]],IF(COUNTIF($F156:Klisz_Verbräuche[[#This Row],[2029]],"&gt;0")&gt;0,IF(COUNTIF($F156:Klisz_Verbräuche[[#This Row],[2029]],"&gt;0")&gt;0,Klisz_Verbräuche[[#This Row],[2029]]*(1-$E156)^1, ""), ""),IF($B$57&gt;Klisz_Verbräuche[[#Headers],[2030]],Refsz_Verbräuche[[#This Row],[2030]],"")))</f>
        <v/>
      </c>
      <c r="V156" s="57" t="str">
        <f>IF(Klisz_Verbräuche[[#Headers],[2035]]=$B$57,IF(COUNTIF($F156:Klisz_Verbräuche[[#This Row],[2030]],"&gt;0")&gt;0, AVERAGEIF($F156:Klisz_Verbräuche[[#This Row],[2030]],"&lt;&gt;"), ""),IF($B$57&lt;Klisz_Verbräuche[[#Headers],[2035]],IF(COUNTIF($F156:Klisz_Verbräuche[[#This Row],[2030]],"&gt;0")&gt;0,IF(COUNTIF($F156:Klisz_Verbräuche[[#This Row],[2030]],"&gt;0")&gt;0,Klisz_Verbräuche[[#This Row],[2030]]*(1-$E156)^5, ""), ""),IF($B$57&gt;Klisz_Verbräuche[[#Headers],[2035]],Refsz_Verbräuche[[#This Row],[2035]],"")))</f>
        <v/>
      </c>
      <c r="W156" s="57" t="str">
        <f>IF(Klisz_Verbräuche[[#Headers],[2040]]=$B$57,IF(COUNTIF($F156:Klisz_Verbräuche[[#This Row],[2035]],"&gt;0")&gt;0, AVERAGEIF($F156:Klisz_Verbräuche[[#This Row],[2035]],"&lt;&gt;"), ""),IF($B$57&lt;Klisz_Verbräuche[[#Headers],[2040]],IF(COUNTIF($F156:Klisz_Verbräuche[[#This Row],[2035]],"&gt;0")&gt;0,IF(COUNTIF($F156:Klisz_Verbräuche[[#This Row],[2035]],"&gt;0")&gt;0,Klisz_Verbräuche[[#This Row],[2035]]*(1-$E156)^5, ""), ""),IF($B$57&gt;Klisz_Verbräuche[[#Headers],[2040]],Refsz_Verbräuche[[#This Row],[2040]],"")))</f>
        <v/>
      </c>
      <c r="X156" s="57" t="str">
        <f>IF(Klisz_Verbräuche[[#Headers],[2045]]=$B$57,IF(COUNTIF($F156:Klisz_Verbräuche[[#This Row],[2040]],"&gt;0")&gt;0, AVERAGEIF($F156:Klisz_Verbräuche[[#This Row],[2040]],"&lt;&gt;"), ""),IF($B$57&lt;Klisz_Verbräuche[[#Headers],[2045]],IF(COUNTIF($F156:Klisz_Verbräuche[[#This Row],[2040]],"&gt;0")&gt;0,IF(COUNTIF($F156:Klisz_Verbräuche[[#This Row],[2040]],"&gt;0")&gt;0,Klisz_Verbräuche[[#This Row],[2040]]*(1-$E156)^5, ""), ""),IF($B$57&gt;Klisz_Verbräuche[[#Headers],[2045]],Refsz_Verbräuche[[#This Row],[2045]],"")))</f>
        <v/>
      </c>
      <c r="Y156" s="57" t="str">
        <f>IF(Klisz_Verbräuche[[#Headers],[2050]]=$B$57,IF(COUNTIF($F156:Klisz_Verbräuche[[#This Row],[2045]],"&gt;0")&gt;0, AVERAGEIF($F156:Klisz_Verbräuche[[#This Row],[2045]],"&lt;&gt;"), ""),IF($B$57&lt;Klisz_Verbräuche[[#Headers],[2050]],IF(COUNTIF($F156:Klisz_Verbräuche[[#This Row],[2045]],"&gt;0")&gt;0,IF(COUNTIF($F156:Klisz_Verbräuche[[#This Row],[2045]],"&gt;0")&gt;0,Klisz_Verbräuche[[#This Row],[2045]]*(1-$E156)^5, ""), ""),IF($B$57&gt;Klisz_Verbräuche[[#Headers],[2050]],Refsz_Verbräuche[[#This Row],[2050]],"")))</f>
        <v/>
      </c>
      <c r="Z156" s="15"/>
    </row>
    <row r="157" spans="2:26" x14ac:dyDescent="0.35">
      <c r="B157" s="15">
        <v>97</v>
      </c>
      <c r="C157" s="20" t="str">
        <f>Refsz_Verbräuche[[#This Row],[Datenpunkt]]</f>
        <v>Desktop-PC mit Monitor</v>
      </c>
      <c r="D157" s="29" t="str">
        <f>Refsz_Verbräuche[[#This Row],[Einheit]]</f>
        <v>Stk</v>
      </c>
      <c r="E157" s="122"/>
      <c r="F157" s="15" t="str">
        <f>IF(ISBLANK(Refsz_Verbräuche[[#This Row],[2015]]),"",Refsz_Verbräuche[[#This Row],[2015]])</f>
        <v/>
      </c>
      <c r="G157" s="15" t="str">
        <f>IF(ISBLANK(Refsz_Verbräuche[[#This Row],[2016]]),"",Refsz_Verbräuche[[#This Row],[2016]])</f>
        <v/>
      </c>
      <c r="H157" s="15" t="str">
        <f>IF(ISBLANK(Refsz_Verbräuche[[#This Row],[2017]]),"",Refsz_Verbräuche[[#This Row],[2017]])</f>
        <v/>
      </c>
      <c r="I157" s="15" t="str">
        <f>IF(ISBLANK(Refsz_Verbräuche[[#This Row],[2018]]),"",Refsz_Verbräuche[[#This Row],[2018]])</f>
        <v/>
      </c>
      <c r="J157" s="15" t="str">
        <f>IF(ISBLANK(Refsz_Verbräuche[[#This Row],[2019]]),"",Refsz_Verbräuche[[#This Row],[2019]])</f>
        <v/>
      </c>
      <c r="K157" s="15" t="str">
        <f>IF(ISBLANK(Refsz_Verbräuche[[#This Row],[2020]]),"",Refsz_Verbräuche[[#This Row],[2020]])</f>
        <v/>
      </c>
      <c r="L157" s="15" t="str">
        <f>IF(ISBLANK(Refsz_Verbräuche[[#This Row],[2021]]),"",Refsz_Verbräuche[[#This Row],[2021]])</f>
        <v/>
      </c>
      <c r="M157" s="57" t="str">
        <f>IF(Klisz_Verbräuche[[#Headers],[2022]]=$B$57,IF(COUNTIF($F157:Klisz_Verbräuche[[#This Row],[2021]],"&gt;0")&gt;0, AVERAGEIF($F157:Klisz_Verbräuche[[#This Row],[2021]],"&lt;&gt;"), ""),IF($B$57&lt;Klisz_Verbräuche[[#Headers],[2022]],IF(COUNTIF($F157:Klisz_Verbräuche[[#This Row],[2021]],"&gt;0")&gt;0,IF(COUNTIF($F157:Klisz_Verbräuche[[#This Row],[2021]],"&gt;0")&gt;0,Klisz_Verbräuche[[#This Row],[2021]]*(1-$E157)^1, ""), ""),IF($B$57&gt;Klisz_Verbräuche[[#Headers],[2022]],Refsz_Verbräuche[[#This Row],[2022]],"")))</f>
        <v/>
      </c>
      <c r="N157" s="57" t="str">
        <f>IF(Klisz_Verbräuche[[#Headers],[2023]]=$B$57,IF(COUNTIF($F157:Klisz_Verbräuche[[#This Row],[2022]],"&gt;0")&gt;0, AVERAGEIF($F157:Klisz_Verbräuche[[#This Row],[2022]],"&lt;&gt;"), ""),IF($B$57&lt;Klisz_Verbräuche[[#Headers],[2023]],IF(COUNTIF($F157:Klisz_Verbräuche[[#This Row],[2022]],"&gt;0")&gt;0,IF(COUNTIF($F157:Klisz_Verbräuche[[#This Row],[2022]],"&gt;0")&gt;0,Klisz_Verbräuche[[#This Row],[2022]]*(1-$E157)^1, ""), ""),IF($B$57&gt;Klisz_Verbräuche[[#Headers],[2023]],Refsz_Verbräuche[[#This Row],[2023]],"")))</f>
        <v/>
      </c>
      <c r="O157" s="57" t="str">
        <f>IF(Klisz_Verbräuche[[#Headers],[2024]]=$B$57,IF(COUNTIF($F157:Klisz_Verbräuche[[#This Row],[2023]],"&gt;0")&gt;0, AVERAGEIF($F157:Klisz_Verbräuche[[#This Row],[2023]],"&lt;&gt;"), ""),IF($B$57&lt;Klisz_Verbräuche[[#Headers],[2024]],IF(COUNTIF($F157:Klisz_Verbräuche[[#This Row],[2023]],"&gt;0")&gt;0,IF(COUNTIF($F157:Klisz_Verbräuche[[#This Row],[2023]],"&gt;0")&gt;0,Klisz_Verbräuche[[#This Row],[2023]]*(1-$E157)^1, ""), ""),IF($B$57&gt;Klisz_Verbräuche[[#Headers],[2024]],Refsz_Verbräuche[[#This Row],[2024]],"")))</f>
        <v/>
      </c>
      <c r="P157" s="57" t="str">
        <f>IF(Klisz_Verbräuche[[#Headers],[2025]]=$B$57,IF(COUNTIF($F157:Klisz_Verbräuche[[#This Row],[2024]],"&gt;0")&gt;0, AVERAGEIF($F157:Klisz_Verbräuche[[#This Row],[2024]],"&lt;&gt;"), ""),IF($B$57&lt;Klisz_Verbräuche[[#Headers],[2025]],IF(COUNTIF($F157:Klisz_Verbräuche[[#This Row],[2024]],"&gt;0")&gt;0,IF(COUNTIF($F157:Klisz_Verbräuche[[#This Row],[2024]],"&gt;0")&gt;0,Klisz_Verbräuche[[#This Row],[2024]]*(1-$E157)^1, ""), ""),IF($B$57&gt;Klisz_Verbräuche[[#Headers],[2025]],Refsz_Verbräuche[[#This Row],[2025]],"")))</f>
        <v/>
      </c>
      <c r="Q157" s="57" t="str">
        <f>IF(Klisz_Verbräuche[[#Headers],[2026]]=$B$57,IF(COUNTIF($F157:Klisz_Verbräuche[[#This Row],[2025]],"&gt;0")&gt;0, AVERAGEIF($F157:Klisz_Verbräuche[[#This Row],[2025]],"&lt;&gt;"), ""),IF($B$57&lt;Klisz_Verbräuche[[#Headers],[2026]],IF(COUNTIF($F157:Klisz_Verbräuche[[#This Row],[2025]],"&gt;0")&gt;0,IF(COUNTIF($F157:Klisz_Verbräuche[[#This Row],[2025]],"&gt;0")&gt;0,Klisz_Verbräuche[[#This Row],[2025]]*(1-$E157)^1, ""), ""),IF($B$57&gt;Klisz_Verbräuche[[#Headers],[2026]],Refsz_Verbräuche[[#This Row],[2026]],"")))</f>
        <v/>
      </c>
      <c r="R157" s="57" t="str">
        <f>IF(Klisz_Verbräuche[[#Headers],[2027]]=$B$57,IF(COUNTIF($F157:Klisz_Verbräuche[[#This Row],[2026]],"&gt;0")&gt;0, AVERAGEIF($F157:Klisz_Verbräuche[[#This Row],[2026]],"&lt;&gt;"), ""),IF($B$57&lt;Klisz_Verbräuche[[#Headers],[2027]],IF(COUNTIF($F157:Klisz_Verbräuche[[#This Row],[2026]],"&gt;0")&gt;0,IF(COUNTIF($F157:Klisz_Verbräuche[[#This Row],[2026]],"&gt;0")&gt;0,Klisz_Verbräuche[[#This Row],[2026]]*(1-$E157)^1, ""), ""),IF($B$57&gt;Klisz_Verbräuche[[#Headers],[2027]],Refsz_Verbräuche[[#This Row],[2027]],"")))</f>
        <v/>
      </c>
      <c r="S157" s="57" t="str">
        <f>IF(Klisz_Verbräuche[[#Headers],[2028]]=$B$57,IF(COUNTIF($F157:Klisz_Verbräuche[[#This Row],[2027]],"&gt;0")&gt;0, AVERAGEIF($F157:Klisz_Verbräuche[[#This Row],[2027]],"&lt;&gt;"), ""),IF($B$57&lt;Klisz_Verbräuche[[#Headers],[2028]],IF(COUNTIF($F157:Klisz_Verbräuche[[#This Row],[2027]],"&gt;0")&gt;0,IF(COUNTIF($F157:Klisz_Verbräuche[[#This Row],[2027]],"&gt;0")&gt;0,Klisz_Verbräuche[[#This Row],[2027]]*(1-$E157)^1, ""), ""),IF($B$57&gt;Klisz_Verbräuche[[#Headers],[2028]],Refsz_Verbräuche[[#This Row],[2028]],"")))</f>
        <v/>
      </c>
      <c r="T157" s="57" t="str">
        <f>IF(Klisz_Verbräuche[[#Headers],[2029]]=$B$57,IF(COUNTIF($F157:Klisz_Verbräuche[[#This Row],[2028]],"&gt;0")&gt;0, AVERAGEIF($F157:Klisz_Verbräuche[[#This Row],[2028]],"&lt;&gt;"), ""),IF($B$57&lt;Klisz_Verbräuche[[#Headers],[2029]],IF(COUNTIF($F157:Klisz_Verbräuche[[#This Row],[2028]],"&gt;0")&gt;0,IF(COUNTIF($F157:Klisz_Verbräuche[[#This Row],[2028]],"&gt;0")&gt;0,Klisz_Verbräuche[[#This Row],[2028]]*(1-$E157)^1, ""), ""),IF($B$57&gt;Klisz_Verbräuche[[#Headers],[2029]],Refsz_Verbräuche[[#This Row],[2029]],"")))</f>
        <v/>
      </c>
      <c r="U157" s="57" t="str">
        <f>IF(Klisz_Verbräuche[[#Headers],[2030]]=$B$57,IF(COUNTIF($F157:Klisz_Verbräuche[[#This Row],[2029]],"&gt;0")&gt;0, AVERAGEIF($F157:Klisz_Verbräuche[[#This Row],[2029]],"&lt;&gt;"), ""),IF($B$57&lt;Klisz_Verbräuche[[#Headers],[2030]],IF(COUNTIF($F157:Klisz_Verbräuche[[#This Row],[2029]],"&gt;0")&gt;0,IF(COUNTIF($F157:Klisz_Verbräuche[[#This Row],[2029]],"&gt;0")&gt;0,Klisz_Verbräuche[[#This Row],[2029]]*(1-$E157)^1, ""), ""),IF($B$57&gt;Klisz_Verbräuche[[#Headers],[2030]],Refsz_Verbräuche[[#This Row],[2030]],"")))</f>
        <v/>
      </c>
      <c r="V157" s="57" t="str">
        <f>IF(Klisz_Verbräuche[[#Headers],[2035]]=$B$57,IF(COUNTIF($F157:Klisz_Verbräuche[[#This Row],[2030]],"&gt;0")&gt;0, AVERAGEIF($F157:Klisz_Verbräuche[[#This Row],[2030]],"&lt;&gt;"), ""),IF($B$57&lt;Klisz_Verbräuche[[#Headers],[2035]],IF(COUNTIF($F157:Klisz_Verbräuche[[#This Row],[2030]],"&gt;0")&gt;0,IF(COUNTIF($F157:Klisz_Verbräuche[[#This Row],[2030]],"&gt;0")&gt;0,Klisz_Verbräuche[[#This Row],[2030]]*(1-$E157)^5, ""), ""),IF($B$57&gt;Klisz_Verbräuche[[#Headers],[2035]],Refsz_Verbräuche[[#This Row],[2035]],"")))</f>
        <v/>
      </c>
      <c r="W157" s="57" t="str">
        <f>IF(Klisz_Verbräuche[[#Headers],[2040]]=$B$57,IF(COUNTIF($F157:Klisz_Verbräuche[[#This Row],[2035]],"&gt;0")&gt;0, AVERAGEIF($F157:Klisz_Verbräuche[[#This Row],[2035]],"&lt;&gt;"), ""),IF($B$57&lt;Klisz_Verbräuche[[#Headers],[2040]],IF(COUNTIF($F157:Klisz_Verbräuche[[#This Row],[2035]],"&gt;0")&gt;0,IF(COUNTIF($F157:Klisz_Verbräuche[[#This Row],[2035]],"&gt;0")&gt;0,Klisz_Verbräuche[[#This Row],[2035]]*(1-$E157)^5, ""), ""),IF($B$57&gt;Klisz_Verbräuche[[#Headers],[2040]],Refsz_Verbräuche[[#This Row],[2040]],"")))</f>
        <v/>
      </c>
      <c r="X157" s="57" t="str">
        <f>IF(Klisz_Verbräuche[[#Headers],[2045]]=$B$57,IF(COUNTIF($F157:Klisz_Verbräuche[[#This Row],[2040]],"&gt;0")&gt;0, AVERAGEIF($F157:Klisz_Verbräuche[[#This Row],[2040]],"&lt;&gt;"), ""),IF($B$57&lt;Klisz_Verbräuche[[#Headers],[2045]],IF(COUNTIF($F157:Klisz_Verbräuche[[#This Row],[2040]],"&gt;0")&gt;0,IF(COUNTIF($F157:Klisz_Verbräuche[[#This Row],[2040]],"&gt;0")&gt;0,Klisz_Verbräuche[[#This Row],[2040]]*(1-$E157)^5, ""), ""),IF($B$57&gt;Klisz_Verbräuche[[#Headers],[2045]],Refsz_Verbräuche[[#This Row],[2045]],"")))</f>
        <v/>
      </c>
      <c r="Y157" s="57" t="str">
        <f>IF(Klisz_Verbräuche[[#Headers],[2050]]=$B$57,IF(COUNTIF($F157:Klisz_Verbräuche[[#This Row],[2045]],"&gt;0")&gt;0, AVERAGEIF($F157:Klisz_Verbräuche[[#This Row],[2045]],"&lt;&gt;"), ""),IF($B$57&lt;Klisz_Verbräuche[[#Headers],[2050]],IF(COUNTIF($F157:Klisz_Verbräuche[[#This Row],[2045]],"&gt;0")&gt;0,IF(COUNTIF($F157:Klisz_Verbräuche[[#This Row],[2045]],"&gt;0")&gt;0,Klisz_Verbräuche[[#This Row],[2045]]*(1-$E157)^5, ""), ""),IF($B$57&gt;Klisz_Verbräuche[[#Headers],[2050]],Refsz_Verbräuche[[#This Row],[2050]],"")))</f>
        <v/>
      </c>
      <c r="Z157" s="15"/>
    </row>
    <row r="158" spans="2:26" x14ac:dyDescent="0.35">
      <c r="B158" s="15">
        <v>98</v>
      </c>
      <c r="C158" s="20" t="str">
        <f>Refsz_Verbräuche[[#This Row],[Datenpunkt]]</f>
        <v>Docking-Station</v>
      </c>
      <c r="D158" s="29" t="str">
        <f>Refsz_Verbräuche[[#This Row],[Einheit]]</f>
        <v>Stk</v>
      </c>
      <c r="E158" s="122"/>
      <c r="F158" s="15" t="str">
        <f>IF(ISBLANK(Refsz_Verbräuche[[#This Row],[2015]]),"",Refsz_Verbräuche[[#This Row],[2015]])</f>
        <v/>
      </c>
      <c r="G158" s="15" t="str">
        <f>IF(ISBLANK(Refsz_Verbräuche[[#This Row],[2016]]),"",Refsz_Verbräuche[[#This Row],[2016]])</f>
        <v/>
      </c>
      <c r="H158" s="15" t="str">
        <f>IF(ISBLANK(Refsz_Verbräuche[[#This Row],[2017]]),"",Refsz_Verbräuche[[#This Row],[2017]])</f>
        <v/>
      </c>
      <c r="I158" s="15" t="str">
        <f>IF(ISBLANK(Refsz_Verbräuche[[#This Row],[2018]]),"",Refsz_Verbräuche[[#This Row],[2018]])</f>
        <v/>
      </c>
      <c r="J158" s="15" t="str">
        <f>IF(ISBLANK(Refsz_Verbräuche[[#This Row],[2019]]),"",Refsz_Verbräuche[[#This Row],[2019]])</f>
        <v/>
      </c>
      <c r="K158" s="15" t="str">
        <f>IF(ISBLANK(Refsz_Verbräuche[[#This Row],[2020]]),"",Refsz_Verbräuche[[#This Row],[2020]])</f>
        <v/>
      </c>
      <c r="L158" s="15" t="str">
        <f>IF(ISBLANK(Refsz_Verbräuche[[#This Row],[2021]]),"",Refsz_Verbräuche[[#This Row],[2021]])</f>
        <v/>
      </c>
      <c r="M158" s="57" t="str">
        <f>IF(Klisz_Verbräuche[[#Headers],[2022]]=$B$57,IF(COUNTIF($F158:Klisz_Verbräuche[[#This Row],[2021]],"&gt;0")&gt;0, AVERAGEIF($F158:Klisz_Verbräuche[[#This Row],[2021]],"&lt;&gt;"), ""),IF($B$57&lt;Klisz_Verbräuche[[#Headers],[2022]],IF(COUNTIF($F158:Klisz_Verbräuche[[#This Row],[2021]],"&gt;0")&gt;0,IF(COUNTIF($F158:Klisz_Verbräuche[[#This Row],[2021]],"&gt;0")&gt;0,Klisz_Verbräuche[[#This Row],[2021]]*(1-$E158)^1, ""), ""),IF($B$57&gt;Klisz_Verbräuche[[#Headers],[2022]],Refsz_Verbräuche[[#This Row],[2022]],"")))</f>
        <v/>
      </c>
      <c r="N158" s="57" t="str">
        <f>IF(Klisz_Verbräuche[[#Headers],[2023]]=$B$57,IF(COUNTIF($F158:Klisz_Verbräuche[[#This Row],[2022]],"&gt;0")&gt;0, AVERAGEIF($F158:Klisz_Verbräuche[[#This Row],[2022]],"&lt;&gt;"), ""),IF($B$57&lt;Klisz_Verbräuche[[#Headers],[2023]],IF(COUNTIF($F158:Klisz_Verbräuche[[#This Row],[2022]],"&gt;0")&gt;0,IF(COUNTIF($F158:Klisz_Verbräuche[[#This Row],[2022]],"&gt;0")&gt;0,Klisz_Verbräuche[[#This Row],[2022]]*(1-$E158)^1, ""), ""),IF($B$57&gt;Klisz_Verbräuche[[#Headers],[2023]],Refsz_Verbräuche[[#This Row],[2023]],"")))</f>
        <v/>
      </c>
      <c r="O158" s="57" t="str">
        <f>IF(Klisz_Verbräuche[[#Headers],[2024]]=$B$57,IF(COUNTIF($F158:Klisz_Verbräuche[[#This Row],[2023]],"&gt;0")&gt;0, AVERAGEIF($F158:Klisz_Verbräuche[[#This Row],[2023]],"&lt;&gt;"), ""),IF($B$57&lt;Klisz_Verbräuche[[#Headers],[2024]],IF(COUNTIF($F158:Klisz_Verbräuche[[#This Row],[2023]],"&gt;0")&gt;0,IF(COUNTIF($F158:Klisz_Verbräuche[[#This Row],[2023]],"&gt;0")&gt;0,Klisz_Verbräuche[[#This Row],[2023]]*(1-$E158)^1, ""), ""),IF($B$57&gt;Klisz_Verbräuche[[#Headers],[2024]],Refsz_Verbräuche[[#This Row],[2024]],"")))</f>
        <v/>
      </c>
      <c r="P158" s="57" t="str">
        <f>IF(Klisz_Verbräuche[[#Headers],[2025]]=$B$57,IF(COUNTIF($F158:Klisz_Verbräuche[[#This Row],[2024]],"&gt;0")&gt;0, AVERAGEIF($F158:Klisz_Verbräuche[[#This Row],[2024]],"&lt;&gt;"), ""),IF($B$57&lt;Klisz_Verbräuche[[#Headers],[2025]],IF(COUNTIF($F158:Klisz_Verbräuche[[#This Row],[2024]],"&gt;0")&gt;0,IF(COUNTIF($F158:Klisz_Verbräuche[[#This Row],[2024]],"&gt;0")&gt;0,Klisz_Verbräuche[[#This Row],[2024]]*(1-$E158)^1, ""), ""),IF($B$57&gt;Klisz_Verbräuche[[#Headers],[2025]],Refsz_Verbräuche[[#This Row],[2025]],"")))</f>
        <v/>
      </c>
      <c r="Q158" s="57" t="str">
        <f>IF(Klisz_Verbräuche[[#Headers],[2026]]=$B$57,IF(COUNTIF($F158:Klisz_Verbräuche[[#This Row],[2025]],"&gt;0")&gt;0, AVERAGEIF($F158:Klisz_Verbräuche[[#This Row],[2025]],"&lt;&gt;"), ""),IF($B$57&lt;Klisz_Verbräuche[[#Headers],[2026]],IF(COUNTIF($F158:Klisz_Verbräuche[[#This Row],[2025]],"&gt;0")&gt;0,IF(COUNTIF($F158:Klisz_Verbräuche[[#This Row],[2025]],"&gt;0")&gt;0,Klisz_Verbräuche[[#This Row],[2025]]*(1-$E158)^1, ""), ""),IF($B$57&gt;Klisz_Verbräuche[[#Headers],[2026]],Refsz_Verbräuche[[#This Row],[2026]],"")))</f>
        <v/>
      </c>
      <c r="R158" s="57" t="str">
        <f>IF(Klisz_Verbräuche[[#Headers],[2027]]=$B$57,IF(COUNTIF($F158:Klisz_Verbräuche[[#This Row],[2026]],"&gt;0")&gt;0, AVERAGEIF($F158:Klisz_Verbräuche[[#This Row],[2026]],"&lt;&gt;"), ""),IF($B$57&lt;Klisz_Verbräuche[[#Headers],[2027]],IF(COUNTIF($F158:Klisz_Verbräuche[[#This Row],[2026]],"&gt;0")&gt;0,IF(COUNTIF($F158:Klisz_Verbräuche[[#This Row],[2026]],"&gt;0")&gt;0,Klisz_Verbräuche[[#This Row],[2026]]*(1-$E158)^1, ""), ""),IF($B$57&gt;Klisz_Verbräuche[[#Headers],[2027]],Refsz_Verbräuche[[#This Row],[2027]],"")))</f>
        <v/>
      </c>
      <c r="S158" s="57" t="str">
        <f>IF(Klisz_Verbräuche[[#Headers],[2028]]=$B$57,IF(COUNTIF($F158:Klisz_Verbräuche[[#This Row],[2027]],"&gt;0")&gt;0, AVERAGEIF($F158:Klisz_Verbräuche[[#This Row],[2027]],"&lt;&gt;"), ""),IF($B$57&lt;Klisz_Verbräuche[[#Headers],[2028]],IF(COUNTIF($F158:Klisz_Verbräuche[[#This Row],[2027]],"&gt;0")&gt;0,IF(COUNTIF($F158:Klisz_Verbräuche[[#This Row],[2027]],"&gt;0")&gt;0,Klisz_Verbräuche[[#This Row],[2027]]*(1-$E158)^1, ""), ""),IF($B$57&gt;Klisz_Verbräuche[[#Headers],[2028]],Refsz_Verbräuche[[#This Row],[2028]],"")))</f>
        <v/>
      </c>
      <c r="T158" s="57" t="str">
        <f>IF(Klisz_Verbräuche[[#Headers],[2029]]=$B$57,IF(COUNTIF($F158:Klisz_Verbräuche[[#This Row],[2028]],"&gt;0")&gt;0, AVERAGEIF($F158:Klisz_Verbräuche[[#This Row],[2028]],"&lt;&gt;"), ""),IF($B$57&lt;Klisz_Verbräuche[[#Headers],[2029]],IF(COUNTIF($F158:Klisz_Verbräuche[[#This Row],[2028]],"&gt;0")&gt;0,IF(COUNTIF($F158:Klisz_Verbräuche[[#This Row],[2028]],"&gt;0")&gt;0,Klisz_Verbräuche[[#This Row],[2028]]*(1-$E158)^1, ""), ""),IF($B$57&gt;Klisz_Verbräuche[[#Headers],[2029]],Refsz_Verbräuche[[#This Row],[2029]],"")))</f>
        <v/>
      </c>
      <c r="U158" s="57" t="str">
        <f>IF(Klisz_Verbräuche[[#Headers],[2030]]=$B$57,IF(COUNTIF($F158:Klisz_Verbräuche[[#This Row],[2029]],"&gt;0")&gt;0, AVERAGEIF($F158:Klisz_Verbräuche[[#This Row],[2029]],"&lt;&gt;"), ""),IF($B$57&lt;Klisz_Verbräuche[[#Headers],[2030]],IF(COUNTIF($F158:Klisz_Verbräuche[[#This Row],[2029]],"&gt;0")&gt;0,IF(COUNTIF($F158:Klisz_Verbräuche[[#This Row],[2029]],"&gt;0")&gt;0,Klisz_Verbräuche[[#This Row],[2029]]*(1-$E158)^1, ""), ""),IF($B$57&gt;Klisz_Verbräuche[[#Headers],[2030]],Refsz_Verbräuche[[#This Row],[2030]],"")))</f>
        <v/>
      </c>
      <c r="V158" s="57" t="str">
        <f>IF(Klisz_Verbräuche[[#Headers],[2035]]=$B$57,IF(COUNTIF($F158:Klisz_Verbräuche[[#This Row],[2030]],"&gt;0")&gt;0, AVERAGEIF($F158:Klisz_Verbräuche[[#This Row],[2030]],"&lt;&gt;"), ""),IF($B$57&lt;Klisz_Verbräuche[[#Headers],[2035]],IF(COUNTIF($F158:Klisz_Verbräuche[[#This Row],[2030]],"&gt;0")&gt;0,IF(COUNTIF($F158:Klisz_Verbräuche[[#This Row],[2030]],"&gt;0")&gt;0,Klisz_Verbräuche[[#This Row],[2030]]*(1-$E158)^5, ""), ""),IF($B$57&gt;Klisz_Verbräuche[[#Headers],[2035]],Refsz_Verbräuche[[#This Row],[2035]],"")))</f>
        <v/>
      </c>
      <c r="W158" s="57" t="str">
        <f>IF(Klisz_Verbräuche[[#Headers],[2040]]=$B$57,IF(COUNTIF($F158:Klisz_Verbräuche[[#This Row],[2035]],"&gt;0")&gt;0, AVERAGEIF($F158:Klisz_Verbräuche[[#This Row],[2035]],"&lt;&gt;"), ""),IF($B$57&lt;Klisz_Verbräuche[[#Headers],[2040]],IF(COUNTIF($F158:Klisz_Verbräuche[[#This Row],[2035]],"&gt;0")&gt;0,IF(COUNTIF($F158:Klisz_Verbräuche[[#This Row],[2035]],"&gt;0")&gt;0,Klisz_Verbräuche[[#This Row],[2035]]*(1-$E158)^5, ""), ""),IF($B$57&gt;Klisz_Verbräuche[[#Headers],[2040]],Refsz_Verbräuche[[#This Row],[2040]],"")))</f>
        <v/>
      </c>
      <c r="X158" s="57" t="str">
        <f>IF(Klisz_Verbräuche[[#Headers],[2045]]=$B$57,IF(COUNTIF($F158:Klisz_Verbräuche[[#This Row],[2040]],"&gt;0")&gt;0, AVERAGEIF($F158:Klisz_Verbräuche[[#This Row],[2040]],"&lt;&gt;"), ""),IF($B$57&lt;Klisz_Verbräuche[[#Headers],[2045]],IF(COUNTIF($F158:Klisz_Verbräuche[[#This Row],[2040]],"&gt;0")&gt;0,IF(COUNTIF($F158:Klisz_Verbräuche[[#This Row],[2040]],"&gt;0")&gt;0,Klisz_Verbräuche[[#This Row],[2040]]*(1-$E158)^5, ""), ""),IF($B$57&gt;Klisz_Verbräuche[[#Headers],[2045]],Refsz_Verbräuche[[#This Row],[2045]],"")))</f>
        <v/>
      </c>
      <c r="Y158" s="57" t="str">
        <f>IF(Klisz_Verbräuche[[#Headers],[2050]]=$B$57,IF(COUNTIF($F158:Klisz_Verbräuche[[#This Row],[2045]],"&gt;0")&gt;0, AVERAGEIF($F158:Klisz_Verbräuche[[#This Row],[2045]],"&lt;&gt;"), ""),IF($B$57&lt;Klisz_Verbräuche[[#Headers],[2050]],IF(COUNTIF($F158:Klisz_Verbräuche[[#This Row],[2045]],"&gt;0")&gt;0,IF(COUNTIF($F158:Klisz_Verbräuche[[#This Row],[2045]],"&gt;0")&gt;0,Klisz_Verbräuche[[#This Row],[2045]]*(1-$E158)^5, ""), ""),IF($B$57&gt;Klisz_Verbräuche[[#Headers],[2050]],Refsz_Verbräuche[[#This Row],[2050]],"")))</f>
        <v/>
      </c>
      <c r="Z158" s="15"/>
    </row>
    <row r="159" spans="2:26" ht="12.65" customHeight="1" x14ac:dyDescent="0.35">
      <c r="B159" s="15">
        <v>99</v>
      </c>
      <c r="C159" s="20" t="str">
        <f>Refsz_Verbräuche[[#This Row],[Datenpunkt]]</f>
        <v>Laserdrucker</v>
      </c>
      <c r="D159" s="29" t="str">
        <f>Refsz_Verbräuche[[#This Row],[Einheit]]</f>
        <v>Stk</v>
      </c>
      <c r="E159" s="122"/>
      <c r="F159" s="15" t="str">
        <f>IF(ISBLANK(Refsz_Verbräuche[[#This Row],[2015]]),"",Refsz_Verbräuche[[#This Row],[2015]])</f>
        <v/>
      </c>
      <c r="G159" s="15" t="str">
        <f>IF(ISBLANK(Refsz_Verbräuche[[#This Row],[2016]]),"",Refsz_Verbräuche[[#This Row],[2016]])</f>
        <v/>
      </c>
      <c r="H159" s="15" t="str">
        <f>IF(ISBLANK(Refsz_Verbräuche[[#This Row],[2017]]),"",Refsz_Verbräuche[[#This Row],[2017]])</f>
        <v/>
      </c>
      <c r="I159" s="15" t="str">
        <f>IF(ISBLANK(Refsz_Verbräuche[[#This Row],[2018]]),"",Refsz_Verbräuche[[#This Row],[2018]])</f>
        <v/>
      </c>
      <c r="J159" s="15" t="str">
        <f>IF(ISBLANK(Refsz_Verbräuche[[#This Row],[2019]]),"",Refsz_Verbräuche[[#This Row],[2019]])</f>
        <v/>
      </c>
      <c r="K159" s="15" t="str">
        <f>IF(ISBLANK(Refsz_Verbräuche[[#This Row],[2020]]),"",Refsz_Verbräuche[[#This Row],[2020]])</f>
        <v/>
      </c>
      <c r="L159" s="15" t="str">
        <f>IF(ISBLANK(Refsz_Verbräuche[[#This Row],[2021]]),"",Refsz_Verbräuche[[#This Row],[2021]])</f>
        <v/>
      </c>
      <c r="M159" s="57" t="str">
        <f>IF(Klisz_Verbräuche[[#Headers],[2022]]=$B$57,IF(COUNTIF($F159:Klisz_Verbräuche[[#This Row],[2021]],"&gt;0")&gt;0, AVERAGEIF($F159:Klisz_Verbräuche[[#This Row],[2021]],"&lt;&gt;"), ""),IF($B$57&lt;Klisz_Verbräuche[[#Headers],[2022]],IF(COUNTIF($F159:Klisz_Verbräuche[[#This Row],[2021]],"&gt;0")&gt;0,IF(COUNTIF($F159:Klisz_Verbräuche[[#This Row],[2021]],"&gt;0")&gt;0,Klisz_Verbräuche[[#This Row],[2021]]*(1-$E159)^1, ""), ""),IF($B$57&gt;Klisz_Verbräuche[[#Headers],[2022]],Refsz_Verbräuche[[#This Row],[2022]],"")))</f>
        <v/>
      </c>
      <c r="N159" s="57" t="str">
        <f>IF(Klisz_Verbräuche[[#Headers],[2023]]=$B$57,IF(COUNTIF($F159:Klisz_Verbräuche[[#This Row],[2022]],"&gt;0")&gt;0, AVERAGEIF($F159:Klisz_Verbräuche[[#This Row],[2022]],"&lt;&gt;"), ""),IF($B$57&lt;Klisz_Verbräuche[[#Headers],[2023]],IF(COUNTIF($F159:Klisz_Verbräuche[[#This Row],[2022]],"&gt;0")&gt;0,IF(COUNTIF($F159:Klisz_Verbräuche[[#This Row],[2022]],"&gt;0")&gt;0,Klisz_Verbräuche[[#This Row],[2022]]*(1-$E159)^1, ""), ""),IF($B$57&gt;Klisz_Verbräuche[[#Headers],[2023]],Refsz_Verbräuche[[#This Row],[2023]],"")))</f>
        <v/>
      </c>
      <c r="O159" s="57" t="str">
        <f>IF(Klisz_Verbräuche[[#Headers],[2024]]=$B$57,IF(COUNTIF($F159:Klisz_Verbräuche[[#This Row],[2023]],"&gt;0")&gt;0, AVERAGEIF($F159:Klisz_Verbräuche[[#This Row],[2023]],"&lt;&gt;"), ""),IF($B$57&lt;Klisz_Verbräuche[[#Headers],[2024]],IF(COUNTIF($F159:Klisz_Verbräuche[[#This Row],[2023]],"&gt;0")&gt;0,IF(COUNTIF($F159:Klisz_Verbräuche[[#This Row],[2023]],"&gt;0")&gt;0,Klisz_Verbräuche[[#This Row],[2023]]*(1-$E159)^1, ""), ""),IF($B$57&gt;Klisz_Verbräuche[[#Headers],[2024]],Refsz_Verbräuche[[#This Row],[2024]],"")))</f>
        <v/>
      </c>
      <c r="P159" s="57" t="str">
        <f>IF(Klisz_Verbräuche[[#Headers],[2025]]=$B$57,IF(COUNTIF($F159:Klisz_Verbräuche[[#This Row],[2024]],"&gt;0")&gt;0, AVERAGEIF($F159:Klisz_Verbräuche[[#This Row],[2024]],"&lt;&gt;"), ""),IF($B$57&lt;Klisz_Verbräuche[[#Headers],[2025]],IF(COUNTIF($F159:Klisz_Verbräuche[[#This Row],[2024]],"&gt;0")&gt;0,IF(COUNTIF($F159:Klisz_Verbräuche[[#This Row],[2024]],"&gt;0")&gt;0,Klisz_Verbräuche[[#This Row],[2024]]*(1-$E159)^1, ""), ""),IF($B$57&gt;Klisz_Verbräuche[[#Headers],[2025]],Refsz_Verbräuche[[#This Row],[2025]],"")))</f>
        <v/>
      </c>
      <c r="Q159" s="57" t="str">
        <f>IF(Klisz_Verbräuche[[#Headers],[2026]]=$B$57,IF(COUNTIF($F159:Klisz_Verbräuche[[#This Row],[2025]],"&gt;0")&gt;0, AVERAGEIF($F159:Klisz_Verbräuche[[#This Row],[2025]],"&lt;&gt;"), ""),IF($B$57&lt;Klisz_Verbräuche[[#Headers],[2026]],IF(COUNTIF($F159:Klisz_Verbräuche[[#This Row],[2025]],"&gt;0")&gt;0,IF(COUNTIF($F159:Klisz_Verbräuche[[#This Row],[2025]],"&gt;0")&gt;0,Klisz_Verbräuche[[#This Row],[2025]]*(1-$E159)^1, ""), ""),IF($B$57&gt;Klisz_Verbräuche[[#Headers],[2026]],Refsz_Verbräuche[[#This Row],[2026]],"")))</f>
        <v/>
      </c>
      <c r="R159" s="57" t="str">
        <f>IF(Klisz_Verbräuche[[#Headers],[2027]]=$B$57,IF(COUNTIF($F159:Klisz_Verbräuche[[#This Row],[2026]],"&gt;0")&gt;0, AVERAGEIF($F159:Klisz_Verbräuche[[#This Row],[2026]],"&lt;&gt;"), ""),IF($B$57&lt;Klisz_Verbräuche[[#Headers],[2027]],IF(COUNTIF($F159:Klisz_Verbräuche[[#This Row],[2026]],"&gt;0")&gt;0,IF(COUNTIF($F159:Klisz_Verbräuche[[#This Row],[2026]],"&gt;0")&gt;0,Klisz_Verbräuche[[#This Row],[2026]]*(1-$E159)^1, ""), ""),IF($B$57&gt;Klisz_Verbräuche[[#Headers],[2027]],Refsz_Verbräuche[[#This Row],[2027]],"")))</f>
        <v/>
      </c>
      <c r="S159" s="57" t="str">
        <f>IF(Klisz_Verbräuche[[#Headers],[2028]]=$B$57,IF(COUNTIF($F159:Klisz_Verbräuche[[#This Row],[2027]],"&gt;0")&gt;0, AVERAGEIF($F159:Klisz_Verbräuche[[#This Row],[2027]],"&lt;&gt;"), ""),IF($B$57&lt;Klisz_Verbräuche[[#Headers],[2028]],IF(COUNTIF($F159:Klisz_Verbräuche[[#This Row],[2027]],"&gt;0")&gt;0,IF(COUNTIF($F159:Klisz_Verbräuche[[#This Row],[2027]],"&gt;0")&gt;0,Klisz_Verbräuche[[#This Row],[2027]]*(1-$E159)^1, ""), ""),IF($B$57&gt;Klisz_Verbräuche[[#Headers],[2028]],Refsz_Verbräuche[[#This Row],[2028]],"")))</f>
        <v/>
      </c>
      <c r="T159" s="57" t="str">
        <f>IF(Klisz_Verbräuche[[#Headers],[2029]]=$B$57,IF(COUNTIF($F159:Klisz_Verbräuche[[#This Row],[2028]],"&gt;0")&gt;0, AVERAGEIF($F159:Klisz_Verbräuche[[#This Row],[2028]],"&lt;&gt;"), ""),IF($B$57&lt;Klisz_Verbräuche[[#Headers],[2029]],IF(COUNTIF($F159:Klisz_Verbräuche[[#This Row],[2028]],"&gt;0")&gt;0,IF(COUNTIF($F159:Klisz_Verbräuche[[#This Row],[2028]],"&gt;0")&gt;0,Klisz_Verbräuche[[#This Row],[2028]]*(1-$E159)^1, ""), ""),IF($B$57&gt;Klisz_Verbräuche[[#Headers],[2029]],Refsz_Verbräuche[[#This Row],[2029]],"")))</f>
        <v/>
      </c>
      <c r="U159" s="57" t="str">
        <f>IF(Klisz_Verbräuche[[#Headers],[2030]]=$B$57,IF(COUNTIF($F159:Klisz_Verbräuche[[#This Row],[2029]],"&gt;0")&gt;0, AVERAGEIF($F159:Klisz_Verbräuche[[#This Row],[2029]],"&lt;&gt;"), ""),IF($B$57&lt;Klisz_Verbräuche[[#Headers],[2030]],IF(COUNTIF($F159:Klisz_Verbräuche[[#This Row],[2029]],"&gt;0")&gt;0,IF(COUNTIF($F159:Klisz_Verbräuche[[#This Row],[2029]],"&gt;0")&gt;0,Klisz_Verbräuche[[#This Row],[2029]]*(1-$E159)^1, ""), ""),IF($B$57&gt;Klisz_Verbräuche[[#Headers],[2030]],Refsz_Verbräuche[[#This Row],[2030]],"")))</f>
        <v/>
      </c>
      <c r="V159" s="57" t="str">
        <f>IF(Klisz_Verbräuche[[#Headers],[2035]]=$B$57,IF(COUNTIF($F159:Klisz_Verbräuche[[#This Row],[2030]],"&gt;0")&gt;0, AVERAGEIF($F159:Klisz_Verbräuche[[#This Row],[2030]],"&lt;&gt;"), ""),IF($B$57&lt;Klisz_Verbräuche[[#Headers],[2035]],IF(COUNTIF($F159:Klisz_Verbräuche[[#This Row],[2030]],"&gt;0")&gt;0,IF(COUNTIF($F159:Klisz_Verbräuche[[#This Row],[2030]],"&gt;0")&gt;0,Klisz_Verbräuche[[#This Row],[2030]]*(1-$E159)^5, ""), ""),IF($B$57&gt;Klisz_Verbräuche[[#Headers],[2035]],Refsz_Verbräuche[[#This Row],[2035]],"")))</f>
        <v/>
      </c>
      <c r="W159" s="57" t="str">
        <f>IF(Klisz_Verbräuche[[#Headers],[2040]]=$B$57,IF(COUNTIF($F159:Klisz_Verbräuche[[#This Row],[2035]],"&gt;0")&gt;0, AVERAGEIF($F159:Klisz_Verbräuche[[#This Row],[2035]],"&lt;&gt;"), ""),IF($B$57&lt;Klisz_Verbräuche[[#Headers],[2040]],IF(COUNTIF($F159:Klisz_Verbräuche[[#This Row],[2035]],"&gt;0")&gt;0,IF(COUNTIF($F159:Klisz_Verbräuche[[#This Row],[2035]],"&gt;0")&gt;0,Klisz_Verbräuche[[#This Row],[2035]]*(1-$E159)^5, ""), ""),IF($B$57&gt;Klisz_Verbräuche[[#Headers],[2040]],Refsz_Verbräuche[[#This Row],[2040]],"")))</f>
        <v/>
      </c>
      <c r="X159" s="57" t="str">
        <f>IF(Klisz_Verbräuche[[#Headers],[2045]]=$B$57,IF(COUNTIF($F159:Klisz_Verbräuche[[#This Row],[2040]],"&gt;0")&gt;0, AVERAGEIF($F159:Klisz_Verbräuche[[#This Row],[2040]],"&lt;&gt;"), ""),IF($B$57&lt;Klisz_Verbräuche[[#Headers],[2045]],IF(COUNTIF($F159:Klisz_Verbräuche[[#This Row],[2040]],"&gt;0")&gt;0,IF(COUNTIF($F159:Klisz_Verbräuche[[#This Row],[2040]],"&gt;0")&gt;0,Klisz_Verbräuche[[#This Row],[2040]]*(1-$E159)^5, ""), ""),IF($B$57&gt;Klisz_Verbräuche[[#Headers],[2045]],Refsz_Verbräuche[[#This Row],[2045]],"")))</f>
        <v/>
      </c>
      <c r="Y159" s="57" t="str">
        <f>IF(Klisz_Verbräuche[[#Headers],[2050]]=$B$57,IF(COUNTIF($F159:Klisz_Verbräuche[[#This Row],[2045]],"&gt;0")&gt;0, AVERAGEIF($F159:Klisz_Verbräuche[[#This Row],[2045]],"&lt;&gt;"), ""),IF($B$57&lt;Klisz_Verbräuche[[#Headers],[2050]],IF(COUNTIF($F159:Klisz_Verbräuche[[#This Row],[2045]],"&gt;0")&gt;0,IF(COUNTIF($F159:Klisz_Verbräuche[[#This Row],[2045]],"&gt;0")&gt;0,Klisz_Verbräuche[[#This Row],[2045]]*(1-$E159)^5, ""), ""),IF($B$57&gt;Klisz_Verbräuche[[#Headers],[2050]],Refsz_Verbräuche[[#This Row],[2050]],"")))</f>
        <v/>
      </c>
      <c r="Z159" s="15"/>
    </row>
    <row r="160" spans="2:26" ht="14.15" customHeight="1" x14ac:dyDescent="0.35">
      <c r="B160" s="15">
        <v>100</v>
      </c>
      <c r="C160" s="20" t="str">
        <f>Refsz_Verbräuche[[#This Row],[Datenpunkt]]</f>
        <v>Multifunktionsdrucker klein (31 x 44 x 42 cm)</v>
      </c>
      <c r="D160" s="29" t="str">
        <f>Refsz_Verbräuche[[#This Row],[Einheit]]</f>
        <v>Stk</v>
      </c>
      <c r="E160" s="122"/>
      <c r="F160" s="15" t="str">
        <f>IF(ISBLANK(Refsz_Verbräuche[[#This Row],[2015]]),"",Refsz_Verbräuche[[#This Row],[2015]])</f>
        <v/>
      </c>
      <c r="G160" s="15" t="str">
        <f>IF(ISBLANK(Refsz_Verbräuche[[#This Row],[2016]]),"",Refsz_Verbräuche[[#This Row],[2016]])</f>
        <v/>
      </c>
      <c r="H160" s="15" t="str">
        <f>IF(ISBLANK(Refsz_Verbräuche[[#This Row],[2017]]),"",Refsz_Verbräuche[[#This Row],[2017]])</f>
        <v/>
      </c>
      <c r="I160" s="15" t="str">
        <f>IF(ISBLANK(Refsz_Verbräuche[[#This Row],[2018]]),"",Refsz_Verbräuche[[#This Row],[2018]])</f>
        <v/>
      </c>
      <c r="J160" s="15" t="str">
        <f>IF(ISBLANK(Refsz_Verbräuche[[#This Row],[2019]]),"",Refsz_Verbräuche[[#This Row],[2019]])</f>
        <v/>
      </c>
      <c r="K160" s="15" t="str">
        <f>IF(ISBLANK(Refsz_Verbräuche[[#This Row],[2020]]),"",Refsz_Verbräuche[[#This Row],[2020]])</f>
        <v/>
      </c>
      <c r="L160" s="15" t="str">
        <f>IF(ISBLANK(Refsz_Verbräuche[[#This Row],[2021]]),"",Refsz_Verbräuche[[#This Row],[2021]])</f>
        <v/>
      </c>
      <c r="M160" s="57" t="str">
        <f>IF(Klisz_Verbräuche[[#Headers],[2022]]=$B$57,IF(COUNTIF($F160:Klisz_Verbräuche[[#This Row],[2021]],"&gt;0")&gt;0, AVERAGEIF($F160:Klisz_Verbräuche[[#This Row],[2021]],"&lt;&gt;"), ""),IF($B$57&lt;Klisz_Verbräuche[[#Headers],[2022]],IF(COUNTIF($F160:Klisz_Verbräuche[[#This Row],[2021]],"&gt;0")&gt;0,IF(COUNTIF($F160:Klisz_Verbräuche[[#This Row],[2021]],"&gt;0")&gt;0,Klisz_Verbräuche[[#This Row],[2021]]*(1-$E160)^1, ""), ""),IF($B$57&gt;Klisz_Verbräuche[[#Headers],[2022]],Refsz_Verbräuche[[#This Row],[2022]],"")))</f>
        <v/>
      </c>
      <c r="N160" s="57" t="str">
        <f>IF(Klisz_Verbräuche[[#Headers],[2023]]=$B$57,IF(COUNTIF($F160:Klisz_Verbräuche[[#This Row],[2022]],"&gt;0")&gt;0, AVERAGEIF($F160:Klisz_Verbräuche[[#This Row],[2022]],"&lt;&gt;"), ""),IF($B$57&lt;Klisz_Verbräuche[[#Headers],[2023]],IF(COUNTIF($F160:Klisz_Verbräuche[[#This Row],[2022]],"&gt;0")&gt;0,IF(COUNTIF($F160:Klisz_Verbräuche[[#This Row],[2022]],"&gt;0")&gt;0,Klisz_Verbräuche[[#This Row],[2022]]*(1-$E160)^1, ""), ""),IF($B$57&gt;Klisz_Verbräuche[[#Headers],[2023]],Refsz_Verbräuche[[#This Row],[2023]],"")))</f>
        <v/>
      </c>
      <c r="O160" s="57" t="str">
        <f>IF(Klisz_Verbräuche[[#Headers],[2024]]=$B$57,IF(COUNTIF($F160:Klisz_Verbräuche[[#This Row],[2023]],"&gt;0")&gt;0, AVERAGEIF($F160:Klisz_Verbräuche[[#This Row],[2023]],"&lt;&gt;"), ""),IF($B$57&lt;Klisz_Verbräuche[[#Headers],[2024]],IF(COUNTIF($F160:Klisz_Verbräuche[[#This Row],[2023]],"&gt;0")&gt;0,IF(COUNTIF($F160:Klisz_Verbräuche[[#This Row],[2023]],"&gt;0")&gt;0,Klisz_Verbräuche[[#This Row],[2023]]*(1-$E160)^1, ""), ""),IF($B$57&gt;Klisz_Verbräuche[[#Headers],[2024]],Refsz_Verbräuche[[#This Row],[2024]],"")))</f>
        <v/>
      </c>
      <c r="P160" s="57" t="str">
        <f>IF(Klisz_Verbräuche[[#Headers],[2025]]=$B$57,IF(COUNTIF($F160:Klisz_Verbräuche[[#This Row],[2024]],"&gt;0")&gt;0, AVERAGEIF($F160:Klisz_Verbräuche[[#This Row],[2024]],"&lt;&gt;"), ""),IF($B$57&lt;Klisz_Verbräuche[[#Headers],[2025]],IF(COUNTIF($F160:Klisz_Verbräuche[[#This Row],[2024]],"&gt;0")&gt;0,IF(COUNTIF($F160:Klisz_Verbräuche[[#This Row],[2024]],"&gt;0")&gt;0,Klisz_Verbräuche[[#This Row],[2024]]*(1-$E160)^1, ""), ""),IF($B$57&gt;Klisz_Verbräuche[[#Headers],[2025]],Refsz_Verbräuche[[#This Row],[2025]],"")))</f>
        <v/>
      </c>
      <c r="Q160" s="57" t="str">
        <f>IF(Klisz_Verbräuche[[#Headers],[2026]]=$B$57,IF(COUNTIF($F160:Klisz_Verbräuche[[#This Row],[2025]],"&gt;0")&gt;0, AVERAGEIF($F160:Klisz_Verbräuche[[#This Row],[2025]],"&lt;&gt;"), ""),IF($B$57&lt;Klisz_Verbräuche[[#Headers],[2026]],IF(COUNTIF($F160:Klisz_Verbräuche[[#This Row],[2025]],"&gt;0")&gt;0,IF(COUNTIF($F160:Klisz_Verbräuche[[#This Row],[2025]],"&gt;0")&gt;0,Klisz_Verbräuche[[#This Row],[2025]]*(1-$E160)^1, ""), ""),IF($B$57&gt;Klisz_Verbräuche[[#Headers],[2026]],Refsz_Verbräuche[[#This Row],[2026]],"")))</f>
        <v/>
      </c>
      <c r="R160" s="57" t="str">
        <f>IF(Klisz_Verbräuche[[#Headers],[2027]]=$B$57,IF(COUNTIF($F160:Klisz_Verbräuche[[#This Row],[2026]],"&gt;0")&gt;0, AVERAGEIF($F160:Klisz_Verbräuche[[#This Row],[2026]],"&lt;&gt;"), ""),IF($B$57&lt;Klisz_Verbräuche[[#Headers],[2027]],IF(COUNTIF($F160:Klisz_Verbräuche[[#This Row],[2026]],"&gt;0")&gt;0,IF(COUNTIF($F160:Klisz_Verbräuche[[#This Row],[2026]],"&gt;0")&gt;0,Klisz_Verbräuche[[#This Row],[2026]]*(1-$E160)^1, ""), ""),IF($B$57&gt;Klisz_Verbräuche[[#Headers],[2027]],Refsz_Verbräuche[[#This Row],[2027]],"")))</f>
        <v/>
      </c>
      <c r="S160" s="57" t="str">
        <f>IF(Klisz_Verbräuche[[#Headers],[2028]]=$B$57,IF(COUNTIF($F160:Klisz_Verbräuche[[#This Row],[2027]],"&gt;0")&gt;0, AVERAGEIF($F160:Klisz_Verbräuche[[#This Row],[2027]],"&lt;&gt;"), ""),IF($B$57&lt;Klisz_Verbräuche[[#Headers],[2028]],IF(COUNTIF($F160:Klisz_Verbräuche[[#This Row],[2027]],"&gt;0")&gt;0,IF(COUNTIF($F160:Klisz_Verbräuche[[#This Row],[2027]],"&gt;0")&gt;0,Klisz_Verbräuche[[#This Row],[2027]]*(1-$E160)^1, ""), ""),IF($B$57&gt;Klisz_Verbräuche[[#Headers],[2028]],Refsz_Verbräuche[[#This Row],[2028]],"")))</f>
        <v/>
      </c>
      <c r="T160" s="57" t="str">
        <f>IF(Klisz_Verbräuche[[#Headers],[2029]]=$B$57,IF(COUNTIF($F160:Klisz_Verbräuche[[#This Row],[2028]],"&gt;0")&gt;0, AVERAGEIF($F160:Klisz_Verbräuche[[#This Row],[2028]],"&lt;&gt;"), ""),IF($B$57&lt;Klisz_Verbräuche[[#Headers],[2029]],IF(COUNTIF($F160:Klisz_Verbräuche[[#This Row],[2028]],"&gt;0")&gt;0,IF(COUNTIF($F160:Klisz_Verbräuche[[#This Row],[2028]],"&gt;0")&gt;0,Klisz_Verbräuche[[#This Row],[2028]]*(1-$E160)^1, ""), ""),IF($B$57&gt;Klisz_Verbräuche[[#Headers],[2029]],Refsz_Verbräuche[[#This Row],[2029]],"")))</f>
        <v/>
      </c>
      <c r="U160" s="57" t="str">
        <f>IF(Klisz_Verbräuche[[#Headers],[2030]]=$B$57,IF(COUNTIF($F160:Klisz_Verbräuche[[#This Row],[2029]],"&gt;0")&gt;0, AVERAGEIF($F160:Klisz_Verbräuche[[#This Row],[2029]],"&lt;&gt;"), ""),IF($B$57&lt;Klisz_Verbräuche[[#Headers],[2030]],IF(COUNTIF($F160:Klisz_Verbräuche[[#This Row],[2029]],"&gt;0")&gt;0,IF(COUNTIF($F160:Klisz_Verbräuche[[#This Row],[2029]],"&gt;0")&gt;0,Klisz_Verbräuche[[#This Row],[2029]]*(1-$E160)^1, ""), ""),IF($B$57&gt;Klisz_Verbräuche[[#Headers],[2030]],Refsz_Verbräuche[[#This Row],[2030]],"")))</f>
        <v/>
      </c>
      <c r="V160" s="57" t="str">
        <f>IF(Klisz_Verbräuche[[#Headers],[2035]]=$B$57,IF(COUNTIF($F160:Klisz_Verbräuche[[#This Row],[2030]],"&gt;0")&gt;0, AVERAGEIF($F160:Klisz_Verbräuche[[#This Row],[2030]],"&lt;&gt;"), ""),IF($B$57&lt;Klisz_Verbräuche[[#Headers],[2035]],IF(COUNTIF($F160:Klisz_Verbräuche[[#This Row],[2030]],"&gt;0")&gt;0,IF(COUNTIF($F160:Klisz_Verbräuche[[#This Row],[2030]],"&gt;0")&gt;0,Klisz_Verbräuche[[#This Row],[2030]]*(1-$E160)^5, ""), ""),IF($B$57&gt;Klisz_Verbräuche[[#Headers],[2035]],Refsz_Verbräuche[[#This Row],[2035]],"")))</f>
        <v/>
      </c>
      <c r="W160" s="57" t="str">
        <f>IF(Klisz_Verbräuche[[#Headers],[2040]]=$B$57,IF(COUNTIF($F160:Klisz_Verbräuche[[#This Row],[2035]],"&gt;0")&gt;0, AVERAGEIF($F160:Klisz_Verbräuche[[#This Row],[2035]],"&lt;&gt;"), ""),IF($B$57&lt;Klisz_Verbräuche[[#Headers],[2040]],IF(COUNTIF($F160:Klisz_Verbräuche[[#This Row],[2035]],"&gt;0")&gt;0,IF(COUNTIF($F160:Klisz_Verbräuche[[#This Row],[2035]],"&gt;0")&gt;0,Klisz_Verbräuche[[#This Row],[2035]]*(1-$E160)^5, ""), ""),IF($B$57&gt;Klisz_Verbräuche[[#Headers],[2040]],Refsz_Verbräuche[[#This Row],[2040]],"")))</f>
        <v/>
      </c>
      <c r="X160" s="57" t="str">
        <f>IF(Klisz_Verbräuche[[#Headers],[2045]]=$B$57,IF(COUNTIF($F160:Klisz_Verbräuche[[#This Row],[2040]],"&gt;0")&gt;0, AVERAGEIF($F160:Klisz_Verbräuche[[#This Row],[2040]],"&lt;&gt;"), ""),IF($B$57&lt;Klisz_Verbräuche[[#Headers],[2045]],IF(COUNTIF($F160:Klisz_Verbräuche[[#This Row],[2040]],"&gt;0")&gt;0,IF(COUNTIF($F160:Klisz_Verbräuche[[#This Row],[2040]],"&gt;0")&gt;0,Klisz_Verbräuche[[#This Row],[2040]]*(1-$E160)^5, ""), ""),IF($B$57&gt;Klisz_Verbräuche[[#Headers],[2045]],Refsz_Verbräuche[[#This Row],[2045]],"")))</f>
        <v/>
      </c>
      <c r="Y160" s="57" t="str">
        <f>IF(Klisz_Verbräuche[[#Headers],[2050]]=$B$57,IF(COUNTIF($F160:Klisz_Verbräuche[[#This Row],[2045]],"&gt;0")&gt;0, AVERAGEIF($F160:Klisz_Verbräuche[[#This Row],[2045]],"&lt;&gt;"), ""),IF($B$57&lt;Klisz_Verbräuche[[#Headers],[2050]],IF(COUNTIF($F160:Klisz_Verbräuche[[#This Row],[2045]],"&gt;0")&gt;0,IF(COUNTIF($F160:Klisz_Verbräuche[[#This Row],[2045]],"&gt;0")&gt;0,Klisz_Verbräuche[[#This Row],[2045]]*(1-$E160)^5, ""), ""),IF($B$57&gt;Klisz_Verbräuche[[#Headers],[2050]],Refsz_Verbräuche[[#This Row],[2050]],"")))</f>
        <v/>
      </c>
      <c r="Z160" s="15"/>
    </row>
    <row r="161" spans="2:26" ht="14.15" customHeight="1" x14ac:dyDescent="0.35">
      <c r="B161" s="15">
        <v>101</v>
      </c>
      <c r="C161" s="20" t="str">
        <f>Refsz_Verbräuche[[#This Row],[Datenpunkt]]</f>
        <v>Multifunktionsdrucker mittel (54 x 56 x 52 cm)</v>
      </c>
      <c r="D161" s="29" t="str">
        <f>Refsz_Verbräuche[[#This Row],[Einheit]]</f>
        <v>Stk</v>
      </c>
      <c r="E161" s="122"/>
      <c r="F161" s="15" t="str">
        <f>IF(ISBLANK(Refsz_Verbräuche[[#This Row],[2015]]),"",Refsz_Verbräuche[[#This Row],[2015]])</f>
        <v/>
      </c>
      <c r="G161" s="15" t="str">
        <f>IF(ISBLANK(Refsz_Verbräuche[[#This Row],[2016]]),"",Refsz_Verbräuche[[#This Row],[2016]])</f>
        <v/>
      </c>
      <c r="H161" s="15" t="str">
        <f>IF(ISBLANK(Refsz_Verbräuche[[#This Row],[2017]]),"",Refsz_Verbräuche[[#This Row],[2017]])</f>
        <v/>
      </c>
      <c r="I161" s="15" t="str">
        <f>IF(ISBLANK(Refsz_Verbräuche[[#This Row],[2018]]),"",Refsz_Verbräuche[[#This Row],[2018]])</f>
        <v/>
      </c>
      <c r="J161" s="15" t="str">
        <f>IF(ISBLANK(Refsz_Verbräuche[[#This Row],[2019]]),"",Refsz_Verbräuche[[#This Row],[2019]])</f>
        <v/>
      </c>
      <c r="K161" s="15" t="str">
        <f>IF(ISBLANK(Refsz_Verbräuche[[#This Row],[2020]]),"",Refsz_Verbräuche[[#This Row],[2020]])</f>
        <v/>
      </c>
      <c r="L161" s="15" t="str">
        <f>IF(ISBLANK(Refsz_Verbräuche[[#This Row],[2021]]),"",Refsz_Verbräuche[[#This Row],[2021]])</f>
        <v/>
      </c>
      <c r="M161" s="57" t="str">
        <f>IF(Klisz_Verbräuche[[#Headers],[2022]]=$B$57,IF(COUNTIF($F161:Klisz_Verbräuche[[#This Row],[2021]],"&gt;0")&gt;0, AVERAGEIF($F161:Klisz_Verbräuche[[#This Row],[2021]],"&lt;&gt;"), ""),IF($B$57&lt;Klisz_Verbräuche[[#Headers],[2022]],IF(COUNTIF($F161:Klisz_Verbräuche[[#This Row],[2021]],"&gt;0")&gt;0,IF(COUNTIF($F161:Klisz_Verbräuche[[#This Row],[2021]],"&gt;0")&gt;0,Klisz_Verbräuche[[#This Row],[2021]]*(1-$E161)^1, ""), ""),IF($B$57&gt;Klisz_Verbräuche[[#Headers],[2022]],Refsz_Verbräuche[[#This Row],[2022]],"")))</f>
        <v/>
      </c>
      <c r="N161" s="57" t="str">
        <f>IF(Klisz_Verbräuche[[#Headers],[2023]]=$B$57,IF(COUNTIF($F161:Klisz_Verbräuche[[#This Row],[2022]],"&gt;0")&gt;0, AVERAGEIF($F161:Klisz_Verbräuche[[#This Row],[2022]],"&lt;&gt;"), ""),IF($B$57&lt;Klisz_Verbräuche[[#Headers],[2023]],IF(COUNTIF($F161:Klisz_Verbräuche[[#This Row],[2022]],"&gt;0")&gt;0,IF(COUNTIF($F161:Klisz_Verbräuche[[#This Row],[2022]],"&gt;0")&gt;0,Klisz_Verbräuche[[#This Row],[2022]]*(1-$E161)^1, ""), ""),IF($B$57&gt;Klisz_Verbräuche[[#Headers],[2023]],Refsz_Verbräuche[[#This Row],[2023]],"")))</f>
        <v/>
      </c>
      <c r="O161" s="57" t="str">
        <f>IF(Klisz_Verbräuche[[#Headers],[2024]]=$B$57,IF(COUNTIF($F161:Klisz_Verbräuche[[#This Row],[2023]],"&gt;0")&gt;0, AVERAGEIF($F161:Klisz_Verbräuche[[#This Row],[2023]],"&lt;&gt;"), ""),IF($B$57&lt;Klisz_Verbräuche[[#Headers],[2024]],IF(COUNTIF($F161:Klisz_Verbräuche[[#This Row],[2023]],"&gt;0")&gt;0,IF(COUNTIF($F161:Klisz_Verbräuche[[#This Row],[2023]],"&gt;0")&gt;0,Klisz_Verbräuche[[#This Row],[2023]]*(1-$E161)^1, ""), ""),IF($B$57&gt;Klisz_Verbräuche[[#Headers],[2024]],Refsz_Verbräuche[[#This Row],[2024]],"")))</f>
        <v/>
      </c>
      <c r="P161" s="57" t="str">
        <f>IF(Klisz_Verbräuche[[#Headers],[2025]]=$B$57,IF(COUNTIF($F161:Klisz_Verbräuche[[#This Row],[2024]],"&gt;0")&gt;0, AVERAGEIF($F161:Klisz_Verbräuche[[#This Row],[2024]],"&lt;&gt;"), ""),IF($B$57&lt;Klisz_Verbräuche[[#Headers],[2025]],IF(COUNTIF($F161:Klisz_Verbräuche[[#This Row],[2024]],"&gt;0")&gt;0,IF(COUNTIF($F161:Klisz_Verbräuche[[#This Row],[2024]],"&gt;0")&gt;0,Klisz_Verbräuche[[#This Row],[2024]]*(1-$E161)^1, ""), ""),IF($B$57&gt;Klisz_Verbräuche[[#Headers],[2025]],Refsz_Verbräuche[[#This Row],[2025]],"")))</f>
        <v/>
      </c>
      <c r="Q161" s="57" t="str">
        <f>IF(Klisz_Verbräuche[[#Headers],[2026]]=$B$57,IF(COUNTIF($F161:Klisz_Verbräuche[[#This Row],[2025]],"&gt;0")&gt;0, AVERAGEIF($F161:Klisz_Verbräuche[[#This Row],[2025]],"&lt;&gt;"), ""),IF($B$57&lt;Klisz_Verbräuche[[#Headers],[2026]],IF(COUNTIF($F161:Klisz_Verbräuche[[#This Row],[2025]],"&gt;0")&gt;0,IF(COUNTIF($F161:Klisz_Verbräuche[[#This Row],[2025]],"&gt;0")&gt;0,Klisz_Verbräuche[[#This Row],[2025]]*(1-$E161)^1, ""), ""),IF($B$57&gt;Klisz_Verbräuche[[#Headers],[2026]],Refsz_Verbräuche[[#This Row],[2026]],"")))</f>
        <v/>
      </c>
      <c r="R161" s="57" t="str">
        <f>IF(Klisz_Verbräuche[[#Headers],[2027]]=$B$57,IF(COUNTIF($F161:Klisz_Verbräuche[[#This Row],[2026]],"&gt;0")&gt;0, AVERAGEIF($F161:Klisz_Verbräuche[[#This Row],[2026]],"&lt;&gt;"), ""),IF($B$57&lt;Klisz_Verbräuche[[#Headers],[2027]],IF(COUNTIF($F161:Klisz_Verbräuche[[#This Row],[2026]],"&gt;0")&gt;0,IF(COUNTIF($F161:Klisz_Verbräuche[[#This Row],[2026]],"&gt;0")&gt;0,Klisz_Verbräuche[[#This Row],[2026]]*(1-$E161)^1, ""), ""),IF($B$57&gt;Klisz_Verbräuche[[#Headers],[2027]],Refsz_Verbräuche[[#This Row],[2027]],"")))</f>
        <v/>
      </c>
      <c r="S161" s="57" t="str">
        <f>IF(Klisz_Verbräuche[[#Headers],[2028]]=$B$57,IF(COUNTIF($F161:Klisz_Verbräuche[[#This Row],[2027]],"&gt;0")&gt;0, AVERAGEIF($F161:Klisz_Verbräuche[[#This Row],[2027]],"&lt;&gt;"), ""),IF($B$57&lt;Klisz_Verbräuche[[#Headers],[2028]],IF(COUNTIF($F161:Klisz_Verbräuche[[#This Row],[2027]],"&gt;0")&gt;0,IF(COUNTIF($F161:Klisz_Verbräuche[[#This Row],[2027]],"&gt;0")&gt;0,Klisz_Verbräuche[[#This Row],[2027]]*(1-$E161)^1, ""), ""),IF($B$57&gt;Klisz_Verbräuche[[#Headers],[2028]],Refsz_Verbräuche[[#This Row],[2028]],"")))</f>
        <v/>
      </c>
      <c r="T161" s="57" t="str">
        <f>IF(Klisz_Verbräuche[[#Headers],[2029]]=$B$57,IF(COUNTIF($F161:Klisz_Verbräuche[[#This Row],[2028]],"&gt;0")&gt;0, AVERAGEIF($F161:Klisz_Verbräuche[[#This Row],[2028]],"&lt;&gt;"), ""),IF($B$57&lt;Klisz_Verbräuche[[#Headers],[2029]],IF(COUNTIF($F161:Klisz_Verbräuche[[#This Row],[2028]],"&gt;0")&gt;0,IF(COUNTIF($F161:Klisz_Verbräuche[[#This Row],[2028]],"&gt;0")&gt;0,Klisz_Verbräuche[[#This Row],[2028]]*(1-$E161)^1, ""), ""),IF($B$57&gt;Klisz_Verbräuche[[#Headers],[2029]],Refsz_Verbräuche[[#This Row],[2029]],"")))</f>
        <v/>
      </c>
      <c r="U161" s="57" t="str">
        <f>IF(Klisz_Verbräuche[[#Headers],[2030]]=$B$57,IF(COUNTIF($F161:Klisz_Verbräuche[[#This Row],[2029]],"&gt;0")&gt;0, AVERAGEIF($F161:Klisz_Verbräuche[[#This Row],[2029]],"&lt;&gt;"), ""),IF($B$57&lt;Klisz_Verbräuche[[#Headers],[2030]],IF(COUNTIF($F161:Klisz_Verbräuche[[#This Row],[2029]],"&gt;0")&gt;0,IF(COUNTIF($F161:Klisz_Verbräuche[[#This Row],[2029]],"&gt;0")&gt;0,Klisz_Verbräuche[[#This Row],[2029]]*(1-$E161)^1, ""), ""),IF($B$57&gt;Klisz_Verbräuche[[#Headers],[2030]],Refsz_Verbräuche[[#This Row],[2030]],"")))</f>
        <v/>
      </c>
      <c r="V161" s="57" t="str">
        <f>IF(Klisz_Verbräuche[[#Headers],[2035]]=$B$57,IF(COUNTIF($F161:Klisz_Verbräuche[[#This Row],[2030]],"&gt;0")&gt;0, AVERAGEIF($F161:Klisz_Verbräuche[[#This Row],[2030]],"&lt;&gt;"), ""),IF($B$57&lt;Klisz_Verbräuche[[#Headers],[2035]],IF(COUNTIF($F161:Klisz_Verbräuche[[#This Row],[2030]],"&gt;0")&gt;0,IF(COUNTIF($F161:Klisz_Verbräuche[[#This Row],[2030]],"&gt;0")&gt;0,Klisz_Verbräuche[[#This Row],[2030]]*(1-$E161)^5, ""), ""),IF($B$57&gt;Klisz_Verbräuche[[#Headers],[2035]],Refsz_Verbräuche[[#This Row],[2035]],"")))</f>
        <v/>
      </c>
      <c r="W161" s="57" t="str">
        <f>IF(Klisz_Verbräuche[[#Headers],[2040]]=$B$57,IF(COUNTIF($F161:Klisz_Verbräuche[[#This Row],[2035]],"&gt;0")&gt;0, AVERAGEIF($F161:Klisz_Verbräuche[[#This Row],[2035]],"&lt;&gt;"), ""),IF($B$57&lt;Klisz_Verbräuche[[#Headers],[2040]],IF(COUNTIF($F161:Klisz_Verbräuche[[#This Row],[2035]],"&gt;0")&gt;0,IF(COUNTIF($F161:Klisz_Verbräuche[[#This Row],[2035]],"&gt;0")&gt;0,Klisz_Verbräuche[[#This Row],[2035]]*(1-$E161)^5, ""), ""),IF($B$57&gt;Klisz_Verbräuche[[#Headers],[2040]],Refsz_Verbräuche[[#This Row],[2040]],"")))</f>
        <v/>
      </c>
      <c r="X161" s="57" t="str">
        <f>IF(Klisz_Verbräuche[[#Headers],[2045]]=$B$57,IF(COUNTIF($F161:Klisz_Verbräuche[[#This Row],[2040]],"&gt;0")&gt;0, AVERAGEIF($F161:Klisz_Verbräuche[[#This Row],[2040]],"&lt;&gt;"), ""),IF($B$57&lt;Klisz_Verbräuche[[#Headers],[2045]],IF(COUNTIF($F161:Klisz_Verbräuche[[#This Row],[2040]],"&gt;0")&gt;0,IF(COUNTIF($F161:Klisz_Verbräuche[[#This Row],[2040]],"&gt;0")&gt;0,Klisz_Verbräuche[[#This Row],[2040]]*(1-$E161)^5, ""), ""),IF($B$57&gt;Klisz_Verbräuche[[#Headers],[2045]],Refsz_Verbräuche[[#This Row],[2045]],"")))</f>
        <v/>
      </c>
      <c r="Y161" s="57" t="str">
        <f>IF(Klisz_Verbräuche[[#Headers],[2050]]=$B$57,IF(COUNTIF($F161:Klisz_Verbräuche[[#This Row],[2045]],"&gt;0")&gt;0, AVERAGEIF($F161:Klisz_Verbräuche[[#This Row],[2045]],"&lt;&gt;"), ""),IF($B$57&lt;Klisz_Verbräuche[[#Headers],[2050]],IF(COUNTIF($F161:Klisz_Verbräuche[[#This Row],[2045]],"&gt;0")&gt;0,IF(COUNTIF($F161:Klisz_Verbräuche[[#This Row],[2045]],"&gt;0")&gt;0,Klisz_Verbräuche[[#This Row],[2045]]*(1-$E161)^5, ""), ""),IF($B$57&gt;Klisz_Verbräuche[[#Headers],[2050]],Refsz_Verbräuche[[#This Row],[2050]],"")))</f>
        <v/>
      </c>
      <c r="Z161" s="15"/>
    </row>
    <row r="162" spans="2:26" x14ac:dyDescent="0.35">
      <c r="B162" s="15">
        <v>102</v>
      </c>
      <c r="C162" s="20" t="str">
        <f>Refsz_Verbräuche[[#This Row],[Datenpunkt]]</f>
        <v>Multifunktionsdrucker groß (114 x 65 x 59 cm)</v>
      </c>
      <c r="D162" s="29" t="str">
        <f>Refsz_Verbräuche[[#This Row],[Einheit]]</f>
        <v>Stk</v>
      </c>
      <c r="E162" s="122"/>
      <c r="F162" s="15" t="str">
        <f>IF(ISBLANK(Refsz_Verbräuche[[#This Row],[2015]]),"",Refsz_Verbräuche[[#This Row],[2015]])</f>
        <v/>
      </c>
      <c r="G162" s="15" t="str">
        <f>IF(ISBLANK(Refsz_Verbräuche[[#This Row],[2016]]),"",Refsz_Verbräuche[[#This Row],[2016]])</f>
        <v/>
      </c>
      <c r="H162" s="15" t="str">
        <f>IF(ISBLANK(Refsz_Verbräuche[[#This Row],[2017]]),"",Refsz_Verbräuche[[#This Row],[2017]])</f>
        <v/>
      </c>
      <c r="I162" s="15" t="str">
        <f>IF(ISBLANK(Refsz_Verbräuche[[#This Row],[2018]]),"",Refsz_Verbräuche[[#This Row],[2018]])</f>
        <v/>
      </c>
      <c r="J162" s="15" t="str">
        <f>IF(ISBLANK(Refsz_Verbräuche[[#This Row],[2019]]),"",Refsz_Verbräuche[[#This Row],[2019]])</f>
        <v/>
      </c>
      <c r="K162" s="15" t="str">
        <f>IF(ISBLANK(Refsz_Verbräuche[[#This Row],[2020]]),"",Refsz_Verbräuche[[#This Row],[2020]])</f>
        <v/>
      </c>
      <c r="L162" s="15" t="str">
        <f>IF(ISBLANK(Refsz_Verbräuche[[#This Row],[2021]]),"",Refsz_Verbräuche[[#This Row],[2021]])</f>
        <v/>
      </c>
      <c r="M162" s="57" t="str">
        <f>IF(Klisz_Verbräuche[[#Headers],[2022]]=$B$57,IF(COUNTIF($F162:Klisz_Verbräuche[[#This Row],[2021]],"&gt;0")&gt;0, AVERAGEIF($F162:Klisz_Verbräuche[[#This Row],[2021]],"&lt;&gt;"), ""),IF($B$57&lt;Klisz_Verbräuche[[#Headers],[2022]],IF(COUNTIF($F162:Klisz_Verbräuche[[#This Row],[2021]],"&gt;0")&gt;0,IF(COUNTIF($F162:Klisz_Verbräuche[[#This Row],[2021]],"&gt;0")&gt;0,Klisz_Verbräuche[[#This Row],[2021]]*(1-$E162)^1, ""), ""),IF($B$57&gt;Klisz_Verbräuche[[#Headers],[2022]],Refsz_Verbräuche[[#This Row],[2022]],"")))</f>
        <v/>
      </c>
      <c r="N162" s="57" t="str">
        <f>IF(Klisz_Verbräuche[[#Headers],[2023]]=$B$57,IF(COUNTIF($F162:Klisz_Verbräuche[[#This Row],[2022]],"&gt;0")&gt;0, AVERAGEIF($F162:Klisz_Verbräuche[[#This Row],[2022]],"&lt;&gt;"), ""),IF($B$57&lt;Klisz_Verbräuche[[#Headers],[2023]],IF(COUNTIF($F162:Klisz_Verbräuche[[#This Row],[2022]],"&gt;0")&gt;0,IF(COUNTIF($F162:Klisz_Verbräuche[[#This Row],[2022]],"&gt;0")&gt;0,Klisz_Verbräuche[[#This Row],[2022]]*(1-$E162)^1, ""), ""),IF($B$57&gt;Klisz_Verbräuche[[#Headers],[2023]],Refsz_Verbräuche[[#This Row],[2023]],"")))</f>
        <v/>
      </c>
      <c r="O162" s="57" t="str">
        <f>IF(Klisz_Verbräuche[[#Headers],[2024]]=$B$57,IF(COUNTIF($F162:Klisz_Verbräuche[[#This Row],[2023]],"&gt;0")&gt;0, AVERAGEIF($F162:Klisz_Verbräuche[[#This Row],[2023]],"&lt;&gt;"), ""),IF($B$57&lt;Klisz_Verbräuche[[#Headers],[2024]],IF(COUNTIF($F162:Klisz_Verbräuche[[#This Row],[2023]],"&gt;0")&gt;0,IF(COUNTIF($F162:Klisz_Verbräuche[[#This Row],[2023]],"&gt;0")&gt;0,Klisz_Verbräuche[[#This Row],[2023]]*(1-$E162)^1, ""), ""),IF($B$57&gt;Klisz_Verbräuche[[#Headers],[2024]],Refsz_Verbräuche[[#This Row],[2024]],"")))</f>
        <v/>
      </c>
      <c r="P162" s="57" t="str">
        <f>IF(Klisz_Verbräuche[[#Headers],[2025]]=$B$57,IF(COUNTIF($F162:Klisz_Verbräuche[[#This Row],[2024]],"&gt;0")&gt;0, AVERAGEIF($F162:Klisz_Verbräuche[[#This Row],[2024]],"&lt;&gt;"), ""),IF($B$57&lt;Klisz_Verbräuche[[#Headers],[2025]],IF(COUNTIF($F162:Klisz_Verbräuche[[#This Row],[2024]],"&gt;0")&gt;0,IF(COUNTIF($F162:Klisz_Verbräuche[[#This Row],[2024]],"&gt;0")&gt;0,Klisz_Verbräuche[[#This Row],[2024]]*(1-$E162)^1, ""), ""),IF($B$57&gt;Klisz_Verbräuche[[#Headers],[2025]],Refsz_Verbräuche[[#This Row],[2025]],"")))</f>
        <v/>
      </c>
      <c r="Q162" s="57" t="str">
        <f>IF(Klisz_Verbräuche[[#Headers],[2026]]=$B$57,IF(COUNTIF($F162:Klisz_Verbräuche[[#This Row],[2025]],"&gt;0")&gt;0, AVERAGEIF($F162:Klisz_Verbräuche[[#This Row],[2025]],"&lt;&gt;"), ""),IF($B$57&lt;Klisz_Verbräuche[[#Headers],[2026]],IF(COUNTIF($F162:Klisz_Verbräuche[[#This Row],[2025]],"&gt;0")&gt;0,IF(COUNTIF($F162:Klisz_Verbräuche[[#This Row],[2025]],"&gt;0")&gt;0,Klisz_Verbräuche[[#This Row],[2025]]*(1-$E162)^1, ""), ""),IF($B$57&gt;Klisz_Verbräuche[[#Headers],[2026]],Refsz_Verbräuche[[#This Row],[2026]],"")))</f>
        <v/>
      </c>
      <c r="R162" s="57" t="str">
        <f>IF(Klisz_Verbräuche[[#Headers],[2027]]=$B$57,IF(COUNTIF($F162:Klisz_Verbräuche[[#This Row],[2026]],"&gt;0")&gt;0, AVERAGEIF($F162:Klisz_Verbräuche[[#This Row],[2026]],"&lt;&gt;"), ""),IF($B$57&lt;Klisz_Verbräuche[[#Headers],[2027]],IF(COUNTIF($F162:Klisz_Verbräuche[[#This Row],[2026]],"&gt;0")&gt;0,IF(COUNTIF($F162:Klisz_Verbräuche[[#This Row],[2026]],"&gt;0")&gt;0,Klisz_Verbräuche[[#This Row],[2026]]*(1-$E162)^1, ""), ""),IF($B$57&gt;Klisz_Verbräuche[[#Headers],[2027]],Refsz_Verbräuche[[#This Row],[2027]],"")))</f>
        <v/>
      </c>
      <c r="S162" s="57" t="str">
        <f>IF(Klisz_Verbräuche[[#Headers],[2028]]=$B$57,IF(COUNTIF($F162:Klisz_Verbräuche[[#This Row],[2027]],"&gt;0")&gt;0, AVERAGEIF($F162:Klisz_Verbräuche[[#This Row],[2027]],"&lt;&gt;"), ""),IF($B$57&lt;Klisz_Verbräuche[[#Headers],[2028]],IF(COUNTIF($F162:Klisz_Verbräuche[[#This Row],[2027]],"&gt;0")&gt;0,IF(COUNTIF($F162:Klisz_Verbräuche[[#This Row],[2027]],"&gt;0")&gt;0,Klisz_Verbräuche[[#This Row],[2027]]*(1-$E162)^1, ""), ""),IF($B$57&gt;Klisz_Verbräuche[[#Headers],[2028]],Refsz_Verbräuche[[#This Row],[2028]],"")))</f>
        <v/>
      </c>
      <c r="T162" s="57" t="str">
        <f>IF(Klisz_Verbräuche[[#Headers],[2029]]=$B$57,IF(COUNTIF($F162:Klisz_Verbräuche[[#This Row],[2028]],"&gt;0")&gt;0, AVERAGEIF($F162:Klisz_Verbräuche[[#This Row],[2028]],"&lt;&gt;"), ""),IF($B$57&lt;Klisz_Verbräuche[[#Headers],[2029]],IF(COUNTIF($F162:Klisz_Verbräuche[[#This Row],[2028]],"&gt;0")&gt;0,IF(COUNTIF($F162:Klisz_Verbräuche[[#This Row],[2028]],"&gt;0")&gt;0,Klisz_Verbräuche[[#This Row],[2028]]*(1-$E162)^1, ""), ""),IF($B$57&gt;Klisz_Verbräuche[[#Headers],[2029]],Refsz_Verbräuche[[#This Row],[2029]],"")))</f>
        <v/>
      </c>
      <c r="U162" s="57" t="str">
        <f>IF(Klisz_Verbräuche[[#Headers],[2030]]=$B$57,IF(COUNTIF($F162:Klisz_Verbräuche[[#This Row],[2029]],"&gt;0")&gt;0, AVERAGEIF($F162:Klisz_Verbräuche[[#This Row],[2029]],"&lt;&gt;"), ""),IF($B$57&lt;Klisz_Verbräuche[[#Headers],[2030]],IF(COUNTIF($F162:Klisz_Verbräuche[[#This Row],[2029]],"&gt;0")&gt;0,IF(COUNTIF($F162:Klisz_Verbräuche[[#This Row],[2029]],"&gt;0")&gt;0,Klisz_Verbräuche[[#This Row],[2029]]*(1-$E162)^1, ""), ""),IF($B$57&gt;Klisz_Verbräuche[[#Headers],[2030]],Refsz_Verbräuche[[#This Row],[2030]],"")))</f>
        <v/>
      </c>
      <c r="V162" s="57" t="str">
        <f>IF(Klisz_Verbräuche[[#Headers],[2035]]=$B$57,IF(COUNTIF($F162:Klisz_Verbräuche[[#This Row],[2030]],"&gt;0")&gt;0, AVERAGEIF($F162:Klisz_Verbräuche[[#This Row],[2030]],"&lt;&gt;"), ""),IF($B$57&lt;Klisz_Verbräuche[[#Headers],[2035]],IF(COUNTIF($F162:Klisz_Verbräuche[[#This Row],[2030]],"&gt;0")&gt;0,IF(COUNTIF($F162:Klisz_Verbräuche[[#This Row],[2030]],"&gt;0")&gt;0,Klisz_Verbräuche[[#This Row],[2030]]*(1-$E162)^5, ""), ""),IF($B$57&gt;Klisz_Verbräuche[[#Headers],[2035]],Refsz_Verbräuche[[#This Row],[2035]],"")))</f>
        <v/>
      </c>
      <c r="W162" s="57" t="str">
        <f>IF(Klisz_Verbräuche[[#Headers],[2040]]=$B$57,IF(COUNTIF($F162:Klisz_Verbräuche[[#This Row],[2035]],"&gt;0")&gt;0, AVERAGEIF($F162:Klisz_Verbräuche[[#This Row],[2035]],"&lt;&gt;"), ""),IF($B$57&lt;Klisz_Verbräuche[[#Headers],[2040]],IF(COUNTIF($F162:Klisz_Verbräuche[[#This Row],[2035]],"&gt;0")&gt;0,IF(COUNTIF($F162:Klisz_Verbräuche[[#This Row],[2035]],"&gt;0")&gt;0,Klisz_Verbräuche[[#This Row],[2035]]*(1-$E162)^5, ""), ""),IF($B$57&gt;Klisz_Verbräuche[[#Headers],[2040]],Refsz_Verbräuche[[#This Row],[2040]],"")))</f>
        <v/>
      </c>
      <c r="X162" s="57" t="str">
        <f>IF(Klisz_Verbräuche[[#Headers],[2045]]=$B$57,IF(COUNTIF($F162:Klisz_Verbräuche[[#This Row],[2040]],"&gt;0")&gt;0, AVERAGEIF($F162:Klisz_Verbräuche[[#This Row],[2040]],"&lt;&gt;"), ""),IF($B$57&lt;Klisz_Verbräuche[[#Headers],[2045]],IF(COUNTIF($F162:Klisz_Verbräuche[[#This Row],[2040]],"&gt;0")&gt;0,IF(COUNTIF($F162:Klisz_Verbräuche[[#This Row],[2040]],"&gt;0")&gt;0,Klisz_Verbräuche[[#This Row],[2040]]*(1-$E162)^5, ""), ""),IF($B$57&gt;Klisz_Verbräuche[[#Headers],[2045]],Refsz_Verbräuche[[#This Row],[2045]],"")))</f>
        <v/>
      </c>
      <c r="Y162" s="57" t="str">
        <f>IF(Klisz_Verbräuche[[#Headers],[2050]]=$B$57,IF(COUNTIF($F162:Klisz_Verbräuche[[#This Row],[2045]],"&gt;0")&gt;0, AVERAGEIF($F162:Klisz_Verbräuche[[#This Row],[2045]],"&lt;&gt;"), ""),IF($B$57&lt;Klisz_Verbräuche[[#Headers],[2050]],IF(COUNTIF($F162:Klisz_Verbräuche[[#This Row],[2045]],"&gt;0")&gt;0,IF(COUNTIF($F162:Klisz_Verbräuche[[#This Row],[2045]],"&gt;0")&gt;0,Klisz_Verbräuche[[#This Row],[2045]]*(1-$E162)^5, ""), ""),IF($B$57&gt;Klisz_Verbräuche[[#Headers],[2050]],Refsz_Verbräuche[[#This Row],[2050]],"")))</f>
        <v/>
      </c>
      <c r="Z162" s="15"/>
    </row>
    <row r="163" spans="2:26" x14ac:dyDescent="0.35">
      <c r="B163" s="15">
        <v>103</v>
      </c>
      <c r="C163" s="20" t="str">
        <f>Refsz_Verbräuche[[#This Row],[Datenpunkt]]</f>
        <v>Toner</v>
      </c>
      <c r="D163" s="29" t="str">
        <f>Refsz_Verbräuche[[#This Row],[Einheit]]</f>
        <v>Stk</v>
      </c>
      <c r="E163" s="122"/>
      <c r="F163" s="15" t="str">
        <f>IF(ISBLANK(Refsz_Verbräuche[[#This Row],[2015]]),"",Refsz_Verbräuche[[#This Row],[2015]])</f>
        <v/>
      </c>
      <c r="G163" s="15" t="str">
        <f>IF(ISBLANK(Refsz_Verbräuche[[#This Row],[2016]]),"",Refsz_Verbräuche[[#This Row],[2016]])</f>
        <v/>
      </c>
      <c r="H163" s="15" t="str">
        <f>IF(ISBLANK(Refsz_Verbräuche[[#This Row],[2017]]),"",Refsz_Verbräuche[[#This Row],[2017]])</f>
        <v/>
      </c>
      <c r="I163" s="15" t="str">
        <f>IF(ISBLANK(Refsz_Verbräuche[[#This Row],[2018]]),"",Refsz_Verbräuche[[#This Row],[2018]])</f>
        <v/>
      </c>
      <c r="J163" s="15" t="str">
        <f>IF(ISBLANK(Refsz_Verbräuche[[#This Row],[2019]]),"",Refsz_Verbräuche[[#This Row],[2019]])</f>
        <v/>
      </c>
      <c r="K163" s="15" t="str">
        <f>IF(ISBLANK(Refsz_Verbräuche[[#This Row],[2020]]),"",Refsz_Verbräuche[[#This Row],[2020]])</f>
        <v/>
      </c>
      <c r="L163" s="15" t="str">
        <f>IF(ISBLANK(Refsz_Verbräuche[[#This Row],[2021]]),"",Refsz_Verbräuche[[#This Row],[2021]])</f>
        <v/>
      </c>
      <c r="M163" s="57" t="str">
        <f>IF(Klisz_Verbräuche[[#Headers],[2022]]=$B$57,IF(COUNTIF($F163:Klisz_Verbräuche[[#This Row],[2021]],"&gt;0")&gt;0, AVERAGEIF($F163:Klisz_Verbräuche[[#This Row],[2021]],"&lt;&gt;"), ""),IF($B$57&lt;Klisz_Verbräuche[[#Headers],[2022]],IF(COUNTIF($F163:Klisz_Verbräuche[[#This Row],[2021]],"&gt;0")&gt;0,IF(COUNTIF($F163:Klisz_Verbräuche[[#This Row],[2021]],"&gt;0")&gt;0,Klisz_Verbräuche[[#This Row],[2021]]*(1-$E163)^1, ""), ""),IF($B$57&gt;Klisz_Verbräuche[[#Headers],[2022]],Refsz_Verbräuche[[#This Row],[2022]],"")))</f>
        <v/>
      </c>
      <c r="N163" s="57" t="str">
        <f>IF(Klisz_Verbräuche[[#Headers],[2023]]=$B$57,IF(COUNTIF($F163:Klisz_Verbräuche[[#This Row],[2022]],"&gt;0")&gt;0, AVERAGEIF($F163:Klisz_Verbräuche[[#This Row],[2022]],"&lt;&gt;"), ""),IF($B$57&lt;Klisz_Verbräuche[[#Headers],[2023]],IF(COUNTIF($F163:Klisz_Verbräuche[[#This Row],[2022]],"&gt;0")&gt;0,IF(COUNTIF($F163:Klisz_Verbräuche[[#This Row],[2022]],"&gt;0")&gt;0,Klisz_Verbräuche[[#This Row],[2022]]*(1-$E163)^1, ""), ""),IF($B$57&gt;Klisz_Verbräuche[[#Headers],[2023]],Refsz_Verbräuche[[#This Row],[2023]],"")))</f>
        <v/>
      </c>
      <c r="O163" s="57" t="str">
        <f>IF(Klisz_Verbräuche[[#Headers],[2024]]=$B$57,IF(COUNTIF($F163:Klisz_Verbräuche[[#This Row],[2023]],"&gt;0")&gt;0, AVERAGEIF($F163:Klisz_Verbräuche[[#This Row],[2023]],"&lt;&gt;"), ""),IF($B$57&lt;Klisz_Verbräuche[[#Headers],[2024]],IF(COUNTIF($F163:Klisz_Verbräuche[[#This Row],[2023]],"&gt;0")&gt;0,IF(COUNTIF($F163:Klisz_Verbräuche[[#This Row],[2023]],"&gt;0")&gt;0,Klisz_Verbräuche[[#This Row],[2023]]*(1-$E163)^1, ""), ""),IF($B$57&gt;Klisz_Verbräuche[[#Headers],[2024]],Refsz_Verbräuche[[#This Row],[2024]],"")))</f>
        <v/>
      </c>
      <c r="P163" s="57" t="str">
        <f>IF(Klisz_Verbräuche[[#Headers],[2025]]=$B$57,IF(COUNTIF($F163:Klisz_Verbräuche[[#This Row],[2024]],"&gt;0")&gt;0, AVERAGEIF($F163:Klisz_Verbräuche[[#This Row],[2024]],"&lt;&gt;"), ""),IF($B$57&lt;Klisz_Verbräuche[[#Headers],[2025]],IF(COUNTIF($F163:Klisz_Verbräuche[[#This Row],[2024]],"&gt;0")&gt;0,IF(COUNTIF($F163:Klisz_Verbräuche[[#This Row],[2024]],"&gt;0")&gt;0,Klisz_Verbräuche[[#This Row],[2024]]*(1-$E163)^1, ""), ""),IF($B$57&gt;Klisz_Verbräuche[[#Headers],[2025]],Refsz_Verbräuche[[#This Row],[2025]],"")))</f>
        <v/>
      </c>
      <c r="Q163" s="57" t="str">
        <f>IF(Klisz_Verbräuche[[#Headers],[2026]]=$B$57,IF(COUNTIF($F163:Klisz_Verbräuche[[#This Row],[2025]],"&gt;0")&gt;0, AVERAGEIF($F163:Klisz_Verbräuche[[#This Row],[2025]],"&lt;&gt;"), ""),IF($B$57&lt;Klisz_Verbräuche[[#Headers],[2026]],IF(COUNTIF($F163:Klisz_Verbräuche[[#This Row],[2025]],"&gt;0")&gt;0,IF(COUNTIF($F163:Klisz_Verbräuche[[#This Row],[2025]],"&gt;0")&gt;0,Klisz_Verbräuche[[#This Row],[2025]]*(1-$E163)^1, ""), ""),IF($B$57&gt;Klisz_Verbräuche[[#Headers],[2026]],Refsz_Verbräuche[[#This Row],[2026]],"")))</f>
        <v/>
      </c>
      <c r="R163" s="57" t="str">
        <f>IF(Klisz_Verbräuche[[#Headers],[2027]]=$B$57,IF(COUNTIF($F163:Klisz_Verbräuche[[#This Row],[2026]],"&gt;0")&gt;0, AVERAGEIF($F163:Klisz_Verbräuche[[#This Row],[2026]],"&lt;&gt;"), ""),IF($B$57&lt;Klisz_Verbräuche[[#Headers],[2027]],IF(COUNTIF($F163:Klisz_Verbräuche[[#This Row],[2026]],"&gt;0")&gt;0,IF(COUNTIF($F163:Klisz_Verbräuche[[#This Row],[2026]],"&gt;0")&gt;0,Klisz_Verbräuche[[#This Row],[2026]]*(1-$E163)^1, ""), ""),IF($B$57&gt;Klisz_Verbräuche[[#Headers],[2027]],Refsz_Verbräuche[[#This Row],[2027]],"")))</f>
        <v/>
      </c>
      <c r="S163" s="57" t="str">
        <f>IF(Klisz_Verbräuche[[#Headers],[2028]]=$B$57,IF(COUNTIF($F163:Klisz_Verbräuche[[#This Row],[2027]],"&gt;0")&gt;0, AVERAGEIF($F163:Klisz_Verbräuche[[#This Row],[2027]],"&lt;&gt;"), ""),IF($B$57&lt;Klisz_Verbräuche[[#Headers],[2028]],IF(COUNTIF($F163:Klisz_Verbräuche[[#This Row],[2027]],"&gt;0")&gt;0,IF(COUNTIF($F163:Klisz_Verbräuche[[#This Row],[2027]],"&gt;0")&gt;0,Klisz_Verbräuche[[#This Row],[2027]]*(1-$E163)^1, ""), ""),IF($B$57&gt;Klisz_Verbräuche[[#Headers],[2028]],Refsz_Verbräuche[[#This Row],[2028]],"")))</f>
        <v/>
      </c>
      <c r="T163" s="57" t="str">
        <f>IF(Klisz_Verbräuche[[#Headers],[2029]]=$B$57,IF(COUNTIF($F163:Klisz_Verbräuche[[#This Row],[2028]],"&gt;0")&gt;0, AVERAGEIF($F163:Klisz_Verbräuche[[#This Row],[2028]],"&lt;&gt;"), ""),IF($B$57&lt;Klisz_Verbräuche[[#Headers],[2029]],IF(COUNTIF($F163:Klisz_Verbräuche[[#This Row],[2028]],"&gt;0")&gt;0,IF(COUNTIF($F163:Klisz_Verbräuche[[#This Row],[2028]],"&gt;0")&gt;0,Klisz_Verbräuche[[#This Row],[2028]]*(1-$E163)^1, ""), ""),IF($B$57&gt;Klisz_Verbräuche[[#Headers],[2029]],Refsz_Verbräuche[[#This Row],[2029]],"")))</f>
        <v/>
      </c>
      <c r="U163" s="57" t="str">
        <f>IF(Klisz_Verbräuche[[#Headers],[2030]]=$B$57,IF(COUNTIF($F163:Klisz_Verbräuche[[#This Row],[2029]],"&gt;0")&gt;0, AVERAGEIF($F163:Klisz_Verbräuche[[#This Row],[2029]],"&lt;&gt;"), ""),IF($B$57&lt;Klisz_Verbräuche[[#Headers],[2030]],IF(COUNTIF($F163:Klisz_Verbräuche[[#This Row],[2029]],"&gt;0")&gt;0,IF(COUNTIF($F163:Klisz_Verbräuche[[#This Row],[2029]],"&gt;0")&gt;0,Klisz_Verbräuche[[#This Row],[2029]]*(1-$E163)^1, ""), ""),IF($B$57&gt;Klisz_Verbräuche[[#Headers],[2030]],Refsz_Verbräuche[[#This Row],[2030]],"")))</f>
        <v/>
      </c>
      <c r="V163" s="57" t="str">
        <f>IF(Klisz_Verbräuche[[#Headers],[2035]]=$B$57,IF(COUNTIF($F163:Klisz_Verbräuche[[#This Row],[2030]],"&gt;0")&gt;0, AVERAGEIF($F163:Klisz_Verbräuche[[#This Row],[2030]],"&lt;&gt;"), ""),IF($B$57&lt;Klisz_Verbräuche[[#Headers],[2035]],IF(COUNTIF($F163:Klisz_Verbräuche[[#This Row],[2030]],"&gt;0")&gt;0,IF(COUNTIF($F163:Klisz_Verbräuche[[#This Row],[2030]],"&gt;0")&gt;0,Klisz_Verbräuche[[#This Row],[2030]]*(1-$E163)^5, ""), ""),IF($B$57&gt;Klisz_Verbräuche[[#Headers],[2035]],Refsz_Verbräuche[[#This Row],[2035]],"")))</f>
        <v/>
      </c>
      <c r="W163" s="57" t="str">
        <f>IF(Klisz_Verbräuche[[#Headers],[2040]]=$B$57,IF(COUNTIF($F163:Klisz_Verbräuche[[#This Row],[2035]],"&gt;0")&gt;0, AVERAGEIF($F163:Klisz_Verbräuche[[#This Row],[2035]],"&lt;&gt;"), ""),IF($B$57&lt;Klisz_Verbräuche[[#Headers],[2040]],IF(COUNTIF($F163:Klisz_Verbräuche[[#This Row],[2035]],"&gt;0")&gt;0,IF(COUNTIF($F163:Klisz_Verbräuche[[#This Row],[2035]],"&gt;0")&gt;0,Klisz_Verbräuche[[#This Row],[2035]]*(1-$E163)^5, ""), ""),IF($B$57&gt;Klisz_Verbräuche[[#Headers],[2040]],Refsz_Verbräuche[[#This Row],[2040]],"")))</f>
        <v/>
      </c>
      <c r="X163" s="57" t="str">
        <f>IF(Klisz_Verbräuche[[#Headers],[2045]]=$B$57,IF(COUNTIF($F163:Klisz_Verbräuche[[#This Row],[2040]],"&gt;0")&gt;0, AVERAGEIF($F163:Klisz_Verbräuche[[#This Row],[2040]],"&lt;&gt;"), ""),IF($B$57&lt;Klisz_Verbräuche[[#Headers],[2045]],IF(COUNTIF($F163:Klisz_Verbräuche[[#This Row],[2040]],"&gt;0")&gt;0,IF(COUNTIF($F163:Klisz_Verbräuche[[#This Row],[2040]],"&gt;0")&gt;0,Klisz_Verbräuche[[#This Row],[2040]]*(1-$E163)^5, ""), ""),IF($B$57&gt;Klisz_Verbräuche[[#Headers],[2045]],Refsz_Verbräuche[[#This Row],[2045]],"")))</f>
        <v/>
      </c>
      <c r="Y163" s="57" t="str">
        <f>IF(Klisz_Verbräuche[[#Headers],[2050]]=$B$57,IF(COUNTIF($F163:Klisz_Verbräuche[[#This Row],[2045]],"&gt;0")&gt;0, AVERAGEIF($F163:Klisz_Verbräuche[[#This Row],[2045]],"&lt;&gt;"), ""),IF($B$57&lt;Klisz_Verbräuche[[#Headers],[2050]],IF(COUNTIF($F163:Klisz_Verbräuche[[#This Row],[2045]],"&gt;0")&gt;0,IF(COUNTIF($F163:Klisz_Verbräuche[[#This Row],[2045]],"&gt;0")&gt;0,Klisz_Verbräuche[[#This Row],[2045]]*(1-$E163)^5, ""), ""),IF($B$57&gt;Klisz_Verbräuche[[#Headers],[2050]],Refsz_Verbräuche[[#This Row],[2050]],"")))</f>
        <v/>
      </c>
      <c r="Z163" s="15"/>
    </row>
    <row r="164" spans="2:26" x14ac:dyDescent="0.35">
      <c r="B164" s="15">
        <v>104</v>
      </c>
      <c r="C164" s="20">
        <f>Refsz_Verbräuche[[#This Row],[Datenpunkt]]</f>
        <v>0</v>
      </c>
      <c r="D164" s="29">
        <f>Refsz_Verbräuche[[#This Row],[Einheit]]</f>
        <v>0</v>
      </c>
      <c r="E164" s="122"/>
      <c r="F164" s="15" t="str">
        <f>IF(ISBLANK(Refsz_Verbräuche[[#This Row],[2015]]),"",Refsz_Verbräuche[[#This Row],[2015]])</f>
        <v/>
      </c>
      <c r="G164" s="15" t="str">
        <f>IF(ISBLANK(Refsz_Verbräuche[[#This Row],[2016]]),"",Refsz_Verbräuche[[#This Row],[2016]])</f>
        <v/>
      </c>
      <c r="H164" s="15" t="str">
        <f>IF(ISBLANK(Refsz_Verbräuche[[#This Row],[2017]]),"",Refsz_Verbräuche[[#This Row],[2017]])</f>
        <v/>
      </c>
      <c r="I164" s="15" t="str">
        <f>IF(ISBLANK(Refsz_Verbräuche[[#This Row],[2018]]),"",Refsz_Verbräuche[[#This Row],[2018]])</f>
        <v/>
      </c>
      <c r="J164" s="15" t="str">
        <f>IF(ISBLANK(Refsz_Verbräuche[[#This Row],[2019]]),"",Refsz_Verbräuche[[#This Row],[2019]])</f>
        <v/>
      </c>
      <c r="K164" s="15" t="str">
        <f>IF(ISBLANK(Refsz_Verbräuche[[#This Row],[2020]]),"",Refsz_Verbräuche[[#This Row],[2020]])</f>
        <v/>
      </c>
      <c r="L164" s="15" t="str">
        <f>IF(ISBLANK(Refsz_Verbräuche[[#This Row],[2021]]),"",Refsz_Verbräuche[[#This Row],[2021]])</f>
        <v/>
      </c>
      <c r="M164" s="57" t="str">
        <f>IF(Klisz_Verbräuche[[#Headers],[2022]]=$B$57,IF(COUNTIF($F164:Klisz_Verbräuche[[#This Row],[2021]],"&gt;0")&gt;0, AVERAGEIF($F164:Klisz_Verbräuche[[#This Row],[2021]],"&lt;&gt;"), ""),IF($B$57&lt;Klisz_Verbräuche[[#Headers],[2022]],IF(COUNTIF($F164:Klisz_Verbräuche[[#This Row],[2021]],"&gt;0")&gt;0,IF(COUNTIF($F164:Klisz_Verbräuche[[#This Row],[2021]],"&gt;0")&gt;0,Klisz_Verbräuche[[#This Row],[2021]]*(1-$E164)^1, ""), ""),IF($B$57&gt;Klisz_Verbräuche[[#Headers],[2022]],Refsz_Verbräuche[[#This Row],[2022]],"")))</f>
        <v/>
      </c>
      <c r="N164" s="57" t="str">
        <f>IF(Klisz_Verbräuche[[#Headers],[2023]]=$B$57,IF(COUNTIF($F164:Klisz_Verbräuche[[#This Row],[2022]],"&gt;0")&gt;0, AVERAGEIF($F164:Klisz_Verbräuche[[#This Row],[2022]],"&lt;&gt;"), ""),IF($B$57&lt;Klisz_Verbräuche[[#Headers],[2023]],IF(COUNTIF($F164:Klisz_Verbräuche[[#This Row],[2022]],"&gt;0")&gt;0,IF(COUNTIF($F164:Klisz_Verbräuche[[#This Row],[2022]],"&gt;0")&gt;0,Klisz_Verbräuche[[#This Row],[2022]]*(1-$E164)^1, ""), ""),IF($B$57&gt;Klisz_Verbräuche[[#Headers],[2023]],Refsz_Verbräuche[[#This Row],[2023]],"")))</f>
        <v/>
      </c>
      <c r="O164" s="57" t="str">
        <f>IF(Klisz_Verbräuche[[#Headers],[2024]]=$B$57,IF(COUNTIF($F164:Klisz_Verbräuche[[#This Row],[2023]],"&gt;0")&gt;0, AVERAGEIF($F164:Klisz_Verbräuche[[#This Row],[2023]],"&lt;&gt;"), ""),IF($B$57&lt;Klisz_Verbräuche[[#Headers],[2024]],IF(COUNTIF($F164:Klisz_Verbräuche[[#This Row],[2023]],"&gt;0")&gt;0,IF(COUNTIF($F164:Klisz_Verbräuche[[#This Row],[2023]],"&gt;0")&gt;0,Klisz_Verbräuche[[#This Row],[2023]]*(1-$E164)^1, ""), ""),IF($B$57&gt;Klisz_Verbräuche[[#Headers],[2024]],Refsz_Verbräuche[[#This Row],[2024]],"")))</f>
        <v/>
      </c>
      <c r="P164" s="57" t="str">
        <f>IF(Klisz_Verbräuche[[#Headers],[2025]]=$B$57,IF(COUNTIF($F164:Klisz_Verbräuche[[#This Row],[2024]],"&gt;0")&gt;0, AVERAGEIF($F164:Klisz_Verbräuche[[#This Row],[2024]],"&lt;&gt;"), ""),IF($B$57&lt;Klisz_Verbräuche[[#Headers],[2025]],IF(COUNTIF($F164:Klisz_Verbräuche[[#This Row],[2024]],"&gt;0")&gt;0,IF(COUNTIF($F164:Klisz_Verbräuche[[#This Row],[2024]],"&gt;0")&gt;0,Klisz_Verbräuche[[#This Row],[2024]]*(1-$E164)^1, ""), ""),IF($B$57&gt;Klisz_Verbräuche[[#Headers],[2025]],Refsz_Verbräuche[[#This Row],[2025]],"")))</f>
        <v/>
      </c>
      <c r="Q164" s="57" t="str">
        <f>IF(Klisz_Verbräuche[[#Headers],[2026]]=$B$57,IF(COUNTIF($F164:Klisz_Verbräuche[[#This Row],[2025]],"&gt;0")&gt;0, AVERAGEIF($F164:Klisz_Verbräuche[[#This Row],[2025]],"&lt;&gt;"), ""),IF($B$57&lt;Klisz_Verbräuche[[#Headers],[2026]],IF(COUNTIF($F164:Klisz_Verbräuche[[#This Row],[2025]],"&gt;0")&gt;0,IF(COUNTIF($F164:Klisz_Verbräuche[[#This Row],[2025]],"&gt;0")&gt;0,Klisz_Verbräuche[[#This Row],[2025]]*(1-$E164)^1, ""), ""),IF($B$57&gt;Klisz_Verbräuche[[#Headers],[2026]],Refsz_Verbräuche[[#This Row],[2026]],"")))</f>
        <v/>
      </c>
      <c r="R164" s="57" t="str">
        <f>IF(Klisz_Verbräuche[[#Headers],[2027]]=$B$57,IF(COUNTIF($F164:Klisz_Verbräuche[[#This Row],[2026]],"&gt;0")&gt;0, AVERAGEIF($F164:Klisz_Verbräuche[[#This Row],[2026]],"&lt;&gt;"), ""),IF($B$57&lt;Klisz_Verbräuche[[#Headers],[2027]],IF(COUNTIF($F164:Klisz_Verbräuche[[#This Row],[2026]],"&gt;0")&gt;0,IF(COUNTIF($F164:Klisz_Verbräuche[[#This Row],[2026]],"&gt;0")&gt;0,Klisz_Verbräuche[[#This Row],[2026]]*(1-$E164)^1, ""), ""),IF($B$57&gt;Klisz_Verbräuche[[#Headers],[2027]],Refsz_Verbräuche[[#This Row],[2027]],"")))</f>
        <v/>
      </c>
      <c r="S164" s="57" t="str">
        <f>IF(Klisz_Verbräuche[[#Headers],[2028]]=$B$57,IF(COUNTIF($F164:Klisz_Verbräuche[[#This Row],[2027]],"&gt;0")&gt;0, AVERAGEIF($F164:Klisz_Verbräuche[[#This Row],[2027]],"&lt;&gt;"), ""),IF($B$57&lt;Klisz_Verbräuche[[#Headers],[2028]],IF(COUNTIF($F164:Klisz_Verbräuche[[#This Row],[2027]],"&gt;0")&gt;0,IF(COUNTIF($F164:Klisz_Verbräuche[[#This Row],[2027]],"&gt;0")&gt;0,Klisz_Verbräuche[[#This Row],[2027]]*(1-$E164)^1, ""), ""),IF($B$57&gt;Klisz_Verbräuche[[#Headers],[2028]],Refsz_Verbräuche[[#This Row],[2028]],"")))</f>
        <v/>
      </c>
      <c r="T164" s="57" t="str">
        <f>IF(Klisz_Verbräuche[[#Headers],[2029]]=$B$57,IF(COUNTIF($F164:Klisz_Verbräuche[[#This Row],[2028]],"&gt;0")&gt;0, AVERAGEIF($F164:Klisz_Verbräuche[[#This Row],[2028]],"&lt;&gt;"), ""),IF($B$57&lt;Klisz_Verbräuche[[#Headers],[2029]],IF(COUNTIF($F164:Klisz_Verbräuche[[#This Row],[2028]],"&gt;0")&gt;0,IF(COUNTIF($F164:Klisz_Verbräuche[[#This Row],[2028]],"&gt;0")&gt;0,Klisz_Verbräuche[[#This Row],[2028]]*(1-$E164)^1, ""), ""),IF($B$57&gt;Klisz_Verbräuche[[#Headers],[2029]],Refsz_Verbräuche[[#This Row],[2029]],"")))</f>
        <v/>
      </c>
      <c r="U164" s="57" t="str">
        <f>IF(Klisz_Verbräuche[[#Headers],[2030]]=$B$57,IF(COUNTIF($F164:Klisz_Verbräuche[[#This Row],[2029]],"&gt;0")&gt;0, AVERAGEIF($F164:Klisz_Verbräuche[[#This Row],[2029]],"&lt;&gt;"), ""),IF($B$57&lt;Klisz_Verbräuche[[#Headers],[2030]],IF(COUNTIF($F164:Klisz_Verbräuche[[#This Row],[2029]],"&gt;0")&gt;0,IF(COUNTIF($F164:Klisz_Verbräuche[[#This Row],[2029]],"&gt;0")&gt;0,Klisz_Verbräuche[[#This Row],[2029]]*(1-$E164)^1, ""), ""),IF($B$57&gt;Klisz_Verbräuche[[#Headers],[2030]],Refsz_Verbräuche[[#This Row],[2030]],"")))</f>
        <v/>
      </c>
      <c r="V164" s="57" t="str">
        <f>IF(Klisz_Verbräuche[[#Headers],[2035]]=$B$57,IF(COUNTIF($F164:Klisz_Verbräuche[[#This Row],[2030]],"&gt;0")&gt;0, AVERAGEIF($F164:Klisz_Verbräuche[[#This Row],[2030]],"&lt;&gt;"), ""),IF($B$57&lt;Klisz_Verbräuche[[#Headers],[2035]],IF(COUNTIF($F164:Klisz_Verbräuche[[#This Row],[2030]],"&gt;0")&gt;0,IF(COUNTIF($F164:Klisz_Verbräuche[[#This Row],[2030]],"&gt;0")&gt;0,Klisz_Verbräuche[[#This Row],[2030]]*(1-$E164)^5, ""), ""),IF($B$57&gt;Klisz_Verbräuche[[#Headers],[2035]],Refsz_Verbräuche[[#This Row],[2035]],"")))</f>
        <v/>
      </c>
      <c r="W164" s="57" t="str">
        <f>IF(Klisz_Verbräuche[[#Headers],[2040]]=$B$57,IF(COUNTIF($F164:Klisz_Verbräuche[[#This Row],[2035]],"&gt;0")&gt;0, AVERAGEIF($F164:Klisz_Verbräuche[[#This Row],[2035]],"&lt;&gt;"), ""),IF($B$57&lt;Klisz_Verbräuche[[#Headers],[2040]],IF(COUNTIF($F164:Klisz_Verbräuche[[#This Row],[2035]],"&gt;0")&gt;0,IF(COUNTIF($F164:Klisz_Verbräuche[[#This Row],[2035]],"&gt;0")&gt;0,Klisz_Verbräuche[[#This Row],[2035]]*(1-$E164)^5, ""), ""),IF($B$57&gt;Klisz_Verbräuche[[#Headers],[2040]],Refsz_Verbräuche[[#This Row],[2040]],"")))</f>
        <v/>
      </c>
      <c r="X164" s="57" t="str">
        <f>IF(Klisz_Verbräuche[[#Headers],[2045]]=$B$57,IF(COUNTIF($F164:Klisz_Verbräuche[[#This Row],[2040]],"&gt;0")&gt;0, AVERAGEIF($F164:Klisz_Verbräuche[[#This Row],[2040]],"&lt;&gt;"), ""),IF($B$57&lt;Klisz_Verbräuche[[#Headers],[2045]],IF(COUNTIF($F164:Klisz_Verbräuche[[#This Row],[2040]],"&gt;0")&gt;0,IF(COUNTIF($F164:Klisz_Verbräuche[[#This Row],[2040]],"&gt;0")&gt;0,Klisz_Verbräuche[[#This Row],[2040]]*(1-$E164)^5, ""), ""),IF($B$57&gt;Klisz_Verbräuche[[#Headers],[2045]],Refsz_Verbräuche[[#This Row],[2045]],"")))</f>
        <v/>
      </c>
      <c r="Y164" s="57" t="str">
        <f>IF(Klisz_Verbräuche[[#Headers],[2050]]=$B$57,IF(COUNTIF($F164:Klisz_Verbräuche[[#This Row],[2045]],"&gt;0")&gt;0, AVERAGEIF($F164:Klisz_Verbräuche[[#This Row],[2045]],"&lt;&gt;"), ""),IF($B$57&lt;Klisz_Verbräuche[[#Headers],[2050]],IF(COUNTIF($F164:Klisz_Verbräuche[[#This Row],[2045]],"&gt;0")&gt;0,IF(COUNTIF($F164:Klisz_Verbräuche[[#This Row],[2045]],"&gt;0")&gt;0,Klisz_Verbräuche[[#This Row],[2045]]*(1-$E164)^5, ""), ""),IF($B$57&gt;Klisz_Verbräuche[[#Headers],[2050]],Refsz_Verbräuche[[#This Row],[2050]],"")))</f>
        <v/>
      </c>
      <c r="Z164" s="15"/>
    </row>
    <row r="165" spans="2:26" x14ac:dyDescent="0.35">
      <c r="B165" s="15">
        <v>105</v>
      </c>
      <c r="C165" s="20" t="str">
        <f>Refsz_Verbräuche[[#This Row],[Datenpunkt]]</f>
        <v>Bioabfall, Grünschnitt (Kompostierung)</v>
      </c>
      <c r="D165" s="29" t="str">
        <f>Refsz_Verbräuche[[#This Row],[Einheit]]</f>
        <v>t</v>
      </c>
      <c r="E165" s="122"/>
      <c r="F165" s="15" t="str">
        <f>IF(ISBLANK(Refsz_Verbräuche[[#This Row],[2015]]),"",Refsz_Verbräuche[[#This Row],[2015]])</f>
        <v/>
      </c>
      <c r="G165" s="15" t="str">
        <f>IF(ISBLANK(Refsz_Verbräuche[[#This Row],[2016]]),"",Refsz_Verbräuche[[#This Row],[2016]])</f>
        <v/>
      </c>
      <c r="H165" s="15" t="str">
        <f>IF(ISBLANK(Refsz_Verbräuche[[#This Row],[2017]]),"",Refsz_Verbräuche[[#This Row],[2017]])</f>
        <v/>
      </c>
      <c r="I165" s="15" t="str">
        <f>IF(ISBLANK(Refsz_Verbräuche[[#This Row],[2018]]),"",Refsz_Verbräuche[[#This Row],[2018]])</f>
        <v/>
      </c>
      <c r="J165" s="15" t="str">
        <f>IF(ISBLANK(Refsz_Verbräuche[[#This Row],[2019]]),"",Refsz_Verbräuche[[#This Row],[2019]])</f>
        <v/>
      </c>
      <c r="K165" s="15" t="str">
        <f>IF(ISBLANK(Refsz_Verbräuche[[#This Row],[2020]]),"",Refsz_Verbräuche[[#This Row],[2020]])</f>
        <v/>
      </c>
      <c r="L165" s="15" t="str">
        <f>IF(ISBLANK(Refsz_Verbräuche[[#This Row],[2021]]),"",Refsz_Verbräuche[[#This Row],[2021]])</f>
        <v/>
      </c>
      <c r="M165" s="57" t="str">
        <f>IF(Klisz_Verbräuche[[#Headers],[2022]]=$B$57,IF(COUNTIF($F165:Klisz_Verbräuche[[#This Row],[2021]],"&gt;0")&gt;0, AVERAGEIF($F165:Klisz_Verbräuche[[#This Row],[2021]],"&lt;&gt;"), ""),IF($B$57&lt;Klisz_Verbräuche[[#Headers],[2022]],IF(COUNTIF($F165:Klisz_Verbräuche[[#This Row],[2021]],"&gt;0")&gt;0,IF(COUNTIF($F165:Klisz_Verbräuche[[#This Row],[2021]],"&gt;0")&gt;0,Klisz_Verbräuche[[#This Row],[2021]]*(1-$E165)^1, ""), ""),IF($B$57&gt;Klisz_Verbräuche[[#Headers],[2022]],Refsz_Verbräuche[[#This Row],[2022]],"")))</f>
        <v/>
      </c>
      <c r="N165" s="57" t="str">
        <f>IF(Klisz_Verbräuche[[#Headers],[2023]]=$B$57,IF(COUNTIF($F165:Klisz_Verbräuche[[#This Row],[2022]],"&gt;0")&gt;0, AVERAGEIF($F165:Klisz_Verbräuche[[#This Row],[2022]],"&lt;&gt;"), ""),IF($B$57&lt;Klisz_Verbräuche[[#Headers],[2023]],IF(COUNTIF($F165:Klisz_Verbräuche[[#This Row],[2022]],"&gt;0")&gt;0,IF(COUNTIF($F165:Klisz_Verbräuche[[#This Row],[2022]],"&gt;0")&gt;0,Klisz_Verbräuche[[#This Row],[2022]]*(1-$E165)^1, ""), ""),IF($B$57&gt;Klisz_Verbräuche[[#Headers],[2023]],Refsz_Verbräuche[[#This Row],[2023]],"")))</f>
        <v/>
      </c>
      <c r="O165" s="57" t="str">
        <f>IF(Klisz_Verbräuche[[#Headers],[2024]]=$B$57,IF(COUNTIF($F165:Klisz_Verbräuche[[#This Row],[2023]],"&gt;0")&gt;0, AVERAGEIF($F165:Klisz_Verbräuche[[#This Row],[2023]],"&lt;&gt;"), ""),IF($B$57&lt;Klisz_Verbräuche[[#Headers],[2024]],IF(COUNTIF($F165:Klisz_Verbräuche[[#This Row],[2023]],"&gt;0")&gt;0,IF(COUNTIF($F165:Klisz_Verbräuche[[#This Row],[2023]],"&gt;0")&gt;0,Klisz_Verbräuche[[#This Row],[2023]]*(1-$E165)^1, ""), ""),IF($B$57&gt;Klisz_Verbräuche[[#Headers],[2024]],Refsz_Verbräuche[[#This Row],[2024]],"")))</f>
        <v/>
      </c>
      <c r="P165" s="57" t="str">
        <f>IF(Klisz_Verbräuche[[#Headers],[2025]]=$B$57,IF(COUNTIF($F165:Klisz_Verbräuche[[#This Row],[2024]],"&gt;0")&gt;0, AVERAGEIF($F165:Klisz_Verbräuche[[#This Row],[2024]],"&lt;&gt;"), ""),IF($B$57&lt;Klisz_Verbräuche[[#Headers],[2025]],IF(COUNTIF($F165:Klisz_Verbräuche[[#This Row],[2024]],"&gt;0")&gt;0,IF(COUNTIF($F165:Klisz_Verbräuche[[#This Row],[2024]],"&gt;0")&gt;0,Klisz_Verbräuche[[#This Row],[2024]]*(1-$E165)^1, ""), ""),IF($B$57&gt;Klisz_Verbräuche[[#Headers],[2025]],Refsz_Verbräuche[[#This Row],[2025]],"")))</f>
        <v/>
      </c>
      <c r="Q165" s="57" t="str">
        <f>IF(Klisz_Verbräuche[[#Headers],[2026]]=$B$57,IF(COUNTIF($F165:Klisz_Verbräuche[[#This Row],[2025]],"&gt;0")&gt;0, AVERAGEIF($F165:Klisz_Verbräuche[[#This Row],[2025]],"&lt;&gt;"), ""),IF($B$57&lt;Klisz_Verbräuche[[#Headers],[2026]],IF(COUNTIF($F165:Klisz_Verbräuche[[#This Row],[2025]],"&gt;0")&gt;0,IF(COUNTIF($F165:Klisz_Verbräuche[[#This Row],[2025]],"&gt;0")&gt;0,Klisz_Verbräuche[[#This Row],[2025]]*(1-$E165)^1, ""), ""),IF($B$57&gt;Klisz_Verbräuche[[#Headers],[2026]],Refsz_Verbräuche[[#This Row],[2026]],"")))</f>
        <v/>
      </c>
      <c r="R165" s="57" t="str">
        <f>IF(Klisz_Verbräuche[[#Headers],[2027]]=$B$57,IF(COUNTIF($F165:Klisz_Verbräuche[[#This Row],[2026]],"&gt;0")&gt;0, AVERAGEIF($F165:Klisz_Verbräuche[[#This Row],[2026]],"&lt;&gt;"), ""),IF($B$57&lt;Klisz_Verbräuche[[#Headers],[2027]],IF(COUNTIF($F165:Klisz_Verbräuche[[#This Row],[2026]],"&gt;0")&gt;0,IF(COUNTIF($F165:Klisz_Verbräuche[[#This Row],[2026]],"&gt;0")&gt;0,Klisz_Verbräuche[[#This Row],[2026]]*(1-$E165)^1, ""), ""),IF($B$57&gt;Klisz_Verbräuche[[#Headers],[2027]],Refsz_Verbräuche[[#This Row],[2027]],"")))</f>
        <v/>
      </c>
      <c r="S165" s="57" t="str">
        <f>IF(Klisz_Verbräuche[[#Headers],[2028]]=$B$57,IF(COUNTIF($F165:Klisz_Verbräuche[[#This Row],[2027]],"&gt;0")&gt;0, AVERAGEIF($F165:Klisz_Verbräuche[[#This Row],[2027]],"&lt;&gt;"), ""),IF($B$57&lt;Klisz_Verbräuche[[#Headers],[2028]],IF(COUNTIF($F165:Klisz_Verbräuche[[#This Row],[2027]],"&gt;0")&gt;0,IF(COUNTIF($F165:Klisz_Verbräuche[[#This Row],[2027]],"&gt;0")&gt;0,Klisz_Verbräuche[[#This Row],[2027]]*(1-$E165)^1, ""), ""),IF($B$57&gt;Klisz_Verbräuche[[#Headers],[2028]],Refsz_Verbräuche[[#This Row],[2028]],"")))</f>
        <v/>
      </c>
      <c r="T165" s="57" t="str">
        <f>IF(Klisz_Verbräuche[[#Headers],[2029]]=$B$57,IF(COUNTIF($F165:Klisz_Verbräuche[[#This Row],[2028]],"&gt;0")&gt;0, AVERAGEIF($F165:Klisz_Verbräuche[[#This Row],[2028]],"&lt;&gt;"), ""),IF($B$57&lt;Klisz_Verbräuche[[#Headers],[2029]],IF(COUNTIF($F165:Klisz_Verbräuche[[#This Row],[2028]],"&gt;0")&gt;0,IF(COUNTIF($F165:Klisz_Verbräuche[[#This Row],[2028]],"&gt;0")&gt;0,Klisz_Verbräuche[[#This Row],[2028]]*(1-$E165)^1, ""), ""),IF($B$57&gt;Klisz_Verbräuche[[#Headers],[2029]],Refsz_Verbräuche[[#This Row],[2029]],"")))</f>
        <v/>
      </c>
      <c r="U165" s="57" t="str">
        <f>IF(Klisz_Verbräuche[[#Headers],[2030]]=$B$57,IF(COUNTIF($F165:Klisz_Verbräuche[[#This Row],[2029]],"&gt;0")&gt;0, AVERAGEIF($F165:Klisz_Verbräuche[[#This Row],[2029]],"&lt;&gt;"), ""),IF($B$57&lt;Klisz_Verbräuche[[#Headers],[2030]],IF(COUNTIF($F165:Klisz_Verbräuche[[#This Row],[2029]],"&gt;0")&gt;0,IF(COUNTIF($F165:Klisz_Verbräuche[[#This Row],[2029]],"&gt;0")&gt;0,Klisz_Verbräuche[[#This Row],[2029]]*(1-$E165)^1, ""), ""),IF($B$57&gt;Klisz_Verbräuche[[#Headers],[2030]],Refsz_Verbräuche[[#This Row],[2030]],"")))</f>
        <v/>
      </c>
      <c r="V165" s="57" t="str">
        <f>IF(Klisz_Verbräuche[[#Headers],[2035]]=$B$57,IF(COUNTIF($F165:Klisz_Verbräuche[[#This Row],[2030]],"&gt;0")&gt;0, AVERAGEIF($F165:Klisz_Verbräuche[[#This Row],[2030]],"&lt;&gt;"), ""),IF($B$57&lt;Klisz_Verbräuche[[#Headers],[2035]],IF(COUNTIF($F165:Klisz_Verbräuche[[#This Row],[2030]],"&gt;0")&gt;0,IF(COUNTIF($F165:Klisz_Verbräuche[[#This Row],[2030]],"&gt;0")&gt;0,Klisz_Verbräuche[[#This Row],[2030]]*(1-$E165)^5, ""), ""),IF($B$57&gt;Klisz_Verbräuche[[#Headers],[2035]],Refsz_Verbräuche[[#This Row],[2035]],"")))</f>
        <v/>
      </c>
      <c r="W165" s="57" t="str">
        <f>IF(Klisz_Verbräuche[[#Headers],[2040]]=$B$57,IF(COUNTIF($F165:Klisz_Verbräuche[[#This Row],[2035]],"&gt;0")&gt;0, AVERAGEIF($F165:Klisz_Verbräuche[[#This Row],[2035]],"&lt;&gt;"), ""),IF($B$57&lt;Klisz_Verbräuche[[#Headers],[2040]],IF(COUNTIF($F165:Klisz_Verbräuche[[#This Row],[2035]],"&gt;0")&gt;0,IF(COUNTIF($F165:Klisz_Verbräuche[[#This Row],[2035]],"&gt;0")&gt;0,Klisz_Verbräuche[[#This Row],[2035]]*(1-$E165)^5, ""), ""),IF($B$57&gt;Klisz_Verbräuche[[#Headers],[2040]],Refsz_Verbräuche[[#This Row],[2040]],"")))</f>
        <v/>
      </c>
      <c r="X165" s="57" t="str">
        <f>IF(Klisz_Verbräuche[[#Headers],[2045]]=$B$57,IF(COUNTIF($F165:Klisz_Verbräuche[[#This Row],[2040]],"&gt;0")&gt;0, AVERAGEIF($F165:Klisz_Verbräuche[[#This Row],[2040]],"&lt;&gt;"), ""),IF($B$57&lt;Klisz_Verbräuche[[#Headers],[2045]],IF(COUNTIF($F165:Klisz_Verbräuche[[#This Row],[2040]],"&gt;0")&gt;0,IF(COUNTIF($F165:Klisz_Verbräuche[[#This Row],[2040]],"&gt;0")&gt;0,Klisz_Verbräuche[[#This Row],[2040]]*(1-$E165)^5, ""), ""),IF($B$57&gt;Klisz_Verbräuche[[#Headers],[2045]],Refsz_Verbräuche[[#This Row],[2045]],"")))</f>
        <v/>
      </c>
      <c r="Y165" s="57" t="str">
        <f>IF(Klisz_Verbräuche[[#Headers],[2050]]=$B$57,IF(COUNTIF($F165:Klisz_Verbräuche[[#This Row],[2045]],"&gt;0")&gt;0, AVERAGEIF($F165:Klisz_Verbräuche[[#This Row],[2045]],"&lt;&gt;"), ""),IF($B$57&lt;Klisz_Verbräuche[[#Headers],[2050]],IF(COUNTIF($F165:Klisz_Verbräuche[[#This Row],[2045]],"&gt;0")&gt;0,IF(COUNTIF($F165:Klisz_Verbräuche[[#This Row],[2045]],"&gt;0")&gt;0,Klisz_Verbräuche[[#This Row],[2045]]*(1-$E165)^5, ""), ""),IF($B$57&gt;Klisz_Verbräuche[[#Headers],[2050]],Refsz_Verbräuche[[#This Row],[2050]],"")))</f>
        <v/>
      </c>
      <c r="Z165" s="15"/>
    </row>
    <row r="166" spans="2:26" x14ac:dyDescent="0.35">
      <c r="B166" s="15">
        <v>106</v>
      </c>
      <c r="C166" s="20" t="str">
        <f>Refsz_Verbräuche[[#This Row],[Datenpunkt]]</f>
        <v>Bioabfall (Verbrennung)</v>
      </c>
      <c r="D166" s="29" t="str">
        <f>Refsz_Verbräuche[[#This Row],[Einheit]]</f>
        <v>t</v>
      </c>
      <c r="E166" s="122"/>
      <c r="F166" s="15" t="str">
        <f>IF(ISBLANK(Refsz_Verbräuche[[#This Row],[2015]]),"",Refsz_Verbräuche[[#This Row],[2015]])</f>
        <v/>
      </c>
      <c r="G166" s="15" t="str">
        <f>IF(ISBLANK(Refsz_Verbräuche[[#This Row],[2016]]),"",Refsz_Verbräuche[[#This Row],[2016]])</f>
        <v/>
      </c>
      <c r="H166" s="15" t="str">
        <f>IF(ISBLANK(Refsz_Verbräuche[[#This Row],[2017]]),"",Refsz_Verbräuche[[#This Row],[2017]])</f>
        <v/>
      </c>
      <c r="I166" s="15" t="str">
        <f>IF(ISBLANK(Refsz_Verbräuche[[#This Row],[2018]]),"",Refsz_Verbräuche[[#This Row],[2018]])</f>
        <v/>
      </c>
      <c r="J166" s="15" t="str">
        <f>IF(ISBLANK(Refsz_Verbräuche[[#This Row],[2019]]),"",Refsz_Verbräuche[[#This Row],[2019]])</f>
        <v/>
      </c>
      <c r="K166" s="15" t="str">
        <f>IF(ISBLANK(Refsz_Verbräuche[[#This Row],[2020]]),"",Refsz_Verbräuche[[#This Row],[2020]])</f>
        <v/>
      </c>
      <c r="L166" s="15" t="str">
        <f>IF(ISBLANK(Refsz_Verbräuche[[#This Row],[2021]]),"",Refsz_Verbräuche[[#This Row],[2021]])</f>
        <v/>
      </c>
      <c r="M166" s="57" t="str">
        <f>IF(Klisz_Verbräuche[[#Headers],[2022]]=$B$57,IF(COUNTIF($F166:Klisz_Verbräuche[[#This Row],[2021]],"&gt;0")&gt;0, AVERAGEIF($F166:Klisz_Verbräuche[[#This Row],[2021]],"&lt;&gt;"), ""),IF($B$57&lt;Klisz_Verbräuche[[#Headers],[2022]],IF(COUNTIF($F166:Klisz_Verbräuche[[#This Row],[2021]],"&gt;0")&gt;0,IF(COUNTIF($F166:Klisz_Verbräuche[[#This Row],[2021]],"&gt;0")&gt;0,Klisz_Verbräuche[[#This Row],[2021]]*(1-$E166)^1, ""), ""),IF($B$57&gt;Klisz_Verbräuche[[#Headers],[2022]],Refsz_Verbräuche[[#This Row],[2022]],"")))</f>
        <v/>
      </c>
      <c r="N166" s="57" t="str">
        <f>IF(Klisz_Verbräuche[[#Headers],[2023]]=$B$57,IF(COUNTIF($F166:Klisz_Verbräuche[[#This Row],[2022]],"&gt;0")&gt;0, AVERAGEIF($F166:Klisz_Verbräuche[[#This Row],[2022]],"&lt;&gt;"), ""),IF($B$57&lt;Klisz_Verbräuche[[#Headers],[2023]],IF(COUNTIF($F166:Klisz_Verbräuche[[#This Row],[2022]],"&gt;0")&gt;0,IF(COUNTIF($F166:Klisz_Verbräuche[[#This Row],[2022]],"&gt;0")&gt;0,Klisz_Verbräuche[[#This Row],[2022]]*(1-$E166)^1, ""), ""),IF($B$57&gt;Klisz_Verbräuche[[#Headers],[2023]],Refsz_Verbräuche[[#This Row],[2023]],"")))</f>
        <v/>
      </c>
      <c r="O166" s="57" t="str">
        <f>IF(Klisz_Verbräuche[[#Headers],[2024]]=$B$57,IF(COUNTIF($F166:Klisz_Verbräuche[[#This Row],[2023]],"&gt;0")&gt;0, AVERAGEIF($F166:Klisz_Verbräuche[[#This Row],[2023]],"&lt;&gt;"), ""),IF($B$57&lt;Klisz_Verbräuche[[#Headers],[2024]],IF(COUNTIF($F166:Klisz_Verbräuche[[#This Row],[2023]],"&gt;0")&gt;0,IF(COUNTIF($F166:Klisz_Verbräuche[[#This Row],[2023]],"&gt;0")&gt;0,Klisz_Verbräuche[[#This Row],[2023]]*(1-$E166)^1, ""), ""),IF($B$57&gt;Klisz_Verbräuche[[#Headers],[2024]],Refsz_Verbräuche[[#This Row],[2024]],"")))</f>
        <v/>
      </c>
      <c r="P166" s="57" t="str">
        <f>IF(Klisz_Verbräuche[[#Headers],[2025]]=$B$57,IF(COUNTIF($F166:Klisz_Verbräuche[[#This Row],[2024]],"&gt;0")&gt;0, AVERAGEIF($F166:Klisz_Verbräuche[[#This Row],[2024]],"&lt;&gt;"), ""),IF($B$57&lt;Klisz_Verbräuche[[#Headers],[2025]],IF(COUNTIF($F166:Klisz_Verbräuche[[#This Row],[2024]],"&gt;0")&gt;0,IF(COUNTIF($F166:Klisz_Verbräuche[[#This Row],[2024]],"&gt;0")&gt;0,Klisz_Verbräuche[[#This Row],[2024]]*(1-$E166)^1, ""), ""),IF($B$57&gt;Klisz_Verbräuche[[#Headers],[2025]],Refsz_Verbräuche[[#This Row],[2025]],"")))</f>
        <v/>
      </c>
      <c r="Q166" s="57" t="str">
        <f>IF(Klisz_Verbräuche[[#Headers],[2026]]=$B$57,IF(COUNTIF($F166:Klisz_Verbräuche[[#This Row],[2025]],"&gt;0")&gt;0, AVERAGEIF($F166:Klisz_Verbräuche[[#This Row],[2025]],"&lt;&gt;"), ""),IF($B$57&lt;Klisz_Verbräuche[[#Headers],[2026]],IF(COUNTIF($F166:Klisz_Verbräuche[[#This Row],[2025]],"&gt;0")&gt;0,IF(COUNTIF($F166:Klisz_Verbräuche[[#This Row],[2025]],"&gt;0")&gt;0,Klisz_Verbräuche[[#This Row],[2025]]*(1-$E166)^1, ""), ""),IF($B$57&gt;Klisz_Verbräuche[[#Headers],[2026]],Refsz_Verbräuche[[#This Row],[2026]],"")))</f>
        <v/>
      </c>
      <c r="R166" s="57" t="str">
        <f>IF(Klisz_Verbräuche[[#Headers],[2027]]=$B$57,IF(COUNTIF($F166:Klisz_Verbräuche[[#This Row],[2026]],"&gt;0")&gt;0, AVERAGEIF($F166:Klisz_Verbräuche[[#This Row],[2026]],"&lt;&gt;"), ""),IF($B$57&lt;Klisz_Verbräuche[[#Headers],[2027]],IF(COUNTIF($F166:Klisz_Verbräuche[[#This Row],[2026]],"&gt;0")&gt;0,IF(COUNTIF($F166:Klisz_Verbräuche[[#This Row],[2026]],"&gt;0")&gt;0,Klisz_Verbräuche[[#This Row],[2026]]*(1-$E166)^1, ""), ""),IF($B$57&gt;Klisz_Verbräuche[[#Headers],[2027]],Refsz_Verbräuche[[#This Row],[2027]],"")))</f>
        <v/>
      </c>
      <c r="S166" s="57" t="str">
        <f>IF(Klisz_Verbräuche[[#Headers],[2028]]=$B$57,IF(COUNTIF($F166:Klisz_Verbräuche[[#This Row],[2027]],"&gt;0")&gt;0, AVERAGEIF($F166:Klisz_Verbräuche[[#This Row],[2027]],"&lt;&gt;"), ""),IF($B$57&lt;Klisz_Verbräuche[[#Headers],[2028]],IF(COUNTIF($F166:Klisz_Verbräuche[[#This Row],[2027]],"&gt;0")&gt;0,IF(COUNTIF($F166:Klisz_Verbräuche[[#This Row],[2027]],"&gt;0")&gt;0,Klisz_Verbräuche[[#This Row],[2027]]*(1-$E166)^1, ""), ""),IF($B$57&gt;Klisz_Verbräuche[[#Headers],[2028]],Refsz_Verbräuche[[#This Row],[2028]],"")))</f>
        <v/>
      </c>
      <c r="T166" s="57" t="str">
        <f>IF(Klisz_Verbräuche[[#Headers],[2029]]=$B$57,IF(COUNTIF($F166:Klisz_Verbräuche[[#This Row],[2028]],"&gt;0")&gt;0, AVERAGEIF($F166:Klisz_Verbräuche[[#This Row],[2028]],"&lt;&gt;"), ""),IF($B$57&lt;Klisz_Verbräuche[[#Headers],[2029]],IF(COUNTIF($F166:Klisz_Verbräuche[[#This Row],[2028]],"&gt;0")&gt;0,IF(COUNTIF($F166:Klisz_Verbräuche[[#This Row],[2028]],"&gt;0")&gt;0,Klisz_Verbräuche[[#This Row],[2028]]*(1-$E166)^1, ""), ""),IF($B$57&gt;Klisz_Verbräuche[[#Headers],[2029]],Refsz_Verbräuche[[#This Row],[2029]],"")))</f>
        <v/>
      </c>
      <c r="U166" s="57" t="str">
        <f>IF(Klisz_Verbräuche[[#Headers],[2030]]=$B$57,IF(COUNTIF($F166:Klisz_Verbräuche[[#This Row],[2029]],"&gt;0")&gt;0, AVERAGEIF($F166:Klisz_Verbräuche[[#This Row],[2029]],"&lt;&gt;"), ""),IF($B$57&lt;Klisz_Verbräuche[[#Headers],[2030]],IF(COUNTIF($F166:Klisz_Verbräuche[[#This Row],[2029]],"&gt;0")&gt;0,IF(COUNTIF($F166:Klisz_Verbräuche[[#This Row],[2029]],"&gt;0")&gt;0,Klisz_Verbräuche[[#This Row],[2029]]*(1-$E166)^1, ""), ""),IF($B$57&gt;Klisz_Verbräuche[[#Headers],[2030]],Refsz_Verbräuche[[#This Row],[2030]],"")))</f>
        <v/>
      </c>
      <c r="V166" s="57" t="str">
        <f>IF(Klisz_Verbräuche[[#Headers],[2035]]=$B$57,IF(COUNTIF($F166:Klisz_Verbräuche[[#This Row],[2030]],"&gt;0")&gt;0, AVERAGEIF($F166:Klisz_Verbräuche[[#This Row],[2030]],"&lt;&gt;"), ""),IF($B$57&lt;Klisz_Verbräuche[[#Headers],[2035]],IF(COUNTIF($F166:Klisz_Verbräuche[[#This Row],[2030]],"&gt;0")&gt;0,IF(COUNTIF($F166:Klisz_Verbräuche[[#This Row],[2030]],"&gt;0")&gt;0,Klisz_Verbräuche[[#This Row],[2030]]*(1-$E166)^5, ""), ""),IF($B$57&gt;Klisz_Verbräuche[[#Headers],[2035]],Refsz_Verbräuche[[#This Row],[2035]],"")))</f>
        <v/>
      </c>
      <c r="W166" s="57" t="str">
        <f>IF(Klisz_Verbräuche[[#Headers],[2040]]=$B$57,IF(COUNTIF($F166:Klisz_Verbräuche[[#This Row],[2035]],"&gt;0")&gt;0, AVERAGEIF($F166:Klisz_Verbräuche[[#This Row],[2035]],"&lt;&gt;"), ""),IF($B$57&lt;Klisz_Verbräuche[[#Headers],[2040]],IF(COUNTIF($F166:Klisz_Verbräuche[[#This Row],[2035]],"&gt;0")&gt;0,IF(COUNTIF($F166:Klisz_Verbräuche[[#This Row],[2035]],"&gt;0")&gt;0,Klisz_Verbräuche[[#This Row],[2035]]*(1-$E166)^5, ""), ""),IF($B$57&gt;Klisz_Verbräuche[[#Headers],[2040]],Refsz_Verbräuche[[#This Row],[2040]],"")))</f>
        <v/>
      </c>
      <c r="X166" s="57" t="str">
        <f>IF(Klisz_Verbräuche[[#Headers],[2045]]=$B$57,IF(COUNTIF($F166:Klisz_Verbräuche[[#This Row],[2040]],"&gt;0")&gt;0, AVERAGEIF($F166:Klisz_Verbräuche[[#This Row],[2040]],"&lt;&gt;"), ""),IF($B$57&lt;Klisz_Verbräuche[[#Headers],[2045]],IF(COUNTIF($F166:Klisz_Verbräuche[[#This Row],[2040]],"&gt;0")&gt;0,IF(COUNTIF($F166:Klisz_Verbräuche[[#This Row],[2040]],"&gt;0")&gt;0,Klisz_Verbräuche[[#This Row],[2040]]*(1-$E166)^5, ""), ""),IF($B$57&gt;Klisz_Verbräuche[[#Headers],[2045]],Refsz_Verbräuche[[#This Row],[2045]],"")))</f>
        <v/>
      </c>
      <c r="Y166" s="57" t="str">
        <f>IF(Klisz_Verbräuche[[#Headers],[2050]]=$B$57,IF(COUNTIF($F166:Klisz_Verbräuche[[#This Row],[2045]],"&gt;0")&gt;0, AVERAGEIF($F166:Klisz_Verbräuche[[#This Row],[2045]],"&lt;&gt;"), ""),IF($B$57&lt;Klisz_Verbräuche[[#Headers],[2050]],IF(COUNTIF($F166:Klisz_Verbräuche[[#This Row],[2045]],"&gt;0")&gt;0,IF(COUNTIF($F166:Klisz_Verbräuche[[#This Row],[2045]],"&gt;0")&gt;0,Klisz_Verbräuche[[#This Row],[2045]]*(1-$E166)^5, ""), ""),IF($B$57&gt;Klisz_Verbräuche[[#Headers],[2050]],Refsz_Verbräuche[[#This Row],[2050]],"")))</f>
        <v/>
      </c>
      <c r="Z166" s="15"/>
    </row>
    <row r="167" spans="2:26" x14ac:dyDescent="0.35">
      <c r="B167" s="15">
        <v>107</v>
      </c>
      <c r="C167" s="20" t="str">
        <f>Refsz_Verbräuche[[#This Row],[Datenpunkt]]</f>
        <v>Papierabfall</v>
      </c>
      <c r="D167" s="29" t="str">
        <f>Refsz_Verbräuche[[#This Row],[Einheit]]</f>
        <v>t</v>
      </c>
      <c r="E167" s="122"/>
      <c r="F167" s="15" t="str">
        <f>IF(ISBLANK(Refsz_Verbräuche[[#This Row],[2015]]),"",Refsz_Verbräuche[[#This Row],[2015]])</f>
        <v/>
      </c>
      <c r="G167" s="15" t="str">
        <f>IF(ISBLANK(Refsz_Verbräuche[[#This Row],[2016]]),"",Refsz_Verbräuche[[#This Row],[2016]])</f>
        <v/>
      </c>
      <c r="H167" s="15" t="str">
        <f>IF(ISBLANK(Refsz_Verbräuche[[#This Row],[2017]]),"",Refsz_Verbräuche[[#This Row],[2017]])</f>
        <v/>
      </c>
      <c r="I167" s="15" t="str">
        <f>IF(ISBLANK(Refsz_Verbräuche[[#This Row],[2018]]),"",Refsz_Verbräuche[[#This Row],[2018]])</f>
        <v/>
      </c>
      <c r="J167" s="15" t="str">
        <f>IF(ISBLANK(Refsz_Verbräuche[[#This Row],[2019]]),"",Refsz_Verbräuche[[#This Row],[2019]])</f>
        <v/>
      </c>
      <c r="K167" s="15" t="str">
        <f>IF(ISBLANK(Refsz_Verbräuche[[#This Row],[2020]]),"",Refsz_Verbräuche[[#This Row],[2020]])</f>
        <v/>
      </c>
      <c r="L167" s="15" t="str">
        <f>IF(ISBLANK(Refsz_Verbräuche[[#This Row],[2021]]),"",Refsz_Verbräuche[[#This Row],[2021]])</f>
        <v/>
      </c>
      <c r="M167" s="57" t="str">
        <f>IF(Klisz_Verbräuche[[#Headers],[2022]]=$B$57,IF(COUNTIF($F167:Klisz_Verbräuche[[#This Row],[2021]],"&gt;0")&gt;0, AVERAGEIF($F167:Klisz_Verbräuche[[#This Row],[2021]],"&lt;&gt;"), ""),IF($B$57&lt;Klisz_Verbräuche[[#Headers],[2022]],IF(COUNTIF($F167:Klisz_Verbräuche[[#This Row],[2021]],"&gt;0")&gt;0,IF(COUNTIF($F167:Klisz_Verbräuche[[#This Row],[2021]],"&gt;0")&gt;0,Klisz_Verbräuche[[#This Row],[2021]]*(1-$E167)^1, ""), ""),IF($B$57&gt;Klisz_Verbräuche[[#Headers],[2022]],Refsz_Verbräuche[[#This Row],[2022]],"")))</f>
        <v/>
      </c>
      <c r="N167" s="57" t="str">
        <f>IF(Klisz_Verbräuche[[#Headers],[2023]]=$B$57,IF(COUNTIF($F167:Klisz_Verbräuche[[#This Row],[2022]],"&gt;0")&gt;0, AVERAGEIF($F167:Klisz_Verbräuche[[#This Row],[2022]],"&lt;&gt;"), ""),IF($B$57&lt;Klisz_Verbräuche[[#Headers],[2023]],IF(COUNTIF($F167:Klisz_Verbräuche[[#This Row],[2022]],"&gt;0")&gt;0,IF(COUNTIF($F167:Klisz_Verbräuche[[#This Row],[2022]],"&gt;0")&gt;0,Klisz_Verbräuche[[#This Row],[2022]]*(1-$E167)^1, ""), ""),IF($B$57&gt;Klisz_Verbräuche[[#Headers],[2023]],Refsz_Verbräuche[[#This Row],[2023]],"")))</f>
        <v/>
      </c>
      <c r="O167" s="57" t="str">
        <f>IF(Klisz_Verbräuche[[#Headers],[2024]]=$B$57,IF(COUNTIF($F167:Klisz_Verbräuche[[#This Row],[2023]],"&gt;0")&gt;0, AVERAGEIF($F167:Klisz_Verbräuche[[#This Row],[2023]],"&lt;&gt;"), ""),IF($B$57&lt;Klisz_Verbräuche[[#Headers],[2024]],IF(COUNTIF($F167:Klisz_Verbräuche[[#This Row],[2023]],"&gt;0")&gt;0,IF(COUNTIF($F167:Klisz_Verbräuche[[#This Row],[2023]],"&gt;0")&gt;0,Klisz_Verbräuche[[#This Row],[2023]]*(1-$E167)^1, ""), ""),IF($B$57&gt;Klisz_Verbräuche[[#Headers],[2024]],Refsz_Verbräuche[[#This Row],[2024]],"")))</f>
        <v/>
      </c>
      <c r="P167" s="57" t="str">
        <f>IF(Klisz_Verbräuche[[#Headers],[2025]]=$B$57,IF(COUNTIF($F167:Klisz_Verbräuche[[#This Row],[2024]],"&gt;0")&gt;0, AVERAGEIF($F167:Klisz_Verbräuche[[#This Row],[2024]],"&lt;&gt;"), ""),IF($B$57&lt;Klisz_Verbräuche[[#Headers],[2025]],IF(COUNTIF($F167:Klisz_Verbräuche[[#This Row],[2024]],"&gt;0")&gt;0,IF(COUNTIF($F167:Klisz_Verbräuche[[#This Row],[2024]],"&gt;0")&gt;0,Klisz_Verbräuche[[#This Row],[2024]]*(1-$E167)^1, ""), ""),IF($B$57&gt;Klisz_Verbräuche[[#Headers],[2025]],Refsz_Verbräuche[[#This Row],[2025]],"")))</f>
        <v/>
      </c>
      <c r="Q167" s="57" t="str">
        <f>IF(Klisz_Verbräuche[[#Headers],[2026]]=$B$57,IF(COUNTIF($F167:Klisz_Verbräuche[[#This Row],[2025]],"&gt;0")&gt;0, AVERAGEIF($F167:Klisz_Verbräuche[[#This Row],[2025]],"&lt;&gt;"), ""),IF($B$57&lt;Klisz_Verbräuche[[#Headers],[2026]],IF(COUNTIF($F167:Klisz_Verbräuche[[#This Row],[2025]],"&gt;0")&gt;0,IF(COUNTIF($F167:Klisz_Verbräuche[[#This Row],[2025]],"&gt;0")&gt;0,Klisz_Verbräuche[[#This Row],[2025]]*(1-$E167)^1, ""), ""),IF($B$57&gt;Klisz_Verbräuche[[#Headers],[2026]],Refsz_Verbräuche[[#This Row],[2026]],"")))</f>
        <v/>
      </c>
      <c r="R167" s="57" t="str">
        <f>IF(Klisz_Verbräuche[[#Headers],[2027]]=$B$57,IF(COUNTIF($F167:Klisz_Verbräuche[[#This Row],[2026]],"&gt;0")&gt;0, AVERAGEIF($F167:Klisz_Verbräuche[[#This Row],[2026]],"&lt;&gt;"), ""),IF($B$57&lt;Klisz_Verbräuche[[#Headers],[2027]],IF(COUNTIF($F167:Klisz_Verbräuche[[#This Row],[2026]],"&gt;0")&gt;0,IF(COUNTIF($F167:Klisz_Verbräuche[[#This Row],[2026]],"&gt;0")&gt;0,Klisz_Verbräuche[[#This Row],[2026]]*(1-$E167)^1, ""), ""),IF($B$57&gt;Klisz_Verbräuche[[#Headers],[2027]],Refsz_Verbräuche[[#This Row],[2027]],"")))</f>
        <v/>
      </c>
      <c r="S167" s="57" t="str">
        <f>IF(Klisz_Verbräuche[[#Headers],[2028]]=$B$57,IF(COUNTIF($F167:Klisz_Verbräuche[[#This Row],[2027]],"&gt;0")&gt;0, AVERAGEIF($F167:Klisz_Verbräuche[[#This Row],[2027]],"&lt;&gt;"), ""),IF($B$57&lt;Klisz_Verbräuche[[#Headers],[2028]],IF(COUNTIF($F167:Klisz_Verbräuche[[#This Row],[2027]],"&gt;0")&gt;0,IF(COUNTIF($F167:Klisz_Verbräuche[[#This Row],[2027]],"&gt;0")&gt;0,Klisz_Verbräuche[[#This Row],[2027]]*(1-$E167)^1, ""), ""),IF($B$57&gt;Klisz_Verbräuche[[#Headers],[2028]],Refsz_Verbräuche[[#This Row],[2028]],"")))</f>
        <v/>
      </c>
      <c r="T167" s="57" t="str">
        <f>IF(Klisz_Verbräuche[[#Headers],[2029]]=$B$57,IF(COUNTIF($F167:Klisz_Verbräuche[[#This Row],[2028]],"&gt;0")&gt;0, AVERAGEIF($F167:Klisz_Verbräuche[[#This Row],[2028]],"&lt;&gt;"), ""),IF($B$57&lt;Klisz_Verbräuche[[#Headers],[2029]],IF(COUNTIF($F167:Klisz_Verbräuche[[#This Row],[2028]],"&gt;0")&gt;0,IF(COUNTIF($F167:Klisz_Verbräuche[[#This Row],[2028]],"&gt;0")&gt;0,Klisz_Verbräuche[[#This Row],[2028]]*(1-$E167)^1, ""), ""),IF($B$57&gt;Klisz_Verbräuche[[#Headers],[2029]],Refsz_Verbräuche[[#This Row],[2029]],"")))</f>
        <v/>
      </c>
      <c r="U167" s="57" t="str">
        <f>IF(Klisz_Verbräuche[[#Headers],[2030]]=$B$57,IF(COUNTIF($F167:Klisz_Verbräuche[[#This Row],[2029]],"&gt;0")&gt;0, AVERAGEIF($F167:Klisz_Verbräuche[[#This Row],[2029]],"&lt;&gt;"), ""),IF($B$57&lt;Klisz_Verbräuche[[#Headers],[2030]],IF(COUNTIF($F167:Klisz_Verbräuche[[#This Row],[2029]],"&gt;0")&gt;0,IF(COUNTIF($F167:Klisz_Verbräuche[[#This Row],[2029]],"&gt;0")&gt;0,Klisz_Verbräuche[[#This Row],[2029]]*(1-$E167)^1, ""), ""),IF($B$57&gt;Klisz_Verbräuche[[#Headers],[2030]],Refsz_Verbräuche[[#This Row],[2030]],"")))</f>
        <v/>
      </c>
      <c r="V167" s="57" t="str">
        <f>IF(Klisz_Verbräuche[[#Headers],[2035]]=$B$57,IF(COUNTIF($F167:Klisz_Verbräuche[[#This Row],[2030]],"&gt;0")&gt;0, AVERAGEIF($F167:Klisz_Verbräuche[[#This Row],[2030]],"&lt;&gt;"), ""),IF($B$57&lt;Klisz_Verbräuche[[#Headers],[2035]],IF(COUNTIF($F167:Klisz_Verbräuche[[#This Row],[2030]],"&gt;0")&gt;0,IF(COUNTIF($F167:Klisz_Verbräuche[[#This Row],[2030]],"&gt;0")&gt;0,Klisz_Verbräuche[[#This Row],[2030]]*(1-$E167)^5, ""), ""),IF($B$57&gt;Klisz_Verbräuche[[#Headers],[2035]],Refsz_Verbräuche[[#This Row],[2035]],"")))</f>
        <v/>
      </c>
      <c r="W167" s="57" t="str">
        <f>IF(Klisz_Verbräuche[[#Headers],[2040]]=$B$57,IF(COUNTIF($F167:Klisz_Verbräuche[[#This Row],[2035]],"&gt;0")&gt;0, AVERAGEIF($F167:Klisz_Verbräuche[[#This Row],[2035]],"&lt;&gt;"), ""),IF($B$57&lt;Klisz_Verbräuche[[#Headers],[2040]],IF(COUNTIF($F167:Klisz_Verbräuche[[#This Row],[2035]],"&gt;0")&gt;0,IF(COUNTIF($F167:Klisz_Verbräuche[[#This Row],[2035]],"&gt;0")&gt;0,Klisz_Verbräuche[[#This Row],[2035]]*(1-$E167)^5, ""), ""),IF($B$57&gt;Klisz_Verbräuche[[#Headers],[2040]],Refsz_Verbräuche[[#This Row],[2040]],"")))</f>
        <v/>
      </c>
      <c r="X167" s="57" t="str">
        <f>IF(Klisz_Verbräuche[[#Headers],[2045]]=$B$57,IF(COUNTIF($F167:Klisz_Verbräuche[[#This Row],[2040]],"&gt;0")&gt;0, AVERAGEIF($F167:Klisz_Verbräuche[[#This Row],[2040]],"&lt;&gt;"), ""),IF($B$57&lt;Klisz_Verbräuche[[#Headers],[2045]],IF(COUNTIF($F167:Klisz_Verbräuche[[#This Row],[2040]],"&gt;0")&gt;0,IF(COUNTIF($F167:Klisz_Verbräuche[[#This Row],[2040]],"&gt;0")&gt;0,Klisz_Verbräuche[[#This Row],[2040]]*(1-$E167)^5, ""), ""),IF($B$57&gt;Klisz_Verbräuche[[#Headers],[2045]],Refsz_Verbräuche[[#This Row],[2045]],"")))</f>
        <v/>
      </c>
      <c r="Y167" s="57" t="str">
        <f>IF(Klisz_Verbräuche[[#Headers],[2050]]=$B$57,IF(COUNTIF($F167:Klisz_Verbräuche[[#This Row],[2045]],"&gt;0")&gt;0, AVERAGEIF($F167:Klisz_Verbräuche[[#This Row],[2045]],"&lt;&gt;"), ""),IF($B$57&lt;Klisz_Verbräuche[[#Headers],[2050]],IF(COUNTIF($F167:Klisz_Verbräuche[[#This Row],[2045]],"&gt;0")&gt;0,IF(COUNTIF($F167:Klisz_Verbräuche[[#This Row],[2045]],"&gt;0")&gt;0,Klisz_Verbräuche[[#This Row],[2045]]*(1-$E167)^5, ""), ""),IF($B$57&gt;Klisz_Verbräuche[[#Headers],[2050]],Refsz_Verbräuche[[#This Row],[2050]],"")))</f>
        <v/>
      </c>
      <c r="Z167" s="15"/>
    </row>
    <row r="168" spans="2:26" x14ac:dyDescent="0.35">
      <c r="B168" s="15">
        <v>108</v>
      </c>
      <c r="C168" s="20" t="str">
        <f>Refsz_Verbräuche[[#This Row],[Datenpunkt]]</f>
        <v>Plastik- und Verpackungsabfall</v>
      </c>
      <c r="D168" s="29" t="str">
        <f>Refsz_Verbräuche[[#This Row],[Einheit]]</f>
        <v>t</v>
      </c>
      <c r="E168" s="122"/>
      <c r="F168" s="15" t="str">
        <f>IF(ISBLANK(Refsz_Verbräuche[[#This Row],[2015]]),"",Refsz_Verbräuche[[#This Row],[2015]])</f>
        <v/>
      </c>
      <c r="G168" s="15" t="str">
        <f>IF(ISBLANK(Refsz_Verbräuche[[#This Row],[2016]]),"",Refsz_Verbräuche[[#This Row],[2016]])</f>
        <v/>
      </c>
      <c r="H168" s="15" t="str">
        <f>IF(ISBLANK(Refsz_Verbräuche[[#This Row],[2017]]),"",Refsz_Verbräuche[[#This Row],[2017]])</f>
        <v/>
      </c>
      <c r="I168" s="15" t="str">
        <f>IF(ISBLANK(Refsz_Verbräuche[[#This Row],[2018]]),"",Refsz_Verbräuche[[#This Row],[2018]])</f>
        <v/>
      </c>
      <c r="J168" s="15" t="str">
        <f>IF(ISBLANK(Refsz_Verbräuche[[#This Row],[2019]]),"",Refsz_Verbräuche[[#This Row],[2019]])</f>
        <v/>
      </c>
      <c r="K168" s="15" t="str">
        <f>IF(ISBLANK(Refsz_Verbräuche[[#This Row],[2020]]),"",Refsz_Verbräuche[[#This Row],[2020]])</f>
        <v/>
      </c>
      <c r="L168" s="15" t="str">
        <f>IF(ISBLANK(Refsz_Verbräuche[[#This Row],[2021]]),"",Refsz_Verbräuche[[#This Row],[2021]])</f>
        <v/>
      </c>
      <c r="M168" s="57" t="str">
        <f>IF(Klisz_Verbräuche[[#Headers],[2022]]=$B$57,IF(COUNTIF($F168:Klisz_Verbräuche[[#This Row],[2021]],"&gt;0")&gt;0, AVERAGEIF($F168:Klisz_Verbräuche[[#This Row],[2021]],"&lt;&gt;"), ""),IF($B$57&lt;Klisz_Verbräuche[[#Headers],[2022]],IF(COUNTIF($F168:Klisz_Verbräuche[[#This Row],[2021]],"&gt;0")&gt;0,IF(COUNTIF($F168:Klisz_Verbräuche[[#This Row],[2021]],"&gt;0")&gt;0,Klisz_Verbräuche[[#This Row],[2021]]*(1-$E168)^1, ""), ""),IF($B$57&gt;Klisz_Verbräuche[[#Headers],[2022]],Refsz_Verbräuche[[#This Row],[2022]],"")))</f>
        <v/>
      </c>
      <c r="N168" s="57" t="str">
        <f>IF(Klisz_Verbräuche[[#Headers],[2023]]=$B$57,IF(COUNTIF($F168:Klisz_Verbräuche[[#This Row],[2022]],"&gt;0")&gt;0, AVERAGEIF($F168:Klisz_Verbräuche[[#This Row],[2022]],"&lt;&gt;"), ""),IF($B$57&lt;Klisz_Verbräuche[[#Headers],[2023]],IF(COUNTIF($F168:Klisz_Verbräuche[[#This Row],[2022]],"&gt;0")&gt;0,IF(COUNTIF($F168:Klisz_Verbräuche[[#This Row],[2022]],"&gt;0")&gt;0,Klisz_Verbräuche[[#This Row],[2022]]*(1-$E168)^1, ""), ""),IF($B$57&gt;Klisz_Verbräuche[[#Headers],[2023]],Refsz_Verbräuche[[#This Row],[2023]],"")))</f>
        <v/>
      </c>
      <c r="O168" s="57" t="str">
        <f>IF(Klisz_Verbräuche[[#Headers],[2024]]=$B$57,IF(COUNTIF($F168:Klisz_Verbräuche[[#This Row],[2023]],"&gt;0")&gt;0, AVERAGEIF($F168:Klisz_Verbräuche[[#This Row],[2023]],"&lt;&gt;"), ""),IF($B$57&lt;Klisz_Verbräuche[[#Headers],[2024]],IF(COUNTIF($F168:Klisz_Verbräuche[[#This Row],[2023]],"&gt;0")&gt;0,IF(COUNTIF($F168:Klisz_Verbräuche[[#This Row],[2023]],"&gt;0")&gt;0,Klisz_Verbräuche[[#This Row],[2023]]*(1-$E168)^1, ""), ""),IF($B$57&gt;Klisz_Verbräuche[[#Headers],[2024]],Refsz_Verbräuche[[#This Row],[2024]],"")))</f>
        <v/>
      </c>
      <c r="P168" s="57" t="str">
        <f>IF(Klisz_Verbräuche[[#Headers],[2025]]=$B$57,IF(COUNTIF($F168:Klisz_Verbräuche[[#This Row],[2024]],"&gt;0")&gt;0, AVERAGEIF($F168:Klisz_Verbräuche[[#This Row],[2024]],"&lt;&gt;"), ""),IF($B$57&lt;Klisz_Verbräuche[[#Headers],[2025]],IF(COUNTIF($F168:Klisz_Verbräuche[[#This Row],[2024]],"&gt;0")&gt;0,IF(COUNTIF($F168:Klisz_Verbräuche[[#This Row],[2024]],"&gt;0")&gt;0,Klisz_Verbräuche[[#This Row],[2024]]*(1-$E168)^1, ""), ""),IF($B$57&gt;Klisz_Verbräuche[[#Headers],[2025]],Refsz_Verbräuche[[#This Row],[2025]],"")))</f>
        <v/>
      </c>
      <c r="Q168" s="57" t="str">
        <f>IF(Klisz_Verbräuche[[#Headers],[2026]]=$B$57,IF(COUNTIF($F168:Klisz_Verbräuche[[#This Row],[2025]],"&gt;0")&gt;0, AVERAGEIF($F168:Klisz_Verbräuche[[#This Row],[2025]],"&lt;&gt;"), ""),IF($B$57&lt;Klisz_Verbräuche[[#Headers],[2026]],IF(COUNTIF($F168:Klisz_Verbräuche[[#This Row],[2025]],"&gt;0")&gt;0,IF(COUNTIF($F168:Klisz_Verbräuche[[#This Row],[2025]],"&gt;0")&gt;0,Klisz_Verbräuche[[#This Row],[2025]]*(1-$E168)^1, ""), ""),IF($B$57&gt;Klisz_Verbräuche[[#Headers],[2026]],Refsz_Verbräuche[[#This Row],[2026]],"")))</f>
        <v/>
      </c>
      <c r="R168" s="57" t="str">
        <f>IF(Klisz_Verbräuche[[#Headers],[2027]]=$B$57,IF(COUNTIF($F168:Klisz_Verbräuche[[#This Row],[2026]],"&gt;0")&gt;0, AVERAGEIF($F168:Klisz_Verbräuche[[#This Row],[2026]],"&lt;&gt;"), ""),IF($B$57&lt;Klisz_Verbräuche[[#Headers],[2027]],IF(COUNTIF($F168:Klisz_Verbräuche[[#This Row],[2026]],"&gt;0")&gt;0,IF(COUNTIF($F168:Klisz_Verbräuche[[#This Row],[2026]],"&gt;0")&gt;0,Klisz_Verbräuche[[#This Row],[2026]]*(1-$E168)^1, ""), ""),IF($B$57&gt;Klisz_Verbräuche[[#Headers],[2027]],Refsz_Verbräuche[[#This Row],[2027]],"")))</f>
        <v/>
      </c>
      <c r="S168" s="57" t="str">
        <f>IF(Klisz_Verbräuche[[#Headers],[2028]]=$B$57,IF(COUNTIF($F168:Klisz_Verbräuche[[#This Row],[2027]],"&gt;0")&gt;0, AVERAGEIF($F168:Klisz_Verbräuche[[#This Row],[2027]],"&lt;&gt;"), ""),IF($B$57&lt;Klisz_Verbräuche[[#Headers],[2028]],IF(COUNTIF($F168:Klisz_Verbräuche[[#This Row],[2027]],"&gt;0")&gt;0,IF(COUNTIF($F168:Klisz_Verbräuche[[#This Row],[2027]],"&gt;0")&gt;0,Klisz_Verbräuche[[#This Row],[2027]]*(1-$E168)^1, ""), ""),IF($B$57&gt;Klisz_Verbräuche[[#Headers],[2028]],Refsz_Verbräuche[[#This Row],[2028]],"")))</f>
        <v/>
      </c>
      <c r="T168" s="57" t="str">
        <f>IF(Klisz_Verbräuche[[#Headers],[2029]]=$B$57,IF(COUNTIF($F168:Klisz_Verbräuche[[#This Row],[2028]],"&gt;0")&gt;0, AVERAGEIF($F168:Klisz_Verbräuche[[#This Row],[2028]],"&lt;&gt;"), ""),IF($B$57&lt;Klisz_Verbräuche[[#Headers],[2029]],IF(COUNTIF($F168:Klisz_Verbräuche[[#This Row],[2028]],"&gt;0")&gt;0,IF(COUNTIF($F168:Klisz_Verbräuche[[#This Row],[2028]],"&gt;0")&gt;0,Klisz_Verbräuche[[#This Row],[2028]]*(1-$E168)^1, ""), ""),IF($B$57&gt;Klisz_Verbräuche[[#Headers],[2029]],Refsz_Verbräuche[[#This Row],[2029]],"")))</f>
        <v/>
      </c>
      <c r="U168" s="57" t="str">
        <f>IF(Klisz_Verbräuche[[#Headers],[2030]]=$B$57,IF(COUNTIF($F168:Klisz_Verbräuche[[#This Row],[2029]],"&gt;0")&gt;0, AVERAGEIF($F168:Klisz_Verbräuche[[#This Row],[2029]],"&lt;&gt;"), ""),IF($B$57&lt;Klisz_Verbräuche[[#Headers],[2030]],IF(COUNTIF($F168:Klisz_Verbräuche[[#This Row],[2029]],"&gt;0")&gt;0,IF(COUNTIF($F168:Klisz_Verbräuche[[#This Row],[2029]],"&gt;0")&gt;0,Klisz_Verbräuche[[#This Row],[2029]]*(1-$E168)^1, ""), ""),IF($B$57&gt;Klisz_Verbräuche[[#Headers],[2030]],Refsz_Verbräuche[[#This Row],[2030]],"")))</f>
        <v/>
      </c>
      <c r="V168" s="57" t="str">
        <f>IF(Klisz_Verbräuche[[#Headers],[2035]]=$B$57,IF(COUNTIF($F168:Klisz_Verbräuche[[#This Row],[2030]],"&gt;0")&gt;0, AVERAGEIF($F168:Klisz_Verbräuche[[#This Row],[2030]],"&lt;&gt;"), ""),IF($B$57&lt;Klisz_Verbräuche[[#Headers],[2035]],IF(COUNTIF($F168:Klisz_Verbräuche[[#This Row],[2030]],"&gt;0")&gt;0,IF(COUNTIF($F168:Klisz_Verbräuche[[#This Row],[2030]],"&gt;0")&gt;0,Klisz_Verbräuche[[#This Row],[2030]]*(1-$E168)^5, ""), ""),IF($B$57&gt;Klisz_Verbräuche[[#Headers],[2035]],Refsz_Verbräuche[[#This Row],[2035]],"")))</f>
        <v/>
      </c>
      <c r="W168" s="57" t="str">
        <f>IF(Klisz_Verbräuche[[#Headers],[2040]]=$B$57,IF(COUNTIF($F168:Klisz_Verbräuche[[#This Row],[2035]],"&gt;0")&gt;0, AVERAGEIF($F168:Klisz_Verbräuche[[#This Row],[2035]],"&lt;&gt;"), ""),IF($B$57&lt;Klisz_Verbräuche[[#Headers],[2040]],IF(COUNTIF($F168:Klisz_Verbräuche[[#This Row],[2035]],"&gt;0")&gt;0,IF(COUNTIF($F168:Klisz_Verbräuche[[#This Row],[2035]],"&gt;0")&gt;0,Klisz_Verbräuche[[#This Row],[2035]]*(1-$E168)^5, ""), ""),IF($B$57&gt;Klisz_Verbräuche[[#Headers],[2040]],Refsz_Verbräuche[[#This Row],[2040]],"")))</f>
        <v/>
      </c>
      <c r="X168" s="57" t="str">
        <f>IF(Klisz_Verbräuche[[#Headers],[2045]]=$B$57,IF(COUNTIF($F168:Klisz_Verbräuche[[#This Row],[2040]],"&gt;0")&gt;0, AVERAGEIF($F168:Klisz_Verbräuche[[#This Row],[2040]],"&lt;&gt;"), ""),IF($B$57&lt;Klisz_Verbräuche[[#Headers],[2045]],IF(COUNTIF($F168:Klisz_Verbräuche[[#This Row],[2040]],"&gt;0")&gt;0,IF(COUNTIF($F168:Klisz_Verbräuche[[#This Row],[2040]],"&gt;0")&gt;0,Klisz_Verbräuche[[#This Row],[2040]]*(1-$E168)^5, ""), ""),IF($B$57&gt;Klisz_Verbräuche[[#Headers],[2045]],Refsz_Verbräuche[[#This Row],[2045]],"")))</f>
        <v/>
      </c>
      <c r="Y168" s="57" t="str">
        <f>IF(Klisz_Verbräuche[[#Headers],[2050]]=$B$57,IF(COUNTIF($F168:Klisz_Verbräuche[[#This Row],[2045]],"&gt;0")&gt;0, AVERAGEIF($F168:Klisz_Verbräuche[[#This Row],[2045]],"&lt;&gt;"), ""),IF($B$57&lt;Klisz_Verbräuche[[#Headers],[2050]],IF(COUNTIF($F168:Klisz_Verbräuche[[#This Row],[2045]],"&gt;0")&gt;0,IF(COUNTIF($F168:Klisz_Verbräuche[[#This Row],[2045]],"&gt;0")&gt;0,Klisz_Verbräuche[[#This Row],[2045]]*(1-$E168)^5, ""), ""),IF($B$57&gt;Klisz_Verbräuche[[#Headers],[2050]],Refsz_Verbräuche[[#This Row],[2050]],"")))</f>
        <v/>
      </c>
      <c r="Z168" s="15"/>
    </row>
    <row r="169" spans="2:26" x14ac:dyDescent="0.35">
      <c r="B169" s="15">
        <v>109</v>
      </c>
      <c r="C169" s="20" t="str">
        <f>Refsz_Verbräuche[[#This Row],[Datenpunkt]]</f>
        <v>Restmüll</v>
      </c>
      <c r="D169" s="29" t="str">
        <f>Refsz_Verbräuche[[#This Row],[Einheit]]</f>
        <v>t</v>
      </c>
      <c r="E169" s="122"/>
      <c r="F169" s="15" t="str">
        <f>IF(ISBLANK(Refsz_Verbräuche[[#This Row],[2015]]),"",Refsz_Verbräuche[[#This Row],[2015]])</f>
        <v/>
      </c>
      <c r="G169" s="15" t="str">
        <f>IF(ISBLANK(Refsz_Verbräuche[[#This Row],[2016]]),"",Refsz_Verbräuche[[#This Row],[2016]])</f>
        <v/>
      </c>
      <c r="H169" s="15" t="str">
        <f>IF(ISBLANK(Refsz_Verbräuche[[#This Row],[2017]]),"",Refsz_Verbräuche[[#This Row],[2017]])</f>
        <v/>
      </c>
      <c r="I169" s="15" t="str">
        <f>IF(ISBLANK(Refsz_Verbräuche[[#This Row],[2018]]),"",Refsz_Verbräuche[[#This Row],[2018]])</f>
        <v/>
      </c>
      <c r="J169" s="15" t="str">
        <f>IF(ISBLANK(Refsz_Verbräuche[[#This Row],[2019]]),"",Refsz_Verbräuche[[#This Row],[2019]])</f>
        <v/>
      </c>
      <c r="K169" s="15" t="str">
        <f>IF(ISBLANK(Refsz_Verbräuche[[#This Row],[2020]]),"",Refsz_Verbräuche[[#This Row],[2020]])</f>
        <v/>
      </c>
      <c r="L169" s="15" t="str">
        <f>IF(ISBLANK(Refsz_Verbräuche[[#This Row],[2021]]),"",Refsz_Verbräuche[[#This Row],[2021]])</f>
        <v/>
      </c>
      <c r="M169" s="57" t="str">
        <f>IF(Klisz_Verbräuche[[#Headers],[2022]]=$B$57,IF(COUNTIF($F169:Klisz_Verbräuche[[#This Row],[2021]],"&gt;0")&gt;0, AVERAGEIF($F169:Klisz_Verbräuche[[#This Row],[2021]],"&lt;&gt;"), ""),IF($B$57&lt;Klisz_Verbräuche[[#Headers],[2022]],IF(COUNTIF($F169:Klisz_Verbräuche[[#This Row],[2021]],"&gt;0")&gt;0,IF(COUNTIF($F169:Klisz_Verbräuche[[#This Row],[2021]],"&gt;0")&gt;0,Klisz_Verbräuche[[#This Row],[2021]]*(1-$E169)^1, ""), ""),IF($B$57&gt;Klisz_Verbräuche[[#Headers],[2022]],Refsz_Verbräuche[[#This Row],[2022]],"")))</f>
        <v/>
      </c>
      <c r="N169" s="57" t="str">
        <f>IF(Klisz_Verbräuche[[#Headers],[2023]]=$B$57,IF(COUNTIF($F169:Klisz_Verbräuche[[#This Row],[2022]],"&gt;0")&gt;0, AVERAGEIF($F169:Klisz_Verbräuche[[#This Row],[2022]],"&lt;&gt;"), ""),IF($B$57&lt;Klisz_Verbräuche[[#Headers],[2023]],IF(COUNTIF($F169:Klisz_Verbräuche[[#This Row],[2022]],"&gt;0")&gt;0,IF(COUNTIF($F169:Klisz_Verbräuche[[#This Row],[2022]],"&gt;0")&gt;0,Klisz_Verbräuche[[#This Row],[2022]]*(1-$E169)^1, ""), ""),IF($B$57&gt;Klisz_Verbräuche[[#Headers],[2023]],Refsz_Verbräuche[[#This Row],[2023]],"")))</f>
        <v/>
      </c>
      <c r="O169" s="57" t="str">
        <f>IF(Klisz_Verbräuche[[#Headers],[2024]]=$B$57,IF(COUNTIF($F169:Klisz_Verbräuche[[#This Row],[2023]],"&gt;0")&gt;0, AVERAGEIF($F169:Klisz_Verbräuche[[#This Row],[2023]],"&lt;&gt;"), ""),IF($B$57&lt;Klisz_Verbräuche[[#Headers],[2024]],IF(COUNTIF($F169:Klisz_Verbräuche[[#This Row],[2023]],"&gt;0")&gt;0,IF(COUNTIF($F169:Klisz_Verbräuche[[#This Row],[2023]],"&gt;0")&gt;0,Klisz_Verbräuche[[#This Row],[2023]]*(1-$E169)^1, ""), ""),IF($B$57&gt;Klisz_Verbräuche[[#Headers],[2024]],Refsz_Verbräuche[[#This Row],[2024]],"")))</f>
        <v/>
      </c>
      <c r="P169" s="57" t="str">
        <f>IF(Klisz_Verbräuche[[#Headers],[2025]]=$B$57,IF(COUNTIF($F169:Klisz_Verbräuche[[#This Row],[2024]],"&gt;0")&gt;0, AVERAGEIF($F169:Klisz_Verbräuche[[#This Row],[2024]],"&lt;&gt;"), ""),IF($B$57&lt;Klisz_Verbräuche[[#Headers],[2025]],IF(COUNTIF($F169:Klisz_Verbräuche[[#This Row],[2024]],"&gt;0")&gt;0,IF(COUNTIF($F169:Klisz_Verbräuche[[#This Row],[2024]],"&gt;0")&gt;0,Klisz_Verbräuche[[#This Row],[2024]]*(1-$E169)^1, ""), ""),IF($B$57&gt;Klisz_Verbräuche[[#Headers],[2025]],Refsz_Verbräuche[[#This Row],[2025]],"")))</f>
        <v/>
      </c>
      <c r="Q169" s="57" t="str">
        <f>IF(Klisz_Verbräuche[[#Headers],[2026]]=$B$57,IF(COUNTIF($F169:Klisz_Verbräuche[[#This Row],[2025]],"&gt;0")&gt;0, AVERAGEIF($F169:Klisz_Verbräuche[[#This Row],[2025]],"&lt;&gt;"), ""),IF($B$57&lt;Klisz_Verbräuche[[#Headers],[2026]],IF(COUNTIF($F169:Klisz_Verbräuche[[#This Row],[2025]],"&gt;0")&gt;0,IF(COUNTIF($F169:Klisz_Verbräuche[[#This Row],[2025]],"&gt;0")&gt;0,Klisz_Verbräuche[[#This Row],[2025]]*(1-$E169)^1, ""), ""),IF($B$57&gt;Klisz_Verbräuche[[#Headers],[2026]],Refsz_Verbräuche[[#This Row],[2026]],"")))</f>
        <v/>
      </c>
      <c r="R169" s="57" t="str">
        <f>IF(Klisz_Verbräuche[[#Headers],[2027]]=$B$57,IF(COUNTIF($F169:Klisz_Verbräuche[[#This Row],[2026]],"&gt;0")&gt;0, AVERAGEIF($F169:Klisz_Verbräuche[[#This Row],[2026]],"&lt;&gt;"), ""),IF($B$57&lt;Klisz_Verbräuche[[#Headers],[2027]],IF(COUNTIF($F169:Klisz_Verbräuche[[#This Row],[2026]],"&gt;0")&gt;0,IF(COUNTIF($F169:Klisz_Verbräuche[[#This Row],[2026]],"&gt;0")&gt;0,Klisz_Verbräuche[[#This Row],[2026]]*(1-$E169)^1, ""), ""),IF($B$57&gt;Klisz_Verbräuche[[#Headers],[2027]],Refsz_Verbräuche[[#This Row],[2027]],"")))</f>
        <v/>
      </c>
      <c r="S169" s="57" t="str">
        <f>IF(Klisz_Verbräuche[[#Headers],[2028]]=$B$57,IF(COUNTIF($F169:Klisz_Verbräuche[[#This Row],[2027]],"&gt;0")&gt;0, AVERAGEIF($F169:Klisz_Verbräuche[[#This Row],[2027]],"&lt;&gt;"), ""),IF($B$57&lt;Klisz_Verbräuche[[#Headers],[2028]],IF(COUNTIF($F169:Klisz_Verbräuche[[#This Row],[2027]],"&gt;0")&gt;0,IF(COUNTIF($F169:Klisz_Verbräuche[[#This Row],[2027]],"&gt;0")&gt;0,Klisz_Verbräuche[[#This Row],[2027]]*(1-$E169)^1, ""), ""),IF($B$57&gt;Klisz_Verbräuche[[#Headers],[2028]],Refsz_Verbräuche[[#This Row],[2028]],"")))</f>
        <v/>
      </c>
      <c r="T169" s="57" t="str">
        <f>IF(Klisz_Verbräuche[[#Headers],[2029]]=$B$57,IF(COUNTIF($F169:Klisz_Verbräuche[[#This Row],[2028]],"&gt;0")&gt;0, AVERAGEIF($F169:Klisz_Verbräuche[[#This Row],[2028]],"&lt;&gt;"), ""),IF($B$57&lt;Klisz_Verbräuche[[#Headers],[2029]],IF(COUNTIF($F169:Klisz_Verbräuche[[#This Row],[2028]],"&gt;0")&gt;0,IF(COUNTIF($F169:Klisz_Verbräuche[[#This Row],[2028]],"&gt;0")&gt;0,Klisz_Verbräuche[[#This Row],[2028]]*(1-$E169)^1, ""), ""),IF($B$57&gt;Klisz_Verbräuche[[#Headers],[2029]],Refsz_Verbräuche[[#This Row],[2029]],"")))</f>
        <v/>
      </c>
      <c r="U169" s="57" t="str">
        <f>IF(Klisz_Verbräuche[[#Headers],[2030]]=$B$57,IF(COUNTIF($F169:Klisz_Verbräuche[[#This Row],[2029]],"&gt;0")&gt;0, AVERAGEIF($F169:Klisz_Verbräuche[[#This Row],[2029]],"&lt;&gt;"), ""),IF($B$57&lt;Klisz_Verbräuche[[#Headers],[2030]],IF(COUNTIF($F169:Klisz_Verbräuche[[#This Row],[2029]],"&gt;0")&gt;0,IF(COUNTIF($F169:Klisz_Verbräuche[[#This Row],[2029]],"&gt;0")&gt;0,Klisz_Verbräuche[[#This Row],[2029]]*(1-$E169)^1, ""), ""),IF($B$57&gt;Klisz_Verbräuche[[#Headers],[2030]],Refsz_Verbräuche[[#This Row],[2030]],"")))</f>
        <v/>
      </c>
      <c r="V169" s="57" t="str">
        <f>IF(Klisz_Verbräuche[[#Headers],[2035]]=$B$57,IF(COUNTIF($F169:Klisz_Verbräuche[[#This Row],[2030]],"&gt;0")&gt;0, AVERAGEIF($F169:Klisz_Verbräuche[[#This Row],[2030]],"&lt;&gt;"), ""),IF($B$57&lt;Klisz_Verbräuche[[#Headers],[2035]],IF(COUNTIF($F169:Klisz_Verbräuche[[#This Row],[2030]],"&gt;0")&gt;0,IF(COUNTIF($F169:Klisz_Verbräuche[[#This Row],[2030]],"&gt;0")&gt;0,Klisz_Verbräuche[[#This Row],[2030]]*(1-$E169)^5, ""), ""),IF($B$57&gt;Klisz_Verbräuche[[#Headers],[2035]],Refsz_Verbräuche[[#This Row],[2035]],"")))</f>
        <v/>
      </c>
      <c r="W169" s="57" t="str">
        <f>IF(Klisz_Verbräuche[[#Headers],[2040]]=$B$57,IF(COUNTIF($F169:Klisz_Verbräuche[[#This Row],[2035]],"&gt;0")&gt;0, AVERAGEIF($F169:Klisz_Verbräuche[[#This Row],[2035]],"&lt;&gt;"), ""),IF($B$57&lt;Klisz_Verbräuche[[#Headers],[2040]],IF(COUNTIF($F169:Klisz_Verbräuche[[#This Row],[2035]],"&gt;0")&gt;0,IF(COUNTIF($F169:Klisz_Verbräuche[[#This Row],[2035]],"&gt;0")&gt;0,Klisz_Verbräuche[[#This Row],[2035]]*(1-$E169)^5, ""), ""),IF($B$57&gt;Klisz_Verbräuche[[#Headers],[2040]],Refsz_Verbräuche[[#This Row],[2040]],"")))</f>
        <v/>
      </c>
      <c r="X169" s="57" t="str">
        <f>IF(Klisz_Verbräuche[[#Headers],[2045]]=$B$57,IF(COUNTIF($F169:Klisz_Verbräuche[[#This Row],[2040]],"&gt;0")&gt;0, AVERAGEIF($F169:Klisz_Verbräuche[[#This Row],[2040]],"&lt;&gt;"), ""),IF($B$57&lt;Klisz_Verbräuche[[#Headers],[2045]],IF(COUNTIF($F169:Klisz_Verbräuche[[#This Row],[2040]],"&gt;0")&gt;0,IF(COUNTIF($F169:Klisz_Verbräuche[[#This Row],[2040]],"&gt;0")&gt;0,Klisz_Verbräuche[[#This Row],[2040]]*(1-$E169)^5, ""), ""),IF($B$57&gt;Klisz_Verbräuche[[#Headers],[2045]],Refsz_Verbräuche[[#This Row],[2045]],"")))</f>
        <v/>
      </c>
      <c r="Y169" s="57" t="str">
        <f>IF(Klisz_Verbräuche[[#Headers],[2050]]=$B$57,IF(COUNTIF($F169:Klisz_Verbräuche[[#This Row],[2045]],"&gt;0")&gt;0, AVERAGEIF($F169:Klisz_Verbräuche[[#This Row],[2045]],"&lt;&gt;"), ""),IF($B$57&lt;Klisz_Verbräuche[[#Headers],[2050]],IF(COUNTIF($F169:Klisz_Verbräuche[[#This Row],[2045]],"&gt;0")&gt;0,IF(COUNTIF($F169:Klisz_Verbräuche[[#This Row],[2045]],"&gt;0")&gt;0,Klisz_Verbräuche[[#This Row],[2045]]*(1-$E169)^5, ""), ""),IF($B$57&gt;Klisz_Verbräuche[[#Headers],[2050]],Refsz_Verbräuche[[#This Row],[2050]],"")))</f>
        <v/>
      </c>
      <c r="Z169" s="15"/>
    </row>
    <row r="170" spans="2:26" x14ac:dyDescent="0.35">
      <c r="B170" s="15">
        <v>110</v>
      </c>
      <c r="C170" s="20" t="str">
        <f>Refsz_Verbräuche[[#This Row],[Datenpunkt]]</f>
        <v>Sperrmüll</v>
      </c>
      <c r="D170" s="29" t="str">
        <f>Refsz_Verbräuche[[#This Row],[Einheit]]</f>
        <v>t</v>
      </c>
      <c r="E170" s="122"/>
      <c r="F170" s="15" t="str">
        <f>IF(ISBLANK(Refsz_Verbräuche[[#This Row],[2015]]),"",Refsz_Verbräuche[[#This Row],[2015]])</f>
        <v/>
      </c>
      <c r="G170" s="15" t="str">
        <f>IF(ISBLANK(Refsz_Verbräuche[[#This Row],[2016]]),"",Refsz_Verbräuche[[#This Row],[2016]])</f>
        <v/>
      </c>
      <c r="H170" s="15" t="str">
        <f>IF(ISBLANK(Refsz_Verbräuche[[#This Row],[2017]]),"",Refsz_Verbräuche[[#This Row],[2017]])</f>
        <v/>
      </c>
      <c r="I170" s="15" t="str">
        <f>IF(ISBLANK(Refsz_Verbräuche[[#This Row],[2018]]),"",Refsz_Verbräuche[[#This Row],[2018]])</f>
        <v/>
      </c>
      <c r="J170" s="15" t="str">
        <f>IF(ISBLANK(Refsz_Verbräuche[[#This Row],[2019]]),"",Refsz_Verbräuche[[#This Row],[2019]])</f>
        <v/>
      </c>
      <c r="K170" s="15" t="str">
        <f>IF(ISBLANK(Refsz_Verbräuche[[#This Row],[2020]]),"",Refsz_Verbräuche[[#This Row],[2020]])</f>
        <v/>
      </c>
      <c r="L170" s="15" t="str">
        <f>IF(ISBLANK(Refsz_Verbräuche[[#This Row],[2021]]),"",Refsz_Verbräuche[[#This Row],[2021]])</f>
        <v/>
      </c>
      <c r="M170" s="57" t="str">
        <f>IF(Klisz_Verbräuche[[#Headers],[2022]]=$B$57,IF(COUNTIF($F170:Klisz_Verbräuche[[#This Row],[2021]],"&gt;0")&gt;0, AVERAGEIF($F170:Klisz_Verbräuche[[#This Row],[2021]],"&lt;&gt;"), ""),IF($B$57&lt;Klisz_Verbräuche[[#Headers],[2022]],IF(COUNTIF($F170:Klisz_Verbräuche[[#This Row],[2021]],"&gt;0")&gt;0,IF(COUNTIF($F170:Klisz_Verbräuche[[#This Row],[2021]],"&gt;0")&gt;0,Klisz_Verbräuche[[#This Row],[2021]]*(1-$E170)^1, ""), ""),IF($B$57&gt;Klisz_Verbräuche[[#Headers],[2022]],Refsz_Verbräuche[[#This Row],[2022]],"")))</f>
        <v/>
      </c>
      <c r="N170" s="57" t="str">
        <f>IF(Klisz_Verbräuche[[#Headers],[2023]]=$B$57,IF(COUNTIF($F170:Klisz_Verbräuche[[#This Row],[2022]],"&gt;0")&gt;0, AVERAGEIF($F170:Klisz_Verbräuche[[#This Row],[2022]],"&lt;&gt;"), ""),IF($B$57&lt;Klisz_Verbräuche[[#Headers],[2023]],IF(COUNTIF($F170:Klisz_Verbräuche[[#This Row],[2022]],"&gt;0")&gt;0,IF(COUNTIF($F170:Klisz_Verbräuche[[#This Row],[2022]],"&gt;0")&gt;0,Klisz_Verbräuche[[#This Row],[2022]]*(1-$E170)^1, ""), ""),IF($B$57&gt;Klisz_Verbräuche[[#Headers],[2023]],Refsz_Verbräuche[[#This Row],[2023]],"")))</f>
        <v/>
      </c>
      <c r="O170" s="57" t="str">
        <f>IF(Klisz_Verbräuche[[#Headers],[2024]]=$B$57,IF(COUNTIF($F170:Klisz_Verbräuche[[#This Row],[2023]],"&gt;0")&gt;0, AVERAGEIF($F170:Klisz_Verbräuche[[#This Row],[2023]],"&lt;&gt;"), ""),IF($B$57&lt;Klisz_Verbräuche[[#Headers],[2024]],IF(COUNTIF($F170:Klisz_Verbräuche[[#This Row],[2023]],"&gt;0")&gt;0,IF(COUNTIF($F170:Klisz_Verbräuche[[#This Row],[2023]],"&gt;0")&gt;0,Klisz_Verbräuche[[#This Row],[2023]]*(1-$E170)^1, ""), ""),IF($B$57&gt;Klisz_Verbräuche[[#Headers],[2024]],Refsz_Verbräuche[[#This Row],[2024]],"")))</f>
        <v/>
      </c>
      <c r="P170" s="57" t="str">
        <f>IF(Klisz_Verbräuche[[#Headers],[2025]]=$B$57,IF(COUNTIF($F170:Klisz_Verbräuche[[#This Row],[2024]],"&gt;0")&gt;0, AVERAGEIF($F170:Klisz_Verbräuche[[#This Row],[2024]],"&lt;&gt;"), ""),IF($B$57&lt;Klisz_Verbräuche[[#Headers],[2025]],IF(COUNTIF($F170:Klisz_Verbräuche[[#This Row],[2024]],"&gt;0")&gt;0,IF(COUNTIF($F170:Klisz_Verbräuche[[#This Row],[2024]],"&gt;0")&gt;0,Klisz_Verbräuche[[#This Row],[2024]]*(1-$E170)^1, ""), ""),IF($B$57&gt;Klisz_Verbräuche[[#Headers],[2025]],Refsz_Verbräuche[[#This Row],[2025]],"")))</f>
        <v/>
      </c>
      <c r="Q170" s="57" t="str">
        <f>IF(Klisz_Verbräuche[[#Headers],[2026]]=$B$57,IF(COUNTIF($F170:Klisz_Verbräuche[[#This Row],[2025]],"&gt;0")&gt;0, AVERAGEIF($F170:Klisz_Verbräuche[[#This Row],[2025]],"&lt;&gt;"), ""),IF($B$57&lt;Klisz_Verbräuche[[#Headers],[2026]],IF(COUNTIF($F170:Klisz_Verbräuche[[#This Row],[2025]],"&gt;0")&gt;0,IF(COUNTIF($F170:Klisz_Verbräuche[[#This Row],[2025]],"&gt;0")&gt;0,Klisz_Verbräuche[[#This Row],[2025]]*(1-$E170)^1, ""), ""),IF($B$57&gt;Klisz_Verbräuche[[#Headers],[2026]],Refsz_Verbräuche[[#This Row],[2026]],"")))</f>
        <v/>
      </c>
      <c r="R170" s="57" t="str">
        <f>IF(Klisz_Verbräuche[[#Headers],[2027]]=$B$57,IF(COUNTIF($F170:Klisz_Verbräuche[[#This Row],[2026]],"&gt;0")&gt;0, AVERAGEIF($F170:Klisz_Verbräuche[[#This Row],[2026]],"&lt;&gt;"), ""),IF($B$57&lt;Klisz_Verbräuche[[#Headers],[2027]],IF(COUNTIF($F170:Klisz_Verbräuche[[#This Row],[2026]],"&gt;0")&gt;0,IF(COUNTIF($F170:Klisz_Verbräuche[[#This Row],[2026]],"&gt;0")&gt;0,Klisz_Verbräuche[[#This Row],[2026]]*(1-$E170)^1, ""), ""),IF($B$57&gt;Klisz_Verbräuche[[#Headers],[2027]],Refsz_Verbräuche[[#This Row],[2027]],"")))</f>
        <v/>
      </c>
      <c r="S170" s="57" t="str">
        <f>IF(Klisz_Verbräuche[[#Headers],[2028]]=$B$57,IF(COUNTIF($F170:Klisz_Verbräuche[[#This Row],[2027]],"&gt;0")&gt;0, AVERAGEIF($F170:Klisz_Verbräuche[[#This Row],[2027]],"&lt;&gt;"), ""),IF($B$57&lt;Klisz_Verbräuche[[#Headers],[2028]],IF(COUNTIF($F170:Klisz_Verbräuche[[#This Row],[2027]],"&gt;0")&gt;0,IF(COUNTIF($F170:Klisz_Verbräuche[[#This Row],[2027]],"&gt;0")&gt;0,Klisz_Verbräuche[[#This Row],[2027]]*(1-$E170)^1, ""), ""),IF($B$57&gt;Klisz_Verbräuche[[#Headers],[2028]],Refsz_Verbräuche[[#This Row],[2028]],"")))</f>
        <v/>
      </c>
      <c r="T170" s="57" t="str">
        <f>IF(Klisz_Verbräuche[[#Headers],[2029]]=$B$57,IF(COUNTIF($F170:Klisz_Verbräuche[[#This Row],[2028]],"&gt;0")&gt;0, AVERAGEIF($F170:Klisz_Verbräuche[[#This Row],[2028]],"&lt;&gt;"), ""),IF($B$57&lt;Klisz_Verbräuche[[#Headers],[2029]],IF(COUNTIF($F170:Klisz_Verbräuche[[#This Row],[2028]],"&gt;0")&gt;0,IF(COUNTIF($F170:Klisz_Verbräuche[[#This Row],[2028]],"&gt;0")&gt;0,Klisz_Verbräuche[[#This Row],[2028]]*(1-$E170)^1, ""), ""),IF($B$57&gt;Klisz_Verbräuche[[#Headers],[2029]],Refsz_Verbräuche[[#This Row],[2029]],"")))</f>
        <v/>
      </c>
      <c r="U170" s="57" t="str">
        <f>IF(Klisz_Verbräuche[[#Headers],[2030]]=$B$57,IF(COUNTIF($F170:Klisz_Verbräuche[[#This Row],[2029]],"&gt;0")&gt;0, AVERAGEIF($F170:Klisz_Verbräuche[[#This Row],[2029]],"&lt;&gt;"), ""),IF($B$57&lt;Klisz_Verbräuche[[#Headers],[2030]],IF(COUNTIF($F170:Klisz_Verbräuche[[#This Row],[2029]],"&gt;0")&gt;0,IF(COUNTIF($F170:Klisz_Verbräuche[[#This Row],[2029]],"&gt;0")&gt;0,Klisz_Verbräuche[[#This Row],[2029]]*(1-$E170)^1, ""), ""),IF($B$57&gt;Klisz_Verbräuche[[#Headers],[2030]],Refsz_Verbräuche[[#This Row],[2030]],"")))</f>
        <v/>
      </c>
      <c r="V170" s="57" t="str">
        <f>IF(Klisz_Verbräuche[[#Headers],[2035]]=$B$57,IF(COUNTIF($F170:Klisz_Verbräuche[[#This Row],[2030]],"&gt;0")&gt;0, AVERAGEIF($F170:Klisz_Verbräuche[[#This Row],[2030]],"&lt;&gt;"), ""),IF($B$57&lt;Klisz_Verbräuche[[#Headers],[2035]],IF(COUNTIF($F170:Klisz_Verbräuche[[#This Row],[2030]],"&gt;0")&gt;0,IF(COUNTIF($F170:Klisz_Verbräuche[[#This Row],[2030]],"&gt;0")&gt;0,Klisz_Verbräuche[[#This Row],[2030]]*(1-$E170)^5, ""), ""),IF($B$57&gt;Klisz_Verbräuche[[#Headers],[2035]],Refsz_Verbräuche[[#This Row],[2035]],"")))</f>
        <v/>
      </c>
      <c r="W170" s="57" t="str">
        <f>IF(Klisz_Verbräuche[[#Headers],[2040]]=$B$57,IF(COUNTIF($F170:Klisz_Verbräuche[[#This Row],[2035]],"&gt;0")&gt;0, AVERAGEIF($F170:Klisz_Verbräuche[[#This Row],[2035]],"&lt;&gt;"), ""),IF($B$57&lt;Klisz_Verbräuche[[#Headers],[2040]],IF(COUNTIF($F170:Klisz_Verbräuche[[#This Row],[2035]],"&gt;0")&gt;0,IF(COUNTIF($F170:Klisz_Verbräuche[[#This Row],[2035]],"&gt;0")&gt;0,Klisz_Verbräuche[[#This Row],[2035]]*(1-$E170)^5, ""), ""),IF($B$57&gt;Klisz_Verbräuche[[#Headers],[2040]],Refsz_Verbräuche[[#This Row],[2040]],"")))</f>
        <v/>
      </c>
      <c r="X170" s="57" t="str">
        <f>IF(Klisz_Verbräuche[[#Headers],[2045]]=$B$57,IF(COUNTIF($F170:Klisz_Verbräuche[[#This Row],[2040]],"&gt;0")&gt;0, AVERAGEIF($F170:Klisz_Verbräuche[[#This Row],[2040]],"&lt;&gt;"), ""),IF($B$57&lt;Klisz_Verbräuche[[#Headers],[2045]],IF(COUNTIF($F170:Klisz_Verbräuche[[#This Row],[2040]],"&gt;0")&gt;0,IF(COUNTIF($F170:Klisz_Verbräuche[[#This Row],[2040]],"&gt;0")&gt;0,Klisz_Verbräuche[[#This Row],[2040]]*(1-$E170)^5, ""), ""),IF($B$57&gt;Klisz_Verbräuche[[#Headers],[2045]],Refsz_Verbräuche[[#This Row],[2045]],"")))</f>
        <v/>
      </c>
      <c r="Y170" s="57" t="str">
        <f>IF(Klisz_Verbräuche[[#Headers],[2050]]=$B$57,IF(COUNTIF($F170:Klisz_Verbräuche[[#This Row],[2045]],"&gt;0")&gt;0, AVERAGEIF($F170:Klisz_Verbräuche[[#This Row],[2045]],"&lt;&gt;"), ""),IF($B$57&lt;Klisz_Verbräuche[[#Headers],[2050]],IF(COUNTIF($F170:Klisz_Verbräuche[[#This Row],[2045]],"&gt;0")&gt;0,IF(COUNTIF($F170:Klisz_Verbräuche[[#This Row],[2045]],"&gt;0")&gt;0,Klisz_Verbräuche[[#This Row],[2045]]*(1-$E170)^5, ""), ""),IF($B$57&gt;Klisz_Verbräuche[[#Headers],[2050]],Refsz_Verbräuche[[#This Row],[2050]],"")))</f>
        <v/>
      </c>
      <c r="Z170" s="15"/>
    </row>
    <row r="171" spans="2:26" x14ac:dyDescent="0.35">
      <c r="B171" s="15">
        <v>111</v>
      </c>
      <c r="C171" s="20" t="str">
        <f>Refsz_Verbräuche[[#This Row],[Datenpunkt]]</f>
        <v>Altholz</v>
      </c>
      <c r="D171" s="29" t="str">
        <f>Refsz_Verbräuche[[#This Row],[Einheit]]</f>
        <v>t</v>
      </c>
      <c r="E171" s="122"/>
      <c r="F171" s="15" t="str">
        <f>IF(ISBLANK(Refsz_Verbräuche[[#This Row],[2015]]),"",Refsz_Verbräuche[[#This Row],[2015]])</f>
        <v/>
      </c>
      <c r="G171" s="15" t="str">
        <f>IF(ISBLANK(Refsz_Verbräuche[[#This Row],[2016]]),"",Refsz_Verbräuche[[#This Row],[2016]])</f>
        <v/>
      </c>
      <c r="H171" s="15" t="str">
        <f>IF(ISBLANK(Refsz_Verbräuche[[#This Row],[2017]]),"",Refsz_Verbräuche[[#This Row],[2017]])</f>
        <v/>
      </c>
      <c r="I171" s="15" t="str">
        <f>IF(ISBLANK(Refsz_Verbräuche[[#This Row],[2018]]),"",Refsz_Verbräuche[[#This Row],[2018]])</f>
        <v/>
      </c>
      <c r="J171" s="15" t="str">
        <f>IF(ISBLANK(Refsz_Verbräuche[[#This Row],[2019]]),"",Refsz_Verbräuche[[#This Row],[2019]])</f>
        <v/>
      </c>
      <c r="K171" s="15" t="str">
        <f>IF(ISBLANK(Refsz_Verbräuche[[#This Row],[2020]]),"",Refsz_Verbräuche[[#This Row],[2020]])</f>
        <v/>
      </c>
      <c r="L171" s="15" t="str">
        <f>IF(ISBLANK(Refsz_Verbräuche[[#This Row],[2021]]),"",Refsz_Verbräuche[[#This Row],[2021]])</f>
        <v/>
      </c>
      <c r="M171" s="57" t="str">
        <f>IF(Klisz_Verbräuche[[#Headers],[2022]]=$B$57,IF(COUNTIF($F171:Klisz_Verbräuche[[#This Row],[2021]],"&gt;0")&gt;0, AVERAGEIF($F171:Klisz_Verbräuche[[#This Row],[2021]],"&lt;&gt;"), ""),IF($B$57&lt;Klisz_Verbräuche[[#Headers],[2022]],IF(COUNTIF($F171:Klisz_Verbräuche[[#This Row],[2021]],"&gt;0")&gt;0,IF(COUNTIF($F171:Klisz_Verbräuche[[#This Row],[2021]],"&gt;0")&gt;0,Klisz_Verbräuche[[#This Row],[2021]]*(1-$E171)^1, ""), ""),IF($B$57&gt;Klisz_Verbräuche[[#Headers],[2022]],Refsz_Verbräuche[[#This Row],[2022]],"")))</f>
        <v/>
      </c>
      <c r="N171" s="57" t="str">
        <f>IF(Klisz_Verbräuche[[#Headers],[2023]]=$B$57,IF(COUNTIF($F171:Klisz_Verbräuche[[#This Row],[2022]],"&gt;0")&gt;0, AVERAGEIF($F171:Klisz_Verbräuche[[#This Row],[2022]],"&lt;&gt;"), ""),IF($B$57&lt;Klisz_Verbräuche[[#Headers],[2023]],IF(COUNTIF($F171:Klisz_Verbräuche[[#This Row],[2022]],"&gt;0")&gt;0,IF(COUNTIF($F171:Klisz_Verbräuche[[#This Row],[2022]],"&gt;0")&gt;0,Klisz_Verbräuche[[#This Row],[2022]]*(1-$E171)^1, ""), ""),IF($B$57&gt;Klisz_Verbräuche[[#Headers],[2023]],Refsz_Verbräuche[[#This Row],[2023]],"")))</f>
        <v/>
      </c>
      <c r="O171" s="57" t="str">
        <f>IF(Klisz_Verbräuche[[#Headers],[2024]]=$B$57,IF(COUNTIF($F171:Klisz_Verbräuche[[#This Row],[2023]],"&gt;0")&gt;0, AVERAGEIF($F171:Klisz_Verbräuche[[#This Row],[2023]],"&lt;&gt;"), ""),IF($B$57&lt;Klisz_Verbräuche[[#Headers],[2024]],IF(COUNTIF($F171:Klisz_Verbräuche[[#This Row],[2023]],"&gt;0")&gt;0,IF(COUNTIF($F171:Klisz_Verbräuche[[#This Row],[2023]],"&gt;0")&gt;0,Klisz_Verbräuche[[#This Row],[2023]]*(1-$E171)^1, ""), ""),IF($B$57&gt;Klisz_Verbräuche[[#Headers],[2024]],Refsz_Verbräuche[[#This Row],[2024]],"")))</f>
        <v/>
      </c>
      <c r="P171" s="57" t="str">
        <f>IF(Klisz_Verbräuche[[#Headers],[2025]]=$B$57,IF(COUNTIF($F171:Klisz_Verbräuche[[#This Row],[2024]],"&gt;0")&gt;0, AVERAGEIF($F171:Klisz_Verbräuche[[#This Row],[2024]],"&lt;&gt;"), ""),IF($B$57&lt;Klisz_Verbräuche[[#Headers],[2025]],IF(COUNTIF($F171:Klisz_Verbräuche[[#This Row],[2024]],"&gt;0")&gt;0,IF(COUNTIF($F171:Klisz_Verbräuche[[#This Row],[2024]],"&gt;0")&gt;0,Klisz_Verbräuche[[#This Row],[2024]]*(1-$E171)^1, ""), ""),IF($B$57&gt;Klisz_Verbräuche[[#Headers],[2025]],Refsz_Verbräuche[[#This Row],[2025]],"")))</f>
        <v/>
      </c>
      <c r="Q171" s="57" t="str">
        <f>IF(Klisz_Verbräuche[[#Headers],[2026]]=$B$57,IF(COUNTIF($F171:Klisz_Verbräuche[[#This Row],[2025]],"&gt;0")&gt;0, AVERAGEIF($F171:Klisz_Verbräuche[[#This Row],[2025]],"&lt;&gt;"), ""),IF($B$57&lt;Klisz_Verbräuche[[#Headers],[2026]],IF(COUNTIF($F171:Klisz_Verbräuche[[#This Row],[2025]],"&gt;0")&gt;0,IF(COUNTIF($F171:Klisz_Verbräuche[[#This Row],[2025]],"&gt;0")&gt;0,Klisz_Verbräuche[[#This Row],[2025]]*(1-$E171)^1, ""), ""),IF($B$57&gt;Klisz_Verbräuche[[#Headers],[2026]],Refsz_Verbräuche[[#This Row],[2026]],"")))</f>
        <v/>
      </c>
      <c r="R171" s="57" t="str">
        <f>IF(Klisz_Verbräuche[[#Headers],[2027]]=$B$57,IF(COUNTIF($F171:Klisz_Verbräuche[[#This Row],[2026]],"&gt;0")&gt;0, AVERAGEIF($F171:Klisz_Verbräuche[[#This Row],[2026]],"&lt;&gt;"), ""),IF($B$57&lt;Klisz_Verbräuche[[#Headers],[2027]],IF(COUNTIF($F171:Klisz_Verbräuche[[#This Row],[2026]],"&gt;0")&gt;0,IF(COUNTIF($F171:Klisz_Verbräuche[[#This Row],[2026]],"&gt;0")&gt;0,Klisz_Verbräuche[[#This Row],[2026]]*(1-$E171)^1, ""), ""),IF($B$57&gt;Klisz_Verbräuche[[#Headers],[2027]],Refsz_Verbräuche[[#This Row],[2027]],"")))</f>
        <v/>
      </c>
      <c r="S171" s="57" t="str">
        <f>IF(Klisz_Verbräuche[[#Headers],[2028]]=$B$57,IF(COUNTIF($F171:Klisz_Verbräuche[[#This Row],[2027]],"&gt;0")&gt;0, AVERAGEIF($F171:Klisz_Verbräuche[[#This Row],[2027]],"&lt;&gt;"), ""),IF($B$57&lt;Klisz_Verbräuche[[#Headers],[2028]],IF(COUNTIF($F171:Klisz_Verbräuche[[#This Row],[2027]],"&gt;0")&gt;0,IF(COUNTIF($F171:Klisz_Verbräuche[[#This Row],[2027]],"&gt;0")&gt;0,Klisz_Verbräuche[[#This Row],[2027]]*(1-$E171)^1, ""), ""),IF($B$57&gt;Klisz_Verbräuche[[#Headers],[2028]],Refsz_Verbräuche[[#This Row],[2028]],"")))</f>
        <v/>
      </c>
      <c r="T171" s="57" t="str">
        <f>IF(Klisz_Verbräuche[[#Headers],[2029]]=$B$57,IF(COUNTIF($F171:Klisz_Verbräuche[[#This Row],[2028]],"&gt;0")&gt;0, AVERAGEIF($F171:Klisz_Verbräuche[[#This Row],[2028]],"&lt;&gt;"), ""),IF($B$57&lt;Klisz_Verbräuche[[#Headers],[2029]],IF(COUNTIF($F171:Klisz_Verbräuche[[#This Row],[2028]],"&gt;0")&gt;0,IF(COUNTIF($F171:Klisz_Verbräuche[[#This Row],[2028]],"&gt;0")&gt;0,Klisz_Verbräuche[[#This Row],[2028]]*(1-$E171)^1, ""), ""),IF($B$57&gt;Klisz_Verbräuche[[#Headers],[2029]],Refsz_Verbräuche[[#This Row],[2029]],"")))</f>
        <v/>
      </c>
      <c r="U171" s="57" t="str">
        <f>IF(Klisz_Verbräuche[[#Headers],[2030]]=$B$57,IF(COUNTIF($F171:Klisz_Verbräuche[[#This Row],[2029]],"&gt;0")&gt;0, AVERAGEIF($F171:Klisz_Verbräuche[[#This Row],[2029]],"&lt;&gt;"), ""),IF($B$57&lt;Klisz_Verbräuche[[#Headers],[2030]],IF(COUNTIF($F171:Klisz_Verbräuche[[#This Row],[2029]],"&gt;0")&gt;0,IF(COUNTIF($F171:Klisz_Verbräuche[[#This Row],[2029]],"&gt;0")&gt;0,Klisz_Verbräuche[[#This Row],[2029]]*(1-$E171)^1, ""), ""),IF($B$57&gt;Klisz_Verbräuche[[#Headers],[2030]],Refsz_Verbräuche[[#This Row],[2030]],"")))</f>
        <v/>
      </c>
      <c r="V171" s="57" t="str">
        <f>IF(Klisz_Verbräuche[[#Headers],[2035]]=$B$57,IF(COUNTIF($F171:Klisz_Verbräuche[[#This Row],[2030]],"&gt;0")&gt;0, AVERAGEIF($F171:Klisz_Verbräuche[[#This Row],[2030]],"&lt;&gt;"), ""),IF($B$57&lt;Klisz_Verbräuche[[#Headers],[2035]],IF(COUNTIF($F171:Klisz_Verbräuche[[#This Row],[2030]],"&gt;0")&gt;0,IF(COUNTIF($F171:Klisz_Verbräuche[[#This Row],[2030]],"&gt;0")&gt;0,Klisz_Verbräuche[[#This Row],[2030]]*(1-$E171)^5, ""), ""),IF($B$57&gt;Klisz_Verbräuche[[#Headers],[2035]],Refsz_Verbräuche[[#This Row],[2035]],"")))</f>
        <v/>
      </c>
      <c r="W171" s="57" t="str">
        <f>IF(Klisz_Verbräuche[[#Headers],[2040]]=$B$57,IF(COUNTIF($F171:Klisz_Verbräuche[[#This Row],[2035]],"&gt;0")&gt;0, AVERAGEIF($F171:Klisz_Verbräuche[[#This Row],[2035]],"&lt;&gt;"), ""),IF($B$57&lt;Klisz_Verbräuche[[#Headers],[2040]],IF(COUNTIF($F171:Klisz_Verbräuche[[#This Row],[2035]],"&gt;0")&gt;0,IF(COUNTIF($F171:Klisz_Verbräuche[[#This Row],[2035]],"&gt;0")&gt;0,Klisz_Verbräuche[[#This Row],[2035]]*(1-$E171)^5, ""), ""),IF($B$57&gt;Klisz_Verbräuche[[#Headers],[2040]],Refsz_Verbräuche[[#This Row],[2040]],"")))</f>
        <v/>
      </c>
      <c r="X171" s="57" t="str">
        <f>IF(Klisz_Verbräuche[[#Headers],[2045]]=$B$57,IF(COUNTIF($F171:Klisz_Verbräuche[[#This Row],[2040]],"&gt;0")&gt;0, AVERAGEIF($F171:Klisz_Verbräuche[[#This Row],[2040]],"&lt;&gt;"), ""),IF($B$57&lt;Klisz_Verbräuche[[#Headers],[2045]],IF(COUNTIF($F171:Klisz_Verbräuche[[#This Row],[2040]],"&gt;0")&gt;0,IF(COUNTIF($F171:Klisz_Verbräuche[[#This Row],[2040]],"&gt;0")&gt;0,Klisz_Verbräuche[[#This Row],[2040]]*(1-$E171)^5, ""), ""),IF($B$57&gt;Klisz_Verbräuche[[#Headers],[2045]],Refsz_Verbräuche[[#This Row],[2045]],"")))</f>
        <v/>
      </c>
      <c r="Y171" s="57" t="str">
        <f>IF(Klisz_Verbräuche[[#Headers],[2050]]=$B$57,IF(COUNTIF($F171:Klisz_Verbräuche[[#This Row],[2045]],"&gt;0")&gt;0, AVERAGEIF($F171:Klisz_Verbräuche[[#This Row],[2045]],"&lt;&gt;"), ""),IF($B$57&lt;Klisz_Verbräuche[[#Headers],[2050]],IF(COUNTIF($F171:Klisz_Verbräuche[[#This Row],[2045]],"&gt;0")&gt;0,IF(COUNTIF($F171:Klisz_Verbräuche[[#This Row],[2045]],"&gt;0")&gt;0,Klisz_Verbräuche[[#This Row],[2045]]*(1-$E171)^5, ""), ""),IF($B$57&gt;Klisz_Verbräuche[[#Headers],[2050]],Refsz_Verbräuche[[#This Row],[2050]],"")))</f>
        <v/>
      </c>
      <c r="Z171" s="15"/>
    </row>
    <row r="172" spans="2:26" x14ac:dyDescent="0.35">
      <c r="B172" s="15">
        <v>112</v>
      </c>
      <c r="C172" s="20" t="str">
        <f>Refsz_Verbräuche[[#This Row],[Datenpunkt]]</f>
        <v>Altglas</v>
      </c>
      <c r="D172" s="29" t="str">
        <f>Refsz_Verbräuche[[#This Row],[Einheit]]</f>
        <v>t</v>
      </c>
      <c r="E172" s="122"/>
      <c r="F172" s="15" t="str">
        <f>IF(ISBLANK(Refsz_Verbräuche[[#This Row],[2015]]),"",Refsz_Verbräuche[[#This Row],[2015]])</f>
        <v/>
      </c>
      <c r="G172" s="15" t="str">
        <f>IF(ISBLANK(Refsz_Verbräuche[[#This Row],[2016]]),"",Refsz_Verbräuche[[#This Row],[2016]])</f>
        <v/>
      </c>
      <c r="H172" s="15" t="str">
        <f>IF(ISBLANK(Refsz_Verbräuche[[#This Row],[2017]]),"",Refsz_Verbräuche[[#This Row],[2017]])</f>
        <v/>
      </c>
      <c r="I172" s="15" t="str">
        <f>IF(ISBLANK(Refsz_Verbräuche[[#This Row],[2018]]),"",Refsz_Verbräuche[[#This Row],[2018]])</f>
        <v/>
      </c>
      <c r="J172" s="15" t="str">
        <f>IF(ISBLANK(Refsz_Verbräuche[[#This Row],[2019]]),"",Refsz_Verbräuche[[#This Row],[2019]])</f>
        <v/>
      </c>
      <c r="K172" s="15" t="str">
        <f>IF(ISBLANK(Refsz_Verbräuche[[#This Row],[2020]]),"",Refsz_Verbräuche[[#This Row],[2020]])</f>
        <v/>
      </c>
      <c r="L172" s="15" t="str">
        <f>IF(ISBLANK(Refsz_Verbräuche[[#This Row],[2021]]),"",Refsz_Verbräuche[[#This Row],[2021]])</f>
        <v/>
      </c>
      <c r="M172" s="57" t="str">
        <f>IF(Klisz_Verbräuche[[#Headers],[2022]]=$B$57,IF(COUNTIF($F172:Klisz_Verbräuche[[#This Row],[2021]],"&gt;0")&gt;0, AVERAGEIF($F172:Klisz_Verbräuche[[#This Row],[2021]],"&lt;&gt;"), ""),IF($B$57&lt;Klisz_Verbräuche[[#Headers],[2022]],IF(COUNTIF($F172:Klisz_Verbräuche[[#This Row],[2021]],"&gt;0")&gt;0,IF(COUNTIF($F172:Klisz_Verbräuche[[#This Row],[2021]],"&gt;0")&gt;0,Klisz_Verbräuche[[#This Row],[2021]]*(1-$E172)^1, ""), ""),IF($B$57&gt;Klisz_Verbräuche[[#Headers],[2022]],Refsz_Verbräuche[[#This Row],[2022]],"")))</f>
        <v/>
      </c>
      <c r="N172" s="57" t="str">
        <f>IF(Klisz_Verbräuche[[#Headers],[2023]]=$B$57,IF(COUNTIF($F172:Klisz_Verbräuche[[#This Row],[2022]],"&gt;0")&gt;0, AVERAGEIF($F172:Klisz_Verbräuche[[#This Row],[2022]],"&lt;&gt;"), ""),IF($B$57&lt;Klisz_Verbräuche[[#Headers],[2023]],IF(COUNTIF($F172:Klisz_Verbräuche[[#This Row],[2022]],"&gt;0")&gt;0,IF(COUNTIF($F172:Klisz_Verbräuche[[#This Row],[2022]],"&gt;0")&gt;0,Klisz_Verbräuche[[#This Row],[2022]]*(1-$E172)^1, ""), ""),IF($B$57&gt;Klisz_Verbräuche[[#Headers],[2023]],Refsz_Verbräuche[[#This Row],[2023]],"")))</f>
        <v/>
      </c>
      <c r="O172" s="57" t="str">
        <f>IF(Klisz_Verbräuche[[#Headers],[2024]]=$B$57,IF(COUNTIF($F172:Klisz_Verbräuche[[#This Row],[2023]],"&gt;0")&gt;0, AVERAGEIF($F172:Klisz_Verbräuche[[#This Row],[2023]],"&lt;&gt;"), ""),IF($B$57&lt;Klisz_Verbräuche[[#Headers],[2024]],IF(COUNTIF($F172:Klisz_Verbräuche[[#This Row],[2023]],"&gt;0")&gt;0,IF(COUNTIF($F172:Klisz_Verbräuche[[#This Row],[2023]],"&gt;0")&gt;0,Klisz_Verbräuche[[#This Row],[2023]]*(1-$E172)^1, ""), ""),IF($B$57&gt;Klisz_Verbräuche[[#Headers],[2024]],Refsz_Verbräuche[[#This Row],[2024]],"")))</f>
        <v/>
      </c>
      <c r="P172" s="57" t="str">
        <f>IF(Klisz_Verbräuche[[#Headers],[2025]]=$B$57,IF(COUNTIF($F172:Klisz_Verbräuche[[#This Row],[2024]],"&gt;0")&gt;0, AVERAGEIF($F172:Klisz_Verbräuche[[#This Row],[2024]],"&lt;&gt;"), ""),IF($B$57&lt;Klisz_Verbräuche[[#Headers],[2025]],IF(COUNTIF($F172:Klisz_Verbräuche[[#This Row],[2024]],"&gt;0")&gt;0,IF(COUNTIF($F172:Klisz_Verbräuche[[#This Row],[2024]],"&gt;0")&gt;0,Klisz_Verbräuche[[#This Row],[2024]]*(1-$E172)^1, ""), ""),IF($B$57&gt;Klisz_Verbräuche[[#Headers],[2025]],Refsz_Verbräuche[[#This Row],[2025]],"")))</f>
        <v/>
      </c>
      <c r="Q172" s="57" t="str">
        <f>IF(Klisz_Verbräuche[[#Headers],[2026]]=$B$57,IF(COUNTIF($F172:Klisz_Verbräuche[[#This Row],[2025]],"&gt;0")&gt;0, AVERAGEIF($F172:Klisz_Verbräuche[[#This Row],[2025]],"&lt;&gt;"), ""),IF($B$57&lt;Klisz_Verbräuche[[#Headers],[2026]],IF(COUNTIF($F172:Klisz_Verbräuche[[#This Row],[2025]],"&gt;0")&gt;0,IF(COUNTIF($F172:Klisz_Verbräuche[[#This Row],[2025]],"&gt;0")&gt;0,Klisz_Verbräuche[[#This Row],[2025]]*(1-$E172)^1, ""), ""),IF($B$57&gt;Klisz_Verbräuche[[#Headers],[2026]],Refsz_Verbräuche[[#This Row],[2026]],"")))</f>
        <v/>
      </c>
      <c r="R172" s="57" t="str">
        <f>IF(Klisz_Verbräuche[[#Headers],[2027]]=$B$57,IF(COUNTIF($F172:Klisz_Verbräuche[[#This Row],[2026]],"&gt;0")&gt;0, AVERAGEIF($F172:Klisz_Verbräuche[[#This Row],[2026]],"&lt;&gt;"), ""),IF($B$57&lt;Klisz_Verbräuche[[#Headers],[2027]],IF(COUNTIF($F172:Klisz_Verbräuche[[#This Row],[2026]],"&gt;0")&gt;0,IF(COUNTIF($F172:Klisz_Verbräuche[[#This Row],[2026]],"&gt;0")&gt;0,Klisz_Verbräuche[[#This Row],[2026]]*(1-$E172)^1, ""), ""),IF($B$57&gt;Klisz_Verbräuche[[#Headers],[2027]],Refsz_Verbräuche[[#This Row],[2027]],"")))</f>
        <v/>
      </c>
      <c r="S172" s="57" t="str">
        <f>IF(Klisz_Verbräuche[[#Headers],[2028]]=$B$57,IF(COUNTIF($F172:Klisz_Verbräuche[[#This Row],[2027]],"&gt;0")&gt;0, AVERAGEIF($F172:Klisz_Verbräuche[[#This Row],[2027]],"&lt;&gt;"), ""),IF($B$57&lt;Klisz_Verbräuche[[#Headers],[2028]],IF(COUNTIF($F172:Klisz_Verbräuche[[#This Row],[2027]],"&gt;0")&gt;0,IF(COUNTIF($F172:Klisz_Verbräuche[[#This Row],[2027]],"&gt;0")&gt;0,Klisz_Verbräuche[[#This Row],[2027]]*(1-$E172)^1, ""), ""),IF($B$57&gt;Klisz_Verbräuche[[#Headers],[2028]],Refsz_Verbräuche[[#This Row],[2028]],"")))</f>
        <v/>
      </c>
      <c r="T172" s="57" t="str">
        <f>IF(Klisz_Verbräuche[[#Headers],[2029]]=$B$57,IF(COUNTIF($F172:Klisz_Verbräuche[[#This Row],[2028]],"&gt;0")&gt;0, AVERAGEIF($F172:Klisz_Verbräuche[[#This Row],[2028]],"&lt;&gt;"), ""),IF($B$57&lt;Klisz_Verbräuche[[#Headers],[2029]],IF(COUNTIF($F172:Klisz_Verbräuche[[#This Row],[2028]],"&gt;0")&gt;0,IF(COUNTIF($F172:Klisz_Verbräuche[[#This Row],[2028]],"&gt;0")&gt;0,Klisz_Verbräuche[[#This Row],[2028]]*(1-$E172)^1, ""), ""),IF($B$57&gt;Klisz_Verbräuche[[#Headers],[2029]],Refsz_Verbräuche[[#This Row],[2029]],"")))</f>
        <v/>
      </c>
      <c r="U172" s="57" t="str">
        <f>IF(Klisz_Verbräuche[[#Headers],[2030]]=$B$57,IF(COUNTIF($F172:Klisz_Verbräuche[[#This Row],[2029]],"&gt;0")&gt;0, AVERAGEIF($F172:Klisz_Verbräuche[[#This Row],[2029]],"&lt;&gt;"), ""),IF($B$57&lt;Klisz_Verbräuche[[#Headers],[2030]],IF(COUNTIF($F172:Klisz_Verbräuche[[#This Row],[2029]],"&gt;0")&gt;0,IF(COUNTIF($F172:Klisz_Verbräuche[[#This Row],[2029]],"&gt;0")&gt;0,Klisz_Verbräuche[[#This Row],[2029]]*(1-$E172)^1, ""), ""),IF($B$57&gt;Klisz_Verbräuche[[#Headers],[2030]],Refsz_Verbräuche[[#This Row],[2030]],"")))</f>
        <v/>
      </c>
      <c r="V172" s="57" t="str">
        <f>IF(Klisz_Verbräuche[[#Headers],[2035]]=$B$57,IF(COUNTIF($F172:Klisz_Verbräuche[[#This Row],[2030]],"&gt;0")&gt;0, AVERAGEIF($F172:Klisz_Verbräuche[[#This Row],[2030]],"&lt;&gt;"), ""),IF($B$57&lt;Klisz_Verbräuche[[#Headers],[2035]],IF(COUNTIF($F172:Klisz_Verbräuche[[#This Row],[2030]],"&gt;0")&gt;0,IF(COUNTIF($F172:Klisz_Verbräuche[[#This Row],[2030]],"&gt;0")&gt;0,Klisz_Verbräuche[[#This Row],[2030]]*(1-$E172)^5, ""), ""),IF($B$57&gt;Klisz_Verbräuche[[#Headers],[2035]],Refsz_Verbräuche[[#This Row],[2035]],"")))</f>
        <v/>
      </c>
      <c r="W172" s="57" t="str">
        <f>IF(Klisz_Verbräuche[[#Headers],[2040]]=$B$57,IF(COUNTIF($F172:Klisz_Verbräuche[[#This Row],[2035]],"&gt;0")&gt;0, AVERAGEIF($F172:Klisz_Verbräuche[[#This Row],[2035]],"&lt;&gt;"), ""),IF($B$57&lt;Klisz_Verbräuche[[#Headers],[2040]],IF(COUNTIF($F172:Klisz_Verbräuche[[#This Row],[2035]],"&gt;0")&gt;0,IF(COUNTIF($F172:Klisz_Verbräuche[[#This Row],[2035]],"&gt;0")&gt;0,Klisz_Verbräuche[[#This Row],[2035]]*(1-$E172)^5, ""), ""),IF($B$57&gt;Klisz_Verbräuche[[#Headers],[2040]],Refsz_Verbräuche[[#This Row],[2040]],"")))</f>
        <v/>
      </c>
      <c r="X172" s="57" t="str">
        <f>IF(Klisz_Verbräuche[[#Headers],[2045]]=$B$57,IF(COUNTIF($F172:Klisz_Verbräuche[[#This Row],[2040]],"&gt;0")&gt;0, AVERAGEIF($F172:Klisz_Verbräuche[[#This Row],[2040]],"&lt;&gt;"), ""),IF($B$57&lt;Klisz_Verbräuche[[#Headers],[2045]],IF(COUNTIF($F172:Klisz_Verbräuche[[#This Row],[2040]],"&gt;0")&gt;0,IF(COUNTIF($F172:Klisz_Verbräuche[[#This Row],[2040]],"&gt;0")&gt;0,Klisz_Verbräuche[[#This Row],[2040]]*(1-$E172)^5, ""), ""),IF($B$57&gt;Klisz_Verbräuche[[#Headers],[2045]],Refsz_Verbräuche[[#This Row],[2045]],"")))</f>
        <v/>
      </c>
      <c r="Y172" s="57" t="str">
        <f>IF(Klisz_Verbräuche[[#Headers],[2050]]=$B$57,IF(COUNTIF($F172:Klisz_Verbräuche[[#This Row],[2045]],"&gt;0")&gt;0, AVERAGEIF($F172:Klisz_Verbräuche[[#This Row],[2045]],"&lt;&gt;"), ""),IF($B$57&lt;Klisz_Verbräuche[[#Headers],[2050]],IF(COUNTIF($F172:Klisz_Verbräuche[[#This Row],[2045]],"&gt;0")&gt;0,IF(COUNTIF($F172:Klisz_Verbräuche[[#This Row],[2045]],"&gt;0")&gt;0,Klisz_Verbräuche[[#This Row],[2045]]*(1-$E172)^5, ""), ""),IF($B$57&gt;Klisz_Verbräuche[[#Headers],[2050]],Refsz_Verbräuche[[#This Row],[2050]],"")))</f>
        <v/>
      </c>
      <c r="Z172" s="15"/>
    </row>
    <row r="173" spans="2:26" x14ac:dyDescent="0.35">
      <c r="B173" s="15">
        <v>113</v>
      </c>
      <c r="C173" s="20" t="str">
        <f>Refsz_Verbräuche[[#This Row],[Datenpunkt]]</f>
        <v>E-Großgeräte (Abfall)</v>
      </c>
      <c r="D173" s="29" t="str">
        <f>Refsz_Verbräuche[[#This Row],[Einheit]]</f>
        <v>t</v>
      </c>
      <c r="E173" s="122"/>
      <c r="F173" s="15" t="str">
        <f>IF(ISBLANK(Refsz_Verbräuche[[#This Row],[2015]]),"",Refsz_Verbräuche[[#This Row],[2015]])</f>
        <v/>
      </c>
      <c r="G173" s="15" t="str">
        <f>IF(ISBLANK(Refsz_Verbräuche[[#This Row],[2016]]),"",Refsz_Verbräuche[[#This Row],[2016]])</f>
        <v/>
      </c>
      <c r="H173" s="15" t="str">
        <f>IF(ISBLANK(Refsz_Verbräuche[[#This Row],[2017]]),"",Refsz_Verbräuche[[#This Row],[2017]])</f>
        <v/>
      </c>
      <c r="I173" s="15" t="str">
        <f>IF(ISBLANK(Refsz_Verbräuche[[#This Row],[2018]]),"",Refsz_Verbräuche[[#This Row],[2018]])</f>
        <v/>
      </c>
      <c r="J173" s="15" t="str">
        <f>IF(ISBLANK(Refsz_Verbräuche[[#This Row],[2019]]),"",Refsz_Verbräuche[[#This Row],[2019]])</f>
        <v/>
      </c>
      <c r="K173" s="15" t="str">
        <f>IF(ISBLANK(Refsz_Verbräuche[[#This Row],[2020]]),"",Refsz_Verbräuche[[#This Row],[2020]])</f>
        <v/>
      </c>
      <c r="L173" s="15" t="str">
        <f>IF(ISBLANK(Refsz_Verbräuche[[#This Row],[2021]]),"",Refsz_Verbräuche[[#This Row],[2021]])</f>
        <v/>
      </c>
      <c r="M173" s="57" t="str">
        <f>IF(Klisz_Verbräuche[[#Headers],[2022]]=$B$57,IF(COUNTIF($F173:Klisz_Verbräuche[[#This Row],[2021]],"&gt;0")&gt;0, AVERAGEIF($F173:Klisz_Verbräuche[[#This Row],[2021]],"&lt;&gt;"), ""),IF($B$57&lt;Klisz_Verbräuche[[#Headers],[2022]],IF(COUNTIF($F173:Klisz_Verbräuche[[#This Row],[2021]],"&gt;0")&gt;0,IF(COUNTIF($F173:Klisz_Verbräuche[[#This Row],[2021]],"&gt;0")&gt;0,Klisz_Verbräuche[[#This Row],[2021]]*(1-$E173)^1, ""), ""),IF($B$57&gt;Klisz_Verbräuche[[#Headers],[2022]],Refsz_Verbräuche[[#This Row],[2022]],"")))</f>
        <v/>
      </c>
      <c r="N173" s="57" t="str">
        <f>IF(Klisz_Verbräuche[[#Headers],[2023]]=$B$57,IF(COUNTIF($F173:Klisz_Verbräuche[[#This Row],[2022]],"&gt;0")&gt;0, AVERAGEIF($F173:Klisz_Verbräuche[[#This Row],[2022]],"&lt;&gt;"), ""),IF($B$57&lt;Klisz_Verbräuche[[#Headers],[2023]],IF(COUNTIF($F173:Klisz_Verbräuche[[#This Row],[2022]],"&gt;0")&gt;0,IF(COUNTIF($F173:Klisz_Verbräuche[[#This Row],[2022]],"&gt;0")&gt;0,Klisz_Verbräuche[[#This Row],[2022]]*(1-$E173)^1, ""), ""),IF($B$57&gt;Klisz_Verbräuche[[#Headers],[2023]],Refsz_Verbräuche[[#This Row],[2023]],"")))</f>
        <v/>
      </c>
      <c r="O173" s="57" t="str">
        <f>IF(Klisz_Verbräuche[[#Headers],[2024]]=$B$57,IF(COUNTIF($F173:Klisz_Verbräuche[[#This Row],[2023]],"&gt;0")&gt;0, AVERAGEIF($F173:Klisz_Verbräuche[[#This Row],[2023]],"&lt;&gt;"), ""),IF($B$57&lt;Klisz_Verbräuche[[#Headers],[2024]],IF(COUNTIF($F173:Klisz_Verbräuche[[#This Row],[2023]],"&gt;0")&gt;0,IF(COUNTIF($F173:Klisz_Verbräuche[[#This Row],[2023]],"&gt;0")&gt;0,Klisz_Verbräuche[[#This Row],[2023]]*(1-$E173)^1, ""), ""),IF($B$57&gt;Klisz_Verbräuche[[#Headers],[2024]],Refsz_Verbräuche[[#This Row],[2024]],"")))</f>
        <v/>
      </c>
      <c r="P173" s="57" t="str">
        <f>IF(Klisz_Verbräuche[[#Headers],[2025]]=$B$57,IF(COUNTIF($F173:Klisz_Verbräuche[[#This Row],[2024]],"&gt;0")&gt;0, AVERAGEIF($F173:Klisz_Verbräuche[[#This Row],[2024]],"&lt;&gt;"), ""),IF($B$57&lt;Klisz_Verbräuche[[#Headers],[2025]],IF(COUNTIF($F173:Klisz_Verbräuche[[#This Row],[2024]],"&gt;0")&gt;0,IF(COUNTIF($F173:Klisz_Verbräuche[[#This Row],[2024]],"&gt;0")&gt;0,Klisz_Verbräuche[[#This Row],[2024]]*(1-$E173)^1, ""), ""),IF($B$57&gt;Klisz_Verbräuche[[#Headers],[2025]],Refsz_Verbräuche[[#This Row],[2025]],"")))</f>
        <v/>
      </c>
      <c r="Q173" s="57" t="str">
        <f>IF(Klisz_Verbräuche[[#Headers],[2026]]=$B$57,IF(COUNTIF($F173:Klisz_Verbräuche[[#This Row],[2025]],"&gt;0")&gt;0, AVERAGEIF($F173:Klisz_Verbräuche[[#This Row],[2025]],"&lt;&gt;"), ""),IF($B$57&lt;Klisz_Verbräuche[[#Headers],[2026]],IF(COUNTIF($F173:Klisz_Verbräuche[[#This Row],[2025]],"&gt;0")&gt;0,IF(COUNTIF($F173:Klisz_Verbräuche[[#This Row],[2025]],"&gt;0")&gt;0,Klisz_Verbräuche[[#This Row],[2025]]*(1-$E173)^1, ""), ""),IF($B$57&gt;Klisz_Verbräuche[[#Headers],[2026]],Refsz_Verbräuche[[#This Row],[2026]],"")))</f>
        <v/>
      </c>
      <c r="R173" s="57" t="str">
        <f>IF(Klisz_Verbräuche[[#Headers],[2027]]=$B$57,IF(COUNTIF($F173:Klisz_Verbräuche[[#This Row],[2026]],"&gt;0")&gt;0, AVERAGEIF($F173:Klisz_Verbräuche[[#This Row],[2026]],"&lt;&gt;"), ""),IF($B$57&lt;Klisz_Verbräuche[[#Headers],[2027]],IF(COUNTIF($F173:Klisz_Verbräuche[[#This Row],[2026]],"&gt;0")&gt;0,IF(COUNTIF($F173:Klisz_Verbräuche[[#This Row],[2026]],"&gt;0")&gt;0,Klisz_Verbräuche[[#This Row],[2026]]*(1-$E173)^1, ""), ""),IF($B$57&gt;Klisz_Verbräuche[[#Headers],[2027]],Refsz_Verbräuche[[#This Row],[2027]],"")))</f>
        <v/>
      </c>
      <c r="S173" s="57" t="str">
        <f>IF(Klisz_Verbräuche[[#Headers],[2028]]=$B$57,IF(COUNTIF($F173:Klisz_Verbräuche[[#This Row],[2027]],"&gt;0")&gt;0, AVERAGEIF($F173:Klisz_Verbräuche[[#This Row],[2027]],"&lt;&gt;"), ""),IF($B$57&lt;Klisz_Verbräuche[[#Headers],[2028]],IF(COUNTIF($F173:Klisz_Verbräuche[[#This Row],[2027]],"&gt;0")&gt;0,IF(COUNTIF($F173:Klisz_Verbräuche[[#This Row],[2027]],"&gt;0")&gt;0,Klisz_Verbräuche[[#This Row],[2027]]*(1-$E173)^1, ""), ""),IF($B$57&gt;Klisz_Verbräuche[[#Headers],[2028]],Refsz_Verbräuche[[#This Row],[2028]],"")))</f>
        <v/>
      </c>
      <c r="T173" s="57" t="str">
        <f>IF(Klisz_Verbräuche[[#Headers],[2029]]=$B$57,IF(COUNTIF($F173:Klisz_Verbräuche[[#This Row],[2028]],"&gt;0")&gt;0, AVERAGEIF($F173:Klisz_Verbräuche[[#This Row],[2028]],"&lt;&gt;"), ""),IF($B$57&lt;Klisz_Verbräuche[[#Headers],[2029]],IF(COUNTIF($F173:Klisz_Verbräuche[[#This Row],[2028]],"&gt;0")&gt;0,IF(COUNTIF($F173:Klisz_Verbräuche[[#This Row],[2028]],"&gt;0")&gt;0,Klisz_Verbräuche[[#This Row],[2028]]*(1-$E173)^1, ""), ""),IF($B$57&gt;Klisz_Verbräuche[[#Headers],[2029]],Refsz_Verbräuche[[#This Row],[2029]],"")))</f>
        <v/>
      </c>
      <c r="U173" s="57" t="str">
        <f>IF(Klisz_Verbräuche[[#Headers],[2030]]=$B$57,IF(COUNTIF($F173:Klisz_Verbräuche[[#This Row],[2029]],"&gt;0")&gt;0, AVERAGEIF($F173:Klisz_Verbräuche[[#This Row],[2029]],"&lt;&gt;"), ""),IF($B$57&lt;Klisz_Verbräuche[[#Headers],[2030]],IF(COUNTIF($F173:Klisz_Verbräuche[[#This Row],[2029]],"&gt;0")&gt;0,IF(COUNTIF($F173:Klisz_Verbräuche[[#This Row],[2029]],"&gt;0")&gt;0,Klisz_Verbräuche[[#This Row],[2029]]*(1-$E173)^1, ""), ""),IF($B$57&gt;Klisz_Verbräuche[[#Headers],[2030]],Refsz_Verbräuche[[#This Row],[2030]],"")))</f>
        <v/>
      </c>
      <c r="V173" s="57" t="str">
        <f>IF(Klisz_Verbräuche[[#Headers],[2035]]=$B$57,IF(COUNTIF($F173:Klisz_Verbräuche[[#This Row],[2030]],"&gt;0")&gt;0, AVERAGEIF($F173:Klisz_Verbräuche[[#This Row],[2030]],"&lt;&gt;"), ""),IF($B$57&lt;Klisz_Verbräuche[[#Headers],[2035]],IF(COUNTIF($F173:Klisz_Verbräuche[[#This Row],[2030]],"&gt;0")&gt;0,IF(COUNTIF($F173:Klisz_Verbräuche[[#This Row],[2030]],"&gt;0")&gt;0,Klisz_Verbräuche[[#This Row],[2030]]*(1-$E173)^5, ""), ""),IF($B$57&gt;Klisz_Verbräuche[[#Headers],[2035]],Refsz_Verbräuche[[#This Row],[2035]],"")))</f>
        <v/>
      </c>
      <c r="W173" s="57" t="str">
        <f>IF(Klisz_Verbräuche[[#Headers],[2040]]=$B$57,IF(COUNTIF($F173:Klisz_Verbräuche[[#This Row],[2035]],"&gt;0")&gt;0, AVERAGEIF($F173:Klisz_Verbräuche[[#This Row],[2035]],"&lt;&gt;"), ""),IF($B$57&lt;Klisz_Verbräuche[[#Headers],[2040]],IF(COUNTIF($F173:Klisz_Verbräuche[[#This Row],[2035]],"&gt;0")&gt;0,IF(COUNTIF($F173:Klisz_Verbräuche[[#This Row],[2035]],"&gt;0")&gt;0,Klisz_Verbräuche[[#This Row],[2035]]*(1-$E173)^5, ""), ""),IF($B$57&gt;Klisz_Verbräuche[[#Headers],[2040]],Refsz_Verbräuche[[#This Row],[2040]],"")))</f>
        <v/>
      </c>
      <c r="X173" s="57" t="str">
        <f>IF(Klisz_Verbräuche[[#Headers],[2045]]=$B$57,IF(COUNTIF($F173:Klisz_Verbräuche[[#This Row],[2040]],"&gt;0")&gt;0, AVERAGEIF($F173:Klisz_Verbräuche[[#This Row],[2040]],"&lt;&gt;"), ""),IF($B$57&lt;Klisz_Verbräuche[[#Headers],[2045]],IF(COUNTIF($F173:Klisz_Verbräuche[[#This Row],[2040]],"&gt;0")&gt;0,IF(COUNTIF($F173:Klisz_Verbräuche[[#This Row],[2040]],"&gt;0")&gt;0,Klisz_Verbräuche[[#This Row],[2040]]*(1-$E173)^5, ""), ""),IF($B$57&gt;Klisz_Verbräuche[[#Headers],[2045]],Refsz_Verbräuche[[#This Row],[2045]],"")))</f>
        <v/>
      </c>
      <c r="Y173" s="57" t="str">
        <f>IF(Klisz_Verbräuche[[#Headers],[2050]]=$B$57,IF(COUNTIF($F173:Klisz_Verbräuche[[#This Row],[2045]],"&gt;0")&gt;0, AVERAGEIF($F173:Klisz_Verbräuche[[#This Row],[2045]],"&lt;&gt;"), ""),IF($B$57&lt;Klisz_Verbräuche[[#Headers],[2050]],IF(COUNTIF($F173:Klisz_Verbräuche[[#This Row],[2045]],"&gt;0")&gt;0,IF(COUNTIF($F173:Klisz_Verbräuche[[#This Row],[2045]],"&gt;0")&gt;0,Klisz_Verbräuche[[#This Row],[2045]]*(1-$E173)^5, ""), ""),IF($B$57&gt;Klisz_Verbräuche[[#Headers],[2050]],Refsz_Verbräuche[[#This Row],[2050]],"")))</f>
        <v/>
      </c>
      <c r="Z173" s="15"/>
    </row>
    <row r="174" spans="2:26" x14ac:dyDescent="0.35">
      <c r="B174" s="15">
        <v>114</v>
      </c>
      <c r="C174" s="20" t="str">
        <f>Refsz_Verbräuche[[#This Row],[Datenpunkt]]</f>
        <v>Metalle (Abfall)</v>
      </c>
      <c r="D174" s="29" t="str">
        <f>Refsz_Verbräuche[[#This Row],[Einheit]]</f>
        <v>t</v>
      </c>
      <c r="E174" s="122"/>
      <c r="F174" s="15" t="str">
        <f>IF(ISBLANK(Refsz_Verbräuche[[#This Row],[2015]]),"",Refsz_Verbräuche[[#This Row],[2015]])</f>
        <v/>
      </c>
      <c r="G174" s="15" t="str">
        <f>IF(ISBLANK(Refsz_Verbräuche[[#This Row],[2016]]),"",Refsz_Verbräuche[[#This Row],[2016]])</f>
        <v/>
      </c>
      <c r="H174" s="15" t="str">
        <f>IF(ISBLANK(Refsz_Verbräuche[[#This Row],[2017]]),"",Refsz_Verbräuche[[#This Row],[2017]])</f>
        <v/>
      </c>
      <c r="I174" s="15" t="str">
        <f>IF(ISBLANK(Refsz_Verbräuche[[#This Row],[2018]]),"",Refsz_Verbräuche[[#This Row],[2018]])</f>
        <v/>
      </c>
      <c r="J174" s="15" t="str">
        <f>IF(ISBLANK(Refsz_Verbräuche[[#This Row],[2019]]),"",Refsz_Verbräuche[[#This Row],[2019]])</f>
        <v/>
      </c>
      <c r="K174" s="15" t="str">
        <f>IF(ISBLANK(Refsz_Verbräuche[[#This Row],[2020]]),"",Refsz_Verbräuche[[#This Row],[2020]])</f>
        <v/>
      </c>
      <c r="L174" s="15" t="str">
        <f>IF(ISBLANK(Refsz_Verbräuche[[#This Row],[2021]]),"",Refsz_Verbräuche[[#This Row],[2021]])</f>
        <v/>
      </c>
      <c r="M174" s="57" t="str">
        <f>IF(Klisz_Verbräuche[[#Headers],[2022]]=$B$57,IF(COUNTIF($F174:Klisz_Verbräuche[[#This Row],[2021]],"&gt;0")&gt;0, AVERAGEIF($F174:Klisz_Verbräuche[[#This Row],[2021]],"&lt;&gt;"), ""),IF($B$57&lt;Klisz_Verbräuche[[#Headers],[2022]],IF(COUNTIF($F174:Klisz_Verbräuche[[#This Row],[2021]],"&gt;0")&gt;0,IF(COUNTIF($F174:Klisz_Verbräuche[[#This Row],[2021]],"&gt;0")&gt;0,Klisz_Verbräuche[[#This Row],[2021]]*(1-$E174)^1, ""), ""),IF($B$57&gt;Klisz_Verbräuche[[#Headers],[2022]],Refsz_Verbräuche[[#This Row],[2022]],"")))</f>
        <v/>
      </c>
      <c r="N174" s="57" t="str">
        <f>IF(Klisz_Verbräuche[[#Headers],[2023]]=$B$57,IF(COUNTIF($F174:Klisz_Verbräuche[[#This Row],[2022]],"&gt;0")&gt;0, AVERAGEIF($F174:Klisz_Verbräuche[[#This Row],[2022]],"&lt;&gt;"), ""),IF($B$57&lt;Klisz_Verbräuche[[#Headers],[2023]],IF(COUNTIF($F174:Klisz_Verbräuche[[#This Row],[2022]],"&gt;0")&gt;0,IF(COUNTIF($F174:Klisz_Verbräuche[[#This Row],[2022]],"&gt;0")&gt;0,Klisz_Verbräuche[[#This Row],[2022]]*(1-$E174)^1, ""), ""),IF($B$57&gt;Klisz_Verbräuche[[#Headers],[2023]],Refsz_Verbräuche[[#This Row],[2023]],"")))</f>
        <v/>
      </c>
      <c r="O174" s="57" t="str">
        <f>IF(Klisz_Verbräuche[[#Headers],[2024]]=$B$57,IF(COUNTIF($F174:Klisz_Verbräuche[[#This Row],[2023]],"&gt;0")&gt;0, AVERAGEIF($F174:Klisz_Verbräuche[[#This Row],[2023]],"&lt;&gt;"), ""),IF($B$57&lt;Klisz_Verbräuche[[#Headers],[2024]],IF(COUNTIF($F174:Klisz_Verbräuche[[#This Row],[2023]],"&gt;0")&gt;0,IF(COUNTIF($F174:Klisz_Verbräuche[[#This Row],[2023]],"&gt;0")&gt;0,Klisz_Verbräuche[[#This Row],[2023]]*(1-$E174)^1, ""), ""),IF($B$57&gt;Klisz_Verbräuche[[#Headers],[2024]],Refsz_Verbräuche[[#This Row],[2024]],"")))</f>
        <v/>
      </c>
      <c r="P174" s="57" t="str">
        <f>IF(Klisz_Verbräuche[[#Headers],[2025]]=$B$57,IF(COUNTIF($F174:Klisz_Verbräuche[[#This Row],[2024]],"&gt;0")&gt;0, AVERAGEIF($F174:Klisz_Verbräuche[[#This Row],[2024]],"&lt;&gt;"), ""),IF($B$57&lt;Klisz_Verbräuche[[#Headers],[2025]],IF(COUNTIF($F174:Klisz_Verbräuche[[#This Row],[2024]],"&gt;0")&gt;0,IF(COUNTIF($F174:Klisz_Verbräuche[[#This Row],[2024]],"&gt;0")&gt;0,Klisz_Verbräuche[[#This Row],[2024]]*(1-$E174)^1, ""), ""),IF($B$57&gt;Klisz_Verbräuche[[#Headers],[2025]],Refsz_Verbräuche[[#This Row],[2025]],"")))</f>
        <v/>
      </c>
      <c r="Q174" s="57" t="str">
        <f>IF(Klisz_Verbräuche[[#Headers],[2026]]=$B$57,IF(COUNTIF($F174:Klisz_Verbräuche[[#This Row],[2025]],"&gt;0")&gt;0, AVERAGEIF($F174:Klisz_Verbräuche[[#This Row],[2025]],"&lt;&gt;"), ""),IF($B$57&lt;Klisz_Verbräuche[[#Headers],[2026]],IF(COUNTIF($F174:Klisz_Verbräuche[[#This Row],[2025]],"&gt;0")&gt;0,IF(COUNTIF($F174:Klisz_Verbräuche[[#This Row],[2025]],"&gt;0")&gt;0,Klisz_Verbräuche[[#This Row],[2025]]*(1-$E174)^1, ""), ""),IF($B$57&gt;Klisz_Verbräuche[[#Headers],[2026]],Refsz_Verbräuche[[#This Row],[2026]],"")))</f>
        <v/>
      </c>
      <c r="R174" s="57" t="str">
        <f>IF(Klisz_Verbräuche[[#Headers],[2027]]=$B$57,IF(COUNTIF($F174:Klisz_Verbräuche[[#This Row],[2026]],"&gt;0")&gt;0, AVERAGEIF($F174:Klisz_Verbräuche[[#This Row],[2026]],"&lt;&gt;"), ""),IF($B$57&lt;Klisz_Verbräuche[[#Headers],[2027]],IF(COUNTIF($F174:Klisz_Verbräuche[[#This Row],[2026]],"&gt;0")&gt;0,IF(COUNTIF($F174:Klisz_Verbräuche[[#This Row],[2026]],"&gt;0")&gt;0,Klisz_Verbräuche[[#This Row],[2026]]*(1-$E174)^1, ""), ""),IF($B$57&gt;Klisz_Verbräuche[[#Headers],[2027]],Refsz_Verbräuche[[#This Row],[2027]],"")))</f>
        <v/>
      </c>
      <c r="S174" s="57" t="str">
        <f>IF(Klisz_Verbräuche[[#Headers],[2028]]=$B$57,IF(COUNTIF($F174:Klisz_Verbräuche[[#This Row],[2027]],"&gt;0")&gt;0, AVERAGEIF($F174:Klisz_Verbräuche[[#This Row],[2027]],"&lt;&gt;"), ""),IF($B$57&lt;Klisz_Verbräuche[[#Headers],[2028]],IF(COUNTIF($F174:Klisz_Verbräuche[[#This Row],[2027]],"&gt;0")&gt;0,IF(COUNTIF($F174:Klisz_Verbräuche[[#This Row],[2027]],"&gt;0")&gt;0,Klisz_Verbräuche[[#This Row],[2027]]*(1-$E174)^1, ""), ""),IF($B$57&gt;Klisz_Verbräuche[[#Headers],[2028]],Refsz_Verbräuche[[#This Row],[2028]],"")))</f>
        <v/>
      </c>
      <c r="T174" s="57" t="str">
        <f>IF(Klisz_Verbräuche[[#Headers],[2029]]=$B$57,IF(COUNTIF($F174:Klisz_Verbräuche[[#This Row],[2028]],"&gt;0")&gt;0, AVERAGEIF($F174:Klisz_Verbräuche[[#This Row],[2028]],"&lt;&gt;"), ""),IF($B$57&lt;Klisz_Verbräuche[[#Headers],[2029]],IF(COUNTIF($F174:Klisz_Verbräuche[[#This Row],[2028]],"&gt;0")&gt;0,IF(COUNTIF($F174:Klisz_Verbräuche[[#This Row],[2028]],"&gt;0")&gt;0,Klisz_Verbräuche[[#This Row],[2028]]*(1-$E174)^1, ""), ""),IF($B$57&gt;Klisz_Verbräuche[[#Headers],[2029]],Refsz_Verbräuche[[#This Row],[2029]],"")))</f>
        <v/>
      </c>
      <c r="U174" s="57" t="str">
        <f>IF(Klisz_Verbräuche[[#Headers],[2030]]=$B$57,IF(COUNTIF($F174:Klisz_Verbräuche[[#This Row],[2029]],"&gt;0")&gt;0, AVERAGEIF($F174:Klisz_Verbräuche[[#This Row],[2029]],"&lt;&gt;"), ""),IF($B$57&lt;Klisz_Verbräuche[[#Headers],[2030]],IF(COUNTIF($F174:Klisz_Verbräuche[[#This Row],[2029]],"&gt;0")&gt;0,IF(COUNTIF($F174:Klisz_Verbräuche[[#This Row],[2029]],"&gt;0")&gt;0,Klisz_Verbräuche[[#This Row],[2029]]*(1-$E174)^1, ""), ""),IF($B$57&gt;Klisz_Verbräuche[[#Headers],[2030]],Refsz_Verbräuche[[#This Row],[2030]],"")))</f>
        <v/>
      </c>
      <c r="V174" s="57" t="str">
        <f>IF(Klisz_Verbräuche[[#Headers],[2035]]=$B$57,IF(COUNTIF($F174:Klisz_Verbräuche[[#This Row],[2030]],"&gt;0")&gt;0, AVERAGEIF($F174:Klisz_Verbräuche[[#This Row],[2030]],"&lt;&gt;"), ""),IF($B$57&lt;Klisz_Verbräuche[[#Headers],[2035]],IF(COUNTIF($F174:Klisz_Verbräuche[[#This Row],[2030]],"&gt;0")&gt;0,IF(COUNTIF($F174:Klisz_Verbräuche[[#This Row],[2030]],"&gt;0")&gt;0,Klisz_Verbräuche[[#This Row],[2030]]*(1-$E174)^5, ""), ""),IF($B$57&gt;Klisz_Verbräuche[[#Headers],[2035]],Refsz_Verbräuche[[#This Row],[2035]],"")))</f>
        <v/>
      </c>
      <c r="W174" s="57" t="str">
        <f>IF(Klisz_Verbräuche[[#Headers],[2040]]=$B$57,IF(COUNTIF($F174:Klisz_Verbräuche[[#This Row],[2035]],"&gt;0")&gt;0, AVERAGEIF($F174:Klisz_Verbräuche[[#This Row],[2035]],"&lt;&gt;"), ""),IF($B$57&lt;Klisz_Verbräuche[[#Headers],[2040]],IF(COUNTIF($F174:Klisz_Verbräuche[[#This Row],[2035]],"&gt;0")&gt;0,IF(COUNTIF($F174:Klisz_Verbräuche[[#This Row],[2035]],"&gt;0")&gt;0,Klisz_Verbräuche[[#This Row],[2035]]*(1-$E174)^5, ""), ""),IF($B$57&gt;Klisz_Verbräuche[[#Headers],[2040]],Refsz_Verbräuche[[#This Row],[2040]],"")))</f>
        <v/>
      </c>
      <c r="X174" s="57" t="str">
        <f>IF(Klisz_Verbräuche[[#Headers],[2045]]=$B$57,IF(COUNTIF($F174:Klisz_Verbräuche[[#This Row],[2040]],"&gt;0")&gt;0, AVERAGEIF($F174:Klisz_Verbräuche[[#This Row],[2040]],"&lt;&gt;"), ""),IF($B$57&lt;Klisz_Verbräuche[[#Headers],[2045]],IF(COUNTIF($F174:Klisz_Verbräuche[[#This Row],[2040]],"&gt;0")&gt;0,IF(COUNTIF($F174:Klisz_Verbräuche[[#This Row],[2040]],"&gt;0")&gt;0,Klisz_Verbräuche[[#This Row],[2040]]*(1-$E174)^5, ""), ""),IF($B$57&gt;Klisz_Verbräuche[[#Headers],[2045]],Refsz_Verbräuche[[#This Row],[2045]],"")))</f>
        <v/>
      </c>
      <c r="Y174" s="57" t="str">
        <f>IF(Klisz_Verbräuche[[#Headers],[2050]]=$B$57,IF(COUNTIF($F174:Klisz_Verbräuche[[#This Row],[2045]],"&gt;0")&gt;0, AVERAGEIF($F174:Klisz_Verbräuche[[#This Row],[2045]],"&lt;&gt;"), ""),IF($B$57&lt;Klisz_Verbräuche[[#Headers],[2050]],IF(COUNTIF($F174:Klisz_Verbräuche[[#This Row],[2045]],"&gt;0")&gt;0,IF(COUNTIF($F174:Klisz_Verbräuche[[#This Row],[2045]],"&gt;0")&gt;0,Klisz_Verbräuche[[#This Row],[2045]]*(1-$E174)^5, ""), ""),IF($B$57&gt;Klisz_Verbräuche[[#Headers],[2050]],Refsz_Verbräuche[[#This Row],[2050]],"")))</f>
        <v/>
      </c>
      <c r="Z174" s="15"/>
    </row>
    <row r="175" spans="2:26" x14ac:dyDescent="0.35">
      <c r="B175" s="15">
        <v>115</v>
      </c>
      <c r="C175" s="20" t="str">
        <f>Refsz_Verbräuche[[#This Row],[Datenpunkt]]</f>
        <v>Bauschutt</v>
      </c>
      <c r="D175" s="29" t="str">
        <f>Refsz_Verbräuche[[#This Row],[Einheit]]</f>
        <v>t</v>
      </c>
      <c r="E175" s="122"/>
      <c r="F175" s="15" t="str">
        <f>IF(ISBLANK(Refsz_Verbräuche[[#This Row],[2015]]),"",Refsz_Verbräuche[[#This Row],[2015]])</f>
        <v/>
      </c>
      <c r="G175" s="15" t="str">
        <f>IF(ISBLANK(Refsz_Verbräuche[[#This Row],[2016]]),"",Refsz_Verbräuche[[#This Row],[2016]])</f>
        <v/>
      </c>
      <c r="H175" s="15" t="str">
        <f>IF(ISBLANK(Refsz_Verbräuche[[#This Row],[2017]]),"",Refsz_Verbräuche[[#This Row],[2017]])</f>
        <v/>
      </c>
      <c r="I175" s="15" t="str">
        <f>IF(ISBLANK(Refsz_Verbräuche[[#This Row],[2018]]),"",Refsz_Verbräuche[[#This Row],[2018]])</f>
        <v/>
      </c>
      <c r="J175" s="15" t="str">
        <f>IF(ISBLANK(Refsz_Verbräuche[[#This Row],[2019]]),"",Refsz_Verbräuche[[#This Row],[2019]])</f>
        <v/>
      </c>
      <c r="K175" s="15" t="str">
        <f>IF(ISBLANK(Refsz_Verbräuche[[#This Row],[2020]]),"",Refsz_Verbräuche[[#This Row],[2020]])</f>
        <v/>
      </c>
      <c r="L175" s="15" t="str">
        <f>IF(ISBLANK(Refsz_Verbräuche[[#This Row],[2021]]),"",Refsz_Verbräuche[[#This Row],[2021]])</f>
        <v/>
      </c>
      <c r="M175" s="57" t="str">
        <f>IF(Klisz_Verbräuche[[#Headers],[2022]]=$B$57,IF(COUNTIF($F175:Klisz_Verbräuche[[#This Row],[2021]],"&gt;0")&gt;0, AVERAGEIF($F175:Klisz_Verbräuche[[#This Row],[2021]],"&lt;&gt;"), ""),IF($B$57&lt;Klisz_Verbräuche[[#Headers],[2022]],IF(COUNTIF($F175:Klisz_Verbräuche[[#This Row],[2021]],"&gt;0")&gt;0,IF(COUNTIF($F175:Klisz_Verbräuche[[#This Row],[2021]],"&gt;0")&gt;0,Klisz_Verbräuche[[#This Row],[2021]]*(1-$E175)^1, ""), ""),IF($B$57&gt;Klisz_Verbräuche[[#Headers],[2022]],Refsz_Verbräuche[[#This Row],[2022]],"")))</f>
        <v/>
      </c>
      <c r="N175" s="57" t="str">
        <f>IF(Klisz_Verbräuche[[#Headers],[2023]]=$B$57,IF(COUNTIF($F175:Klisz_Verbräuche[[#This Row],[2022]],"&gt;0")&gt;0, AVERAGEIF($F175:Klisz_Verbräuche[[#This Row],[2022]],"&lt;&gt;"), ""),IF($B$57&lt;Klisz_Verbräuche[[#Headers],[2023]],IF(COUNTIF($F175:Klisz_Verbräuche[[#This Row],[2022]],"&gt;0")&gt;0,IF(COUNTIF($F175:Klisz_Verbräuche[[#This Row],[2022]],"&gt;0")&gt;0,Klisz_Verbräuche[[#This Row],[2022]]*(1-$E175)^1, ""), ""),IF($B$57&gt;Klisz_Verbräuche[[#Headers],[2023]],Refsz_Verbräuche[[#This Row],[2023]],"")))</f>
        <v/>
      </c>
      <c r="O175" s="57" t="str">
        <f>IF(Klisz_Verbräuche[[#Headers],[2024]]=$B$57,IF(COUNTIF($F175:Klisz_Verbräuche[[#This Row],[2023]],"&gt;0")&gt;0, AVERAGEIF($F175:Klisz_Verbräuche[[#This Row],[2023]],"&lt;&gt;"), ""),IF($B$57&lt;Klisz_Verbräuche[[#Headers],[2024]],IF(COUNTIF($F175:Klisz_Verbräuche[[#This Row],[2023]],"&gt;0")&gt;0,IF(COUNTIF($F175:Klisz_Verbräuche[[#This Row],[2023]],"&gt;0")&gt;0,Klisz_Verbräuche[[#This Row],[2023]]*(1-$E175)^1, ""), ""),IF($B$57&gt;Klisz_Verbräuche[[#Headers],[2024]],Refsz_Verbräuche[[#This Row],[2024]],"")))</f>
        <v/>
      </c>
      <c r="P175" s="57" t="str">
        <f>IF(Klisz_Verbräuche[[#Headers],[2025]]=$B$57,IF(COUNTIF($F175:Klisz_Verbräuche[[#This Row],[2024]],"&gt;0")&gt;0, AVERAGEIF($F175:Klisz_Verbräuche[[#This Row],[2024]],"&lt;&gt;"), ""),IF($B$57&lt;Klisz_Verbräuche[[#Headers],[2025]],IF(COUNTIF($F175:Klisz_Verbräuche[[#This Row],[2024]],"&gt;0")&gt;0,IF(COUNTIF($F175:Klisz_Verbräuche[[#This Row],[2024]],"&gt;0")&gt;0,Klisz_Verbräuche[[#This Row],[2024]]*(1-$E175)^1, ""), ""),IF($B$57&gt;Klisz_Verbräuche[[#Headers],[2025]],Refsz_Verbräuche[[#This Row],[2025]],"")))</f>
        <v/>
      </c>
      <c r="Q175" s="57" t="str">
        <f>IF(Klisz_Verbräuche[[#Headers],[2026]]=$B$57,IF(COUNTIF($F175:Klisz_Verbräuche[[#This Row],[2025]],"&gt;0")&gt;0, AVERAGEIF($F175:Klisz_Verbräuche[[#This Row],[2025]],"&lt;&gt;"), ""),IF($B$57&lt;Klisz_Verbräuche[[#Headers],[2026]],IF(COUNTIF($F175:Klisz_Verbräuche[[#This Row],[2025]],"&gt;0")&gt;0,IF(COUNTIF($F175:Klisz_Verbräuche[[#This Row],[2025]],"&gt;0")&gt;0,Klisz_Verbräuche[[#This Row],[2025]]*(1-$E175)^1, ""), ""),IF($B$57&gt;Klisz_Verbräuche[[#Headers],[2026]],Refsz_Verbräuche[[#This Row],[2026]],"")))</f>
        <v/>
      </c>
      <c r="R175" s="57" t="str">
        <f>IF(Klisz_Verbräuche[[#Headers],[2027]]=$B$57,IF(COUNTIF($F175:Klisz_Verbräuche[[#This Row],[2026]],"&gt;0")&gt;0, AVERAGEIF($F175:Klisz_Verbräuche[[#This Row],[2026]],"&lt;&gt;"), ""),IF($B$57&lt;Klisz_Verbräuche[[#Headers],[2027]],IF(COUNTIF($F175:Klisz_Verbräuche[[#This Row],[2026]],"&gt;0")&gt;0,IF(COUNTIF($F175:Klisz_Verbräuche[[#This Row],[2026]],"&gt;0")&gt;0,Klisz_Verbräuche[[#This Row],[2026]]*(1-$E175)^1, ""), ""),IF($B$57&gt;Klisz_Verbräuche[[#Headers],[2027]],Refsz_Verbräuche[[#This Row],[2027]],"")))</f>
        <v/>
      </c>
      <c r="S175" s="57" t="str">
        <f>IF(Klisz_Verbräuche[[#Headers],[2028]]=$B$57,IF(COUNTIF($F175:Klisz_Verbräuche[[#This Row],[2027]],"&gt;0")&gt;0, AVERAGEIF($F175:Klisz_Verbräuche[[#This Row],[2027]],"&lt;&gt;"), ""),IF($B$57&lt;Klisz_Verbräuche[[#Headers],[2028]],IF(COUNTIF($F175:Klisz_Verbräuche[[#This Row],[2027]],"&gt;0")&gt;0,IF(COUNTIF($F175:Klisz_Verbräuche[[#This Row],[2027]],"&gt;0")&gt;0,Klisz_Verbräuche[[#This Row],[2027]]*(1-$E175)^1, ""), ""),IF($B$57&gt;Klisz_Verbräuche[[#Headers],[2028]],Refsz_Verbräuche[[#This Row],[2028]],"")))</f>
        <v/>
      </c>
      <c r="T175" s="57" t="str">
        <f>IF(Klisz_Verbräuche[[#Headers],[2029]]=$B$57,IF(COUNTIF($F175:Klisz_Verbräuche[[#This Row],[2028]],"&gt;0")&gt;0, AVERAGEIF($F175:Klisz_Verbräuche[[#This Row],[2028]],"&lt;&gt;"), ""),IF($B$57&lt;Klisz_Verbräuche[[#Headers],[2029]],IF(COUNTIF($F175:Klisz_Verbräuche[[#This Row],[2028]],"&gt;0")&gt;0,IF(COUNTIF($F175:Klisz_Verbräuche[[#This Row],[2028]],"&gt;0")&gt;0,Klisz_Verbräuche[[#This Row],[2028]]*(1-$E175)^1, ""), ""),IF($B$57&gt;Klisz_Verbräuche[[#Headers],[2029]],Refsz_Verbräuche[[#This Row],[2029]],"")))</f>
        <v/>
      </c>
      <c r="U175" s="57" t="str">
        <f>IF(Klisz_Verbräuche[[#Headers],[2030]]=$B$57,IF(COUNTIF($F175:Klisz_Verbräuche[[#This Row],[2029]],"&gt;0")&gt;0, AVERAGEIF($F175:Klisz_Verbräuche[[#This Row],[2029]],"&lt;&gt;"), ""),IF($B$57&lt;Klisz_Verbräuche[[#Headers],[2030]],IF(COUNTIF($F175:Klisz_Verbräuche[[#This Row],[2029]],"&gt;0")&gt;0,IF(COUNTIF($F175:Klisz_Verbräuche[[#This Row],[2029]],"&gt;0")&gt;0,Klisz_Verbräuche[[#This Row],[2029]]*(1-$E175)^1, ""), ""),IF($B$57&gt;Klisz_Verbräuche[[#Headers],[2030]],Refsz_Verbräuche[[#This Row],[2030]],"")))</f>
        <v/>
      </c>
      <c r="V175" s="57" t="str">
        <f>IF(Klisz_Verbräuche[[#Headers],[2035]]=$B$57,IF(COUNTIF($F175:Klisz_Verbräuche[[#This Row],[2030]],"&gt;0")&gt;0, AVERAGEIF($F175:Klisz_Verbräuche[[#This Row],[2030]],"&lt;&gt;"), ""),IF($B$57&lt;Klisz_Verbräuche[[#Headers],[2035]],IF(COUNTIF($F175:Klisz_Verbräuche[[#This Row],[2030]],"&gt;0")&gt;0,IF(COUNTIF($F175:Klisz_Verbräuche[[#This Row],[2030]],"&gt;0")&gt;0,Klisz_Verbräuche[[#This Row],[2030]]*(1-$E175)^5, ""), ""),IF($B$57&gt;Klisz_Verbräuche[[#Headers],[2035]],Refsz_Verbräuche[[#This Row],[2035]],"")))</f>
        <v/>
      </c>
      <c r="W175" s="57" t="str">
        <f>IF(Klisz_Verbräuche[[#Headers],[2040]]=$B$57,IF(COUNTIF($F175:Klisz_Verbräuche[[#This Row],[2035]],"&gt;0")&gt;0, AVERAGEIF($F175:Klisz_Verbräuche[[#This Row],[2035]],"&lt;&gt;"), ""),IF($B$57&lt;Klisz_Verbräuche[[#Headers],[2040]],IF(COUNTIF($F175:Klisz_Verbräuche[[#This Row],[2035]],"&gt;0")&gt;0,IF(COUNTIF($F175:Klisz_Verbräuche[[#This Row],[2035]],"&gt;0")&gt;0,Klisz_Verbräuche[[#This Row],[2035]]*(1-$E175)^5, ""), ""),IF($B$57&gt;Klisz_Verbräuche[[#Headers],[2040]],Refsz_Verbräuche[[#This Row],[2040]],"")))</f>
        <v/>
      </c>
      <c r="X175" s="57" t="str">
        <f>IF(Klisz_Verbräuche[[#Headers],[2045]]=$B$57,IF(COUNTIF($F175:Klisz_Verbräuche[[#This Row],[2040]],"&gt;0")&gt;0, AVERAGEIF($F175:Klisz_Verbräuche[[#This Row],[2040]],"&lt;&gt;"), ""),IF($B$57&lt;Klisz_Verbräuche[[#Headers],[2045]],IF(COUNTIF($F175:Klisz_Verbräuche[[#This Row],[2040]],"&gt;0")&gt;0,IF(COUNTIF($F175:Klisz_Verbräuche[[#This Row],[2040]],"&gt;0")&gt;0,Klisz_Verbräuche[[#This Row],[2040]]*(1-$E175)^5, ""), ""),IF($B$57&gt;Klisz_Verbräuche[[#Headers],[2045]],Refsz_Verbräuche[[#This Row],[2045]],"")))</f>
        <v/>
      </c>
      <c r="Y175" s="57" t="str">
        <f>IF(Klisz_Verbräuche[[#Headers],[2050]]=$B$57,IF(COUNTIF($F175:Klisz_Verbräuche[[#This Row],[2045]],"&gt;0")&gt;0, AVERAGEIF($F175:Klisz_Verbräuche[[#This Row],[2045]],"&lt;&gt;"), ""),IF($B$57&lt;Klisz_Verbräuche[[#Headers],[2050]],IF(COUNTIF($F175:Klisz_Verbräuche[[#This Row],[2045]],"&gt;0")&gt;0,IF(COUNTIF($F175:Klisz_Verbräuche[[#This Row],[2045]],"&gt;0")&gt;0,Klisz_Verbräuche[[#This Row],[2045]]*(1-$E175)^5, ""), ""),IF($B$57&gt;Klisz_Verbräuche[[#Headers],[2050]],Refsz_Verbräuche[[#This Row],[2050]],"")))</f>
        <v/>
      </c>
      <c r="Z175" s="15"/>
    </row>
    <row r="176" spans="2:26" x14ac:dyDescent="0.35">
      <c r="B176" s="15">
        <v>116</v>
      </c>
      <c r="C176" s="20">
        <f>Refsz_Verbräuche[[#This Row],[Datenpunkt]]</f>
        <v>0</v>
      </c>
      <c r="D176" s="29">
        <f>Refsz_Verbräuche[[#This Row],[Einheit]]</f>
        <v>0</v>
      </c>
      <c r="E176" s="122"/>
      <c r="F176" s="15" t="str">
        <f>IF(ISBLANK(Refsz_Verbräuche[[#This Row],[2015]]),"",Refsz_Verbräuche[[#This Row],[2015]])</f>
        <v/>
      </c>
      <c r="G176" s="15" t="str">
        <f>IF(ISBLANK(Refsz_Verbräuche[[#This Row],[2016]]),"",Refsz_Verbräuche[[#This Row],[2016]])</f>
        <v/>
      </c>
      <c r="H176" s="15" t="str">
        <f>IF(ISBLANK(Refsz_Verbräuche[[#This Row],[2017]]),"",Refsz_Verbräuche[[#This Row],[2017]])</f>
        <v/>
      </c>
      <c r="I176" s="15" t="str">
        <f>IF(ISBLANK(Refsz_Verbräuche[[#This Row],[2018]]),"",Refsz_Verbräuche[[#This Row],[2018]])</f>
        <v/>
      </c>
      <c r="J176" s="15" t="str">
        <f>IF(ISBLANK(Refsz_Verbräuche[[#This Row],[2019]]),"",Refsz_Verbräuche[[#This Row],[2019]])</f>
        <v/>
      </c>
      <c r="K176" s="15" t="str">
        <f>IF(ISBLANK(Refsz_Verbräuche[[#This Row],[2020]]),"",Refsz_Verbräuche[[#This Row],[2020]])</f>
        <v/>
      </c>
      <c r="L176" s="15" t="str">
        <f>IF(ISBLANK(Refsz_Verbräuche[[#This Row],[2021]]),"",Refsz_Verbräuche[[#This Row],[2021]])</f>
        <v/>
      </c>
      <c r="M176" s="57" t="str">
        <f>IF(Klisz_Verbräuche[[#Headers],[2022]]=$B$57,IF(COUNTIF($F176:Klisz_Verbräuche[[#This Row],[2021]],"&gt;0")&gt;0, AVERAGEIF($F176:Klisz_Verbräuche[[#This Row],[2021]],"&lt;&gt;"), ""),IF($B$57&lt;Klisz_Verbräuche[[#Headers],[2022]],IF(COUNTIF($F176:Klisz_Verbräuche[[#This Row],[2021]],"&gt;0")&gt;0,IF(COUNTIF($F176:Klisz_Verbräuche[[#This Row],[2021]],"&gt;0")&gt;0,Klisz_Verbräuche[[#This Row],[2021]]*(1-$E176)^1, ""), ""),IF($B$57&gt;Klisz_Verbräuche[[#Headers],[2022]],Refsz_Verbräuche[[#This Row],[2022]],"")))</f>
        <v/>
      </c>
      <c r="N176" s="57" t="str">
        <f>IF(Klisz_Verbräuche[[#Headers],[2023]]=$B$57,IF(COUNTIF($F176:Klisz_Verbräuche[[#This Row],[2022]],"&gt;0")&gt;0, AVERAGEIF($F176:Klisz_Verbräuche[[#This Row],[2022]],"&lt;&gt;"), ""),IF($B$57&lt;Klisz_Verbräuche[[#Headers],[2023]],IF(COUNTIF($F176:Klisz_Verbräuche[[#This Row],[2022]],"&gt;0")&gt;0,IF(COUNTIF($F176:Klisz_Verbräuche[[#This Row],[2022]],"&gt;0")&gt;0,Klisz_Verbräuche[[#This Row],[2022]]*(1-$E176)^1, ""), ""),IF($B$57&gt;Klisz_Verbräuche[[#Headers],[2023]],Refsz_Verbräuche[[#This Row],[2023]],"")))</f>
        <v/>
      </c>
      <c r="O176" s="57" t="str">
        <f>IF(Klisz_Verbräuche[[#Headers],[2024]]=$B$57,IF(COUNTIF($F176:Klisz_Verbräuche[[#This Row],[2023]],"&gt;0")&gt;0, AVERAGEIF($F176:Klisz_Verbräuche[[#This Row],[2023]],"&lt;&gt;"), ""),IF($B$57&lt;Klisz_Verbräuche[[#Headers],[2024]],IF(COUNTIF($F176:Klisz_Verbräuche[[#This Row],[2023]],"&gt;0")&gt;0,IF(COUNTIF($F176:Klisz_Verbräuche[[#This Row],[2023]],"&gt;0")&gt;0,Klisz_Verbräuche[[#This Row],[2023]]*(1-$E176)^1, ""), ""),IF($B$57&gt;Klisz_Verbräuche[[#Headers],[2024]],Refsz_Verbräuche[[#This Row],[2024]],"")))</f>
        <v/>
      </c>
      <c r="P176" s="57" t="str">
        <f>IF(Klisz_Verbräuche[[#Headers],[2025]]=$B$57,IF(COUNTIF($F176:Klisz_Verbräuche[[#This Row],[2024]],"&gt;0")&gt;0, AVERAGEIF($F176:Klisz_Verbräuche[[#This Row],[2024]],"&lt;&gt;"), ""),IF($B$57&lt;Klisz_Verbräuche[[#Headers],[2025]],IF(COUNTIF($F176:Klisz_Verbräuche[[#This Row],[2024]],"&gt;0")&gt;0,IF(COUNTIF($F176:Klisz_Verbräuche[[#This Row],[2024]],"&gt;0")&gt;0,Klisz_Verbräuche[[#This Row],[2024]]*(1-$E176)^1, ""), ""),IF($B$57&gt;Klisz_Verbräuche[[#Headers],[2025]],Refsz_Verbräuche[[#This Row],[2025]],"")))</f>
        <v/>
      </c>
      <c r="Q176" s="57" t="str">
        <f>IF(Klisz_Verbräuche[[#Headers],[2026]]=$B$57,IF(COUNTIF($F176:Klisz_Verbräuche[[#This Row],[2025]],"&gt;0")&gt;0, AVERAGEIF($F176:Klisz_Verbräuche[[#This Row],[2025]],"&lt;&gt;"), ""),IF($B$57&lt;Klisz_Verbräuche[[#Headers],[2026]],IF(COUNTIF($F176:Klisz_Verbräuche[[#This Row],[2025]],"&gt;0")&gt;0,IF(COUNTIF($F176:Klisz_Verbräuche[[#This Row],[2025]],"&gt;0")&gt;0,Klisz_Verbräuche[[#This Row],[2025]]*(1-$E176)^1, ""), ""),IF($B$57&gt;Klisz_Verbräuche[[#Headers],[2026]],Refsz_Verbräuche[[#This Row],[2026]],"")))</f>
        <v/>
      </c>
      <c r="R176" s="57" t="str">
        <f>IF(Klisz_Verbräuche[[#Headers],[2027]]=$B$57,IF(COUNTIF($F176:Klisz_Verbräuche[[#This Row],[2026]],"&gt;0")&gt;0, AVERAGEIF($F176:Klisz_Verbräuche[[#This Row],[2026]],"&lt;&gt;"), ""),IF($B$57&lt;Klisz_Verbräuche[[#Headers],[2027]],IF(COUNTIF($F176:Klisz_Verbräuche[[#This Row],[2026]],"&gt;0")&gt;0,IF(COUNTIF($F176:Klisz_Verbräuche[[#This Row],[2026]],"&gt;0")&gt;0,Klisz_Verbräuche[[#This Row],[2026]]*(1-$E176)^1, ""), ""),IF($B$57&gt;Klisz_Verbräuche[[#Headers],[2027]],Refsz_Verbräuche[[#This Row],[2027]],"")))</f>
        <v/>
      </c>
      <c r="S176" s="57" t="str">
        <f>IF(Klisz_Verbräuche[[#Headers],[2028]]=$B$57,IF(COUNTIF($F176:Klisz_Verbräuche[[#This Row],[2027]],"&gt;0")&gt;0, AVERAGEIF($F176:Klisz_Verbräuche[[#This Row],[2027]],"&lt;&gt;"), ""),IF($B$57&lt;Klisz_Verbräuche[[#Headers],[2028]],IF(COUNTIF($F176:Klisz_Verbräuche[[#This Row],[2027]],"&gt;0")&gt;0,IF(COUNTIF($F176:Klisz_Verbräuche[[#This Row],[2027]],"&gt;0")&gt;0,Klisz_Verbräuche[[#This Row],[2027]]*(1-$E176)^1, ""), ""),IF($B$57&gt;Klisz_Verbräuche[[#Headers],[2028]],Refsz_Verbräuche[[#This Row],[2028]],"")))</f>
        <v/>
      </c>
      <c r="T176" s="57" t="str">
        <f>IF(Klisz_Verbräuche[[#Headers],[2029]]=$B$57,IF(COUNTIF($F176:Klisz_Verbräuche[[#This Row],[2028]],"&gt;0")&gt;0, AVERAGEIF($F176:Klisz_Verbräuche[[#This Row],[2028]],"&lt;&gt;"), ""),IF($B$57&lt;Klisz_Verbräuche[[#Headers],[2029]],IF(COUNTIF($F176:Klisz_Verbräuche[[#This Row],[2028]],"&gt;0")&gt;0,IF(COUNTIF($F176:Klisz_Verbräuche[[#This Row],[2028]],"&gt;0")&gt;0,Klisz_Verbräuche[[#This Row],[2028]]*(1-$E176)^1, ""), ""),IF($B$57&gt;Klisz_Verbräuche[[#Headers],[2029]],Refsz_Verbräuche[[#This Row],[2029]],"")))</f>
        <v/>
      </c>
      <c r="U176" s="57" t="str">
        <f>IF(Klisz_Verbräuche[[#Headers],[2030]]=$B$57,IF(COUNTIF($F176:Klisz_Verbräuche[[#This Row],[2029]],"&gt;0")&gt;0, AVERAGEIF($F176:Klisz_Verbräuche[[#This Row],[2029]],"&lt;&gt;"), ""),IF($B$57&lt;Klisz_Verbräuche[[#Headers],[2030]],IF(COUNTIF($F176:Klisz_Verbräuche[[#This Row],[2029]],"&gt;0")&gt;0,IF(COUNTIF($F176:Klisz_Verbräuche[[#This Row],[2029]],"&gt;0")&gt;0,Klisz_Verbräuche[[#This Row],[2029]]*(1-$E176)^1, ""), ""),IF($B$57&gt;Klisz_Verbräuche[[#Headers],[2030]],Refsz_Verbräuche[[#This Row],[2030]],"")))</f>
        <v/>
      </c>
      <c r="V176" s="57" t="str">
        <f>IF(Klisz_Verbräuche[[#Headers],[2035]]=$B$57,IF(COUNTIF($F176:Klisz_Verbräuche[[#This Row],[2030]],"&gt;0")&gt;0, AVERAGEIF($F176:Klisz_Verbräuche[[#This Row],[2030]],"&lt;&gt;"), ""),IF($B$57&lt;Klisz_Verbräuche[[#Headers],[2035]],IF(COUNTIF($F176:Klisz_Verbräuche[[#This Row],[2030]],"&gt;0")&gt;0,IF(COUNTIF($F176:Klisz_Verbräuche[[#This Row],[2030]],"&gt;0")&gt;0,Klisz_Verbräuche[[#This Row],[2030]]*(1-$E176)^5, ""), ""),IF($B$57&gt;Klisz_Verbräuche[[#Headers],[2035]],Refsz_Verbräuche[[#This Row],[2035]],"")))</f>
        <v/>
      </c>
      <c r="W176" s="57" t="str">
        <f>IF(Klisz_Verbräuche[[#Headers],[2040]]=$B$57,IF(COUNTIF($F176:Klisz_Verbräuche[[#This Row],[2035]],"&gt;0")&gt;0, AVERAGEIF($F176:Klisz_Verbräuche[[#This Row],[2035]],"&lt;&gt;"), ""),IF($B$57&lt;Klisz_Verbräuche[[#Headers],[2040]],IF(COUNTIF($F176:Klisz_Verbräuche[[#This Row],[2035]],"&gt;0")&gt;0,IF(COUNTIF($F176:Klisz_Verbräuche[[#This Row],[2035]],"&gt;0")&gt;0,Klisz_Verbräuche[[#This Row],[2035]]*(1-$E176)^5, ""), ""),IF($B$57&gt;Klisz_Verbräuche[[#Headers],[2040]],Refsz_Verbräuche[[#This Row],[2040]],"")))</f>
        <v/>
      </c>
      <c r="X176" s="57" t="str">
        <f>IF(Klisz_Verbräuche[[#Headers],[2045]]=$B$57,IF(COUNTIF($F176:Klisz_Verbräuche[[#This Row],[2040]],"&gt;0")&gt;0, AVERAGEIF($F176:Klisz_Verbräuche[[#This Row],[2040]],"&lt;&gt;"), ""),IF($B$57&lt;Klisz_Verbräuche[[#Headers],[2045]],IF(COUNTIF($F176:Klisz_Verbräuche[[#This Row],[2040]],"&gt;0")&gt;0,IF(COUNTIF($F176:Klisz_Verbräuche[[#This Row],[2040]],"&gt;0")&gt;0,Klisz_Verbräuche[[#This Row],[2040]]*(1-$E176)^5, ""), ""),IF($B$57&gt;Klisz_Verbräuche[[#Headers],[2045]],Refsz_Verbräuche[[#This Row],[2045]],"")))</f>
        <v/>
      </c>
      <c r="Y176" s="57" t="str">
        <f>IF(Klisz_Verbräuche[[#Headers],[2050]]=$B$57,IF(COUNTIF($F176:Klisz_Verbräuche[[#This Row],[2045]],"&gt;0")&gt;0, AVERAGEIF($F176:Klisz_Verbräuche[[#This Row],[2045]],"&lt;&gt;"), ""),IF($B$57&lt;Klisz_Verbräuche[[#Headers],[2050]],IF(COUNTIF($F176:Klisz_Verbräuche[[#This Row],[2045]],"&gt;0")&gt;0,IF(COUNTIF($F176:Klisz_Verbräuche[[#This Row],[2045]],"&gt;0")&gt;0,Klisz_Verbräuche[[#This Row],[2045]]*(1-$E176)^5, ""), ""),IF($B$57&gt;Klisz_Verbräuche[[#Headers],[2050]],Refsz_Verbräuche[[#This Row],[2050]],"")))</f>
        <v/>
      </c>
      <c r="Z176" s="15"/>
    </row>
    <row r="177" spans="2:26" x14ac:dyDescent="0.35">
      <c r="B177" s="15">
        <v>117</v>
      </c>
      <c r="C177" s="20" t="str">
        <f>Refsz_Verbräuche[[#This Row],[Datenpunkt]]</f>
        <v>Branntkalk</v>
      </c>
      <c r="D177" s="29" t="str">
        <f>Refsz_Verbräuche[[#This Row],[Einheit]]</f>
        <v>kg</v>
      </c>
      <c r="E177" s="122"/>
      <c r="F177" s="15" t="str">
        <f>IF(ISBLANK(Refsz_Verbräuche[[#This Row],[2015]]),"",Refsz_Verbräuche[[#This Row],[2015]])</f>
        <v/>
      </c>
      <c r="G177" s="15" t="str">
        <f>IF(ISBLANK(Refsz_Verbräuche[[#This Row],[2016]]),"",Refsz_Verbräuche[[#This Row],[2016]])</f>
        <v/>
      </c>
      <c r="H177" s="15" t="str">
        <f>IF(ISBLANK(Refsz_Verbräuche[[#This Row],[2017]]),"",Refsz_Verbräuche[[#This Row],[2017]])</f>
        <v/>
      </c>
      <c r="I177" s="15" t="str">
        <f>IF(ISBLANK(Refsz_Verbräuche[[#This Row],[2018]]),"",Refsz_Verbräuche[[#This Row],[2018]])</f>
        <v/>
      </c>
      <c r="J177" s="15" t="str">
        <f>IF(ISBLANK(Refsz_Verbräuche[[#This Row],[2019]]),"",Refsz_Verbräuche[[#This Row],[2019]])</f>
        <v/>
      </c>
      <c r="K177" s="15" t="str">
        <f>IF(ISBLANK(Refsz_Verbräuche[[#This Row],[2020]]),"",Refsz_Verbräuche[[#This Row],[2020]])</f>
        <v/>
      </c>
      <c r="L177" s="15" t="str">
        <f>IF(ISBLANK(Refsz_Verbräuche[[#This Row],[2021]]),"",Refsz_Verbräuche[[#This Row],[2021]])</f>
        <v/>
      </c>
      <c r="M177" s="57" t="str">
        <f>IF(Klisz_Verbräuche[[#Headers],[2022]]=$B$57,IF(COUNTIF($F177:Klisz_Verbräuche[[#This Row],[2021]],"&gt;0")&gt;0, AVERAGEIF($F177:Klisz_Verbräuche[[#This Row],[2021]],"&lt;&gt;"), ""),IF($B$57&lt;Klisz_Verbräuche[[#Headers],[2022]],IF(COUNTIF($F177:Klisz_Verbräuche[[#This Row],[2021]],"&gt;0")&gt;0,IF(COUNTIF($F177:Klisz_Verbräuche[[#This Row],[2021]],"&gt;0")&gt;0,Klisz_Verbräuche[[#This Row],[2021]]*(1-$E177)^1, ""), ""),IF($B$57&gt;Klisz_Verbräuche[[#Headers],[2022]],Refsz_Verbräuche[[#This Row],[2022]],"")))</f>
        <v/>
      </c>
      <c r="N177" s="57" t="str">
        <f>IF(Klisz_Verbräuche[[#Headers],[2023]]=$B$57,IF(COUNTIF($F177:Klisz_Verbräuche[[#This Row],[2022]],"&gt;0")&gt;0, AVERAGEIF($F177:Klisz_Verbräuche[[#This Row],[2022]],"&lt;&gt;"), ""),IF($B$57&lt;Klisz_Verbräuche[[#Headers],[2023]],IF(COUNTIF($F177:Klisz_Verbräuche[[#This Row],[2022]],"&gt;0")&gt;0,IF(COUNTIF($F177:Klisz_Verbräuche[[#This Row],[2022]],"&gt;0")&gt;0,Klisz_Verbräuche[[#This Row],[2022]]*(1-$E177)^1, ""), ""),IF($B$57&gt;Klisz_Verbräuche[[#Headers],[2023]],Refsz_Verbräuche[[#This Row],[2023]],"")))</f>
        <v/>
      </c>
      <c r="O177" s="57" t="str">
        <f>IF(Klisz_Verbräuche[[#Headers],[2024]]=$B$57,IF(COUNTIF($F177:Klisz_Verbräuche[[#This Row],[2023]],"&gt;0")&gt;0, AVERAGEIF($F177:Klisz_Verbräuche[[#This Row],[2023]],"&lt;&gt;"), ""),IF($B$57&lt;Klisz_Verbräuche[[#Headers],[2024]],IF(COUNTIF($F177:Klisz_Verbräuche[[#This Row],[2023]],"&gt;0")&gt;0,IF(COUNTIF($F177:Klisz_Verbräuche[[#This Row],[2023]],"&gt;0")&gt;0,Klisz_Verbräuche[[#This Row],[2023]]*(1-$E177)^1, ""), ""),IF($B$57&gt;Klisz_Verbräuche[[#Headers],[2024]],Refsz_Verbräuche[[#This Row],[2024]],"")))</f>
        <v/>
      </c>
      <c r="P177" s="57" t="str">
        <f>IF(Klisz_Verbräuche[[#Headers],[2025]]=$B$57,IF(COUNTIF($F177:Klisz_Verbräuche[[#This Row],[2024]],"&gt;0")&gt;0, AVERAGEIF($F177:Klisz_Verbräuche[[#This Row],[2024]],"&lt;&gt;"), ""),IF($B$57&lt;Klisz_Verbräuche[[#Headers],[2025]],IF(COUNTIF($F177:Klisz_Verbräuche[[#This Row],[2024]],"&gt;0")&gt;0,IF(COUNTIF($F177:Klisz_Verbräuche[[#This Row],[2024]],"&gt;0")&gt;0,Klisz_Verbräuche[[#This Row],[2024]]*(1-$E177)^1, ""), ""),IF($B$57&gt;Klisz_Verbräuche[[#Headers],[2025]],Refsz_Verbräuche[[#This Row],[2025]],"")))</f>
        <v/>
      </c>
      <c r="Q177" s="57" t="str">
        <f>IF(Klisz_Verbräuche[[#Headers],[2026]]=$B$57,IF(COUNTIF($F177:Klisz_Verbräuche[[#This Row],[2025]],"&gt;0")&gt;0, AVERAGEIF($F177:Klisz_Verbräuche[[#This Row],[2025]],"&lt;&gt;"), ""),IF($B$57&lt;Klisz_Verbräuche[[#Headers],[2026]],IF(COUNTIF($F177:Klisz_Verbräuche[[#This Row],[2025]],"&gt;0")&gt;0,IF(COUNTIF($F177:Klisz_Verbräuche[[#This Row],[2025]],"&gt;0")&gt;0,Klisz_Verbräuche[[#This Row],[2025]]*(1-$E177)^1, ""), ""),IF($B$57&gt;Klisz_Verbräuche[[#Headers],[2026]],Refsz_Verbräuche[[#This Row],[2026]],"")))</f>
        <v/>
      </c>
      <c r="R177" s="57" t="str">
        <f>IF(Klisz_Verbräuche[[#Headers],[2027]]=$B$57,IF(COUNTIF($F177:Klisz_Verbräuche[[#This Row],[2026]],"&gt;0")&gt;0, AVERAGEIF($F177:Klisz_Verbräuche[[#This Row],[2026]],"&lt;&gt;"), ""),IF($B$57&lt;Klisz_Verbräuche[[#Headers],[2027]],IF(COUNTIF($F177:Klisz_Verbräuche[[#This Row],[2026]],"&gt;0")&gt;0,IF(COUNTIF($F177:Klisz_Verbräuche[[#This Row],[2026]],"&gt;0")&gt;0,Klisz_Verbräuche[[#This Row],[2026]]*(1-$E177)^1, ""), ""),IF($B$57&gt;Klisz_Verbräuche[[#Headers],[2027]],Refsz_Verbräuche[[#This Row],[2027]],"")))</f>
        <v/>
      </c>
      <c r="S177" s="57" t="str">
        <f>IF(Klisz_Verbräuche[[#Headers],[2028]]=$B$57,IF(COUNTIF($F177:Klisz_Verbräuche[[#This Row],[2027]],"&gt;0")&gt;0, AVERAGEIF($F177:Klisz_Verbräuche[[#This Row],[2027]],"&lt;&gt;"), ""),IF($B$57&lt;Klisz_Verbräuche[[#Headers],[2028]],IF(COUNTIF($F177:Klisz_Verbräuche[[#This Row],[2027]],"&gt;0")&gt;0,IF(COUNTIF($F177:Klisz_Verbräuche[[#This Row],[2027]],"&gt;0")&gt;0,Klisz_Verbräuche[[#This Row],[2027]]*(1-$E177)^1, ""), ""),IF($B$57&gt;Klisz_Verbräuche[[#Headers],[2028]],Refsz_Verbräuche[[#This Row],[2028]],"")))</f>
        <v/>
      </c>
      <c r="T177" s="57" t="str">
        <f>IF(Klisz_Verbräuche[[#Headers],[2029]]=$B$57,IF(COUNTIF($F177:Klisz_Verbräuche[[#This Row],[2028]],"&gt;0")&gt;0, AVERAGEIF($F177:Klisz_Verbräuche[[#This Row],[2028]],"&lt;&gt;"), ""),IF($B$57&lt;Klisz_Verbräuche[[#Headers],[2029]],IF(COUNTIF($F177:Klisz_Verbräuche[[#This Row],[2028]],"&gt;0")&gt;0,IF(COUNTIF($F177:Klisz_Verbräuche[[#This Row],[2028]],"&gt;0")&gt;0,Klisz_Verbräuche[[#This Row],[2028]]*(1-$E177)^1, ""), ""),IF($B$57&gt;Klisz_Verbräuche[[#Headers],[2029]],Refsz_Verbräuche[[#This Row],[2029]],"")))</f>
        <v/>
      </c>
      <c r="U177" s="57" t="str">
        <f>IF(Klisz_Verbräuche[[#Headers],[2030]]=$B$57,IF(COUNTIF($F177:Klisz_Verbräuche[[#This Row],[2029]],"&gt;0")&gt;0, AVERAGEIF($F177:Klisz_Verbräuche[[#This Row],[2029]],"&lt;&gt;"), ""),IF($B$57&lt;Klisz_Verbräuche[[#Headers],[2030]],IF(COUNTIF($F177:Klisz_Verbräuche[[#This Row],[2029]],"&gt;0")&gt;0,IF(COUNTIF($F177:Klisz_Verbräuche[[#This Row],[2029]],"&gt;0")&gt;0,Klisz_Verbräuche[[#This Row],[2029]]*(1-$E177)^1, ""), ""),IF($B$57&gt;Klisz_Verbräuche[[#Headers],[2030]],Refsz_Verbräuche[[#This Row],[2030]],"")))</f>
        <v/>
      </c>
      <c r="V177" s="57" t="str">
        <f>IF(Klisz_Verbräuche[[#Headers],[2035]]=$B$57,IF(COUNTIF($F177:Klisz_Verbräuche[[#This Row],[2030]],"&gt;0")&gt;0, AVERAGEIF($F177:Klisz_Verbräuche[[#This Row],[2030]],"&lt;&gt;"), ""),IF($B$57&lt;Klisz_Verbräuche[[#Headers],[2035]],IF(COUNTIF($F177:Klisz_Verbräuche[[#This Row],[2030]],"&gt;0")&gt;0,IF(COUNTIF($F177:Klisz_Verbräuche[[#This Row],[2030]],"&gt;0")&gt;0,Klisz_Verbräuche[[#This Row],[2030]]*(1-$E177)^5, ""), ""),IF($B$57&gt;Klisz_Verbräuche[[#Headers],[2035]],Refsz_Verbräuche[[#This Row],[2035]],"")))</f>
        <v/>
      </c>
      <c r="W177" s="57" t="str">
        <f>IF(Klisz_Verbräuche[[#Headers],[2040]]=$B$57,IF(COUNTIF($F177:Klisz_Verbräuche[[#This Row],[2035]],"&gt;0")&gt;0, AVERAGEIF($F177:Klisz_Verbräuche[[#This Row],[2035]],"&lt;&gt;"), ""),IF($B$57&lt;Klisz_Verbräuche[[#Headers],[2040]],IF(COUNTIF($F177:Klisz_Verbräuche[[#This Row],[2035]],"&gt;0")&gt;0,IF(COUNTIF($F177:Klisz_Verbräuche[[#This Row],[2035]],"&gt;0")&gt;0,Klisz_Verbräuche[[#This Row],[2035]]*(1-$E177)^5, ""), ""),IF($B$57&gt;Klisz_Verbräuche[[#Headers],[2040]],Refsz_Verbräuche[[#This Row],[2040]],"")))</f>
        <v/>
      </c>
      <c r="X177" s="57" t="str">
        <f>IF(Klisz_Verbräuche[[#Headers],[2045]]=$B$57,IF(COUNTIF($F177:Klisz_Verbräuche[[#This Row],[2040]],"&gt;0")&gt;0, AVERAGEIF($F177:Klisz_Verbräuche[[#This Row],[2040]],"&lt;&gt;"), ""),IF($B$57&lt;Klisz_Verbräuche[[#Headers],[2045]],IF(COUNTIF($F177:Klisz_Verbräuche[[#This Row],[2040]],"&gt;0")&gt;0,IF(COUNTIF($F177:Klisz_Verbräuche[[#This Row],[2040]],"&gt;0")&gt;0,Klisz_Verbräuche[[#This Row],[2040]]*(1-$E177)^5, ""), ""),IF($B$57&gt;Klisz_Verbräuche[[#Headers],[2045]],Refsz_Verbräuche[[#This Row],[2045]],"")))</f>
        <v/>
      </c>
      <c r="Y177" s="57" t="str">
        <f>IF(Klisz_Verbräuche[[#Headers],[2050]]=$B$57,IF(COUNTIF($F177:Klisz_Verbräuche[[#This Row],[2045]],"&gt;0")&gt;0, AVERAGEIF($F177:Klisz_Verbräuche[[#This Row],[2045]],"&lt;&gt;"), ""),IF($B$57&lt;Klisz_Verbräuche[[#Headers],[2050]],IF(COUNTIF($F177:Klisz_Verbräuche[[#This Row],[2045]],"&gt;0")&gt;0,IF(COUNTIF($F177:Klisz_Verbräuche[[#This Row],[2045]],"&gt;0")&gt;0,Klisz_Verbräuche[[#This Row],[2045]]*(1-$E177)^5, ""), ""),IF($B$57&gt;Klisz_Verbräuche[[#Headers],[2050]],Refsz_Verbräuche[[#This Row],[2050]],"")))</f>
        <v/>
      </c>
      <c r="Z177" s="15"/>
    </row>
    <row r="178" spans="2:26" x14ac:dyDescent="0.35">
      <c r="B178" s="15">
        <v>118</v>
      </c>
      <c r="C178" s="20" t="str">
        <f>Refsz_Verbräuche[[#This Row],[Datenpunkt]]</f>
        <v>Gips</v>
      </c>
      <c r="D178" s="29" t="str">
        <f>Refsz_Verbräuche[[#This Row],[Einheit]]</f>
        <v>kg</v>
      </c>
      <c r="E178" s="122"/>
      <c r="F178" s="15" t="str">
        <f>IF(ISBLANK(Refsz_Verbräuche[[#This Row],[2015]]),"",Refsz_Verbräuche[[#This Row],[2015]])</f>
        <v/>
      </c>
      <c r="G178" s="15" t="str">
        <f>IF(ISBLANK(Refsz_Verbräuche[[#This Row],[2016]]),"",Refsz_Verbräuche[[#This Row],[2016]])</f>
        <v/>
      </c>
      <c r="H178" s="15" t="str">
        <f>IF(ISBLANK(Refsz_Verbräuche[[#This Row],[2017]]),"",Refsz_Verbräuche[[#This Row],[2017]])</f>
        <v/>
      </c>
      <c r="I178" s="15" t="str">
        <f>IF(ISBLANK(Refsz_Verbräuche[[#This Row],[2018]]),"",Refsz_Verbräuche[[#This Row],[2018]])</f>
        <v/>
      </c>
      <c r="J178" s="15" t="str">
        <f>IF(ISBLANK(Refsz_Verbräuche[[#This Row],[2019]]),"",Refsz_Verbräuche[[#This Row],[2019]])</f>
        <v/>
      </c>
      <c r="K178" s="15" t="str">
        <f>IF(ISBLANK(Refsz_Verbräuche[[#This Row],[2020]]),"",Refsz_Verbräuche[[#This Row],[2020]])</f>
        <v/>
      </c>
      <c r="L178" s="15" t="str">
        <f>IF(ISBLANK(Refsz_Verbräuche[[#This Row],[2021]]),"",Refsz_Verbräuche[[#This Row],[2021]])</f>
        <v/>
      </c>
      <c r="M178" s="57" t="str">
        <f>IF(Klisz_Verbräuche[[#Headers],[2022]]=$B$57,IF(COUNTIF($F178:Klisz_Verbräuche[[#This Row],[2021]],"&gt;0")&gt;0, AVERAGEIF($F178:Klisz_Verbräuche[[#This Row],[2021]],"&lt;&gt;"), ""),IF($B$57&lt;Klisz_Verbräuche[[#Headers],[2022]],IF(COUNTIF($F178:Klisz_Verbräuche[[#This Row],[2021]],"&gt;0")&gt;0,IF(COUNTIF($F178:Klisz_Verbräuche[[#This Row],[2021]],"&gt;0")&gt;0,Klisz_Verbräuche[[#This Row],[2021]]*(1-$E178)^1, ""), ""),IF($B$57&gt;Klisz_Verbräuche[[#Headers],[2022]],Refsz_Verbräuche[[#This Row],[2022]],"")))</f>
        <v/>
      </c>
      <c r="N178" s="57" t="str">
        <f>IF(Klisz_Verbräuche[[#Headers],[2023]]=$B$57,IF(COUNTIF($F178:Klisz_Verbräuche[[#This Row],[2022]],"&gt;0")&gt;0, AVERAGEIF($F178:Klisz_Verbräuche[[#This Row],[2022]],"&lt;&gt;"), ""),IF($B$57&lt;Klisz_Verbräuche[[#Headers],[2023]],IF(COUNTIF($F178:Klisz_Verbräuche[[#This Row],[2022]],"&gt;0")&gt;0,IF(COUNTIF($F178:Klisz_Verbräuche[[#This Row],[2022]],"&gt;0")&gt;0,Klisz_Verbräuche[[#This Row],[2022]]*(1-$E178)^1, ""), ""),IF($B$57&gt;Klisz_Verbräuche[[#Headers],[2023]],Refsz_Verbräuche[[#This Row],[2023]],"")))</f>
        <v/>
      </c>
      <c r="O178" s="57" t="str">
        <f>IF(Klisz_Verbräuche[[#Headers],[2024]]=$B$57,IF(COUNTIF($F178:Klisz_Verbräuche[[#This Row],[2023]],"&gt;0")&gt;0, AVERAGEIF($F178:Klisz_Verbräuche[[#This Row],[2023]],"&lt;&gt;"), ""),IF($B$57&lt;Klisz_Verbräuche[[#Headers],[2024]],IF(COUNTIF($F178:Klisz_Verbräuche[[#This Row],[2023]],"&gt;0")&gt;0,IF(COUNTIF($F178:Klisz_Verbräuche[[#This Row],[2023]],"&gt;0")&gt;0,Klisz_Verbräuche[[#This Row],[2023]]*(1-$E178)^1, ""), ""),IF($B$57&gt;Klisz_Verbräuche[[#Headers],[2024]],Refsz_Verbräuche[[#This Row],[2024]],"")))</f>
        <v/>
      </c>
      <c r="P178" s="57" t="str">
        <f>IF(Klisz_Verbräuche[[#Headers],[2025]]=$B$57,IF(COUNTIF($F178:Klisz_Verbräuche[[#This Row],[2024]],"&gt;0")&gt;0, AVERAGEIF($F178:Klisz_Verbräuche[[#This Row],[2024]],"&lt;&gt;"), ""),IF($B$57&lt;Klisz_Verbräuche[[#Headers],[2025]],IF(COUNTIF($F178:Klisz_Verbräuche[[#This Row],[2024]],"&gt;0")&gt;0,IF(COUNTIF($F178:Klisz_Verbräuche[[#This Row],[2024]],"&gt;0")&gt;0,Klisz_Verbräuche[[#This Row],[2024]]*(1-$E178)^1, ""), ""),IF($B$57&gt;Klisz_Verbräuche[[#Headers],[2025]],Refsz_Verbräuche[[#This Row],[2025]],"")))</f>
        <v/>
      </c>
      <c r="Q178" s="57" t="str">
        <f>IF(Klisz_Verbräuche[[#Headers],[2026]]=$B$57,IF(COUNTIF($F178:Klisz_Verbräuche[[#This Row],[2025]],"&gt;0")&gt;0, AVERAGEIF($F178:Klisz_Verbräuche[[#This Row],[2025]],"&lt;&gt;"), ""),IF($B$57&lt;Klisz_Verbräuche[[#Headers],[2026]],IF(COUNTIF($F178:Klisz_Verbräuche[[#This Row],[2025]],"&gt;0")&gt;0,IF(COUNTIF($F178:Klisz_Verbräuche[[#This Row],[2025]],"&gt;0")&gt;0,Klisz_Verbräuche[[#This Row],[2025]]*(1-$E178)^1, ""), ""),IF($B$57&gt;Klisz_Verbräuche[[#Headers],[2026]],Refsz_Verbräuche[[#This Row],[2026]],"")))</f>
        <v/>
      </c>
      <c r="R178" s="57" t="str">
        <f>IF(Klisz_Verbräuche[[#Headers],[2027]]=$B$57,IF(COUNTIF($F178:Klisz_Verbräuche[[#This Row],[2026]],"&gt;0")&gt;0, AVERAGEIF($F178:Klisz_Verbräuche[[#This Row],[2026]],"&lt;&gt;"), ""),IF($B$57&lt;Klisz_Verbräuche[[#Headers],[2027]],IF(COUNTIF($F178:Klisz_Verbräuche[[#This Row],[2026]],"&gt;0")&gt;0,IF(COUNTIF($F178:Klisz_Verbräuche[[#This Row],[2026]],"&gt;0")&gt;0,Klisz_Verbräuche[[#This Row],[2026]]*(1-$E178)^1, ""), ""),IF($B$57&gt;Klisz_Verbräuche[[#Headers],[2027]],Refsz_Verbräuche[[#This Row],[2027]],"")))</f>
        <v/>
      </c>
      <c r="S178" s="57" t="str">
        <f>IF(Klisz_Verbräuche[[#Headers],[2028]]=$B$57,IF(COUNTIF($F178:Klisz_Verbräuche[[#This Row],[2027]],"&gt;0")&gt;0, AVERAGEIF($F178:Klisz_Verbräuche[[#This Row],[2027]],"&lt;&gt;"), ""),IF($B$57&lt;Klisz_Verbräuche[[#Headers],[2028]],IF(COUNTIF($F178:Klisz_Verbräuche[[#This Row],[2027]],"&gt;0")&gt;0,IF(COUNTIF($F178:Klisz_Verbräuche[[#This Row],[2027]],"&gt;0")&gt;0,Klisz_Verbräuche[[#This Row],[2027]]*(1-$E178)^1, ""), ""),IF($B$57&gt;Klisz_Verbräuche[[#Headers],[2028]],Refsz_Verbräuche[[#This Row],[2028]],"")))</f>
        <v/>
      </c>
      <c r="T178" s="57" t="str">
        <f>IF(Klisz_Verbräuche[[#Headers],[2029]]=$B$57,IF(COUNTIF($F178:Klisz_Verbräuche[[#This Row],[2028]],"&gt;0")&gt;0, AVERAGEIF($F178:Klisz_Verbräuche[[#This Row],[2028]],"&lt;&gt;"), ""),IF($B$57&lt;Klisz_Verbräuche[[#Headers],[2029]],IF(COUNTIF($F178:Klisz_Verbräuche[[#This Row],[2028]],"&gt;0")&gt;0,IF(COUNTIF($F178:Klisz_Verbräuche[[#This Row],[2028]],"&gt;0")&gt;0,Klisz_Verbräuche[[#This Row],[2028]]*(1-$E178)^1, ""), ""),IF($B$57&gt;Klisz_Verbräuche[[#Headers],[2029]],Refsz_Verbräuche[[#This Row],[2029]],"")))</f>
        <v/>
      </c>
      <c r="U178" s="57" t="str">
        <f>IF(Klisz_Verbräuche[[#Headers],[2030]]=$B$57,IF(COUNTIF($F178:Klisz_Verbräuche[[#This Row],[2029]],"&gt;0")&gt;0, AVERAGEIF($F178:Klisz_Verbräuche[[#This Row],[2029]],"&lt;&gt;"), ""),IF($B$57&lt;Klisz_Verbräuche[[#Headers],[2030]],IF(COUNTIF($F178:Klisz_Verbräuche[[#This Row],[2029]],"&gt;0")&gt;0,IF(COUNTIF($F178:Klisz_Verbräuche[[#This Row],[2029]],"&gt;0")&gt;0,Klisz_Verbräuche[[#This Row],[2029]]*(1-$E178)^1, ""), ""),IF($B$57&gt;Klisz_Verbräuche[[#Headers],[2030]],Refsz_Verbräuche[[#This Row],[2030]],"")))</f>
        <v/>
      </c>
      <c r="V178" s="57" t="str">
        <f>IF(Klisz_Verbräuche[[#Headers],[2035]]=$B$57,IF(COUNTIF($F178:Klisz_Verbräuche[[#This Row],[2030]],"&gt;0")&gt;0, AVERAGEIF($F178:Klisz_Verbräuche[[#This Row],[2030]],"&lt;&gt;"), ""),IF($B$57&lt;Klisz_Verbräuche[[#Headers],[2035]],IF(COUNTIF($F178:Klisz_Verbräuche[[#This Row],[2030]],"&gt;0")&gt;0,IF(COUNTIF($F178:Klisz_Verbräuche[[#This Row],[2030]],"&gt;0")&gt;0,Klisz_Verbräuche[[#This Row],[2030]]*(1-$E178)^5, ""), ""),IF($B$57&gt;Klisz_Verbräuche[[#Headers],[2035]],Refsz_Verbräuche[[#This Row],[2035]],"")))</f>
        <v/>
      </c>
      <c r="W178" s="57" t="str">
        <f>IF(Klisz_Verbräuche[[#Headers],[2040]]=$B$57,IF(COUNTIF($F178:Klisz_Verbräuche[[#This Row],[2035]],"&gt;0")&gt;0, AVERAGEIF($F178:Klisz_Verbräuche[[#This Row],[2035]],"&lt;&gt;"), ""),IF($B$57&lt;Klisz_Verbräuche[[#Headers],[2040]],IF(COUNTIF($F178:Klisz_Verbräuche[[#This Row],[2035]],"&gt;0")&gt;0,IF(COUNTIF($F178:Klisz_Verbräuche[[#This Row],[2035]],"&gt;0")&gt;0,Klisz_Verbräuche[[#This Row],[2035]]*(1-$E178)^5, ""), ""),IF($B$57&gt;Klisz_Verbräuche[[#Headers],[2040]],Refsz_Verbräuche[[#This Row],[2040]],"")))</f>
        <v/>
      </c>
      <c r="X178" s="57" t="str">
        <f>IF(Klisz_Verbräuche[[#Headers],[2045]]=$B$57,IF(COUNTIF($F178:Klisz_Verbräuche[[#This Row],[2040]],"&gt;0")&gt;0, AVERAGEIF($F178:Klisz_Verbräuche[[#This Row],[2040]],"&lt;&gt;"), ""),IF($B$57&lt;Klisz_Verbräuche[[#Headers],[2045]],IF(COUNTIF($F178:Klisz_Verbräuche[[#This Row],[2040]],"&gt;0")&gt;0,IF(COUNTIF($F178:Klisz_Verbräuche[[#This Row],[2040]],"&gt;0")&gt;0,Klisz_Verbräuche[[#This Row],[2040]]*(1-$E178)^5, ""), ""),IF($B$57&gt;Klisz_Verbräuche[[#Headers],[2045]],Refsz_Verbräuche[[#This Row],[2045]],"")))</f>
        <v/>
      </c>
      <c r="Y178" s="57" t="str">
        <f>IF(Klisz_Verbräuche[[#Headers],[2050]]=$B$57,IF(COUNTIF($F178:Klisz_Verbräuche[[#This Row],[2045]],"&gt;0")&gt;0, AVERAGEIF($F178:Klisz_Verbräuche[[#This Row],[2045]],"&lt;&gt;"), ""),IF($B$57&lt;Klisz_Verbräuche[[#Headers],[2050]],IF(COUNTIF($F178:Klisz_Verbräuche[[#This Row],[2045]],"&gt;0")&gt;0,IF(COUNTIF($F178:Klisz_Verbräuche[[#This Row],[2045]],"&gt;0")&gt;0,Klisz_Verbräuche[[#This Row],[2045]]*(1-$E178)^5, ""), ""),IF($B$57&gt;Klisz_Verbräuche[[#Headers],[2050]],Refsz_Verbräuche[[#This Row],[2050]],"")))</f>
        <v/>
      </c>
      <c r="Z178" s="15"/>
    </row>
    <row r="179" spans="2:26" x14ac:dyDescent="0.35">
      <c r="B179" s="15">
        <v>119</v>
      </c>
      <c r="C179" s="20" t="str">
        <f>Refsz_Verbräuche[[#This Row],[Datenpunkt]]</f>
        <v>Gipsplatte</v>
      </c>
      <c r="D179" s="29" t="str">
        <f>Refsz_Verbräuche[[#This Row],[Einheit]]</f>
        <v>kg</v>
      </c>
      <c r="E179" s="122"/>
      <c r="F179" s="15" t="str">
        <f>IF(ISBLANK(Refsz_Verbräuche[[#This Row],[2015]]),"",Refsz_Verbräuche[[#This Row],[2015]])</f>
        <v/>
      </c>
      <c r="G179" s="15" t="str">
        <f>IF(ISBLANK(Refsz_Verbräuche[[#This Row],[2016]]),"",Refsz_Verbräuche[[#This Row],[2016]])</f>
        <v/>
      </c>
      <c r="H179" s="15" t="str">
        <f>IF(ISBLANK(Refsz_Verbräuche[[#This Row],[2017]]),"",Refsz_Verbräuche[[#This Row],[2017]])</f>
        <v/>
      </c>
      <c r="I179" s="15" t="str">
        <f>IF(ISBLANK(Refsz_Verbräuche[[#This Row],[2018]]),"",Refsz_Verbräuche[[#This Row],[2018]])</f>
        <v/>
      </c>
      <c r="J179" s="15" t="str">
        <f>IF(ISBLANK(Refsz_Verbräuche[[#This Row],[2019]]),"",Refsz_Verbräuche[[#This Row],[2019]])</f>
        <v/>
      </c>
      <c r="K179" s="15" t="str">
        <f>IF(ISBLANK(Refsz_Verbräuche[[#This Row],[2020]]),"",Refsz_Verbräuche[[#This Row],[2020]])</f>
        <v/>
      </c>
      <c r="L179" s="15" t="str">
        <f>IF(ISBLANK(Refsz_Verbräuche[[#This Row],[2021]]),"",Refsz_Verbräuche[[#This Row],[2021]])</f>
        <v/>
      </c>
      <c r="M179" s="57" t="str">
        <f>IF(Klisz_Verbräuche[[#Headers],[2022]]=$B$57,IF(COUNTIF($F179:Klisz_Verbräuche[[#This Row],[2021]],"&gt;0")&gt;0, AVERAGEIF($F179:Klisz_Verbräuche[[#This Row],[2021]],"&lt;&gt;"), ""),IF($B$57&lt;Klisz_Verbräuche[[#Headers],[2022]],IF(COUNTIF($F179:Klisz_Verbräuche[[#This Row],[2021]],"&gt;0")&gt;0,IF(COUNTIF($F179:Klisz_Verbräuche[[#This Row],[2021]],"&gt;0")&gt;0,Klisz_Verbräuche[[#This Row],[2021]]*(1-$E179)^1, ""), ""),IF($B$57&gt;Klisz_Verbräuche[[#Headers],[2022]],Refsz_Verbräuche[[#This Row],[2022]],"")))</f>
        <v/>
      </c>
      <c r="N179" s="57" t="str">
        <f>IF(Klisz_Verbräuche[[#Headers],[2023]]=$B$57,IF(COUNTIF($F179:Klisz_Verbräuche[[#This Row],[2022]],"&gt;0")&gt;0, AVERAGEIF($F179:Klisz_Verbräuche[[#This Row],[2022]],"&lt;&gt;"), ""),IF($B$57&lt;Klisz_Verbräuche[[#Headers],[2023]],IF(COUNTIF($F179:Klisz_Verbräuche[[#This Row],[2022]],"&gt;0")&gt;0,IF(COUNTIF($F179:Klisz_Verbräuche[[#This Row],[2022]],"&gt;0")&gt;0,Klisz_Verbräuche[[#This Row],[2022]]*(1-$E179)^1, ""), ""),IF($B$57&gt;Klisz_Verbräuche[[#Headers],[2023]],Refsz_Verbräuche[[#This Row],[2023]],"")))</f>
        <v/>
      </c>
      <c r="O179" s="57" t="str">
        <f>IF(Klisz_Verbräuche[[#Headers],[2024]]=$B$57,IF(COUNTIF($F179:Klisz_Verbräuche[[#This Row],[2023]],"&gt;0")&gt;0, AVERAGEIF($F179:Klisz_Verbräuche[[#This Row],[2023]],"&lt;&gt;"), ""),IF($B$57&lt;Klisz_Verbräuche[[#Headers],[2024]],IF(COUNTIF($F179:Klisz_Verbräuche[[#This Row],[2023]],"&gt;0")&gt;0,IF(COUNTIF($F179:Klisz_Verbräuche[[#This Row],[2023]],"&gt;0")&gt;0,Klisz_Verbräuche[[#This Row],[2023]]*(1-$E179)^1, ""), ""),IF($B$57&gt;Klisz_Verbräuche[[#Headers],[2024]],Refsz_Verbräuche[[#This Row],[2024]],"")))</f>
        <v/>
      </c>
      <c r="P179" s="57" t="str">
        <f>IF(Klisz_Verbräuche[[#Headers],[2025]]=$B$57,IF(COUNTIF($F179:Klisz_Verbräuche[[#This Row],[2024]],"&gt;0")&gt;0, AVERAGEIF($F179:Klisz_Verbräuche[[#This Row],[2024]],"&lt;&gt;"), ""),IF($B$57&lt;Klisz_Verbräuche[[#Headers],[2025]],IF(COUNTIF($F179:Klisz_Verbräuche[[#This Row],[2024]],"&gt;0")&gt;0,IF(COUNTIF($F179:Klisz_Verbräuche[[#This Row],[2024]],"&gt;0")&gt;0,Klisz_Verbräuche[[#This Row],[2024]]*(1-$E179)^1, ""), ""),IF($B$57&gt;Klisz_Verbräuche[[#Headers],[2025]],Refsz_Verbräuche[[#This Row],[2025]],"")))</f>
        <v/>
      </c>
      <c r="Q179" s="57" t="str">
        <f>IF(Klisz_Verbräuche[[#Headers],[2026]]=$B$57,IF(COUNTIF($F179:Klisz_Verbräuche[[#This Row],[2025]],"&gt;0")&gt;0, AVERAGEIF($F179:Klisz_Verbräuche[[#This Row],[2025]],"&lt;&gt;"), ""),IF($B$57&lt;Klisz_Verbräuche[[#Headers],[2026]],IF(COUNTIF($F179:Klisz_Verbräuche[[#This Row],[2025]],"&gt;0")&gt;0,IF(COUNTIF($F179:Klisz_Verbräuche[[#This Row],[2025]],"&gt;0")&gt;0,Klisz_Verbräuche[[#This Row],[2025]]*(1-$E179)^1, ""), ""),IF($B$57&gt;Klisz_Verbräuche[[#Headers],[2026]],Refsz_Verbräuche[[#This Row],[2026]],"")))</f>
        <v/>
      </c>
      <c r="R179" s="57" t="str">
        <f>IF(Klisz_Verbräuche[[#Headers],[2027]]=$B$57,IF(COUNTIF($F179:Klisz_Verbräuche[[#This Row],[2026]],"&gt;0")&gt;0, AVERAGEIF($F179:Klisz_Verbräuche[[#This Row],[2026]],"&lt;&gt;"), ""),IF($B$57&lt;Klisz_Verbräuche[[#Headers],[2027]],IF(COUNTIF($F179:Klisz_Verbräuche[[#This Row],[2026]],"&gt;0")&gt;0,IF(COUNTIF($F179:Klisz_Verbräuche[[#This Row],[2026]],"&gt;0")&gt;0,Klisz_Verbräuche[[#This Row],[2026]]*(1-$E179)^1, ""), ""),IF($B$57&gt;Klisz_Verbräuche[[#Headers],[2027]],Refsz_Verbräuche[[#This Row],[2027]],"")))</f>
        <v/>
      </c>
      <c r="S179" s="57" t="str">
        <f>IF(Klisz_Verbräuche[[#Headers],[2028]]=$B$57,IF(COUNTIF($F179:Klisz_Verbräuche[[#This Row],[2027]],"&gt;0")&gt;0, AVERAGEIF($F179:Klisz_Verbräuche[[#This Row],[2027]],"&lt;&gt;"), ""),IF($B$57&lt;Klisz_Verbräuche[[#Headers],[2028]],IF(COUNTIF($F179:Klisz_Verbräuche[[#This Row],[2027]],"&gt;0")&gt;0,IF(COUNTIF($F179:Klisz_Verbräuche[[#This Row],[2027]],"&gt;0")&gt;0,Klisz_Verbräuche[[#This Row],[2027]]*(1-$E179)^1, ""), ""),IF($B$57&gt;Klisz_Verbräuche[[#Headers],[2028]],Refsz_Verbräuche[[#This Row],[2028]],"")))</f>
        <v/>
      </c>
      <c r="T179" s="57" t="str">
        <f>IF(Klisz_Verbräuche[[#Headers],[2029]]=$B$57,IF(COUNTIF($F179:Klisz_Verbräuche[[#This Row],[2028]],"&gt;0")&gt;0, AVERAGEIF($F179:Klisz_Verbräuche[[#This Row],[2028]],"&lt;&gt;"), ""),IF($B$57&lt;Klisz_Verbräuche[[#Headers],[2029]],IF(COUNTIF($F179:Klisz_Verbräuche[[#This Row],[2028]],"&gt;0")&gt;0,IF(COUNTIF($F179:Klisz_Verbräuche[[#This Row],[2028]],"&gt;0")&gt;0,Klisz_Verbräuche[[#This Row],[2028]]*(1-$E179)^1, ""), ""),IF($B$57&gt;Klisz_Verbräuche[[#Headers],[2029]],Refsz_Verbräuche[[#This Row],[2029]],"")))</f>
        <v/>
      </c>
      <c r="U179" s="57" t="str">
        <f>IF(Klisz_Verbräuche[[#Headers],[2030]]=$B$57,IF(COUNTIF($F179:Klisz_Verbräuche[[#This Row],[2029]],"&gt;0")&gt;0, AVERAGEIF($F179:Klisz_Verbräuche[[#This Row],[2029]],"&lt;&gt;"), ""),IF($B$57&lt;Klisz_Verbräuche[[#Headers],[2030]],IF(COUNTIF($F179:Klisz_Verbräuche[[#This Row],[2029]],"&gt;0")&gt;0,IF(COUNTIF($F179:Klisz_Verbräuche[[#This Row],[2029]],"&gt;0")&gt;0,Klisz_Verbräuche[[#This Row],[2029]]*(1-$E179)^1, ""), ""),IF($B$57&gt;Klisz_Verbräuche[[#Headers],[2030]],Refsz_Verbräuche[[#This Row],[2030]],"")))</f>
        <v/>
      </c>
      <c r="V179" s="57" t="str">
        <f>IF(Klisz_Verbräuche[[#Headers],[2035]]=$B$57,IF(COUNTIF($F179:Klisz_Verbräuche[[#This Row],[2030]],"&gt;0")&gt;0, AVERAGEIF($F179:Klisz_Verbräuche[[#This Row],[2030]],"&lt;&gt;"), ""),IF($B$57&lt;Klisz_Verbräuche[[#Headers],[2035]],IF(COUNTIF($F179:Klisz_Verbräuche[[#This Row],[2030]],"&gt;0")&gt;0,IF(COUNTIF($F179:Klisz_Verbräuche[[#This Row],[2030]],"&gt;0")&gt;0,Klisz_Verbräuche[[#This Row],[2030]]*(1-$E179)^5, ""), ""),IF($B$57&gt;Klisz_Verbräuche[[#Headers],[2035]],Refsz_Verbräuche[[#This Row],[2035]],"")))</f>
        <v/>
      </c>
      <c r="W179" s="57" t="str">
        <f>IF(Klisz_Verbräuche[[#Headers],[2040]]=$B$57,IF(COUNTIF($F179:Klisz_Verbräuche[[#This Row],[2035]],"&gt;0")&gt;0, AVERAGEIF($F179:Klisz_Verbräuche[[#This Row],[2035]],"&lt;&gt;"), ""),IF($B$57&lt;Klisz_Verbräuche[[#Headers],[2040]],IF(COUNTIF($F179:Klisz_Verbräuche[[#This Row],[2035]],"&gt;0")&gt;0,IF(COUNTIF($F179:Klisz_Verbräuche[[#This Row],[2035]],"&gt;0")&gt;0,Klisz_Verbräuche[[#This Row],[2035]]*(1-$E179)^5, ""), ""),IF($B$57&gt;Klisz_Verbräuche[[#Headers],[2040]],Refsz_Verbräuche[[#This Row],[2040]],"")))</f>
        <v/>
      </c>
      <c r="X179" s="57" t="str">
        <f>IF(Klisz_Verbräuche[[#Headers],[2045]]=$B$57,IF(COUNTIF($F179:Klisz_Verbräuche[[#This Row],[2040]],"&gt;0")&gt;0, AVERAGEIF($F179:Klisz_Verbräuche[[#This Row],[2040]],"&lt;&gt;"), ""),IF($B$57&lt;Klisz_Verbräuche[[#Headers],[2045]],IF(COUNTIF($F179:Klisz_Verbräuche[[#This Row],[2040]],"&gt;0")&gt;0,IF(COUNTIF($F179:Klisz_Verbräuche[[#This Row],[2040]],"&gt;0")&gt;0,Klisz_Verbräuche[[#This Row],[2040]]*(1-$E179)^5, ""), ""),IF($B$57&gt;Klisz_Verbräuche[[#Headers],[2045]],Refsz_Verbräuche[[#This Row],[2045]],"")))</f>
        <v/>
      </c>
      <c r="Y179" s="57" t="str">
        <f>IF(Klisz_Verbräuche[[#Headers],[2050]]=$B$57,IF(COUNTIF($F179:Klisz_Verbräuche[[#This Row],[2045]],"&gt;0")&gt;0, AVERAGEIF($F179:Klisz_Verbräuche[[#This Row],[2045]],"&lt;&gt;"), ""),IF($B$57&lt;Klisz_Verbräuche[[#Headers],[2050]],IF(COUNTIF($F179:Klisz_Verbräuche[[#This Row],[2045]],"&gt;0")&gt;0,IF(COUNTIF($F179:Klisz_Verbräuche[[#This Row],[2045]],"&gt;0")&gt;0,Klisz_Verbräuche[[#This Row],[2045]]*(1-$E179)^5, ""), ""),IF($B$57&gt;Klisz_Verbräuche[[#Headers],[2050]],Refsz_Verbräuche[[#This Row],[2050]],"")))</f>
        <v/>
      </c>
      <c r="Z179" s="15"/>
    </row>
    <row r="180" spans="2:26" x14ac:dyDescent="0.35">
      <c r="B180" s="15">
        <v>120</v>
      </c>
      <c r="C180" s="20" t="str">
        <f>Refsz_Verbräuche[[#This Row],[Datenpunkt]]</f>
        <v>Glas (flach)</v>
      </c>
      <c r="D180" s="29" t="str">
        <f>Refsz_Verbräuche[[#This Row],[Einheit]]</f>
        <v>kg</v>
      </c>
      <c r="E180" s="122"/>
      <c r="F180" s="15" t="str">
        <f>IF(ISBLANK(Refsz_Verbräuche[[#This Row],[2015]]),"",Refsz_Verbräuche[[#This Row],[2015]])</f>
        <v/>
      </c>
      <c r="G180" s="15" t="str">
        <f>IF(ISBLANK(Refsz_Verbräuche[[#This Row],[2016]]),"",Refsz_Verbräuche[[#This Row],[2016]])</f>
        <v/>
      </c>
      <c r="H180" s="15" t="str">
        <f>IF(ISBLANK(Refsz_Verbräuche[[#This Row],[2017]]),"",Refsz_Verbräuche[[#This Row],[2017]])</f>
        <v/>
      </c>
      <c r="I180" s="15" t="str">
        <f>IF(ISBLANK(Refsz_Verbräuche[[#This Row],[2018]]),"",Refsz_Verbräuche[[#This Row],[2018]])</f>
        <v/>
      </c>
      <c r="J180" s="15" t="str">
        <f>IF(ISBLANK(Refsz_Verbräuche[[#This Row],[2019]]),"",Refsz_Verbräuche[[#This Row],[2019]])</f>
        <v/>
      </c>
      <c r="K180" s="15" t="str">
        <f>IF(ISBLANK(Refsz_Verbräuche[[#This Row],[2020]]),"",Refsz_Verbräuche[[#This Row],[2020]])</f>
        <v/>
      </c>
      <c r="L180" s="15" t="str">
        <f>IF(ISBLANK(Refsz_Verbräuche[[#This Row],[2021]]),"",Refsz_Verbräuche[[#This Row],[2021]])</f>
        <v/>
      </c>
      <c r="M180" s="57" t="str">
        <f>IF(Klisz_Verbräuche[[#Headers],[2022]]=$B$57,IF(COUNTIF($F180:Klisz_Verbräuche[[#This Row],[2021]],"&gt;0")&gt;0, AVERAGEIF($F180:Klisz_Verbräuche[[#This Row],[2021]],"&lt;&gt;"), ""),IF($B$57&lt;Klisz_Verbräuche[[#Headers],[2022]],IF(COUNTIF($F180:Klisz_Verbräuche[[#This Row],[2021]],"&gt;0")&gt;0,IF(COUNTIF($F180:Klisz_Verbräuche[[#This Row],[2021]],"&gt;0")&gt;0,Klisz_Verbräuche[[#This Row],[2021]]*(1-$E180)^1, ""), ""),IF($B$57&gt;Klisz_Verbräuche[[#Headers],[2022]],Refsz_Verbräuche[[#This Row],[2022]],"")))</f>
        <v/>
      </c>
      <c r="N180" s="57" t="str">
        <f>IF(Klisz_Verbräuche[[#Headers],[2023]]=$B$57,IF(COUNTIF($F180:Klisz_Verbräuche[[#This Row],[2022]],"&gt;0")&gt;0, AVERAGEIF($F180:Klisz_Verbräuche[[#This Row],[2022]],"&lt;&gt;"), ""),IF($B$57&lt;Klisz_Verbräuche[[#Headers],[2023]],IF(COUNTIF($F180:Klisz_Verbräuche[[#This Row],[2022]],"&gt;0")&gt;0,IF(COUNTIF($F180:Klisz_Verbräuche[[#This Row],[2022]],"&gt;0")&gt;0,Klisz_Verbräuche[[#This Row],[2022]]*(1-$E180)^1, ""), ""),IF($B$57&gt;Klisz_Verbräuche[[#Headers],[2023]],Refsz_Verbräuche[[#This Row],[2023]],"")))</f>
        <v/>
      </c>
      <c r="O180" s="57" t="str">
        <f>IF(Klisz_Verbräuche[[#Headers],[2024]]=$B$57,IF(COUNTIF($F180:Klisz_Verbräuche[[#This Row],[2023]],"&gt;0")&gt;0, AVERAGEIF($F180:Klisz_Verbräuche[[#This Row],[2023]],"&lt;&gt;"), ""),IF($B$57&lt;Klisz_Verbräuche[[#Headers],[2024]],IF(COUNTIF($F180:Klisz_Verbräuche[[#This Row],[2023]],"&gt;0")&gt;0,IF(COUNTIF($F180:Klisz_Verbräuche[[#This Row],[2023]],"&gt;0")&gt;0,Klisz_Verbräuche[[#This Row],[2023]]*(1-$E180)^1, ""), ""),IF($B$57&gt;Klisz_Verbräuche[[#Headers],[2024]],Refsz_Verbräuche[[#This Row],[2024]],"")))</f>
        <v/>
      </c>
      <c r="P180" s="57" t="str">
        <f>IF(Klisz_Verbräuche[[#Headers],[2025]]=$B$57,IF(COUNTIF($F180:Klisz_Verbräuche[[#This Row],[2024]],"&gt;0")&gt;0, AVERAGEIF($F180:Klisz_Verbräuche[[#This Row],[2024]],"&lt;&gt;"), ""),IF($B$57&lt;Klisz_Verbräuche[[#Headers],[2025]],IF(COUNTIF($F180:Klisz_Verbräuche[[#This Row],[2024]],"&gt;0")&gt;0,IF(COUNTIF($F180:Klisz_Verbräuche[[#This Row],[2024]],"&gt;0")&gt;0,Klisz_Verbräuche[[#This Row],[2024]]*(1-$E180)^1, ""), ""),IF($B$57&gt;Klisz_Verbräuche[[#Headers],[2025]],Refsz_Verbräuche[[#This Row],[2025]],"")))</f>
        <v/>
      </c>
      <c r="Q180" s="57" t="str">
        <f>IF(Klisz_Verbräuche[[#Headers],[2026]]=$B$57,IF(COUNTIF($F180:Klisz_Verbräuche[[#This Row],[2025]],"&gt;0")&gt;0, AVERAGEIF($F180:Klisz_Verbräuche[[#This Row],[2025]],"&lt;&gt;"), ""),IF($B$57&lt;Klisz_Verbräuche[[#Headers],[2026]],IF(COUNTIF($F180:Klisz_Verbräuche[[#This Row],[2025]],"&gt;0")&gt;0,IF(COUNTIF($F180:Klisz_Verbräuche[[#This Row],[2025]],"&gt;0")&gt;0,Klisz_Verbräuche[[#This Row],[2025]]*(1-$E180)^1, ""), ""),IF($B$57&gt;Klisz_Verbräuche[[#Headers],[2026]],Refsz_Verbräuche[[#This Row],[2026]],"")))</f>
        <v/>
      </c>
      <c r="R180" s="57" t="str">
        <f>IF(Klisz_Verbräuche[[#Headers],[2027]]=$B$57,IF(COUNTIF($F180:Klisz_Verbräuche[[#This Row],[2026]],"&gt;0")&gt;0, AVERAGEIF($F180:Klisz_Verbräuche[[#This Row],[2026]],"&lt;&gt;"), ""),IF($B$57&lt;Klisz_Verbräuche[[#Headers],[2027]],IF(COUNTIF($F180:Klisz_Verbräuche[[#This Row],[2026]],"&gt;0")&gt;0,IF(COUNTIF($F180:Klisz_Verbräuche[[#This Row],[2026]],"&gt;0")&gt;0,Klisz_Verbräuche[[#This Row],[2026]]*(1-$E180)^1, ""), ""),IF($B$57&gt;Klisz_Verbräuche[[#Headers],[2027]],Refsz_Verbräuche[[#This Row],[2027]],"")))</f>
        <v/>
      </c>
      <c r="S180" s="57" t="str">
        <f>IF(Klisz_Verbräuche[[#Headers],[2028]]=$B$57,IF(COUNTIF($F180:Klisz_Verbräuche[[#This Row],[2027]],"&gt;0")&gt;0, AVERAGEIF($F180:Klisz_Verbräuche[[#This Row],[2027]],"&lt;&gt;"), ""),IF($B$57&lt;Klisz_Verbräuche[[#Headers],[2028]],IF(COUNTIF($F180:Klisz_Verbräuche[[#This Row],[2027]],"&gt;0")&gt;0,IF(COUNTIF($F180:Klisz_Verbräuche[[#This Row],[2027]],"&gt;0")&gt;0,Klisz_Verbräuche[[#This Row],[2027]]*(1-$E180)^1, ""), ""),IF($B$57&gt;Klisz_Verbräuche[[#Headers],[2028]],Refsz_Verbräuche[[#This Row],[2028]],"")))</f>
        <v/>
      </c>
      <c r="T180" s="57" t="str">
        <f>IF(Klisz_Verbräuche[[#Headers],[2029]]=$B$57,IF(COUNTIF($F180:Klisz_Verbräuche[[#This Row],[2028]],"&gt;0")&gt;0, AVERAGEIF($F180:Klisz_Verbräuche[[#This Row],[2028]],"&lt;&gt;"), ""),IF($B$57&lt;Klisz_Verbräuche[[#Headers],[2029]],IF(COUNTIF($F180:Klisz_Verbräuche[[#This Row],[2028]],"&gt;0")&gt;0,IF(COUNTIF($F180:Klisz_Verbräuche[[#This Row],[2028]],"&gt;0")&gt;0,Klisz_Verbräuche[[#This Row],[2028]]*(1-$E180)^1, ""), ""),IF($B$57&gt;Klisz_Verbräuche[[#Headers],[2029]],Refsz_Verbräuche[[#This Row],[2029]],"")))</f>
        <v/>
      </c>
      <c r="U180" s="57" t="str">
        <f>IF(Klisz_Verbräuche[[#Headers],[2030]]=$B$57,IF(COUNTIF($F180:Klisz_Verbräuche[[#This Row],[2029]],"&gt;0")&gt;0, AVERAGEIF($F180:Klisz_Verbräuche[[#This Row],[2029]],"&lt;&gt;"), ""),IF($B$57&lt;Klisz_Verbräuche[[#Headers],[2030]],IF(COUNTIF($F180:Klisz_Verbräuche[[#This Row],[2029]],"&gt;0")&gt;0,IF(COUNTIF($F180:Klisz_Verbräuche[[#This Row],[2029]],"&gt;0")&gt;0,Klisz_Verbräuche[[#This Row],[2029]]*(1-$E180)^1, ""), ""),IF($B$57&gt;Klisz_Verbräuche[[#Headers],[2030]],Refsz_Verbräuche[[#This Row],[2030]],"")))</f>
        <v/>
      </c>
      <c r="V180" s="57" t="str">
        <f>IF(Klisz_Verbräuche[[#Headers],[2035]]=$B$57,IF(COUNTIF($F180:Klisz_Verbräuche[[#This Row],[2030]],"&gt;0")&gt;0, AVERAGEIF($F180:Klisz_Verbräuche[[#This Row],[2030]],"&lt;&gt;"), ""),IF($B$57&lt;Klisz_Verbräuche[[#Headers],[2035]],IF(COUNTIF($F180:Klisz_Verbräuche[[#This Row],[2030]],"&gt;0")&gt;0,IF(COUNTIF($F180:Klisz_Verbräuche[[#This Row],[2030]],"&gt;0")&gt;0,Klisz_Verbräuche[[#This Row],[2030]]*(1-$E180)^5, ""), ""),IF($B$57&gt;Klisz_Verbräuche[[#Headers],[2035]],Refsz_Verbräuche[[#This Row],[2035]],"")))</f>
        <v/>
      </c>
      <c r="W180" s="57" t="str">
        <f>IF(Klisz_Verbräuche[[#Headers],[2040]]=$B$57,IF(COUNTIF($F180:Klisz_Verbräuche[[#This Row],[2035]],"&gt;0")&gt;0, AVERAGEIF($F180:Klisz_Verbräuche[[#This Row],[2035]],"&lt;&gt;"), ""),IF($B$57&lt;Klisz_Verbräuche[[#Headers],[2040]],IF(COUNTIF($F180:Klisz_Verbräuche[[#This Row],[2035]],"&gt;0")&gt;0,IF(COUNTIF($F180:Klisz_Verbräuche[[#This Row],[2035]],"&gt;0")&gt;0,Klisz_Verbräuche[[#This Row],[2035]]*(1-$E180)^5, ""), ""),IF($B$57&gt;Klisz_Verbräuche[[#Headers],[2040]],Refsz_Verbräuche[[#This Row],[2040]],"")))</f>
        <v/>
      </c>
      <c r="X180" s="57" t="str">
        <f>IF(Klisz_Verbräuche[[#Headers],[2045]]=$B$57,IF(COUNTIF($F180:Klisz_Verbräuche[[#This Row],[2040]],"&gt;0")&gt;0, AVERAGEIF($F180:Klisz_Verbräuche[[#This Row],[2040]],"&lt;&gt;"), ""),IF($B$57&lt;Klisz_Verbräuche[[#Headers],[2045]],IF(COUNTIF($F180:Klisz_Verbräuche[[#This Row],[2040]],"&gt;0")&gt;0,IF(COUNTIF($F180:Klisz_Verbräuche[[#This Row],[2040]],"&gt;0")&gt;0,Klisz_Verbräuche[[#This Row],[2040]]*(1-$E180)^5, ""), ""),IF($B$57&gt;Klisz_Verbräuche[[#Headers],[2045]],Refsz_Verbräuche[[#This Row],[2045]],"")))</f>
        <v/>
      </c>
      <c r="Y180" s="57" t="str">
        <f>IF(Klisz_Verbräuche[[#Headers],[2050]]=$B$57,IF(COUNTIF($F180:Klisz_Verbräuche[[#This Row],[2045]],"&gt;0")&gt;0, AVERAGEIF($F180:Klisz_Verbräuche[[#This Row],[2045]],"&lt;&gt;"), ""),IF($B$57&lt;Klisz_Verbräuche[[#Headers],[2050]],IF(COUNTIF($F180:Klisz_Verbräuche[[#This Row],[2045]],"&gt;0")&gt;0,IF(COUNTIF($F180:Klisz_Verbräuche[[#This Row],[2045]],"&gt;0")&gt;0,Klisz_Verbräuche[[#This Row],[2045]]*(1-$E180)^5, ""), ""),IF($B$57&gt;Klisz_Verbräuche[[#Headers],[2050]],Refsz_Verbräuche[[#This Row],[2050]],"")))</f>
        <v/>
      </c>
      <c r="Z180" s="15"/>
    </row>
    <row r="181" spans="2:26" x14ac:dyDescent="0.35">
      <c r="B181" s="15">
        <v>121</v>
      </c>
      <c r="C181" s="20" t="str">
        <f>Refsz_Verbräuche[[#This Row],[Datenpunkt]]</f>
        <v>Gussasphalt</v>
      </c>
      <c r="D181" s="29" t="str">
        <f>Refsz_Verbräuche[[#This Row],[Einheit]]</f>
        <v>kg</v>
      </c>
      <c r="E181" s="122"/>
      <c r="F181" s="15" t="str">
        <f>IF(ISBLANK(Refsz_Verbräuche[[#This Row],[2015]]),"",Refsz_Verbräuche[[#This Row],[2015]])</f>
        <v/>
      </c>
      <c r="G181" s="15" t="str">
        <f>IF(ISBLANK(Refsz_Verbräuche[[#This Row],[2016]]),"",Refsz_Verbräuche[[#This Row],[2016]])</f>
        <v/>
      </c>
      <c r="H181" s="15" t="str">
        <f>IF(ISBLANK(Refsz_Verbräuche[[#This Row],[2017]]),"",Refsz_Verbräuche[[#This Row],[2017]])</f>
        <v/>
      </c>
      <c r="I181" s="15" t="str">
        <f>IF(ISBLANK(Refsz_Verbräuche[[#This Row],[2018]]),"",Refsz_Verbräuche[[#This Row],[2018]])</f>
        <v/>
      </c>
      <c r="J181" s="15" t="str">
        <f>IF(ISBLANK(Refsz_Verbräuche[[#This Row],[2019]]),"",Refsz_Verbräuche[[#This Row],[2019]])</f>
        <v/>
      </c>
      <c r="K181" s="15" t="str">
        <f>IF(ISBLANK(Refsz_Verbräuche[[#This Row],[2020]]),"",Refsz_Verbräuche[[#This Row],[2020]])</f>
        <v/>
      </c>
      <c r="L181" s="15" t="str">
        <f>IF(ISBLANK(Refsz_Verbräuche[[#This Row],[2021]]),"",Refsz_Verbräuche[[#This Row],[2021]])</f>
        <v/>
      </c>
      <c r="M181" s="57" t="str">
        <f>IF(Klisz_Verbräuche[[#Headers],[2022]]=$B$57,IF(COUNTIF($F181:Klisz_Verbräuche[[#This Row],[2021]],"&gt;0")&gt;0, AVERAGEIF($F181:Klisz_Verbräuche[[#This Row],[2021]],"&lt;&gt;"), ""),IF($B$57&lt;Klisz_Verbräuche[[#Headers],[2022]],IF(COUNTIF($F181:Klisz_Verbräuche[[#This Row],[2021]],"&gt;0")&gt;0,IF(COUNTIF($F181:Klisz_Verbräuche[[#This Row],[2021]],"&gt;0")&gt;0,Klisz_Verbräuche[[#This Row],[2021]]*(1-$E181)^1, ""), ""),IF($B$57&gt;Klisz_Verbräuche[[#Headers],[2022]],Refsz_Verbräuche[[#This Row],[2022]],"")))</f>
        <v/>
      </c>
      <c r="N181" s="57" t="str">
        <f>IF(Klisz_Verbräuche[[#Headers],[2023]]=$B$57,IF(COUNTIF($F181:Klisz_Verbräuche[[#This Row],[2022]],"&gt;0")&gt;0, AVERAGEIF($F181:Klisz_Verbräuche[[#This Row],[2022]],"&lt;&gt;"), ""),IF($B$57&lt;Klisz_Verbräuche[[#Headers],[2023]],IF(COUNTIF($F181:Klisz_Verbräuche[[#This Row],[2022]],"&gt;0")&gt;0,IF(COUNTIF($F181:Klisz_Verbräuche[[#This Row],[2022]],"&gt;0")&gt;0,Klisz_Verbräuche[[#This Row],[2022]]*(1-$E181)^1, ""), ""),IF($B$57&gt;Klisz_Verbräuche[[#Headers],[2023]],Refsz_Verbräuche[[#This Row],[2023]],"")))</f>
        <v/>
      </c>
      <c r="O181" s="57" t="str">
        <f>IF(Klisz_Verbräuche[[#Headers],[2024]]=$B$57,IF(COUNTIF($F181:Klisz_Verbräuche[[#This Row],[2023]],"&gt;0")&gt;0, AVERAGEIF($F181:Klisz_Verbräuche[[#This Row],[2023]],"&lt;&gt;"), ""),IF($B$57&lt;Klisz_Verbräuche[[#Headers],[2024]],IF(COUNTIF($F181:Klisz_Verbräuche[[#This Row],[2023]],"&gt;0")&gt;0,IF(COUNTIF($F181:Klisz_Verbräuche[[#This Row],[2023]],"&gt;0")&gt;0,Klisz_Verbräuche[[#This Row],[2023]]*(1-$E181)^1, ""), ""),IF($B$57&gt;Klisz_Verbräuche[[#Headers],[2024]],Refsz_Verbräuche[[#This Row],[2024]],"")))</f>
        <v/>
      </c>
      <c r="P181" s="57" t="str">
        <f>IF(Klisz_Verbräuche[[#Headers],[2025]]=$B$57,IF(COUNTIF($F181:Klisz_Verbräuche[[#This Row],[2024]],"&gt;0")&gt;0, AVERAGEIF($F181:Klisz_Verbräuche[[#This Row],[2024]],"&lt;&gt;"), ""),IF($B$57&lt;Klisz_Verbräuche[[#Headers],[2025]],IF(COUNTIF($F181:Klisz_Verbräuche[[#This Row],[2024]],"&gt;0")&gt;0,IF(COUNTIF($F181:Klisz_Verbräuche[[#This Row],[2024]],"&gt;0")&gt;0,Klisz_Verbräuche[[#This Row],[2024]]*(1-$E181)^1, ""), ""),IF($B$57&gt;Klisz_Verbräuche[[#Headers],[2025]],Refsz_Verbräuche[[#This Row],[2025]],"")))</f>
        <v/>
      </c>
      <c r="Q181" s="57" t="str">
        <f>IF(Klisz_Verbräuche[[#Headers],[2026]]=$B$57,IF(COUNTIF($F181:Klisz_Verbräuche[[#This Row],[2025]],"&gt;0")&gt;0, AVERAGEIF($F181:Klisz_Verbräuche[[#This Row],[2025]],"&lt;&gt;"), ""),IF($B$57&lt;Klisz_Verbräuche[[#Headers],[2026]],IF(COUNTIF($F181:Klisz_Verbräuche[[#This Row],[2025]],"&gt;0")&gt;0,IF(COUNTIF($F181:Klisz_Verbräuche[[#This Row],[2025]],"&gt;0")&gt;0,Klisz_Verbräuche[[#This Row],[2025]]*(1-$E181)^1, ""), ""),IF($B$57&gt;Klisz_Verbräuche[[#Headers],[2026]],Refsz_Verbräuche[[#This Row],[2026]],"")))</f>
        <v/>
      </c>
      <c r="R181" s="57" t="str">
        <f>IF(Klisz_Verbräuche[[#Headers],[2027]]=$B$57,IF(COUNTIF($F181:Klisz_Verbräuche[[#This Row],[2026]],"&gt;0")&gt;0, AVERAGEIF($F181:Klisz_Verbräuche[[#This Row],[2026]],"&lt;&gt;"), ""),IF($B$57&lt;Klisz_Verbräuche[[#Headers],[2027]],IF(COUNTIF($F181:Klisz_Verbräuche[[#This Row],[2026]],"&gt;0")&gt;0,IF(COUNTIF($F181:Klisz_Verbräuche[[#This Row],[2026]],"&gt;0")&gt;0,Klisz_Verbräuche[[#This Row],[2026]]*(1-$E181)^1, ""), ""),IF($B$57&gt;Klisz_Verbräuche[[#Headers],[2027]],Refsz_Verbräuche[[#This Row],[2027]],"")))</f>
        <v/>
      </c>
      <c r="S181" s="57" t="str">
        <f>IF(Klisz_Verbräuche[[#Headers],[2028]]=$B$57,IF(COUNTIF($F181:Klisz_Verbräuche[[#This Row],[2027]],"&gt;0")&gt;0, AVERAGEIF($F181:Klisz_Verbräuche[[#This Row],[2027]],"&lt;&gt;"), ""),IF($B$57&lt;Klisz_Verbräuche[[#Headers],[2028]],IF(COUNTIF($F181:Klisz_Verbräuche[[#This Row],[2027]],"&gt;0")&gt;0,IF(COUNTIF($F181:Klisz_Verbräuche[[#This Row],[2027]],"&gt;0")&gt;0,Klisz_Verbräuche[[#This Row],[2027]]*(1-$E181)^1, ""), ""),IF($B$57&gt;Klisz_Verbräuche[[#Headers],[2028]],Refsz_Verbräuche[[#This Row],[2028]],"")))</f>
        <v/>
      </c>
      <c r="T181" s="57" t="str">
        <f>IF(Klisz_Verbräuche[[#Headers],[2029]]=$B$57,IF(COUNTIF($F181:Klisz_Verbräuche[[#This Row],[2028]],"&gt;0")&gt;0, AVERAGEIF($F181:Klisz_Verbräuche[[#This Row],[2028]],"&lt;&gt;"), ""),IF($B$57&lt;Klisz_Verbräuche[[#Headers],[2029]],IF(COUNTIF($F181:Klisz_Verbräuche[[#This Row],[2028]],"&gt;0")&gt;0,IF(COUNTIF($F181:Klisz_Verbräuche[[#This Row],[2028]],"&gt;0")&gt;0,Klisz_Verbräuche[[#This Row],[2028]]*(1-$E181)^1, ""), ""),IF($B$57&gt;Klisz_Verbräuche[[#Headers],[2029]],Refsz_Verbräuche[[#This Row],[2029]],"")))</f>
        <v/>
      </c>
      <c r="U181" s="57" t="str">
        <f>IF(Klisz_Verbräuche[[#Headers],[2030]]=$B$57,IF(COUNTIF($F181:Klisz_Verbräuche[[#This Row],[2029]],"&gt;0")&gt;0, AVERAGEIF($F181:Klisz_Verbräuche[[#This Row],[2029]],"&lt;&gt;"), ""),IF($B$57&lt;Klisz_Verbräuche[[#Headers],[2030]],IF(COUNTIF($F181:Klisz_Verbräuche[[#This Row],[2029]],"&gt;0")&gt;0,IF(COUNTIF($F181:Klisz_Verbräuche[[#This Row],[2029]],"&gt;0")&gt;0,Klisz_Verbräuche[[#This Row],[2029]]*(1-$E181)^1, ""), ""),IF($B$57&gt;Klisz_Verbräuche[[#Headers],[2030]],Refsz_Verbräuche[[#This Row],[2030]],"")))</f>
        <v/>
      </c>
      <c r="V181" s="57" t="str">
        <f>IF(Klisz_Verbräuche[[#Headers],[2035]]=$B$57,IF(COUNTIF($F181:Klisz_Verbräuche[[#This Row],[2030]],"&gt;0")&gt;0, AVERAGEIF($F181:Klisz_Verbräuche[[#This Row],[2030]],"&lt;&gt;"), ""),IF($B$57&lt;Klisz_Verbräuche[[#Headers],[2035]],IF(COUNTIF($F181:Klisz_Verbräuche[[#This Row],[2030]],"&gt;0")&gt;0,IF(COUNTIF($F181:Klisz_Verbräuche[[#This Row],[2030]],"&gt;0")&gt;0,Klisz_Verbräuche[[#This Row],[2030]]*(1-$E181)^5, ""), ""),IF($B$57&gt;Klisz_Verbräuche[[#Headers],[2035]],Refsz_Verbräuche[[#This Row],[2035]],"")))</f>
        <v/>
      </c>
      <c r="W181" s="57" t="str">
        <f>IF(Klisz_Verbräuche[[#Headers],[2040]]=$B$57,IF(COUNTIF($F181:Klisz_Verbräuche[[#This Row],[2035]],"&gt;0")&gt;0, AVERAGEIF($F181:Klisz_Verbräuche[[#This Row],[2035]],"&lt;&gt;"), ""),IF($B$57&lt;Klisz_Verbräuche[[#Headers],[2040]],IF(COUNTIF($F181:Klisz_Verbräuche[[#This Row],[2035]],"&gt;0")&gt;0,IF(COUNTIF($F181:Klisz_Verbräuche[[#This Row],[2035]],"&gt;0")&gt;0,Klisz_Verbräuche[[#This Row],[2035]]*(1-$E181)^5, ""), ""),IF($B$57&gt;Klisz_Verbräuche[[#Headers],[2040]],Refsz_Verbräuche[[#This Row],[2040]],"")))</f>
        <v/>
      </c>
      <c r="X181" s="57" t="str">
        <f>IF(Klisz_Verbräuche[[#Headers],[2045]]=$B$57,IF(COUNTIF($F181:Klisz_Verbräuche[[#This Row],[2040]],"&gt;0")&gt;0, AVERAGEIF($F181:Klisz_Verbräuche[[#This Row],[2040]],"&lt;&gt;"), ""),IF($B$57&lt;Klisz_Verbräuche[[#Headers],[2045]],IF(COUNTIF($F181:Klisz_Verbräuche[[#This Row],[2040]],"&gt;0")&gt;0,IF(COUNTIF($F181:Klisz_Verbräuche[[#This Row],[2040]],"&gt;0")&gt;0,Klisz_Verbräuche[[#This Row],[2040]]*(1-$E181)^5, ""), ""),IF($B$57&gt;Klisz_Verbräuche[[#Headers],[2045]],Refsz_Verbräuche[[#This Row],[2045]],"")))</f>
        <v/>
      </c>
      <c r="Y181" s="57" t="str">
        <f>IF(Klisz_Verbräuche[[#Headers],[2050]]=$B$57,IF(COUNTIF($F181:Klisz_Verbräuche[[#This Row],[2045]],"&gt;0")&gt;0, AVERAGEIF($F181:Klisz_Verbräuche[[#This Row],[2045]],"&lt;&gt;"), ""),IF($B$57&lt;Klisz_Verbräuche[[#Headers],[2050]],IF(COUNTIF($F181:Klisz_Verbräuche[[#This Row],[2045]],"&gt;0")&gt;0,IF(COUNTIF($F181:Klisz_Verbräuche[[#This Row],[2045]],"&gt;0")&gt;0,Klisz_Verbräuche[[#This Row],[2045]]*(1-$E181)^5, ""), ""),IF($B$57&gt;Klisz_Verbräuche[[#Headers],[2050]],Refsz_Verbräuche[[#This Row],[2050]],"")))</f>
        <v/>
      </c>
      <c r="Z181" s="15"/>
    </row>
    <row r="182" spans="2:26" x14ac:dyDescent="0.35">
      <c r="B182" s="15">
        <v>122</v>
      </c>
      <c r="C182" s="20" t="str">
        <f>Refsz_Verbräuche[[#This Row],[Datenpunkt]]</f>
        <v>Kalksandstein</v>
      </c>
      <c r="D182" s="29" t="str">
        <f>Refsz_Verbräuche[[#This Row],[Einheit]]</f>
        <v>kg</v>
      </c>
      <c r="E182" s="122"/>
      <c r="F182" s="15" t="str">
        <f>IF(ISBLANK(Refsz_Verbräuche[[#This Row],[2015]]),"",Refsz_Verbräuche[[#This Row],[2015]])</f>
        <v/>
      </c>
      <c r="G182" s="15" t="str">
        <f>IF(ISBLANK(Refsz_Verbräuche[[#This Row],[2016]]),"",Refsz_Verbräuche[[#This Row],[2016]])</f>
        <v/>
      </c>
      <c r="H182" s="15" t="str">
        <f>IF(ISBLANK(Refsz_Verbräuche[[#This Row],[2017]]),"",Refsz_Verbräuche[[#This Row],[2017]])</f>
        <v/>
      </c>
      <c r="I182" s="15" t="str">
        <f>IF(ISBLANK(Refsz_Verbräuche[[#This Row],[2018]]),"",Refsz_Verbräuche[[#This Row],[2018]])</f>
        <v/>
      </c>
      <c r="J182" s="15" t="str">
        <f>IF(ISBLANK(Refsz_Verbräuche[[#This Row],[2019]]),"",Refsz_Verbräuche[[#This Row],[2019]])</f>
        <v/>
      </c>
      <c r="K182" s="15" t="str">
        <f>IF(ISBLANK(Refsz_Verbräuche[[#This Row],[2020]]),"",Refsz_Verbräuche[[#This Row],[2020]])</f>
        <v/>
      </c>
      <c r="L182" s="15" t="str">
        <f>IF(ISBLANK(Refsz_Verbräuche[[#This Row],[2021]]),"",Refsz_Verbräuche[[#This Row],[2021]])</f>
        <v/>
      </c>
      <c r="M182" s="57" t="str">
        <f>IF(Klisz_Verbräuche[[#Headers],[2022]]=$B$57,IF(COUNTIF($F182:Klisz_Verbräuche[[#This Row],[2021]],"&gt;0")&gt;0, AVERAGEIF($F182:Klisz_Verbräuche[[#This Row],[2021]],"&lt;&gt;"), ""),IF($B$57&lt;Klisz_Verbräuche[[#Headers],[2022]],IF(COUNTIF($F182:Klisz_Verbräuche[[#This Row],[2021]],"&gt;0")&gt;0,IF(COUNTIF($F182:Klisz_Verbräuche[[#This Row],[2021]],"&gt;0")&gt;0,Klisz_Verbräuche[[#This Row],[2021]]*(1-$E182)^1, ""), ""),IF($B$57&gt;Klisz_Verbräuche[[#Headers],[2022]],Refsz_Verbräuche[[#This Row],[2022]],"")))</f>
        <v/>
      </c>
      <c r="N182" s="57" t="str">
        <f>IF(Klisz_Verbräuche[[#Headers],[2023]]=$B$57,IF(COUNTIF($F182:Klisz_Verbräuche[[#This Row],[2022]],"&gt;0")&gt;0, AVERAGEIF($F182:Klisz_Verbräuche[[#This Row],[2022]],"&lt;&gt;"), ""),IF($B$57&lt;Klisz_Verbräuche[[#Headers],[2023]],IF(COUNTIF($F182:Klisz_Verbräuche[[#This Row],[2022]],"&gt;0")&gt;0,IF(COUNTIF($F182:Klisz_Verbräuche[[#This Row],[2022]],"&gt;0")&gt;0,Klisz_Verbräuche[[#This Row],[2022]]*(1-$E182)^1, ""), ""),IF($B$57&gt;Klisz_Verbräuche[[#Headers],[2023]],Refsz_Verbräuche[[#This Row],[2023]],"")))</f>
        <v/>
      </c>
      <c r="O182" s="57" t="str">
        <f>IF(Klisz_Verbräuche[[#Headers],[2024]]=$B$57,IF(COUNTIF($F182:Klisz_Verbräuche[[#This Row],[2023]],"&gt;0")&gt;0, AVERAGEIF($F182:Klisz_Verbräuche[[#This Row],[2023]],"&lt;&gt;"), ""),IF($B$57&lt;Klisz_Verbräuche[[#Headers],[2024]],IF(COUNTIF($F182:Klisz_Verbräuche[[#This Row],[2023]],"&gt;0")&gt;0,IF(COUNTIF($F182:Klisz_Verbräuche[[#This Row],[2023]],"&gt;0")&gt;0,Klisz_Verbräuche[[#This Row],[2023]]*(1-$E182)^1, ""), ""),IF($B$57&gt;Klisz_Verbräuche[[#Headers],[2024]],Refsz_Verbräuche[[#This Row],[2024]],"")))</f>
        <v/>
      </c>
      <c r="P182" s="57" t="str">
        <f>IF(Klisz_Verbräuche[[#Headers],[2025]]=$B$57,IF(COUNTIF($F182:Klisz_Verbräuche[[#This Row],[2024]],"&gt;0")&gt;0, AVERAGEIF($F182:Klisz_Verbräuche[[#This Row],[2024]],"&lt;&gt;"), ""),IF($B$57&lt;Klisz_Verbräuche[[#Headers],[2025]],IF(COUNTIF($F182:Klisz_Verbräuche[[#This Row],[2024]],"&gt;0")&gt;0,IF(COUNTIF($F182:Klisz_Verbräuche[[#This Row],[2024]],"&gt;0")&gt;0,Klisz_Verbräuche[[#This Row],[2024]]*(1-$E182)^1, ""), ""),IF($B$57&gt;Klisz_Verbräuche[[#Headers],[2025]],Refsz_Verbräuche[[#This Row],[2025]],"")))</f>
        <v/>
      </c>
      <c r="Q182" s="57" t="str">
        <f>IF(Klisz_Verbräuche[[#Headers],[2026]]=$B$57,IF(COUNTIF($F182:Klisz_Verbräuche[[#This Row],[2025]],"&gt;0")&gt;0, AVERAGEIF($F182:Klisz_Verbräuche[[#This Row],[2025]],"&lt;&gt;"), ""),IF($B$57&lt;Klisz_Verbräuche[[#Headers],[2026]],IF(COUNTIF($F182:Klisz_Verbräuche[[#This Row],[2025]],"&gt;0")&gt;0,IF(COUNTIF($F182:Klisz_Verbräuche[[#This Row],[2025]],"&gt;0")&gt;0,Klisz_Verbräuche[[#This Row],[2025]]*(1-$E182)^1, ""), ""),IF($B$57&gt;Klisz_Verbräuche[[#Headers],[2026]],Refsz_Verbräuche[[#This Row],[2026]],"")))</f>
        <v/>
      </c>
      <c r="R182" s="57" t="str">
        <f>IF(Klisz_Verbräuche[[#Headers],[2027]]=$B$57,IF(COUNTIF($F182:Klisz_Verbräuche[[#This Row],[2026]],"&gt;0")&gt;0, AVERAGEIF($F182:Klisz_Verbräuche[[#This Row],[2026]],"&lt;&gt;"), ""),IF($B$57&lt;Klisz_Verbräuche[[#Headers],[2027]],IF(COUNTIF($F182:Klisz_Verbräuche[[#This Row],[2026]],"&gt;0")&gt;0,IF(COUNTIF($F182:Klisz_Verbräuche[[#This Row],[2026]],"&gt;0")&gt;0,Klisz_Verbräuche[[#This Row],[2026]]*(1-$E182)^1, ""), ""),IF($B$57&gt;Klisz_Verbräuche[[#Headers],[2027]],Refsz_Verbräuche[[#This Row],[2027]],"")))</f>
        <v/>
      </c>
      <c r="S182" s="57" t="str">
        <f>IF(Klisz_Verbräuche[[#Headers],[2028]]=$B$57,IF(COUNTIF($F182:Klisz_Verbräuche[[#This Row],[2027]],"&gt;0")&gt;0, AVERAGEIF($F182:Klisz_Verbräuche[[#This Row],[2027]],"&lt;&gt;"), ""),IF($B$57&lt;Klisz_Verbräuche[[#Headers],[2028]],IF(COUNTIF($F182:Klisz_Verbräuche[[#This Row],[2027]],"&gt;0")&gt;0,IF(COUNTIF($F182:Klisz_Verbräuche[[#This Row],[2027]],"&gt;0")&gt;0,Klisz_Verbräuche[[#This Row],[2027]]*(1-$E182)^1, ""), ""),IF($B$57&gt;Klisz_Verbräuche[[#Headers],[2028]],Refsz_Verbräuche[[#This Row],[2028]],"")))</f>
        <v/>
      </c>
      <c r="T182" s="57" t="str">
        <f>IF(Klisz_Verbräuche[[#Headers],[2029]]=$B$57,IF(COUNTIF($F182:Klisz_Verbräuche[[#This Row],[2028]],"&gt;0")&gt;0, AVERAGEIF($F182:Klisz_Verbräuche[[#This Row],[2028]],"&lt;&gt;"), ""),IF($B$57&lt;Klisz_Verbräuche[[#Headers],[2029]],IF(COUNTIF($F182:Klisz_Verbräuche[[#This Row],[2028]],"&gt;0")&gt;0,IF(COUNTIF($F182:Klisz_Verbräuche[[#This Row],[2028]],"&gt;0")&gt;0,Klisz_Verbräuche[[#This Row],[2028]]*(1-$E182)^1, ""), ""),IF($B$57&gt;Klisz_Verbräuche[[#Headers],[2029]],Refsz_Verbräuche[[#This Row],[2029]],"")))</f>
        <v/>
      </c>
      <c r="U182" s="57" t="str">
        <f>IF(Klisz_Verbräuche[[#Headers],[2030]]=$B$57,IF(COUNTIF($F182:Klisz_Verbräuche[[#This Row],[2029]],"&gt;0")&gt;0, AVERAGEIF($F182:Klisz_Verbräuche[[#This Row],[2029]],"&lt;&gt;"), ""),IF($B$57&lt;Klisz_Verbräuche[[#Headers],[2030]],IF(COUNTIF($F182:Klisz_Verbräuche[[#This Row],[2029]],"&gt;0")&gt;0,IF(COUNTIF($F182:Klisz_Verbräuche[[#This Row],[2029]],"&gt;0")&gt;0,Klisz_Verbräuche[[#This Row],[2029]]*(1-$E182)^1, ""), ""),IF($B$57&gt;Klisz_Verbräuche[[#Headers],[2030]],Refsz_Verbräuche[[#This Row],[2030]],"")))</f>
        <v/>
      </c>
      <c r="V182" s="57" t="str">
        <f>IF(Klisz_Verbräuche[[#Headers],[2035]]=$B$57,IF(COUNTIF($F182:Klisz_Verbräuche[[#This Row],[2030]],"&gt;0")&gt;0, AVERAGEIF($F182:Klisz_Verbräuche[[#This Row],[2030]],"&lt;&gt;"), ""),IF($B$57&lt;Klisz_Verbräuche[[#Headers],[2035]],IF(COUNTIF($F182:Klisz_Verbräuche[[#This Row],[2030]],"&gt;0")&gt;0,IF(COUNTIF($F182:Klisz_Verbräuche[[#This Row],[2030]],"&gt;0")&gt;0,Klisz_Verbräuche[[#This Row],[2030]]*(1-$E182)^5, ""), ""),IF($B$57&gt;Klisz_Verbräuche[[#Headers],[2035]],Refsz_Verbräuche[[#This Row],[2035]],"")))</f>
        <v/>
      </c>
      <c r="W182" s="57" t="str">
        <f>IF(Klisz_Verbräuche[[#Headers],[2040]]=$B$57,IF(COUNTIF($F182:Klisz_Verbräuche[[#This Row],[2035]],"&gt;0")&gt;0, AVERAGEIF($F182:Klisz_Verbräuche[[#This Row],[2035]],"&lt;&gt;"), ""),IF($B$57&lt;Klisz_Verbräuche[[#Headers],[2040]],IF(COUNTIF($F182:Klisz_Verbräuche[[#This Row],[2035]],"&gt;0")&gt;0,IF(COUNTIF($F182:Klisz_Verbräuche[[#This Row],[2035]],"&gt;0")&gt;0,Klisz_Verbräuche[[#This Row],[2035]]*(1-$E182)^5, ""), ""),IF($B$57&gt;Klisz_Verbräuche[[#Headers],[2040]],Refsz_Verbräuche[[#This Row],[2040]],"")))</f>
        <v/>
      </c>
      <c r="X182" s="57" t="str">
        <f>IF(Klisz_Verbräuche[[#Headers],[2045]]=$B$57,IF(COUNTIF($F182:Klisz_Verbräuche[[#This Row],[2040]],"&gt;0")&gt;0, AVERAGEIF($F182:Klisz_Verbräuche[[#This Row],[2040]],"&lt;&gt;"), ""),IF($B$57&lt;Klisz_Verbräuche[[#Headers],[2045]],IF(COUNTIF($F182:Klisz_Verbräuche[[#This Row],[2040]],"&gt;0")&gt;0,IF(COUNTIF($F182:Klisz_Verbräuche[[#This Row],[2040]],"&gt;0")&gt;0,Klisz_Verbräuche[[#This Row],[2040]]*(1-$E182)^5, ""), ""),IF($B$57&gt;Klisz_Verbräuche[[#Headers],[2045]],Refsz_Verbräuche[[#This Row],[2045]],"")))</f>
        <v/>
      </c>
      <c r="Y182" s="57" t="str">
        <f>IF(Klisz_Verbräuche[[#Headers],[2050]]=$B$57,IF(COUNTIF($F182:Klisz_Verbräuche[[#This Row],[2045]],"&gt;0")&gt;0, AVERAGEIF($F182:Klisz_Verbräuche[[#This Row],[2045]],"&lt;&gt;"), ""),IF($B$57&lt;Klisz_Verbräuche[[#Headers],[2050]],IF(COUNTIF($F182:Klisz_Verbräuche[[#This Row],[2045]],"&gt;0")&gt;0,IF(COUNTIF($F182:Klisz_Verbräuche[[#This Row],[2045]],"&gt;0")&gt;0,Klisz_Verbräuche[[#This Row],[2045]]*(1-$E182)^5, ""), ""),IF($B$57&gt;Klisz_Verbräuche[[#Headers],[2050]],Refsz_Verbräuche[[#This Row],[2050]],"")))</f>
        <v/>
      </c>
      <c r="Z182" s="15"/>
    </row>
    <row r="183" spans="2:26" x14ac:dyDescent="0.35">
      <c r="B183" s="15">
        <v>123</v>
      </c>
      <c r="C183" s="20" t="str">
        <f>Refsz_Verbräuche[[#This Row],[Datenpunkt]]</f>
        <v>Porenbetonstein</v>
      </c>
      <c r="D183" s="29" t="str">
        <f>Refsz_Verbräuche[[#This Row],[Einheit]]</f>
        <v>kg</v>
      </c>
      <c r="E183" s="122"/>
      <c r="F183" s="15" t="str">
        <f>IF(ISBLANK(Refsz_Verbräuche[[#This Row],[2015]]),"",Refsz_Verbräuche[[#This Row],[2015]])</f>
        <v/>
      </c>
      <c r="G183" s="15" t="str">
        <f>IF(ISBLANK(Refsz_Verbräuche[[#This Row],[2016]]),"",Refsz_Verbräuche[[#This Row],[2016]])</f>
        <v/>
      </c>
      <c r="H183" s="15" t="str">
        <f>IF(ISBLANK(Refsz_Verbräuche[[#This Row],[2017]]),"",Refsz_Verbräuche[[#This Row],[2017]])</f>
        <v/>
      </c>
      <c r="I183" s="15" t="str">
        <f>IF(ISBLANK(Refsz_Verbräuche[[#This Row],[2018]]),"",Refsz_Verbräuche[[#This Row],[2018]])</f>
        <v/>
      </c>
      <c r="J183" s="15" t="str">
        <f>IF(ISBLANK(Refsz_Verbräuche[[#This Row],[2019]]),"",Refsz_Verbräuche[[#This Row],[2019]])</f>
        <v/>
      </c>
      <c r="K183" s="15" t="str">
        <f>IF(ISBLANK(Refsz_Verbräuche[[#This Row],[2020]]),"",Refsz_Verbräuche[[#This Row],[2020]])</f>
        <v/>
      </c>
      <c r="L183" s="15" t="str">
        <f>IF(ISBLANK(Refsz_Verbräuche[[#This Row],[2021]]),"",Refsz_Verbräuche[[#This Row],[2021]])</f>
        <v/>
      </c>
      <c r="M183" s="57" t="str">
        <f>IF(Klisz_Verbräuche[[#Headers],[2022]]=$B$57,IF(COUNTIF($F183:Klisz_Verbräuche[[#This Row],[2021]],"&gt;0")&gt;0, AVERAGEIF($F183:Klisz_Verbräuche[[#This Row],[2021]],"&lt;&gt;"), ""),IF($B$57&lt;Klisz_Verbräuche[[#Headers],[2022]],IF(COUNTIF($F183:Klisz_Verbräuche[[#This Row],[2021]],"&gt;0")&gt;0,IF(COUNTIF($F183:Klisz_Verbräuche[[#This Row],[2021]],"&gt;0")&gt;0,Klisz_Verbräuche[[#This Row],[2021]]*(1-$E183)^1, ""), ""),IF($B$57&gt;Klisz_Verbräuche[[#Headers],[2022]],Refsz_Verbräuche[[#This Row],[2022]],"")))</f>
        <v/>
      </c>
      <c r="N183" s="57" t="str">
        <f>IF(Klisz_Verbräuche[[#Headers],[2023]]=$B$57,IF(COUNTIF($F183:Klisz_Verbräuche[[#This Row],[2022]],"&gt;0")&gt;0, AVERAGEIF($F183:Klisz_Verbräuche[[#This Row],[2022]],"&lt;&gt;"), ""),IF($B$57&lt;Klisz_Verbräuche[[#Headers],[2023]],IF(COUNTIF($F183:Klisz_Verbräuche[[#This Row],[2022]],"&gt;0")&gt;0,IF(COUNTIF($F183:Klisz_Verbräuche[[#This Row],[2022]],"&gt;0")&gt;0,Klisz_Verbräuche[[#This Row],[2022]]*(1-$E183)^1, ""), ""),IF($B$57&gt;Klisz_Verbräuche[[#Headers],[2023]],Refsz_Verbräuche[[#This Row],[2023]],"")))</f>
        <v/>
      </c>
      <c r="O183" s="57" t="str">
        <f>IF(Klisz_Verbräuche[[#Headers],[2024]]=$B$57,IF(COUNTIF($F183:Klisz_Verbräuche[[#This Row],[2023]],"&gt;0")&gt;0, AVERAGEIF($F183:Klisz_Verbräuche[[#This Row],[2023]],"&lt;&gt;"), ""),IF($B$57&lt;Klisz_Verbräuche[[#Headers],[2024]],IF(COUNTIF($F183:Klisz_Verbräuche[[#This Row],[2023]],"&gt;0")&gt;0,IF(COUNTIF($F183:Klisz_Verbräuche[[#This Row],[2023]],"&gt;0")&gt;0,Klisz_Verbräuche[[#This Row],[2023]]*(1-$E183)^1, ""), ""),IF($B$57&gt;Klisz_Verbräuche[[#Headers],[2024]],Refsz_Verbräuche[[#This Row],[2024]],"")))</f>
        <v/>
      </c>
      <c r="P183" s="57" t="str">
        <f>IF(Klisz_Verbräuche[[#Headers],[2025]]=$B$57,IF(COUNTIF($F183:Klisz_Verbräuche[[#This Row],[2024]],"&gt;0")&gt;0, AVERAGEIF($F183:Klisz_Verbräuche[[#This Row],[2024]],"&lt;&gt;"), ""),IF($B$57&lt;Klisz_Verbräuche[[#Headers],[2025]],IF(COUNTIF($F183:Klisz_Verbräuche[[#This Row],[2024]],"&gt;0")&gt;0,IF(COUNTIF($F183:Klisz_Verbräuche[[#This Row],[2024]],"&gt;0")&gt;0,Klisz_Verbräuche[[#This Row],[2024]]*(1-$E183)^1, ""), ""),IF($B$57&gt;Klisz_Verbräuche[[#Headers],[2025]],Refsz_Verbräuche[[#This Row],[2025]],"")))</f>
        <v/>
      </c>
      <c r="Q183" s="57" t="str">
        <f>IF(Klisz_Verbräuche[[#Headers],[2026]]=$B$57,IF(COUNTIF($F183:Klisz_Verbräuche[[#This Row],[2025]],"&gt;0")&gt;0, AVERAGEIF($F183:Klisz_Verbräuche[[#This Row],[2025]],"&lt;&gt;"), ""),IF($B$57&lt;Klisz_Verbräuche[[#Headers],[2026]],IF(COUNTIF($F183:Klisz_Verbräuche[[#This Row],[2025]],"&gt;0")&gt;0,IF(COUNTIF($F183:Klisz_Verbräuche[[#This Row],[2025]],"&gt;0")&gt;0,Klisz_Verbräuche[[#This Row],[2025]]*(1-$E183)^1, ""), ""),IF($B$57&gt;Klisz_Verbräuche[[#Headers],[2026]],Refsz_Verbräuche[[#This Row],[2026]],"")))</f>
        <v/>
      </c>
      <c r="R183" s="57" t="str">
        <f>IF(Klisz_Verbräuche[[#Headers],[2027]]=$B$57,IF(COUNTIF($F183:Klisz_Verbräuche[[#This Row],[2026]],"&gt;0")&gt;0, AVERAGEIF($F183:Klisz_Verbräuche[[#This Row],[2026]],"&lt;&gt;"), ""),IF($B$57&lt;Klisz_Verbräuche[[#Headers],[2027]],IF(COUNTIF($F183:Klisz_Verbräuche[[#This Row],[2026]],"&gt;0")&gt;0,IF(COUNTIF($F183:Klisz_Verbräuche[[#This Row],[2026]],"&gt;0")&gt;0,Klisz_Verbräuche[[#This Row],[2026]]*(1-$E183)^1, ""), ""),IF($B$57&gt;Klisz_Verbräuche[[#Headers],[2027]],Refsz_Verbräuche[[#This Row],[2027]],"")))</f>
        <v/>
      </c>
      <c r="S183" s="57" t="str">
        <f>IF(Klisz_Verbräuche[[#Headers],[2028]]=$B$57,IF(COUNTIF($F183:Klisz_Verbräuche[[#This Row],[2027]],"&gt;0")&gt;0, AVERAGEIF($F183:Klisz_Verbräuche[[#This Row],[2027]],"&lt;&gt;"), ""),IF($B$57&lt;Klisz_Verbräuche[[#Headers],[2028]],IF(COUNTIF($F183:Klisz_Verbräuche[[#This Row],[2027]],"&gt;0")&gt;0,IF(COUNTIF($F183:Klisz_Verbräuche[[#This Row],[2027]],"&gt;0")&gt;0,Klisz_Verbräuche[[#This Row],[2027]]*(1-$E183)^1, ""), ""),IF($B$57&gt;Klisz_Verbräuche[[#Headers],[2028]],Refsz_Verbräuche[[#This Row],[2028]],"")))</f>
        <v/>
      </c>
      <c r="T183" s="57" t="str">
        <f>IF(Klisz_Verbräuche[[#Headers],[2029]]=$B$57,IF(COUNTIF($F183:Klisz_Verbräuche[[#This Row],[2028]],"&gt;0")&gt;0, AVERAGEIF($F183:Klisz_Verbräuche[[#This Row],[2028]],"&lt;&gt;"), ""),IF($B$57&lt;Klisz_Verbräuche[[#Headers],[2029]],IF(COUNTIF($F183:Klisz_Verbräuche[[#This Row],[2028]],"&gt;0")&gt;0,IF(COUNTIF($F183:Klisz_Verbräuche[[#This Row],[2028]],"&gt;0")&gt;0,Klisz_Verbräuche[[#This Row],[2028]]*(1-$E183)^1, ""), ""),IF($B$57&gt;Klisz_Verbräuche[[#Headers],[2029]],Refsz_Verbräuche[[#This Row],[2029]],"")))</f>
        <v/>
      </c>
      <c r="U183" s="57" t="str">
        <f>IF(Klisz_Verbräuche[[#Headers],[2030]]=$B$57,IF(COUNTIF($F183:Klisz_Verbräuche[[#This Row],[2029]],"&gt;0")&gt;0, AVERAGEIF($F183:Klisz_Verbräuche[[#This Row],[2029]],"&lt;&gt;"), ""),IF($B$57&lt;Klisz_Verbräuche[[#Headers],[2030]],IF(COUNTIF($F183:Klisz_Verbräuche[[#This Row],[2029]],"&gt;0")&gt;0,IF(COUNTIF($F183:Klisz_Verbräuche[[#This Row],[2029]],"&gt;0")&gt;0,Klisz_Verbräuche[[#This Row],[2029]]*(1-$E183)^1, ""), ""),IF($B$57&gt;Klisz_Verbräuche[[#Headers],[2030]],Refsz_Verbräuche[[#This Row],[2030]],"")))</f>
        <v/>
      </c>
      <c r="V183" s="57" t="str">
        <f>IF(Klisz_Verbräuche[[#Headers],[2035]]=$B$57,IF(COUNTIF($F183:Klisz_Verbräuche[[#This Row],[2030]],"&gt;0")&gt;0, AVERAGEIF($F183:Klisz_Verbräuche[[#This Row],[2030]],"&lt;&gt;"), ""),IF($B$57&lt;Klisz_Verbräuche[[#Headers],[2035]],IF(COUNTIF($F183:Klisz_Verbräuche[[#This Row],[2030]],"&gt;0")&gt;0,IF(COUNTIF($F183:Klisz_Verbräuche[[#This Row],[2030]],"&gt;0")&gt;0,Klisz_Verbräuche[[#This Row],[2030]]*(1-$E183)^5, ""), ""),IF($B$57&gt;Klisz_Verbräuche[[#Headers],[2035]],Refsz_Verbräuche[[#This Row],[2035]],"")))</f>
        <v/>
      </c>
      <c r="W183" s="57" t="str">
        <f>IF(Klisz_Verbräuche[[#Headers],[2040]]=$B$57,IF(COUNTIF($F183:Klisz_Verbräuche[[#This Row],[2035]],"&gt;0")&gt;0, AVERAGEIF($F183:Klisz_Verbräuche[[#This Row],[2035]],"&lt;&gt;"), ""),IF($B$57&lt;Klisz_Verbräuche[[#Headers],[2040]],IF(COUNTIF($F183:Klisz_Verbräuche[[#This Row],[2035]],"&gt;0")&gt;0,IF(COUNTIF($F183:Klisz_Verbräuche[[#This Row],[2035]],"&gt;0")&gt;0,Klisz_Verbräuche[[#This Row],[2035]]*(1-$E183)^5, ""), ""),IF($B$57&gt;Klisz_Verbräuche[[#Headers],[2040]],Refsz_Verbräuche[[#This Row],[2040]],"")))</f>
        <v/>
      </c>
      <c r="X183" s="57" t="str">
        <f>IF(Klisz_Verbräuche[[#Headers],[2045]]=$B$57,IF(COUNTIF($F183:Klisz_Verbräuche[[#This Row],[2040]],"&gt;0")&gt;0, AVERAGEIF($F183:Klisz_Verbräuche[[#This Row],[2040]],"&lt;&gt;"), ""),IF($B$57&lt;Klisz_Verbräuche[[#Headers],[2045]],IF(COUNTIF($F183:Klisz_Verbräuche[[#This Row],[2040]],"&gt;0")&gt;0,IF(COUNTIF($F183:Klisz_Verbräuche[[#This Row],[2040]],"&gt;0")&gt;0,Klisz_Verbräuche[[#This Row],[2040]]*(1-$E183)^5, ""), ""),IF($B$57&gt;Klisz_Verbräuche[[#Headers],[2045]],Refsz_Verbräuche[[#This Row],[2045]],"")))</f>
        <v/>
      </c>
      <c r="Y183" s="57" t="str">
        <f>IF(Klisz_Verbräuche[[#Headers],[2050]]=$B$57,IF(COUNTIF($F183:Klisz_Verbräuche[[#This Row],[2045]],"&gt;0")&gt;0, AVERAGEIF($F183:Klisz_Verbräuche[[#This Row],[2045]],"&lt;&gt;"), ""),IF($B$57&lt;Klisz_Verbräuche[[#Headers],[2050]],IF(COUNTIF($F183:Klisz_Verbräuche[[#This Row],[2045]],"&gt;0")&gt;0,IF(COUNTIF($F183:Klisz_Verbräuche[[#This Row],[2045]],"&gt;0")&gt;0,Klisz_Verbräuche[[#This Row],[2045]]*(1-$E183)^5, ""), ""),IF($B$57&gt;Klisz_Verbräuche[[#Headers],[2050]],Refsz_Verbräuche[[#This Row],[2050]],"")))</f>
        <v/>
      </c>
      <c r="Z183" s="15"/>
    </row>
    <row r="184" spans="2:26" x14ac:dyDescent="0.35">
      <c r="B184" s="15">
        <v>124</v>
      </c>
      <c r="C184" s="20" t="str">
        <f>Refsz_Verbräuche[[#This Row],[Datenpunkt]]</f>
        <v>Steinwolle</v>
      </c>
      <c r="D184" s="29" t="str">
        <f>Refsz_Verbräuche[[#This Row],[Einheit]]</f>
        <v>kg</v>
      </c>
      <c r="E184" s="122"/>
      <c r="F184" s="15" t="str">
        <f>IF(ISBLANK(Refsz_Verbräuche[[#This Row],[2015]]),"",Refsz_Verbräuche[[#This Row],[2015]])</f>
        <v/>
      </c>
      <c r="G184" s="15" t="str">
        <f>IF(ISBLANK(Refsz_Verbräuche[[#This Row],[2016]]),"",Refsz_Verbräuche[[#This Row],[2016]])</f>
        <v/>
      </c>
      <c r="H184" s="15" t="str">
        <f>IF(ISBLANK(Refsz_Verbräuche[[#This Row],[2017]]),"",Refsz_Verbräuche[[#This Row],[2017]])</f>
        <v/>
      </c>
      <c r="I184" s="15" t="str">
        <f>IF(ISBLANK(Refsz_Verbräuche[[#This Row],[2018]]),"",Refsz_Verbräuche[[#This Row],[2018]])</f>
        <v/>
      </c>
      <c r="J184" s="15" t="str">
        <f>IF(ISBLANK(Refsz_Verbräuche[[#This Row],[2019]]),"",Refsz_Verbräuche[[#This Row],[2019]])</f>
        <v/>
      </c>
      <c r="K184" s="15" t="str">
        <f>IF(ISBLANK(Refsz_Verbräuche[[#This Row],[2020]]),"",Refsz_Verbräuche[[#This Row],[2020]])</f>
        <v/>
      </c>
      <c r="L184" s="15" t="str">
        <f>IF(ISBLANK(Refsz_Verbräuche[[#This Row],[2021]]),"",Refsz_Verbräuche[[#This Row],[2021]])</f>
        <v/>
      </c>
      <c r="M184" s="57" t="str">
        <f>IF(Klisz_Verbräuche[[#Headers],[2022]]=$B$57,IF(COUNTIF($F184:Klisz_Verbräuche[[#This Row],[2021]],"&gt;0")&gt;0, AVERAGEIF($F184:Klisz_Verbräuche[[#This Row],[2021]],"&lt;&gt;"), ""),IF($B$57&lt;Klisz_Verbräuche[[#Headers],[2022]],IF(COUNTIF($F184:Klisz_Verbräuche[[#This Row],[2021]],"&gt;0")&gt;0,IF(COUNTIF($F184:Klisz_Verbräuche[[#This Row],[2021]],"&gt;0")&gt;0,Klisz_Verbräuche[[#This Row],[2021]]*(1-$E184)^1, ""), ""),IF($B$57&gt;Klisz_Verbräuche[[#Headers],[2022]],Refsz_Verbräuche[[#This Row],[2022]],"")))</f>
        <v/>
      </c>
      <c r="N184" s="57" t="str">
        <f>IF(Klisz_Verbräuche[[#Headers],[2023]]=$B$57,IF(COUNTIF($F184:Klisz_Verbräuche[[#This Row],[2022]],"&gt;0")&gt;0, AVERAGEIF($F184:Klisz_Verbräuche[[#This Row],[2022]],"&lt;&gt;"), ""),IF($B$57&lt;Klisz_Verbräuche[[#Headers],[2023]],IF(COUNTIF($F184:Klisz_Verbräuche[[#This Row],[2022]],"&gt;0")&gt;0,IF(COUNTIF($F184:Klisz_Verbräuche[[#This Row],[2022]],"&gt;0")&gt;0,Klisz_Verbräuche[[#This Row],[2022]]*(1-$E184)^1, ""), ""),IF($B$57&gt;Klisz_Verbräuche[[#Headers],[2023]],Refsz_Verbräuche[[#This Row],[2023]],"")))</f>
        <v/>
      </c>
      <c r="O184" s="57" t="str">
        <f>IF(Klisz_Verbräuche[[#Headers],[2024]]=$B$57,IF(COUNTIF($F184:Klisz_Verbräuche[[#This Row],[2023]],"&gt;0")&gt;0, AVERAGEIF($F184:Klisz_Verbräuche[[#This Row],[2023]],"&lt;&gt;"), ""),IF($B$57&lt;Klisz_Verbräuche[[#Headers],[2024]],IF(COUNTIF($F184:Klisz_Verbräuche[[#This Row],[2023]],"&gt;0")&gt;0,IF(COUNTIF($F184:Klisz_Verbräuche[[#This Row],[2023]],"&gt;0")&gt;0,Klisz_Verbräuche[[#This Row],[2023]]*(1-$E184)^1, ""), ""),IF($B$57&gt;Klisz_Verbräuche[[#Headers],[2024]],Refsz_Verbräuche[[#This Row],[2024]],"")))</f>
        <v/>
      </c>
      <c r="P184" s="57" t="str">
        <f>IF(Klisz_Verbräuche[[#Headers],[2025]]=$B$57,IF(COUNTIF($F184:Klisz_Verbräuche[[#This Row],[2024]],"&gt;0")&gt;0, AVERAGEIF($F184:Klisz_Verbräuche[[#This Row],[2024]],"&lt;&gt;"), ""),IF($B$57&lt;Klisz_Verbräuche[[#Headers],[2025]],IF(COUNTIF($F184:Klisz_Verbräuche[[#This Row],[2024]],"&gt;0")&gt;0,IF(COUNTIF($F184:Klisz_Verbräuche[[#This Row],[2024]],"&gt;0")&gt;0,Klisz_Verbräuche[[#This Row],[2024]]*(1-$E184)^1, ""), ""),IF($B$57&gt;Klisz_Verbräuche[[#Headers],[2025]],Refsz_Verbräuche[[#This Row],[2025]],"")))</f>
        <v/>
      </c>
      <c r="Q184" s="57" t="str">
        <f>IF(Klisz_Verbräuche[[#Headers],[2026]]=$B$57,IF(COUNTIF($F184:Klisz_Verbräuche[[#This Row],[2025]],"&gt;0")&gt;0, AVERAGEIF($F184:Klisz_Verbräuche[[#This Row],[2025]],"&lt;&gt;"), ""),IF($B$57&lt;Klisz_Verbräuche[[#Headers],[2026]],IF(COUNTIF($F184:Klisz_Verbräuche[[#This Row],[2025]],"&gt;0")&gt;0,IF(COUNTIF($F184:Klisz_Verbräuche[[#This Row],[2025]],"&gt;0")&gt;0,Klisz_Verbräuche[[#This Row],[2025]]*(1-$E184)^1, ""), ""),IF($B$57&gt;Klisz_Verbräuche[[#Headers],[2026]],Refsz_Verbräuche[[#This Row],[2026]],"")))</f>
        <v/>
      </c>
      <c r="R184" s="57" t="str">
        <f>IF(Klisz_Verbräuche[[#Headers],[2027]]=$B$57,IF(COUNTIF($F184:Klisz_Verbräuche[[#This Row],[2026]],"&gt;0")&gt;0, AVERAGEIF($F184:Klisz_Verbräuche[[#This Row],[2026]],"&lt;&gt;"), ""),IF($B$57&lt;Klisz_Verbräuche[[#Headers],[2027]],IF(COUNTIF($F184:Klisz_Verbräuche[[#This Row],[2026]],"&gt;0")&gt;0,IF(COUNTIF($F184:Klisz_Verbräuche[[#This Row],[2026]],"&gt;0")&gt;0,Klisz_Verbräuche[[#This Row],[2026]]*(1-$E184)^1, ""), ""),IF($B$57&gt;Klisz_Verbräuche[[#Headers],[2027]],Refsz_Verbräuche[[#This Row],[2027]],"")))</f>
        <v/>
      </c>
      <c r="S184" s="57" t="str">
        <f>IF(Klisz_Verbräuche[[#Headers],[2028]]=$B$57,IF(COUNTIF($F184:Klisz_Verbräuche[[#This Row],[2027]],"&gt;0")&gt;0, AVERAGEIF($F184:Klisz_Verbräuche[[#This Row],[2027]],"&lt;&gt;"), ""),IF($B$57&lt;Klisz_Verbräuche[[#Headers],[2028]],IF(COUNTIF($F184:Klisz_Verbräuche[[#This Row],[2027]],"&gt;0")&gt;0,IF(COUNTIF($F184:Klisz_Verbräuche[[#This Row],[2027]],"&gt;0")&gt;0,Klisz_Verbräuche[[#This Row],[2027]]*(1-$E184)^1, ""), ""),IF($B$57&gt;Klisz_Verbräuche[[#Headers],[2028]],Refsz_Verbräuche[[#This Row],[2028]],"")))</f>
        <v/>
      </c>
      <c r="T184" s="57" t="str">
        <f>IF(Klisz_Verbräuche[[#Headers],[2029]]=$B$57,IF(COUNTIF($F184:Klisz_Verbräuche[[#This Row],[2028]],"&gt;0")&gt;0, AVERAGEIF($F184:Klisz_Verbräuche[[#This Row],[2028]],"&lt;&gt;"), ""),IF($B$57&lt;Klisz_Verbräuche[[#Headers],[2029]],IF(COUNTIF($F184:Klisz_Verbräuche[[#This Row],[2028]],"&gt;0")&gt;0,IF(COUNTIF($F184:Klisz_Verbräuche[[#This Row],[2028]],"&gt;0")&gt;0,Klisz_Verbräuche[[#This Row],[2028]]*(1-$E184)^1, ""), ""),IF($B$57&gt;Klisz_Verbräuche[[#Headers],[2029]],Refsz_Verbräuche[[#This Row],[2029]],"")))</f>
        <v/>
      </c>
      <c r="U184" s="57" t="str">
        <f>IF(Klisz_Verbräuche[[#Headers],[2030]]=$B$57,IF(COUNTIF($F184:Klisz_Verbräuche[[#This Row],[2029]],"&gt;0")&gt;0, AVERAGEIF($F184:Klisz_Verbräuche[[#This Row],[2029]],"&lt;&gt;"), ""),IF($B$57&lt;Klisz_Verbräuche[[#Headers],[2030]],IF(COUNTIF($F184:Klisz_Verbräuche[[#This Row],[2029]],"&gt;0")&gt;0,IF(COUNTIF($F184:Klisz_Verbräuche[[#This Row],[2029]],"&gt;0")&gt;0,Klisz_Verbräuche[[#This Row],[2029]]*(1-$E184)^1, ""), ""),IF($B$57&gt;Klisz_Verbräuche[[#Headers],[2030]],Refsz_Verbräuche[[#This Row],[2030]],"")))</f>
        <v/>
      </c>
      <c r="V184" s="57" t="str">
        <f>IF(Klisz_Verbräuche[[#Headers],[2035]]=$B$57,IF(COUNTIF($F184:Klisz_Verbräuche[[#This Row],[2030]],"&gt;0")&gt;0, AVERAGEIF($F184:Klisz_Verbräuche[[#This Row],[2030]],"&lt;&gt;"), ""),IF($B$57&lt;Klisz_Verbräuche[[#Headers],[2035]],IF(COUNTIF($F184:Klisz_Verbräuche[[#This Row],[2030]],"&gt;0")&gt;0,IF(COUNTIF($F184:Klisz_Verbräuche[[#This Row],[2030]],"&gt;0")&gt;0,Klisz_Verbräuche[[#This Row],[2030]]*(1-$E184)^5, ""), ""),IF($B$57&gt;Klisz_Verbräuche[[#Headers],[2035]],Refsz_Verbräuche[[#This Row],[2035]],"")))</f>
        <v/>
      </c>
      <c r="W184" s="57" t="str">
        <f>IF(Klisz_Verbräuche[[#Headers],[2040]]=$B$57,IF(COUNTIF($F184:Klisz_Verbräuche[[#This Row],[2035]],"&gt;0")&gt;0, AVERAGEIF($F184:Klisz_Verbräuche[[#This Row],[2035]],"&lt;&gt;"), ""),IF($B$57&lt;Klisz_Verbräuche[[#Headers],[2040]],IF(COUNTIF($F184:Klisz_Verbräuche[[#This Row],[2035]],"&gt;0")&gt;0,IF(COUNTIF($F184:Klisz_Verbräuche[[#This Row],[2035]],"&gt;0")&gt;0,Klisz_Verbräuche[[#This Row],[2035]]*(1-$E184)^5, ""), ""),IF($B$57&gt;Klisz_Verbräuche[[#Headers],[2040]],Refsz_Verbräuche[[#This Row],[2040]],"")))</f>
        <v/>
      </c>
      <c r="X184" s="57" t="str">
        <f>IF(Klisz_Verbräuche[[#Headers],[2045]]=$B$57,IF(COUNTIF($F184:Klisz_Verbräuche[[#This Row],[2040]],"&gt;0")&gt;0, AVERAGEIF($F184:Klisz_Verbräuche[[#This Row],[2040]],"&lt;&gt;"), ""),IF($B$57&lt;Klisz_Verbräuche[[#Headers],[2045]],IF(COUNTIF($F184:Klisz_Verbräuche[[#This Row],[2040]],"&gt;0")&gt;0,IF(COUNTIF($F184:Klisz_Verbräuche[[#This Row],[2040]],"&gt;0")&gt;0,Klisz_Verbräuche[[#This Row],[2040]]*(1-$E184)^5, ""), ""),IF($B$57&gt;Klisz_Verbräuche[[#Headers],[2045]],Refsz_Verbräuche[[#This Row],[2045]],"")))</f>
        <v/>
      </c>
      <c r="Y184" s="57" t="str">
        <f>IF(Klisz_Verbräuche[[#Headers],[2050]]=$B$57,IF(COUNTIF($F184:Klisz_Verbräuche[[#This Row],[2045]],"&gt;0")&gt;0, AVERAGEIF($F184:Klisz_Verbräuche[[#This Row],[2045]],"&lt;&gt;"), ""),IF($B$57&lt;Klisz_Verbräuche[[#Headers],[2050]],IF(COUNTIF($F184:Klisz_Verbräuche[[#This Row],[2045]],"&gt;0")&gt;0,IF(COUNTIF($F184:Klisz_Verbräuche[[#This Row],[2045]],"&gt;0")&gt;0,Klisz_Verbräuche[[#This Row],[2045]]*(1-$E184)^5, ""), ""),IF($B$57&gt;Klisz_Verbräuche[[#Headers],[2050]],Refsz_Verbräuche[[#This Row],[2050]],"")))</f>
        <v/>
      </c>
      <c r="Z184" s="15"/>
    </row>
    <row r="185" spans="2:26" x14ac:dyDescent="0.35">
      <c r="B185" s="15">
        <v>125</v>
      </c>
      <c r="C185" s="20" t="str">
        <f>Refsz_Verbräuche[[#This Row],[Datenpunkt]]</f>
        <v>Tonziegel (fürs Dach)</v>
      </c>
      <c r="D185" s="29" t="str">
        <f>Refsz_Verbräuche[[#This Row],[Einheit]]</f>
        <v>kg</v>
      </c>
      <c r="E185" s="122"/>
      <c r="F185" s="15" t="str">
        <f>IF(ISBLANK(Refsz_Verbräuche[[#This Row],[2015]]),"",Refsz_Verbräuche[[#This Row],[2015]])</f>
        <v/>
      </c>
      <c r="G185" s="15" t="str">
        <f>IF(ISBLANK(Refsz_Verbräuche[[#This Row],[2016]]),"",Refsz_Verbräuche[[#This Row],[2016]])</f>
        <v/>
      </c>
      <c r="H185" s="15" t="str">
        <f>IF(ISBLANK(Refsz_Verbräuche[[#This Row],[2017]]),"",Refsz_Verbräuche[[#This Row],[2017]])</f>
        <v/>
      </c>
      <c r="I185" s="15" t="str">
        <f>IF(ISBLANK(Refsz_Verbräuche[[#This Row],[2018]]),"",Refsz_Verbräuche[[#This Row],[2018]])</f>
        <v/>
      </c>
      <c r="J185" s="15" t="str">
        <f>IF(ISBLANK(Refsz_Verbräuche[[#This Row],[2019]]),"",Refsz_Verbräuche[[#This Row],[2019]])</f>
        <v/>
      </c>
      <c r="K185" s="15" t="str">
        <f>IF(ISBLANK(Refsz_Verbräuche[[#This Row],[2020]]),"",Refsz_Verbräuche[[#This Row],[2020]])</f>
        <v/>
      </c>
      <c r="L185" s="15" t="str">
        <f>IF(ISBLANK(Refsz_Verbräuche[[#This Row],[2021]]),"",Refsz_Verbräuche[[#This Row],[2021]])</f>
        <v/>
      </c>
      <c r="M185" s="57" t="str">
        <f>IF(Klisz_Verbräuche[[#Headers],[2022]]=$B$57,IF(COUNTIF($F185:Klisz_Verbräuche[[#This Row],[2021]],"&gt;0")&gt;0, AVERAGEIF($F185:Klisz_Verbräuche[[#This Row],[2021]],"&lt;&gt;"), ""),IF($B$57&lt;Klisz_Verbräuche[[#Headers],[2022]],IF(COUNTIF($F185:Klisz_Verbräuche[[#This Row],[2021]],"&gt;0")&gt;0,IF(COUNTIF($F185:Klisz_Verbräuche[[#This Row],[2021]],"&gt;0")&gt;0,Klisz_Verbräuche[[#This Row],[2021]]*(1-$E185)^1, ""), ""),IF($B$57&gt;Klisz_Verbräuche[[#Headers],[2022]],Refsz_Verbräuche[[#This Row],[2022]],"")))</f>
        <v/>
      </c>
      <c r="N185" s="57" t="str">
        <f>IF(Klisz_Verbräuche[[#Headers],[2023]]=$B$57,IF(COUNTIF($F185:Klisz_Verbräuche[[#This Row],[2022]],"&gt;0")&gt;0, AVERAGEIF($F185:Klisz_Verbräuche[[#This Row],[2022]],"&lt;&gt;"), ""),IF($B$57&lt;Klisz_Verbräuche[[#Headers],[2023]],IF(COUNTIF($F185:Klisz_Verbräuche[[#This Row],[2022]],"&gt;0")&gt;0,IF(COUNTIF($F185:Klisz_Verbräuche[[#This Row],[2022]],"&gt;0")&gt;0,Klisz_Verbräuche[[#This Row],[2022]]*(1-$E185)^1, ""), ""),IF($B$57&gt;Klisz_Verbräuche[[#Headers],[2023]],Refsz_Verbräuche[[#This Row],[2023]],"")))</f>
        <v/>
      </c>
      <c r="O185" s="57" t="str">
        <f>IF(Klisz_Verbräuche[[#Headers],[2024]]=$B$57,IF(COUNTIF($F185:Klisz_Verbräuche[[#This Row],[2023]],"&gt;0")&gt;0, AVERAGEIF($F185:Klisz_Verbräuche[[#This Row],[2023]],"&lt;&gt;"), ""),IF($B$57&lt;Klisz_Verbräuche[[#Headers],[2024]],IF(COUNTIF($F185:Klisz_Verbräuche[[#This Row],[2023]],"&gt;0")&gt;0,IF(COUNTIF($F185:Klisz_Verbräuche[[#This Row],[2023]],"&gt;0")&gt;0,Klisz_Verbräuche[[#This Row],[2023]]*(1-$E185)^1, ""), ""),IF($B$57&gt;Klisz_Verbräuche[[#Headers],[2024]],Refsz_Verbräuche[[#This Row],[2024]],"")))</f>
        <v/>
      </c>
      <c r="P185" s="57" t="str">
        <f>IF(Klisz_Verbräuche[[#Headers],[2025]]=$B$57,IF(COUNTIF($F185:Klisz_Verbräuche[[#This Row],[2024]],"&gt;0")&gt;0, AVERAGEIF($F185:Klisz_Verbräuche[[#This Row],[2024]],"&lt;&gt;"), ""),IF($B$57&lt;Klisz_Verbräuche[[#Headers],[2025]],IF(COUNTIF($F185:Klisz_Verbräuche[[#This Row],[2024]],"&gt;0")&gt;0,IF(COUNTIF($F185:Klisz_Verbräuche[[#This Row],[2024]],"&gt;0")&gt;0,Klisz_Verbräuche[[#This Row],[2024]]*(1-$E185)^1, ""), ""),IF($B$57&gt;Klisz_Verbräuche[[#Headers],[2025]],Refsz_Verbräuche[[#This Row],[2025]],"")))</f>
        <v/>
      </c>
      <c r="Q185" s="57" t="str">
        <f>IF(Klisz_Verbräuche[[#Headers],[2026]]=$B$57,IF(COUNTIF($F185:Klisz_Verbräuche[[#This Row],[2025]],"&gt;0")&gt;0, AVERAGEIF($F185:Klisz_Verbräuche[[#This Row],[2025]],"&lt;&gt;"), ""),IF($B$57&lt;Klisz_Verbräuche[[#Headers],[2026]],IF(COUNTIF($F185:Klisz_Verbräuche[[#This Row],[2025]],"&gt;0")&gt;0,IF(COUNTIF($F185:Klisz_Verbräuche[[#This Row],[2025]],"&gt;0")&gt;0,Klisz_Verbräuche[[#This Row],[2025]]*(1-$E185)^1, ""), ""),IF($B$57&gt;Klisz_Verbräuche[[#Headers],[2026]],Refsz_Verbräuche[[#This Row],[2026]],"")))</f>
        <v/>
      </c>
      <c r="R185" s="57" t="str">
        <f>IF(Klisz_Verbräuche[[#Headers],[2027]]=$B$57,IF(COUNTIF($F185:Klisz_Verbräuche[[#This Row],[2026]],"&gt;0")&gt;0, AVERAGEIF($F185:Klisz_Verbräuche[[#This Row],[2026]],"&lt;&gt;"), ""),IF($B$57&lt;Klisz_Verbräuche[[#Headers],[2027]],IF(COUNTIF($F185:Klisz_Verbräuche[[#This Row],[2026]],"&gt;0")&gt;0,IF(COUNTIF($F185:Klisz_Verbräuche[[#This Row],[2026]],"&gt;0")&gt;0,Klisz_Verbräuche[[#This Row],[2026]]*(1-$E185)^1, ""), ""),IF($B$57&gt;Klisz_Verbräuche[[#Headers],[2027]],Refsz_Verbräuche[[#This Row],[2027]],"")))</f>
        <v/>
      </c>
      <c r="S185" s="57" t="str">
        <f>IF(Klisz_Verbräuche[[#Headers],[2028]]=$B$57,IF(COUNTIF($F185:Klisz_Verbräuche[[#This Row],[2027]],"&gt;0")&gt;0, AVERAGEIF($F185:Klisz_Verbräuche[[#This Row],[2027]],"&lt;&gt;"), ""),IF($B$57&lt;Klisz_Verbräuche[[#Headers],[2028]],IF(COUNTIF($F185:Klisz_Verbräuche[[#This Row],[2027]],"&gt;0")&gt;0,IF(COUNTIF($F185:Klisz_Verbräuche[[#This Row],[2027]],"&gt;0")&gt;0,Klisz_Verbräuche[[#This Row],[2027]]*(1-$E185)^1, ""), ""),IF($B$57&gt;Klisz_Verbräuche[[#Headers],[2028]],Refsz_Verbräuche[[#This Row],[2028]],"")))</f>
        <v/>
      </c>
      <c r="T185" s="57" t="str">
        <f>IF(Klisz_Verbräuche[[#Headers],[2029]]=$B$57,IF(COUNTIF($F185:Klisz_Verbräuche[[#This Row],[2028]],"&gt;0")&gt;0, AVERAGEIF($F185:Klisz_Verbräuche[[#This Row],[2028]],"&lt;&gt;"), ""),IF($B$57&lt;Klisz_Verbräuche[[#Headers],[2029]],IF(COUNTIF($F185:Klisz_Verbräuche[[#This Row],[2028]],"&gt;0")&gt;0,IF(COUNTIF($F185:Klisz_Verbräuche[[#This Row],[2028]],"&gt;0")&gt;0,Klisz_Verbräuche[[#This Row],[2028]]*(1-$E185)^1, ""), ""),IF($B$57&gt;Klisz_Verbräuche[[#Headers],[2029]],Refsz_Verbräuche[[#This Row],[2029]],"")))</f>
        <v/>
      </c>
      <c r="U185" s="57" t="str">
        <f>IF(Klisz_Verbräuche[[#Headers],[2030]]=$B$57,IF(COUNTIF($F185:Klisz_Verbräuche[[#This Row],[2029]],"&gt;0")&gt;0, AVERAGEIF($F185:Klisz_Verbräuche[[#This Row],[2029]],"&lt;&gt;"), ""),IF($B$57&lt;Klisz_Verbräuche[[#Headers],[2030]],IF(COUNTIF($F185:Klisz_Verbräuche[[#This Row],[2029]],"&gt;0")&gt;0,IF(COUNTIF($F185:Klisz_Verbräuche[[#This Row],[2029]],"&gt;0")&gt;0,Klisz_Verbräuche[[#This Row],[2029]]*(1-$E185)^1, ""), ""),IF($B$57&gt;Klisz_Verbräuche[[#Headers],[2030]],Refsz_Verbräuche[[#This Row],[2030]],"")))</f>
        <v/>
      </c>
      <c r="V185" s="57" t="str">
        <f>IF(Klisz_Verbräuche[[#Headers],[2035]]=$B$57,IF(COUNTIF($F185:Klisz_Verbräuche[[#This Row],[2030]],"&gt;0")&gt;0, AVERAGEIF($F185:Klisz_Verbräuche[[#This Row],[2030]],"&lt;&gt;"), ""),IF($B$57&lt;Klisz_Verbräuche[[#Headers],[2035]],IF(COUNTIF($F185:Klisz_Verbräuche[[#This Row],[2030]],"&gt;0")&gt;0,IF(COUNTIF($F185:Klisz_Verbräuche[[#This Row],[2030]],"&gt;0")&gt;0,Klisz_Verbräuche[[#This Row],[2030]]*(1-$E185)^5, ""), ""),IF($B$57&gt;Klisz_Verbräuche[[#Headers],[2035]],Refsz_Verbräuche[[#This Row],[2035]],"")))</f>
        <v/>
      </c>
      <c r="W185" s="57" t="str">
        <f>IF(Klisz_Verbräuche[[#Headers],[2040]]=$B$57,IF(COUNTIF($F185:Klisz_Verbräuche[[#This Row],[2035]],"&gt;0")&gt;0, AVERAGEIF($F185:Klisz_Verbräuche[[#This Row],[2035]],"&lt;&gt;"), ""),IF($B$57&lt;Klisz_Verbräuche[[#Headers],[2040]],IF(COUNTIF($F185:Klisz_Verbräuche[[#This Row],[2035]],"&gt;0")&gt;0,IF(COUNTIF($F185:Klisz_Verbräuche[[#This Row],[2035]],"&gt;0")&gt;0,Klisz_Verbräuche[[#This Row],[2035]]*(1-$E185)^5, ""), ""),IF($B$57&gt;Klisz_Verbräuche[[#Headers],[2040]],Refsz_Verbräuche[[#This Row],[2040]],"")))</f>
        <v/>
      </c>
      <c r="X185" s="57" t="str">
        <f>IF(Klisz_Verbräuche[[#Headers],[2045]]=$B$57,IF(COUNTIF($F185:Klisz_Verbräuche[[#This Row],[2040]],"&gt;0")&gt;0, AVERAGEIF($F185:Klisz_Verbräuche[[#This Row],[2040]],"&lt;&gt;"), ""),IF($B$57&lt;Klisz_Verbräuche[[#Headers],[2045]],IF(COUNTIF($F185:Klisz_Verbräuche[[#This Row],[2040]],"&gt;0")&gt;0,IF(COUNTIF($F185:Klisz_Verbräuche[[#This Row],[2040]],"&gt;0")&gt;0,Klisz_Verbräuche[[#This Row],[2040]]*(1-$E185)^5, ""), ""),IF($B$57&gt;Klisz_Verbräuche[[#Headers],[2045]],Refsz_Verbräuche[[#This Row],[2045]],"")))</f>
        <v/>
      </c>
      <c r="Y185" s="57" t="str">
        <f>IF(Klisz_Verbräuche[[#Headers],[2050]]=$B$57,IF(COUNTIF($F185:Klisz_Verbräuche[[#This Row],[2045]],"&gt;0")&gt;0, AVERAGEIF($F185:Klisz_Verbräuche[[#This Row],[2045]],"&lt;&gt;"), ""),IF($B$57&lt;Klisz_Verbräuche[[#Headers],[2050]],IF(COUNTIF($F185:Klisz_Verbräuche[[#This Row],[2045]],"&gt;0")&gt;0,IF(COUNTIF($F185:Klisz_Verbräuche[[#This Row],[2045]],"&gt;0")&gt;0,Klisz_Verbräuche[[#This Row],[2045]]*(1-$E185)^5, ""), ""),IF($B$57&gt;Klisz_Verbräuche[[#Headers],[2050]],Refsz_Verbräuche[[#This Row],[2050]],"")))</f>
        <v/>
      </c>
      <c r="Z185" s="15"/>
    </row>
    <row r="186" spans="2:26" x14ac:dyDescent="0.35">
      <c r="B186" s="15">
        <v>126</v>
      </c>
      <c r="C186" s="20" t="str">
        <f>Refsz_Verbräuche[[#This Row],[Datenpunkt]]</f>
        <v>Zement (Portland)</v>
      </c>
      <c r="D186" s="29" t="str">
        <f>Refsz_Verbräuche[[#This Row],[Einheit]]</f>
        <v>kg</v>
      </c>
      <c r="E186" s="122"/>
      <c r="F186" s="15" t="str">
        <f>IF(ISBLANK(Refsz_Verbräuche[[#This Row],[2015]]),"",Refsz_Verbräuche[[#This Row],[2015]])</f>
        <v/>
      </c>
      <c r="G186" s="15" t="str">
        <f>IF(ISBLANK(Refsz_Verbräuche[[#This Row],[2016]]),"",Refsz_Verbräuche[[#This Row],[2016]])</f>
        <v/>
      </c>
      <c r="H186" s="15" t="str">
        <f>IF(ISBLANK(Refsz_Verbräuche[[#This Row],[2017]]),"",Refsz_Verbräuche[[#This Row],[2017]])</f>
        <v/>
      </c>
      <c r="I186" s="15" t="str">
        <f>IF(ISBLANK(Refsz_Verbräuche[[#This Row],[2018]]),"",Refsz_Verbräuche[[#This Row],[2018]])</f>
        <v/>
      </c>
      <c r="J186" s="15" t="str">
        <f>IF(ISBLANK(Refsz_Verbräuche[[#This Row],[2019]]),"",Refsz_Verbräuche[[#This Row],[2019]])</f>
        <v/>
      </c>
      <c r="K186" s="15" t="str">
        <f>IF(ISBLANK(Refsz_Verbräuche[[#This Row],[2020]]),"",Refsz_Verbräuche[[#This Row],[2020]])</f>
        <v/>
      </c>
      <c r="L186" s="15" t="str">
        <f>IF(ISBLANK(Refsz_Verbräuche[[#This Row],[2021]]),"",Refsz_Verbräuche[[#This Row],[2021]])</f>
        <v/>
      </c>
      <c r="M186" s="57" t="str">
        <f>IF(Klisz_Verbräuche[[#Headers],[2022]]=$B$57,IF(COUNTIF($F186:Klisz_Verbräuche[[#This Row],[2021]],"&gt;0")&gt;0, AVERAGEIF($F186:Klisz_Verbräuche[[#This Row],[2021]],"&lt;&gt;"), ""),IF($B$57&lt;Klisz_Verbräuche[[#Headers],[2022]],IF(COUNTIF($F186:Klisz_Verbräuche[[#This Row],[2021]],"&gt;0")&gt;0,IF(COUNTIF($F186:Klisz_Verbräuche[[#This Row],[2021]],"&gt;0")&gt;0,Klisz_Verbräuche[[#This Row],[2021]]*(1-$E186)^1, ""), ""),IF($B$57&gt;Klisz_Verbräuche[[#Headers],[2022]],Refsz_Verbräuche[[#This Row],[2022]],"")))</f>
        <v/>
      </c>
      <c r="N186" s="57" t="str">
        <f>IF(Klisz_Verbräuche[[#Headers],[2023]]=$B$57,IF(COUNTIF($F186:Klisz_Verbräuche[[#This Row],[2022]],"&gt;0")&gt;0, AVERAGEIF($F186:Klisz_Verbräuche[[#This Row],[2022]],"&lt;&gt;"), ""),IF($B$57&lt;Klisz_Verbräuche[[#Headers],[2023]],IF(COUNTIF($F186:Klisz_Verbräuche[[#This Row],[2022]],"&gt;0")&gt;0,IF(COUNTIF($F186:Klisz_Verbräuche[[#This Row],[2022]],"&gt;0")&gt;0,Klisz_Verbräuche[[#This Row],[2022]]*(1-$E186)^1, ""), ""),IF($B$57&gt;Klisz_Verbräuche[[#Headers],[2023]],Refsz_Verbräuche[[#This Row],[2023]],"")))</f>
        <v/>
      </c>
      <c r="O186" s="57" t="str">
        <f>IF(Klisz_Verbräuche[[#Headers],[2024]]=$B$57,IF(COUNTIF($F186:Klisz_Verbräuche[[#This Row],[2023]],"&gt;0")&gt;0, AVERAGEIF($F186:Klisz_Verbräuche[[#This Row],[2023]],"&lt;&gt;"), ""),IF($B$57&lt;Klisz_Verbräuche[[#Headers],[2024]],IF(COUNTIF($F186:Klisz_Verbräuche[[#This Row],[2023]],"&gt;0")&gt;0,IF(COUNTIF($F186:Klisz_Verbräuche[[#This Row],[2023]],"&gt;0")&gt;0,Klisz_Verbräuche[[#This Row],[2023]]*(1-$E186)^1, ""), ""),IF($B$57&gt;Klisz_Verbräuche[[#Headers],[2024]],Refsz_Verbräuche[[#This Row],[2024]],"")))</f>
        <v/>
      </c>
      <c r="P186" s="57" t="str">
        <f>IF(Klisz_Verbräuche[[#Headers],[2025]]=$B$57,IF(COUNTIF($F186:Klisz_Verbräuche[[#This Row],[2024]],"&gt;0")&gt;0, AVERAGEIF($F186:Klisz_Verbräuche[[#This Row],[2024]],"&lt;&gt;"), ""),IF($B$57&lt;Klisz_Verbräuche[[#Headers],[2025]],IF(COUNTIF($F186:Klisz_Verbräuche[[#This Row],[2024]],"&gt;0")&gt;0,IF(COUNTIF($F186:Klisz_Verbräuche[[#This Row],[2024]],"&gt;0")&gt;0,Klisz_Verbräuche[[#This Row],[2024]]*(1-$E186)^1, ""), ""),IF($B$57&gt;Klisz_Verbräuche[[#Headers],[2025]],Refsz_Verbräuche[[#This Row],[2025]],"")))</f>
        <v/>
      </c>
      <c r="Q186" s="57" t="str">
        <f>IF(Klisz_Verbräuche[[#Headers],[2026]]=$B$57,IF(COUNTIF($F186:Klisz_Verbräuche[[#This Row],[2025]],"&gt;0")&gt;0, AVERAGEIF($F186:Klisz_Verbräuche[[#This Row],[2025]],"&lt;&gt;"), ""),IF($B$57&lt;Klisz_Verbräuche[[#Headers],[2026]],IF(COUNTIF($F186:Klisz_Verbräuche[[#This Row],[2025]],"&gt;0")&gt;0,IF(COUNTIF($F186:Klisz_Verbräuche[[#This Row],[2025]],"&gt;0")&gt;0,Klisz_Verbräuche[[#This Row],[2025]]*(1-$E186)^1, ""), ""),IF($B$57&gt;Klisz_Verbräuche[[#Headers],[2026]],Refsz_Verbräuche[[#This Row],[2026]],"")))</f>
        <v/>
      </c>
      <c r="R186" s="57" t="str">
        <f>IF(Klisz_Verbräuche[[#Headers],[2027]]=$B$57,IF(COUNTIF($F186:Klisz_Verbräuche[[#This Row],[2026]],"&gt;0")&gt;0, AVERAGEIF($F186:Klisz_Verbräuche[[#This Row],[2026]],"&lt;&gt;"), ""),IF($B$57&lt;Klisz_Verbräuche[[#Headers],[2027]],IF(COUNTIF($F186:Klisz_Verbräuche[[#This Row],[2026]],"&gt;0")&gt;0,IF(COUNTIF($F186:Klisz_Verbräuche[[#This Row],[2026]],"&gt;0")&gt;0,Klisz_Verbräuche[[#This Row],[2026]]*(1-$E186)^1, ""), ""),IF($B$57&gt;Klisz_Verbräuche[[#Headers],[2027]],Refsz_Verbräuche[[#This Row],[2027]],"")))</f>
        <v/>
      </c>
      <c r="S186" s="57" t="str">
        <f>IF(Klisz_Verbräuche[[#Headers],[2028]]=$B$57,IF(COUNTIF($F186:Klisz_Verbräuche[[#This Row],[2027]],"&gt;0")&gt;0, AVERAGEIF($F186:Klisz_Verbräuche[[#This Row],[2027]],"&lt;&gt;"), ""),IF($B$57&lt;Klisz_Verbräuche[[#Headers],[2028]],IF(COUNTIF($F186:Klisz_Verbräuche[[#This Row],[2027]],"&gt;0")&gt;0,IF(COUNTIF($F186:Klisz_Verbräuche[[#This Row],[2027]],"&gt;0")&gt;0,Klisz_Verbräuche[[#This Row],[2027]]*(1-$E186)^1, ""), ""),IF($B$57&gt;Klisz_Verbräuche[[#Headers],[2028]],Refsz_Verbräuche[[#This Row],[2028]],"")))</f>
        <v/>
      </c>
      <c r="T186" s="57" t="str">
        <f>IF(Klisz_Verbräuche[[#Headers],[2029]]=$B$57,IF(COUNTIF($F186:Klisz_Verbräuche[[#This Row],[2028]],"&gt;0")&gt;0, AVERAGEIF($F186:Klisz_Verbräuche[[#This Row],[2028]],"&lt;&gt;"), ""),IF($B$57&lt;Klisz_Verbräuche[[#Headers],[2029]],IF(COUNTIF($F186:Klisz_Verbräuche[[#This Row],[2028]],"&gt;0")&gt;0,IF(COUNTIF($F186:Klisz_Verbräuche[[#This Row],[2028]],"&gt;0")&gt;0,Klisz_Verbräuche[[#This Row],[2028]]*(1-$E186)^1, ""), ""),IF($B$57&gt;Klisz_Verbräuche[[#Headers],[2029]],Refsz_Verbräuche[[#This Row],[2029]],"")))</f>
        <v/>
      </c>
      <c r="U186" s="57" t="str">
        <f>IF(Klisz_Verbräuche[[#Headers],[2030]]=$B$57,IF(COUNTIF($F186:Klisz_Verbräuche[[#This Row],[2029]],"&gt;0")&gt;0, AVERAGEIF($F186:Klisz_Verbräuche[[#This Row],[2029]],"&lt;&gt;"), ""),IF($B$57&lt;Klisz_Verbräuche[[#Headers],[2030]],IF(COUNTIF($F186:Klisz_Verbräuche[[#This Row],[2029]],"&gt;0")&gt;0,IF(COUNTIF($F186:Klisz_Verbräuche[[#This Row],[2029]],"&gt;0")&gt;0,Klisz_Verbräuche[[#This Row],[2029]]*(1-$E186)^1, ""), ""),IF($B$57&gt;Klisz_Verbräuche[[#Headers],[2030]],Refsz_Verbräuche[[#This Row],[2030]],"")))</f>
        <v/>
      </c>
      <c r="V186" s="57" t="str">
        <f>IF(Klisz_Verbräuche[[#Headers],[2035]]=$B$57,IF(COUNTIF($F186:Klisz_Verbräuche[[#This Row],[2030]],"&gt;0")&gt;0, AVERAGEIF($F186:Klisz_Verbräuche[[#This Row],[2030]],"&lt;&gt;"), ""),IF($B$57&lt;Klisz_Verbräuche[[#Headers],[2035]],IF(COUNTIF($F186:Klisz_Verbräuche[[#This Row],[2030]],"&gt;0")&gt;0,IF(COUNTIF($F186:Klisz_Verbräuche[[#This Row],[2030]],"&gt;0")&gt;0,Klisz_Verbräuche[[#This Row],[2030]]*(1-$E186)^5, ""), ""),IF($B$57&gt;Klisz_Verbräuche[[#Headers],[2035]],Refsz_Verbräuche[[#This Row],[2035]],"")))</f>
        <v/>
      </c>
      <c r="W186" s="57" t="str">
        <f>IF(Klisz_Verbräuche[[#Headers],[2040]]=$B$57,IF(COUNTIF($F186:Klisz_Verbräuche[[#This Row],[2035]],"&gt;0")&gt;0, AVERAGEIF($F186:Klisz_Verbräuche[[#This Row],[2035]],"&lt;&gt;"), ""),IF($B$57&lt;Klisz_Verbräuche[[#Headers],[2040]],IF(COUNTIF($F186:Klisz_Verbräuche[[#This Row],[2035]],"&gt;0")&gt;0,IF(COUNTIF($F186:Klisz_Verbräuche[[#This Row],[2035]],"&gt;0")&gt;0,Klisz_Verbräuche[[#This Row],[2035]]*(1-$E186)^5, ""), ""),IF($B$57&gt;Klisz_Verbräuche[[#Headers],[2040]],Refsz_Verbräuche[[#This Row],[2040]],"")))</f>
        <v/>
      </c>
      <c r="X186" s="57" t="str">
        <f>IF(Klisz_Verbräuche[[#Headers],[2045]]=$B$57,IF(COUNTIF($F186:Klisz_Verbräuche[[#This Row],[2040]],"&gt;0")&gt;0, AVERAGEIF($F186:Klisz_Verbräuche[[#This Row],[2040]],"&lt;&gt;"), ""),IF($B$57&lt;Klisz_Verbräuche[[#Headers],[2045]],IF(COUNTIF($F186:Klisz_Verbräuche[[#This Row],[2040]],"&gt;0")&gt;0,IF(COUNTIF($F186:Klisz_Verbräuche[[#This Row],[2040]],"&gt;0")&gt;0,Klisz_Verbräuche[[#This Row],[2040]]*(1-$E186)^5, ""), ""),IF($B$57&gt;Klisz_Verbräuche[[#Headers],[2045]],Refsz_Verbräuche[[#This Row],[2045]],"")))</f>
        <v/>
      </c>
      <c r="Y186" s="57" t="str">
        <f>IF(Klisz_Verbräuche[[#Headers],[2050]]=$B$57,IF(COUNTIF($F186:Klisz_Verbräuche[[#This Row],[2045]],"&gt;0")&gt;0, AVERAGEIF($F186:Klisz_Verbräuche[[#This Row],[2045]],"&lt;&gt;"), ""),IF($B$57&lt;Klisz_Verbräuche[[#Headers],[2050]],IF(COUNTIF($F186:Klisz_Verbräuche[[#This Row],[2045]],"&gt;0")&gt;0,IF(COUNTIF($F186:Klisz_Verbräuche[[#This Row],[2045]],"&gt;0")&gt;0,Klisz_Verbräuche[[#This Row],[2045]]*(1-$E186)^5, ""), ""),IF($B$57&gt;Klisz_Verbräuche[[#Headers],[2050]],Refsz_Verbräuche[[#This Row],[2050]],"")))</f>
        <v/>
      </c>
      <c r="Z186" s="15"/>
    </row>
    <row r="187" spans="2:26" x14ac:dyDescent="0.35">
      <c r="B187" s="15">
        <v>127</v>
      </c>
      <c r="C187" s="20" t="str">
        <f>Refsz_Verbräuche[[#This Row],[Datenpunkt]]</f>
        <v>Kies</v>
      </c>
      <c r="D187" s="29" t="str">
        <f>Refsz_Verbräuche[[#This Row],[Einheit]]</f>
        <v>kg</v>
      </c>
      <c r="E187" s="122"/>
      <c r="F187" s="15" t="str">
        <f>IF(ISBLANK(Refsz_Verbräuche[[#This Row],[2015]]),"",Refsz_Verbräuche[[#This Row],[2015]])</f>
        <v/>
      </c>
      <c r="G187" s="15" t="str">
        <f>IF(ISBLANK(Refsz_Verbräuche[[#This Row],[2016]]),"",Refsz_Verbräuche[[#This Row],[2016]])</f>
        <v/>
      </c>
      <c r="H187" s="15" t="str">
        <f>IF(ISBLANK(Refsz_Verbräuche[[#This Row],[2017]]),"",Refsz_Verbräuche[[#This Row],[2017]])</f>
        <v/>
      </c>
      <c r="I187" s="15" t="str">
        <f>IF(ISBLANK(Refsz_Verbräuche[[#This Row],[2018]]),"",Refsz_Verbräuche[[#This Row],[2018]])</f>
        <v/>
      </c>
      <c r="J187" s="15" t="str">
        <f>IF(ISBLANK(Refsz_Verbräuche[[#This Row],[2019]]),"",Refsz_Verbräuche[[#This Row],[2019]])</f>
        <v/>
      </c>
      <c r="K187" s="15" t="str">
        <f>IF(ISBLANK(Refsz_Verbräuche[[#This Row],[2020]]),"",Refsz_Verbräuche[[#This Row],[2020]])</f>
        <v/>
      </c>
      <c r="L187" s="15" t="str">
        <f>IF(ISBLANK(Refsz_Verbräuche[[#This Row],[2021]]),"",Refsz_Verbräuche[[#This Row],[2021]])</f>
        <v/>
      </c>
      <c r="M187" s="57" t="str">
        <f>IF(Klisz_Verbräuche[[#Headers],[2022]]=$B$57,IF(COUNTIF($F187:Klisz_Verbräuche[[#This Row],[2021]],"&gt;0")&gt;0, AVERAGEIF($F187:Klisz_Verbräuche[[#This Row],[2021]],"&lt;&gt;"), ""),IF($B$57&lt;Klisz_Verbräuche[[#Headers],[2022]],IF(COUNTIF($F187:Klisz_Verbräuche[[#This Row],[2021]],"&gt;0")&gt;0,IF(COUNTIF($F187:Klisz_Verbräuche[[#This Row],[2021]],"&gt;0")&gt;0,Klisz_Verbräuche[[#This Row],[2021]]*(1-$E187)^1, ""), ""),IF($B$57&gt;Klisz_Verbräuche[[#Headers],[2022]],Refsz_Verbräuche[[#This Row],[2022]],"")))</f>
        <v/>
      </c>
      <c r="N187" s="57" t="str">
        <f>IF(Klisz_Verbräuche[[#Headers],[2023]]=$B$57,IF(COUNTIF($F187:Klisz_Verbräuche[[#This Row],[2022]],"&gt;0")&gt;0, AVERAGEIF($F187:Klisz_Verbräuche[[#This Row],[2022]],"&lt;&gt;"), ""),IF($B$57&lt;Klisz_Verbräuche[[#Headers],[2023]],IF(COUNTIF($F187:Klisz_Verbräuche[[#This Row],[2022]],"&gt;0")&gt;0,IF(COUNTIF($F187:Klisz_Verbräuche[[#This Row],[2022]],"&gt;0")&gt;0,Klisz_Verbräuche[[#This Row],[2022]]*(1-$E187)^1, ""), ""),IF($B$57&gt;Klisz_Verbräuche[[#Headers],[2023]],Refsz_Verbräuche[[#This Row],[2023]],"")))</f>
        <v/>
      </c>
      <c r="O187" s="57" t="str">
        <f>IF(Klisz_Verbräuche[[#Headers],[2024]]=$B$57,IF(COUNTIF($F187:Klisz_Verbräuche[[#This Row],[2023]],"&gt;0")&gt;0, AVERAGEIF($F187:Klisz_Verbräuche[[#This Row],[2023]],"&lt;&gt;"), ""),IF($B$57&lt;Klisz_Verbräuche[[#Headers],[2024]],IF(COUNTIF($F187:Klisz_Verbräuche[[#This Row],[2023]],"&gt;0")&gt;0,IF(COUNTIF($F187:Klisz_Verbräuche[[#This Row],[2023]],"&gt;0")&gt;0,Klisz_Verbräuche[[#This Row],[2023]]*(1-$E187)^1, ""), ""),IF($B$57&gt;Klisz_Verbräuche[[#Headers],[2024]],Refsz_Verbräuche[[#This Row],[2024]],"")))</f>
        <v/>
      </c>
      <c r="P187" s="57" t="str">
        <f>IF(Klisz_Verbräuche[[#Headers],[2025]]=$B$57,IF(COUNTIF($F187:Klisz_Verbräuche[[#This Row],[2024]],"&gt;0")&gt;0, AVERAGEIF($F187:Klisz_Verbräuche[[#This Row],[2024]],"&lt;&gt;"), ""),IF($B$57&lt;Klisz_Verbräuche[[#Headers],[2025]],IF(COUNTIF($F187:Klisz_Verbräuche[[#This Row],[2024]],"&gt;0")&gt;0,IF(COUNTIF($F187:Klisz_Verbräuche[[#This Row],[2024]],"&gt;0")&gt;0,Klisz_Verbräuche[[#This Row],[2024]]*(1-$E187)^1, ""), ""),IF($B$57&gt;Klisz_Verbräuche[[#Headers],[2025]],Refsz_Verbräuche[[#This Row],[2025]],"")))</f>
        <v/>
      </c>
      <c r="Q187" s="57" t="str">
        <f>IF(Klisz_Verbräuche[[#Headers],[2026]]=$B$57,IF(COUNTIF($F187:Klisz_Verbräuche[[#This Row],[2025]],"&gt;0")&gt;0, AVERAGEIF($F187:Klisz_Verbräuche[[#This Row],[2025]],"&lt;&gt;"), ""),IF($B$57&lt;Klisz_Verbräuche[[#Headers],[2026]],IF(COUNTIF($F187:Klisz_Verbräuche[[#This Row],[2025]],"&gt;0")&gt;0,IF(COUNTIF($F187:Klisz_Verbräuche[[#This Row],[2025]],"&gt;0")&gt;0,Klisz_Verbräuche[[#This Row],[2025]]*(1-$E187)^1, ""), ""),IF($B$57&gt;Klisz_Verbräuche[[#Headers],[2026]],Refsz_Verbräuche[[#This Row],[2026]],"")))</f>
        <v/>
      </c>
      <c r="R187" s="57" t="str">
        <f>IF(Klisz_Verbräuche[[#Headers],[2027]]=$B$57,IF(COUNTIF($F187:Klisz_Verbräuche[[#This Row],[2026]],"&gt;0")&gt;0, AVERAGEIF($F187:Klisz_Verbräuche[[#This Row],[2026]],"&lt;&gt;"), ""),IF($B$57&lt;Klisz_Verbräuche[[#Headers],[2027]],IF(COUNTIF($F187:Klisz_Verbräuche[[#This Row],[2026]],"&gt;0")&gt;0,IF(COUNTIF($F187:Klisz_Verbräuche[[#This Row],[2026]],"&gt;0")&gt;0,Klisz_Verbräuche[[#This Row],[2026]]*(1-$E187)^1, ""), ""),IF($B$57&gt;Klisz_Verbräuche[[#Headers],[2027]],Refsz_Verbräuche[[#This Row],[2027]],"")))</f>
        <v/>
      </c>
      <c r="S187" s="57" t="str">
        <f>IF(Klisz_Verbräuche[[#Headers],[2028]]=$B$57,IF(COUNTIF($F187:Klisz_Verbräuche[[#This Row],[2027]],"&gt;0")&gt;0, AVERAGEIF($F187:Klisz_Verbräuche[[#This Row],[2027]],"&lt;&gt;"), ""),IF($B$57&lt;Klisz_Verbräuche[[#Headers],[2028]],IF(COUNTIF($F187:Klisz_Verbräuche[[#This Row],[2027]],"&gt;0")&gt;0,IF(COUNTIF($F187:Klisz_Verbräuche[[#This Row],[2027]],"&gt;0")&gt;0,Klisz_Verbräuche[[#This Row],[2027]]*(1-$E187)^1, ""), ""),IF($B$57&gt;Klisz_Verbräuche[[#Headers],[2028]],Refsz_Verbräuche[[#This Row],[2028]],"")))</f>
        <v/>
      </c>
      <c r="T187" s="57" t="str">
        <f>IF(Klisz_Verbräuche[[#Headers],[2029]]=$B$57,IF(COUNTIF($F187:Klisz_Verbräuche[[#This Row],[2028]],"&gt;0")&gt;0, AVERAGEIF($F187:Klisz_Verbräuche[[#This Row],[2028]],"&lt;&gt;"), ""),IF($B$57&lt;Klisz_Verbräuche[[#Headers],[2029]],IF(COUNTIF($F187:Klisz_Verbräuche[[#This Row],[2028]],"&gt;0")&gt;0,IF(COUNTIF($F187:Klisz_Verbräuche[[#This Row],[2028]],"&gt;0")&gt;0,Klisz_Verbräuche[[#This Row],[2028]]*(1-$E187)^1, ""), ""),IF($B$57&gt;Klisz_Verbräuche[[#Headers],[2029]],Refsz_Verbräuche[[#This Row],[2029]],"")))</f>
        <v/>
      </c>
      <c r="U187" s="57" t="str">
        <f>IF(Klisz_Verbräuche[[#Headers],[2030]]=$B$57,IF(COUNTIF($F187:Klisz_Verbräuche[[#This Row],[2029]],"&gt;0")&gt;0, AVERAGEIF($F187:Klisz_Verbräuche[[#This Row],[2029]],"&lt;&gt;"), ""),IF($B$57&lt;Klisz_Verbräuche[[#Headers],[2030]],IF(COUNTIF($F187:Klisz_Verbräuche[[#This Row],[2029]],"&gt;0")&gt;0,IF(COUNTIF($F187:Klisz_Verbräuche[[#This Row],[2029]],"&gt;0")&gt;0,Klisz_Verbräuche[[#This Row],[2029]]*(1-$E187)^1, ""), ""),IF($B$57&gt;Klisz_Verbräuche[[#Headers],[2030]],Refsz_Verbräuche[[#This Row],[2030]],"")))</f>
        <v/>
      </c>
      <c r="V187" s="57" t="str">
        <f>IF(Klisz_Verbräuche[[#Headers],[2035]]=$B$57,IF(COUNTIF($F187:Klisz_Verbräuche[[#This Row],[2030]],"&gt;0")&gt;0, AVERAGEIF($F187:Klisz_Verbräuche[[#This Row],[2030]],"&lt;&gt;"), ""),IF($B$57&lt;Klisz_Verbräuche[[#Headers],[2035]],IF(COUNTIF($F187:Klisz_Verbräuche[[#This Row],[2030]],"&gt;0")&gt;0,IF(COUNTIF($F187:Klisz_Verbräuche[[#This Row],[2030]],"&gt;0")&gt;0,Klisz_Verbräuche[[#This Row],[2030]]*(1-$E187)^5, ""), ""),IF($B$57&gt;Klisz_Verbräuche[[#Headers],[2035]],Refsz_Verbräuche[[#This Row],[2035]],"")))</f>
        <v/>
      </c>
      <c r="W187" s="57" t="str">
        <f>IF(Klisz_Verbräuche[[#Headers],[2040]]=$B$57,IF(COUNTIF($F187:Klisz_Verbräuche[[#This Row],[2035]],"&gt;0")&gt;0, AVERAGEIF($F187:Klisz_Verbräuche[[#This Row],[2035]],"&lt;&gt;"), ""),IF($B$57&lt;Klisz_Verbräuche[[#Headers],[2040]],IF(COUNTIF($F187:Klisz_Verbräuche[[#This Row],[2035]],"&gt;0")&gt;0,IF(COUNTIF($F187:Klisz_Verbräuche[[#This Row],[2035]],"&gt;0")&gt;0,Klisz_Verbräuche[[#This Row],[2035]]*(1-$E187)^5, ""), ""),IF($B$57&gt;Klisz_Verbräuche[[#Headers],[2040]],Refsz_Verbräuche[[#This Row],[2040]],"")))</f>
        <v/>
      </c>
      <c r="X187" s="57" t="str">
        <f>IF(Klisz_Verbräuche[[#Headers],[2045]]=$B$57,IF(COUNTIF($F187:Klisz_Verbräuche[[#This Row],[2040]],"&gt;0")&gt;0, AVERAGEIF($F187:Klisz_Verbräuche[[#This Row],[2040]],"&lt;&gt;"), ""),IF($B$57&lt;Klisz_Verbräuche[[#Headers],[2045]],IF(COUNTIF($F187:Klisz_Verbräuche[[#This Row],[2040]],"&gt;0")&gt;0,IF(COUNTIF($F187:Klisz_Verbräuche[[#This Row],[2040]],"&gt;0")&gt;0,Klisz_Verbräuche[[#This Row],[2040]]*(1-$E187)^5, ""), ""),IF($B$57&gt;Klisz_Verbräuche[[#Headers],[2045]],Refsz_Verbräuche[[#This Row],[2045]],"")))</f>
        <v/>
      </c>
      <c r="Y187" s="57" t="str">
        <f>IF(Klisz_Verbräuche[[#Headers],[2050]]=$B$57,IF(COUNTIF($F187:Klisz_Verbräuche[[#This Row],[2045]],"&gt;0")&gt;0, AVERAGEIF($F187:Klisz_Verbräuche[[#This Row],[2045]],"&lt;&gt;"), ""),IF($B$57&lt;Klisz_Verbräuche[[#Headers],[2050]],IF(COUNTIF($F187:Klisz_Verbräuche[[#This Row],[2045]],"&gt;0")&gt;0,IF(COUNTIF($F187:Klisz_Verbräuche[[#This Row],[2045]],"&gt;0")&gt;0,Klisz_Verbräuche[[#This Row],[2045]]*(1-$E187)^5, ""), ""),IF($B$57&gt;Klisz_Verbräuche[[#Headers],[2050]],Refsz_Verbräuche[[#This Row],[2050]],"")))</f>
        <v/>
      </c>
      <c r="Z187" s="15"/>
    </row>
    <row r="188" spans="2:26" x14ac:dyDescent="0.35">
      <c r="B188" s="15">
        <v>128</v>
      </c>
      <c r="C188" s="20" t="str">
        <f>Refsz_Verbräuche[[#This Row],[Datenpunkt]]</f>
        <v>Sand</v>
      </c>
      <c r="D188" s="29" t="str">
        <f>Refsz_Verbräuche[[#This Row],[Einheit]]</f>
        <v>kg</v>
      </c>
      <c r="E188" s="122"/>
      <c r="F188" s="15" t="str">
        <f>IF(ISBLANK(Refsz_Verbräuche[[#This Row],[2015]]),"",Refsz_Verbräuche[[#This Row],[2015]])</f>
        <v/>
      </c>
      <c r="G188" s="15" t="str">
        <f>IF(ISBLANK(Refsz_Verbräuche[[#This Row],[2016]]),"",Refsz_Verbräuche[[#This Row],[2016]])</f>
        <v/>
      </c>
      <c r="H188" s="15" t="str">
        <f>IF(ISBLANK(Refsz_Verbräuche[[#This Row],[2017]]),"",Refsz_Verbräuche[[#This Row],[2017]])</f>
        <v/>
      </c>
      <c r="I188" s="15" t="str">
        <f>IF(ISBLANK(Refsz_Verbräuche[[#This Row],[2018]]),"",Refsz_Verbräuche[[#This Row],[2018]])</f>
        <v/>
      </c>
      <c r="J188" s="15" t="str">
        <f>IF(ISBLANK(Refsz_Verbräuche[[#This Row],[2019]]),"",Refsz_Verbräuche[[#This Row],[2019]])</f>
        <v/>
      </c>
      <c r="K188" s="15" t="str">
        <f>IF(ISBLANK(Refsz_Verbräuche[[#This Row],[2020]]),"",Refsz_Verbräuche[[#This Row],[2020]])</f>
        <v/>
      </c>
      <c r="L188" s="15" t="str">
        <f>IF(ISBLANK(Refsz_Verbräuche[[#This Row],[2021]]),"",Refsz_Verbräuche[[#This Row],[2021]])</f>
        <v/>
      </c>
      <c r="M188" s="57" t="str">
        <f>IF(Klisz_Verbräuche[[#Headers],[2022]]=$B$57,IF(COUNTIF($F188:Klisz_Verbräuche[[#This Row],[2021]],"&gt;0")&gt;0, AVERAGEIF($F188:Klisz_Verbräuche[[#This Row],[2021]],"&lt;&gt;"), ""),IF($B$57&lt;Klisz_Verbräuche[[#Headers],[2022]],IF(COUNTIF($F188:Klisz_Verbräuche[[#This Row],[2021]],"&gt;0")&gt;0,IF(COUNTIF($F188:Klisz_Verbräuche[[#This Row],[2021]],"&gt;0")&gt;0,Klisz_Verbräuche[[#This Row],[2021]]*(1-$E188)^1, ""), ""),IF($B$57&gt;Klisz_Verbräuche[[#Headers],[2022]],Refsz_Verbräuche[[#This Row],[2022]],"")))</f>
        <v/>
      </c>
      <c r="N188" s="57" t="str">
        <f>IF(Klisz_Verbräuche[[#Headers],[2023]]=$B$57,IF(COUNTIF($F188:Klisz_Verbräuche[[#This Row],[2022]],"&gt;0")&gt;0, AVERAGEIF($F188:Klisz_Verbräuche[[#This Row],[2022]],"&lt;&gt;"), ""),IF($B$57&lt;Klisz_Verbräuche[[#Headers],[2023]],IF(COUNTIF($F188:Klisz_Verbräuche[[#This Row],[2022]],"&gt;0")&gt;0,IF(COUNTIF($F188:Klisz_Verbräuche[[#This Row],[2022]],"&gt;0")&gt;0,Klisz_Verbräuche[[#This Row],[2022]]*(1-$E188)^1, ""), ""),IF($B$57&gt;Klisz_Verbräuche[[#Headers],[2023]],Refsz_Verbräuche[[#This Row],[2023]],"")))</f>
        <v/>
      </c>
      <c r="O188" s="57" t="str">
        <f>IF(Klisz_Verbräuche[[#Headers],[2024]]=$B$57,IF(COUNTIF($F188:Klisz_Verbräuche[[#This Row],[2023]],"&gt;0")&gt;0, AVERAGEIF($F188:Klisz_Verbräuche[[#This Row],[2023]],"&lt;&gt;"), ""),IF($B$57&lt;Klisz_Verbräuche[[#Headers],[2024]],IF(COUNTIF($F188:Klisz_Verbräuche[[#This Row],[2023]],"&gt;0")&gt;0,IF(COUNTIF($F188:Klisz_Verbräuche[[#This Row],[2023]],"&gt;0")&gt;0,Klisz_Verbräuche[[#This Row],[2023]]*(1-$E188)^1, ""), ""),IF($B$57&gt;Klisz_Verbräuche[[#Headers],[2024]],Refsz_Verbräuche[[#This Row],[2024]],"")))</f>
        <v/>
      </c>
      <c r="P188" s="57" t="str">
        <f>IF(Klisz_Verbräuche[[#Headers],[2025]]=$B$57,IF(COUNTIF($F188:Klisz_Verbräuche[[#This Row],[2024]],"&gt;0")&gt;0, AVERAGEIF($F188:Klisz_Verbräuche[[#This Row],[2024]],"&lt;&gt;"), ""),IF($B$57&lt;Klisz_Verbräuche[[#Headers],[2025]],IF(COUNTIF($F188:Klisz_Verbräuche[[#This Row],[2024]],"&gt;0")&gt;0,IF(COUNTIF($F188:Klisz_Verbräuche[[#This Row],[2024]],"&gt;0")&gt;0,Klisz_Verbräuche[[#This Row],[2024]]*(1-$E188)^1, ""), ""),IF($B$57&gt;Klisz_Verbräuche[[#Headers],[2025]],Refsz_Verbräuche[[#This Row],[2025]],"")))</f>
        <v/>
      </c>
      <c r="Q188" s="57" t="str">
        <f>IF(Klisz_Verbräuche[[#Headers],[2026]]=$B$57,IF(COUNTIF($F188:Klisz_Verbräuche[[#This Row],[2025]],"&gt;0")&gt;0, AVERAGEIF($F188:Klisz_Verbräuche[[#This Row],[2025]],"&lt;&gt;"), ""),IF($B$57&lt;Klisz_Verbräuche[[#Headers],[2026]],IF(COUNTIF($F188:Klisz_Verbräuche[[#This Row],[2025]],"&gt;0")&gt;0,IF(COUNTIF($F188:Klisz_Verbräuche[[#This Row],[2025]],"&gt;0")&gt;0,Klisz_Verbräuche[[#This Row],[2025]]*(1-$E188)^1, ""), ""),IF($B$57&gt;Klisz_Verbräuche[[#Headers],[2026]],Refsz_Verbräuche[[#This Row],[2026]],"")))</f>
        <v/>
      </c>
      <c r="R188" s="57" t="str">
        <f>IF(Klisz_Verbräuche[[#Headers],[2027]]=$B$57,IF(COUNTIF($F188:Klisz_Verbräuche[[#This Row],[2026]],"&gt;0")&gt;0, AVERAGEIF($F188:Klisz_Verbräuche[[#This Row],[2026]],"&lt;&gt;"), ""),IF($B$57&lt;Klisz_Verbräuche[[#Headers],[2027]],IF(COUNTIF($F188:Klisz_Verbräuche[[#This Row],[2026]],"&gt;0")&gt;0,IF(COUNTIF($F188:Klisz_Verbräuche[[#This Row],[2026]],"&gt;0")&gt;0,Klisz_Verbräuche[[#This Row],[2026]]*(1-$E188)^1, ""), ""),IF($B$57&gt;Klisz_Verbräuche[[#Headers],[2027]],Refsz_Verbräuche[[#This Row],[2027]],"")))</f>
        <v/>
      </c>
      <c r="S188" s="57" t="str">
        <f>IF(Klisz_Verbräuche[[#Headers],[2028]]=$B$57,IF(COUNTIF($F188:Klisz_Verbräuche[[#This Row],[2027]],"&gt;0")&gt;0, AVERAGEIF($F188:Klisz_Verbräuche[[#This Row],[2027]],"&lt;&gt;"), ""),IF($B$57&lt;Klisz_Verbräuche[[#Headers],[2028]],IF(COUNTIF($F188:Klisz_Verbräuche[[#This Row],[2027]],"&gt;0")&gt;0,IF(COUNTIF($F188:Klisz_Verbräuche[[#This Row],[2027]],"&gt;0")&gt;0,Klisz_Verbräuche[[#This Row],[2027]]*(1-$E188)^1, ""), ""),IF($B$57&gt;Klisz_Verbräuche[[#Headers],[2028]],Refsz_Verbräuche[[#This Row],[2028]],"")))</f>
        <v/>
      </c>
      <c r="T188" s="57" t="str">
        <f>IF(Klisz_Verbräuche[[#Headers],[2029]]=$B$57,IF(COUNTIF($F188:Klisz_Verbräuche[[#This Row],[2028]],"&gt;0")&gt;0, AVERAGEIF($F188:Klisz_Verbräuche[[#This Row],[2028]],"&lt;&gt;"), ""),IF($B$57&lt;Klisz_Verbräuche[[#Headers],[2029]],IF(COUNTIF($F188:Klisz_Verbräuche[[#This Row],[2028]],"&gt;0")&gt;0,IF(COUNTIF($F188:Klisz_Verbräuche[[#This Row],[2028]],"&gt;0")&gt;0,Klisz_Verbräuche[[#This Row],[2028]]*(1-$E188)^1, ""), ""),IF($B$57&gt;Klisz_Verbräuche[[#Headers],[2029]],Refsz_Verbräuche[[#This Row],[2029]],"")))</f>
        <v/>
      </c>
      <c r="U188" s="57" t="str">
        <f>IF(Klisz_Verbräuche[[#Headers],[2030]]=$B$57,IF(COUNTIF($F188:Klisz_Verbräuche[[#This Row],[2029]],"&gt;0")&gt;0, AVERAGEIF($F188:Klisz_Verbräuche[[#This Row],[2029]],"&lt;&gt;"), ""),IF($B$57&lt;Klisz_Verbräuche[[#Headers],[2030]],IF(COUNTIF($F188:Klisz_Verbräuche[[#This Row],[2029]],"&gt;0")&gt;0,IF(COUNTIF($F188:Klisz_Verbräuche[[#This Row],[2029]],"&gt;0")&gt;0,Klisz_Verbräuche[[#This Row],[2029]]*(1-$E188)^1, ""), ""),IF($B$57&gt;Klisz_Verbräuche[[#Headers],[2030]],Refsz_Verbräuche[[#This Row],[2030]],"")))</f>
        <v/>
      </c>
      <c r="V188" s="57" t="str">
        <f>IF(Klisz_Verbräuche[[#Headers],[2035]]=$B$57,IF(COUNTIF($F188:Klisz_Verbräuche[[#This Row],[2030]],"&gt;0")&gt;0, AVERAGEIF($F188:Klisz_Verbräuche[[#This Row],[2030]],"&lt;&gt;"), ""),IF($B$57&lt;Klisz_Verbräuche[[#Headers],[2035]],IF(COUNTIF($F188:Klisz_Verbräuche[[#This Row],[2030]],"&gt;0")&gt;0,IF(COUNTIF($F188:Klisz_Verbräuche[[#This Row],[2030]],"&gt;0")&gt;0,Klisz_Verbräuche[[#This Row],[2030]]*(1-$E188)^5, ""), ""),IF($B$57&gt;Klisz_Verbräuche[[#Headers],[2035]],Refsz_Verbräuche[[#This Row],[2035]],"")))</f>
        <v/>
      </c>
      <c r="W188" s="57" t="str">
        <f>IF(Klisz_Verbräuche[[#Headers],[2040]]=$B$57,IF(COUNTIF($F188:Klisz_Verbräuche[[#This Row],[2035]],"&gt;0")&gt;0, AVERAGEIF($F188:Klisz_Verbräuche[[#This Row],[2035]],"&lt;&gt;"), ""),IF($B$57&lt;Klisz_Verbräuche[[#Headers],[2040]],IF(COUNTIF($F188:Klisz_Verbräuche[[#This Row],[2035]],"&gt;0")&gt;0,IF(COUNTIF($F188:Klisz_Verbräuche[[#This Row],[2035]],"&gt;0")&gt;0,Klisz_Verbräuche[[#This Row],[2035]]*(1-$E188)^5, ""), ""),IF($B$57&gt;Klisz_Verbräuche[[#Headers],[2040]],Refsz_Verbräuche[[#This Row],[2040]],"")))</f>
        <v/>
      </c>
      <c r="X188" s="57" t="str">
        <f>IF(Klisz_Verbräuche[[#Headers],[2045]]=$B$57,IF(COUNTIF($F188:Klisz_Verbräuche[[#This Row],[2040]],"&gt;0")&gt;0, AVERAGEIF($F188:Klisz_Verbräuche[[#This Row],[2040]],"&lt;&gt;"), ""),IF($B$57&lt;Klisz_Verbräuche[[#Headers],[2045]],IF(COUNTIF($F188:Klisz_Verbräuche[[#This Row],[2040]],"&gt;0")&gt;0,IF(COUNTIF($F188:Klisz_Verbräuche[[#This Row],[2040]],"&gt;0")&gt;0,Klisz_Verbräuche[[#This Row],[2040]]*(1-$E188)^5, ""), ""),IF($B$57&gt;Klisz_Verbräuche[[#Headers],[2045]],Refsz_Verbräuche[[#This Row],[2045]],"")))</f>
        <v/>
      </c>
      <c r="Y188" s="57" t="str">
        <f>IF(Klisz_Verbräuche[[#Headers],[2050]]=$B$57,IF(COUNTIF($F188:Klisz_Verbräuche[[#This Row],[2045]],"&gt;0")&gt;0, AVERAGEIF($F188:Klisz_Verbräuche[[#This Row],[2045]],"&lt;&gt;"), ""),IF($B$57&lt;Klisz_Verbräuche[[#Headers],[2050]],IF(COUNTIF($F188:Klisz_Verbräuche[[#This Row],[2045]],"&gt;0")&gt;0,IF(COUNTIF($F188:Klisz_Verbräuche[[#This Row],[2045]],"&gt;0")&gt;0,Klisz_Verbräuche[[#This Row],[2045]]*(1-$E188)^5, ""), ""),IF($B$57&gt;Klisz_Verbräuche[[#Headers],[2050]],Refsz_Verbräuche[[#This Row],[2050]],"")))</f>
        <v/>
      </c>
      <c r="Z188" s="15"/>
    </row>
    <row r="189" spans="2:26" x14ac:dyDescent="0.35">
      <c r="B189" s="15">
        <v>129</v>
      </c>
      <c r="C189" s="20" t="str">
        <f>Refsz_Verbräuche[[#This Row],[Datenpunkt]]</f>
        <v>Kupferdraht</v>
      </c>
      <c r="D189" s="29" t="str">
        <f>Refsz_Verbräuche[[#This Row],[Einheit]]</f>
        <v>kg</v>
      </c>
      <c r="E189" s="122"/>
      <c r="F189" s="15" t="str">
        <f>IF(ISBLANK(Refsz_Verbräuche[[#This Row],[2015]]),"",Refsz_Verbräuche[[#This Row],[2015]])</f>
        <v/>
      </c>
      <c r="G189" s="15" t="str">
        <f>IF(ISBLANK(Refsz_Verbräuche[[#This Row],[2016]]),"",Refsz_Verbräuche[[#This Row],[2016]])</f>
        <v/>
      </c>
      <c r="H189" s="15" t="str">
        <f>IF(ISBLANK(Refsz_Verbräuche[[#This Row],[2017]]),"",Refsz_Verbräuche[[#This Row],[2017]])</f>
        <v/>
      </c>
      <c r="I189" s="15" t="str">
        <f>IF(ISBLANK(Refsz_Verbräuche[[#This Row],[2018]]),"",Refsz_Verbräuche[[#This Row],[2018]])</f>
        <v/>
      </c>
      <c r="J189" s="15" t="str">
        <f>IF(ISBLANK(Refsz_Verbräuche[[#This Row],[2019]]),"",Refsz_Verbräuche[[#This Row],[2019]])</f>
        <v/>
      </c>
      <c r="K189" s="15" t="str">
        <f>IF(ISBLANK(Refsz_Verbräuche[[#This Row],[2020]]),"",Refsz_Verbräuche[[#This Row],[2020]])</f>
        <v/>
      </c>
      <c r="L189" s="15" t="str">
        <f>IF(ISBLANK(Refsz_Verbräuche[[#This Row],[2021]]),"",Refsz_Verbräuche[[#This Row],[2021]])</f>
        <v/>
      </c>
      <c r="M189" s="57" t="str">
        <f>IF(Klisz_Verbräuche[[#Headers],[2022]]=$B$57,IF(COUNTIF($F189:Klisz_Verbräuche[[#This Row],[2021]],"&gt;0")&gt;0, AVERAGEIF($F189:Klisz_Verbräuche[[#This Row],[2021]],"&lt;&gt;"), ""),IF($B$57&lt;Klisz_Verbräuche[[#Headers],[2022]],IF(COUNTIF($F189:Klisz_Verbräuche[[#This Row],[2021]],"&gt;0")&gt;0,IF(COUNTIF($F189:Klisz_Verbräuche[[#This Row],[2021]],"&gt;0")&gt;0,Klisz_Verbräuche[[#This Row],[2021]]*(1-$E189)^1, ""), ""),IF($B$57&gt;Klisz_Verbräuche[[#Headers],[2022]],Refsz_Verbräuche[[#This Row],[2022]],"")))</f>
        <v/>
      </c>
      <c r="N189" s="57" t="str">
        <f>IF(Klisz_Verbräuche[[#Headers],[2023]]=$B$57,IF(COUNTIF($F189:Klisz_Verbräuche[[#This Row],[2022]],"&gt;0")&gt;0, AVERAGEIF($F189:Klisz_Verbräuche[[#This Row],[2022]],"&lt;&gt;"), ""),IF($B$57&lt;Klisz_Verbräuche[[#Headers],[2023]],IF(COUNTIF($F189:Klisz_Verbräuche[[#This Row],[2022]],"&gt;0")&gt;0,IF(COUNTIF($F189:Klisz_Verbräuche[[#This Row],[2022]],"&gt;0")&gt;0,Klisz_Verbräuche[[#This Row],[2022]]*(1-$E189)^1, ""), ""),IF($B$57&gt;Klisz_Verbräuche[[#Headers],[2023]],Refsz_Verbräuche[[#This Row],[2023]],"")))</f>
        <v/>
      </c>
      <c r="O189" s="57" t="str">
        <f>IF(Klisz_Verbräuche[[#Headers],[2024]]=$B$57,IF(COUNTIF($F189:Klisz_Verbräuche[[#This Row],[2023]],"&gt;0")&gt;0, AVERAGEIF($F189:Klisz_Verbräuche[[#This Row],[2023]],"&lt;&gt;"), ""),IF($B$57&lt;Klisz_Verbräuche[[#Headers],[2024]],IF(COUNTIF($F189:Klisz_Verbräuche[[#This Row],[2023]],"&gt;0")&gt;0,IF(COUNTIF($F189:Klisz_Verbräuche[[#This Row],[2023]],"&gt;0")&gt;0,Klisz_Verbräuche[[#This Row],[2023]]*(1-$E189)^1, ""), ""),IF($B$57&gt;Klisz_Verbräuche[[#Headers],[2024]],Refsz_Verbräuche[[#This Row],[2024]],"")))</f>
        <v/>
      </c>
      <c r="P189" s="57" t="str">
        <f>IF(Klisz_Verbräuche[[#Headers],[2025]]=$B$57,IF(COUNTIF($F189:Klisz_Verbräuche[[#This Row],[2024]],"&gt;0")&gt;0, AVERAGEIF($F189:Klisz_Verbräuche[[#This Row],[2024]],"&lt;&gt;"), ""),IF($B$57&lt;Klisz_Verbräuche[[#Headers],[2025]],IF(COUNTIF($F189:Klisz_Verbräuche[[#This Row],[2024]],"&gt;0")&gt;0,IF(COUNTIF($F189:Klisz_Verbräuche[[#This Row],[2024]],"&gt;0")&gt;0,Klisz_Verbräuche[[#This Row],[2024]]*(1-$E189)^1, ""), ""),IF($B$57&gt;Klisz_Verbräuche[[#Headers],[2025]],Refsz_Verbräuche[[#This Row],[2025]],"")))</f>
        <v/>
      </c>
      <c r="Q189" s="57" t="str">
        <f>IF(Klisz_Verbräuche[[#Headers],[2026]]=$B$57,IF(COUNTIF($F189:Klisz_Verbräuche[[#This Row],[2025]],"&gt;0")&gt;0, AVERAGEIF($F189:Klisz_Verbräuche[[#This Row],[2025]],"&lt;&gt;"), ""),IF($B$57&lt;Klisz_Verbräuche[[#Headers],[2026]],IF(COUNTIF($F189:Klisz_Verbräuche[[#This Row],[2025]],"&gt;0")&gt;0,IF(COUNTIF($F189:Klisz_Verbräuche[[#This Row],[2025]],"&gt;0")&gt;0,Klisz_Verbräuche[[#This Row],[2025]]*(1-$E189)^1, ""), ""),IF($B$57&gt;Klisz_Verbräuche[[#Headers],[2026]],Refsz_Verbräuche[[#This Row],[2026]],"")))</f>
        <v/>
      </c>
      <c r="R189" s="57" t="str">
        <f>IF(Klisz_Verbräuche[[#Headers],[2027]]=$B$57,IF(COUNTIF($F189:Klisz_Verbräuche[[#This Row],[2026]],"&gt;0")&gt;0, AVERAGEIF($F189:Klisz_Verbräuche[[#This Row],[2026]],"&lt;&gt;"), ""),IF($B$57&lt;Klisz_Verbräuche[[#Headers],[2027]],IF(COUNTIF($F189:Klisz_Verbräuche[[#This Row],[2026]],"&gt;0")&gt;0,IF(COUNTIF($F189:Klisz_Verbräuche[[#This Row],[2026]],"&gt;0")&gt;0,Klisz_Verbräuche[[#This Row],[2026]]*(1-$E189)^1, ""), ""),IF($B$57&gt;Klisz_Verbräuche[[#Headers],[2027]],Refsz_Verbräuche[[#This Row],[2027]],"")))</f>
        <v/>
      </c>
      <c r="S189" s="57" t="str">
        <f>IF(Klisz_Verbräuche[[#Headers],[2028]]=$B$57,IF(COUNTIF($F189:Klisz_Verbräuche[[#This Row],[2027]],"&gt;0")&gt;0, AVERAGEIF($F189:Klisz_Verbräuche[[#This Row],[2027]],"&lt;&gt;"), ""),IF($B$57&lt;Klisz_Verbräuche[[#Headers],[2028]],IF(COUNTIF($F189:Klisz_Verbräuche[[#This Row],[2027]],"&gt;0")&gt;0,IF(COUNTIF($F189:Klisz_Verbräuche[[#This Row],[2027]],"&gt;0")&gt;0,Klisz_Verbräuche[[#This Row],[2027]]*(1-$E189)^1, ""), ""),IF($B$57&gt;Klisz_Verbräuche[[#Headers],[2028]],Refsz_Verbräuche[[#This Row],[2028]],"")))</f>
        <v/>
      </c>
      <c r="T189" s="57" t="str">
        <f>IF(Klisz_Verbräuche[[#Headers],[2029]]=$B$57,IF(COUNTIF($F189:Klisz_Verbräuche[[#This Row],[2028]],"&gt;0")&gt;0, AVERAGEIF($F189:Klisz_Verbräuche[[#This Row],[2028]],"&lt;&gt;"), ""),IF($B$57&lt;Klisz_Verbräuche[[#Headers],[2029]],IF(COUNTIF($F189:Klisz_Verbräuche[[#This Row],[2028]],"&gt;0")&gt;0,IF(COUNTIF($F189:Klisz_Verbräuche[[#This Row],[2028]],"&gt;0")&gt;0,Klisz_Verbräuche[[#This Row],[2028]]*(1-$E189)^1, ""), ""),IF($B$57&gt;Klisz_Verbräuche[[#Headers],[2029]],Refsz_Verbräuche[[#This Row],[2029]],"")))</f>
        <v/>
      </c>
      <c r="U189" s="57" t="str">
        <f>IF(Klisz_Verbräuche[[#Headers],[2030]]=$B$57,IF(COUNTIF($F189:Klisz_Verbräuche[[#This Row],[2029]],"&gt;0")&gt;0, AVERAGEIF($F189:Klisz_Verbräuche[[#This Row],[2029]],"&lt;&gt;"), ""),IF($B$57&lt;Klisz_Verbräuche[[#Headers],[2030]],IF(COUNTIF($F189:Klisz_Verbräuche[[#This Row],[2029]],"&gt;0")&gt;0,IF(COUNTIF($F189:Klisz_Verbräuche[[#This Row],[2029]],"&gt;0")&gt;0,Klisz_Verbräuche[[#This Row],[2029]]*(1-$E189)^1, ""), ""),IF($B$57&gt;Klisz_Verbräuche[[#Headers],[2030]],Refsz_Verbräuche[[#This Row],[2030]],"")))</f>
        <v/>
      </c>
      <c r="V189" s="57" t="str">
        <f>IF(Klisz_Verbräuche[[#Headers],[2035]]=$B$57,IF(COUNTIF($F189:Klisz_Verbräuche[[#This Row],[2030]],"&gt;0")&gt;0, AVERAGEIF($F189:Klisz_Verbräuche[[#This Row],[2030]],"&lt;&gt;"), ""),IF($B$57&lt;Klisz_Verbräuche[[#Headers],[2035]],IF(COUNTIF($F189:Klisz_Verbräuche[[#This Row],[2030]],"&gt;0")&gt;0,IF(COUNTIF($F189:Klisz_Verbräuche[[#This Row],[2030]],"&gt;0")&gt;0,Klisz_Verbräuche[[#This Row],[2030]]*(1-$E189)^5, ""), ""),IF($B$57&gt;Klisz_Verbräuche[[#Headers],[2035]],Refsz_Verbräuche[[#This Row],[2035]],"")))</f>
        <v/>
      </c>
      <c r="W189" s="57" t="str">
        <f>IF(Klisz_Verbräuche[[#Headers],[2040]]=$B$57,IF(COUNTIF($F189:Klisz_Verbräuche[[#This Row],[2035]],"&gt;0")&gt;0, AVERAGEIF($F189:Klisz_Verbräuche[[#This Row],[2035]],"&lt;&gt;"), ""),IF($B$57&lt;Klisz_Verbräuche[[#Headers],[2040]],IF(COUNTIF($F189:Klisz_Verbräuche[[#This Row],[2035]],"&gt;0")&gt;0,IF(COUNTIF($F189:Klisz_Verbräuche[[#This Row],[2035]],"&gt;0")&gt;0,Klisz_Verbräuche[[#This Row],[2035]]*(1-$E189)^5, ""), ""),IF($B$57&gt;Klisz_Verbräuche[[#Headers],[2040]],Refsz_Verbräuche[[#This Row],[2040]],"")))</f>
        <v/>
      </c>
      <c r="X189" s="57" t="str">
        <f>IF(Klisz_Verbräuche[[#Headers],[2045]]=$B$57,IF(COUNTIF($F189:Klisz_Verbräuche[[#This Row],[2040]],"&gt;0")&gt;0, AVERAGEIF($F189:Klisz_Verbräuche[[#This Row],[2040]],"&lt;&gt;"), ""),IF($B$57&lt;Klisz_Verbräuche[[#Headers],[2045]],IF(COUNTIF($F189:Klisz_Verbräuche[[#This Row],[2040]],"&gt;0")&gt;0,IF(COUNTIF($F189:Klisz_Verbräuche[[#This Row],[2040]],"&gt;0")&gt;0,Klisz_Verbräuche[[#This Row],[2040]]*(1-$E189)^5, ""), ""),IF($B$57&gt;Klisz_Verbräuche[[#Headers],[2045]],Refsz_Verbräuche[[#This Row],[2045]],"")))</f>
        <v/>
      </c>
      <c r="Y189" s="57" t="str">
        <f>IF(Klisz_Verbräuche[[#Headers],[2050]]=$B$57,IF(COUNTIF($F189:Klisz_Verbräuche[[#This Row],[2045]],"&gt;0")&gt;0, AVERAGEIF($F189:Klisz_Verbräuche[[#This Row],[2045]],"&lt;&gt;"), ""),IF($B$57&lt;Klisz_Verbräuche[[#Headers],[2050]],IF(COUNTIF($F189:Klisz_Verbräuche[[#This Row],[2045]],"&gt;0")&gt;0,IF(COUNTIF($F189:Klisz_Verbräuche[[#This Row],[2045]],"&gt;0")&gt;0,Klisz_Verbräuche[[#This Row],[2045]]*(1-$E189)^5, ""), ""),IF($B$57&gt;Klisz_Verbräuche[[#Headers],[2050]],Refsz_Verbräuche[[#This Row],[2050]],"")))</f>
        <v/>
      </c>
      <c r="Z189" s="15"/>
    </row>
    <row r="190" spans="2:26" x14ac:dyDescent="0.35">
      <c r="B190" s="15">
        <v>130</v>
      </c>
      <c r="C190" s="20" t="str">
        <f>Refsz_Verbräuche[[#This Row],[Datenpunkt]]</f>
        <v>Kupferrohr</v>
      </c>
      <c r="D190" s="29" t="str">
        <f>Refsz_Verbräuche[[#This Row],[Einheit]]</f>
        <v>kg</v>
      </c>
      <c r="E190" s="122"/>
      <c r="F190" s="15" t="str">
        <f>IF(ISBLANK(Refsz_Verbräuche[[#This Row],[2015]]),"",Refsz_Verbräuche[[#This Row],[2015]])</f>
        <v/>
      </c>
      <c r="G190" s="15" t="str">
        <f>IF(ISBLANK(Refsz_Verbräuche[[#This Row],[2016]]),"",Refsz_Verbräuche[[#This Row],[2016]])</f>
        <v/>
      </c>
      <c r="H190" s="15" t="str">
        <f>IF(ISBLANK(Refsz_Verbräuche[[#This Row],[2017]]),"",Refsz_Verbräuche[[#This Row],[2017]])</f>
        <v/>
      </c>
      <c r="I190" s="15" t="str">
        <f>IF(ISBLANK(Refsz_Verbräuche[[#This Row],[2018]]),"",Refsz_Verbräuche[[#This Row],[2018]])</f>
        <v/>
      </c>
      <c r="J190" s="15" t="str">
        <f>IF(ISBLANK(Refsz_Verbräuche[[#This Row],[2019]]),"",Refsz_Verbräuche[[#This Row],[2019]])</f>
        <v/>
      </c>
      <c r="K190" s="15" t="str">
        <f>IF(ISBLANK(Refsz_Verbräuche[[#This Row],[2020]]),"",Refsz_Verbräuche[[#This Row],[2020]])</f>
        <v/>
      </c>
      <c r="L190" s="15" t="str">
        <f>IF(ISBLANK(Refsz_Verbräuche[[#This Row],[2021]]),"",Refsz_Verbräuche[[#This Row],[2021]])</f>
        <v/>
      </c>
      <c r="M190" s="57" t="str">
        <f>IF(Klisz_Verbräuche[[#Headers],[2022]]=$B$57,IF(COUNTIF($F190:Klisz_Verbräuche[[#This Row],[2021]],"&gt;0")&gt;0, AVERAGEIF($F190:Klisz_Verbräuche[[#This Row],[2021]],"&lt;&gt;"), ""),IF($B$57&lt;Klisz_Verbräuche[[#Headers],[2022]],IF(COUNTIF($F190:Klisz_Verbräuche[[#This Row],[2021]],"&gt;0")&gt;0,IF(COUNTIF($F190:Klisz_Verbräuche[[#This Row],[2021]],"&gt;0")&gt;0,Klisz_Verbräuche[[#This Row],[2021]]*(1-$E190)^1, ""), ""),IF($B$57&gt;Klisz_Verbräuche[[#Headers],[2022]],Refsz_Verbräuche[[#This Row],[2022]],"")))</f>
        <v/>
      </c>
      <c r="N190" s="57" t="str">
        <f>IF(Klisz_Verbräuche[[#Headers],[2023]]=$B$57,IF(COUNTIF($F190:Klisz_Verbräuche[[#This Row],[2022]],"&gt;0")&gt;0, AVERAGEIF($F190:Klisz_Verbräuche[[#This Row],[2022]],"&lt;&gt;"), ""),IF($B$57&lt;Klisz_Verbräuche[[#Headers],[2023]],IF(COUNTIF($F190:Klisz_Verbräuche[[#This Row],[2022]],"&gt;0")&gt;0,IF(COUNTIF($F190:Klisz_Verbräuche[[#This Row],[2022]],"&gt;0")&gt;0,Klisz_Verbräuche[[#This Row],[2022]]*(1-$E190)^1, ""), ""),IF($B$57&gt;Klisz_Verbräuche[[#Headers],[2023]],Refsz_Verbräuche[[#This Row],[2023]],"")))</f>
        <v/>
      </c>
      <c r="O190" s="57" t="str">
        <f>IF(Klisz_Verbräuche[[#Headers],[2024]]=$B$57,IF(COUNTIF($F190:Klisz_Verbräuche[[#This Row],[2023]],"&gt;0")&gt;0, AVERAGEIF($F190:Klisz_Verbräuche[[#This Row],[2023]],"&lt;&gt;"), ""),IF($B$57&lt;Klisz_Verbräuche[[#Headers],[2024]],IF(COUNTIF($F190:Klisz_Verbräuche[[#This Row],[2023]],"&gt;0")&gt;0,IF(COUNTIF($F190:Klisz_Verbräuche[[#This Row],[2023]],"&gt;0")&gt;0,Klisz_Verbräuche[[#This Row],[2023]]*(1-$E190)^1, ""), ""),IF($B$57&gt;Klisz_Verbräuche[[#Headers],[2024]],Refsz_Verbräuche[[#This Row],[2024]],"")))</f>
        <v/>
      </c>
      <c r="P190" s="57" t="str">
        <f>IF(Klisz_Verbräuche[[#Headers],[2025]]=$B$57,IF(COUNTIF($F190:Klisz_Verbräuche[[#This Row],[2024]],"&gt;0")&gt;0, AVERAGEIF($F190:Klisz_Verbräuche[[#This Row],[2024]],"&lt;&gt;"), ""),IF($B$57&lt;Klisz_Verbräuche[[#Headers],[2025]],IF(COUNTIF($F190:Klisz_Verbräuche[[#This Row],[2024]],"&gt;0")&gt;0,IF(COUNTIF($F190:Klisz_Verbräuche[[#This Row],[2024]],"&gt;0")&gt;0,Klisz_Verbräuche[[#This Row],[2024]]*(1-$E190)^1, ""), ""),IF($B$57&gt;Klisz_Verbräuche[[#Headers],[2025]],Refsz_Verbräuche[[#This Row],[2025]],"")))</f>
        <v/>
      </c>
      <c r="Q190" s="57" t="str">
        <f>IF(Klisz_Verbräuche[[#Headers],[2026]]=$B$57,IF(COUNTIF($F190:Klisz_Verbräuche[[#This Row],[2025]],"&gt;0")&gt;0, AVERAGEIF($F190:Klisz_Verbräuche[[#This Row],[2025]],"&lt;&gt;"), ""),IF($B$57&lt;Klisz_Verbräuche[[#Headers],[2026]],IF(COUNTIF($F190:Klisz_Verbräuche[[#This Row],[2025]],"&gt;0")&gt;0,IF(COUNTIF($F190:Klisz_Verbräuche[[#This Row],[2025]],"&gt;0")&gt;0,Klisz_Verbräuche[[#This Row],[2025]]*(1-$E190)^1, ""), ""),IF($B$57&gt;Klisz_Verbräuche[[#Headers],[2026]],Refsz_Verbräuche[[#This Row],[2026]],"")))</f>
        <v/>
      </c>
      <c r="R190" s="57" t="str">
        <f>IF(Klisz_Verbräuche[[#Headers],[2027]]=$B$57,IF(COUNTIF($F190:Klisz_Verbräuche[[#This Row],[2026]],"&gt;0")&gt;0, AVERAGEIF($F190:Klisz_Verbräuche[[#This Row],[2026]],"&lt;&gt;"), ""),IF($B$57&lt;Klisz_Verbräuche[[#Headers],[2027]],IF(COUNTIF($F190:Klisz_Verbräuche[[#This Row],[2026]],"&gt;0")&gt;0,IF(COUNTIF($F190:Klisz_Verbräuche[[#This Row],[2026]],"&gt;0")&gt;0,Klisz_Verbräuche[[#This Row],[2026]]*(1-$E190)^1, ""), ""),IF($B$57&gt;Klisz_Verbräuche[[#Headers],[2027]],Refsz_Verbräuche[[#This Row],[2027]],"")))</f>
        <v/>
      </c>
      <c r="S190" s="57" t="str">
        <f>IF(Klisz_Verbräuche[[#Headers],[2028]]=$B$57,IF(COUNTIF($F190:Klisz_Verbräuche[[#This Row],[2027]],"&gt;0")&gt;0, AVERAGEIF($F190:Klisz_Verbräuche[[#This Row],[2027]],"&lt;&gt;"), ""),IF($B$57&lt;Klisz_Verbräuche[[#Headers],[2028]],IF(COUNTIF($F190:Klisz_Verbräuche[[#This Row],[2027]],"&gt;0")&gt;0,IF(COUNTIF($F190:Klisz_Verbräuche[[#This Row],[2027]],"&gt;0")&gt;0,Klisz_Verbräuche[[#This Row],[2027]]*(1-$E190)^1, ""), ""),IF($B$57&gt;Klisz_Verbräuche[[#Headers],[2028]],Refsz_Verbräuche[[#This Row],[2028]],"")))</f>
        <v/>
      </c>
      <c r="T190" s="57" t="str">
        <f>IF(Klisz_Verbräuche[[#Headers],[2029]]=$B$57,IF(COUNTIF($F190:Klisz_Verbräuche[[#This Row],[2028]],"&gt;0")&gt;0, AVERAGEIF($F190:Klisz_Verbräuche[[#This Row],[2028]],"&lt;&gt;"), ""),IF($B$57&lt;Klisz_Verbräuche[[#Headers],[2029]],IF(COUNTIF($F190:Klisz_Verbräuche[[#This Row],[2028]],"&gt;0")&gt;0,IF(COUNTIF($F190:Klisz_Verbräuche[[#This Row],[2028]],"&gt;0")&gt;0,Klisz_Verbräuche[[#This Row],[2028]]*(1-$E190)^1, ""), ""),IF($B$57&gt;Klisz_Verbräuche[[#Headers],[2029]],Refsz_Verbräuche[[#This Row],[2029]],"")))</f>
        <v/>
      </c>
      <c r="U190" s="57" t="str">
        <f>IF(Klisz_Verbräuche[[#Headers],[2030]]=$B$57,IF(COUNTIF($F190:Klisz_Verbräuche[[#This Row],[2029]],"&gt;0")&gt;0, AVERAGEIF($F190:Klisz_Verbräuche[[#This Row],[2029]],"&lt;&gt;"), ""),IF($B$57&lt;Klisz_Verbräuche[[#Headers],[2030]],IF(COUNTIF($F190:Klisz_Verbräuche[[#This Row],[2029]],"&gt;0")&gt;0,IF(COUNTIF($F190:Klisz_Verbräuche[[#This Row],[2029]],"&gt;0")&gt;0,Klisz_Verbräuche[[#This Row],[2029]]*(1-$E190)^1, ""), ""),IF($B$57&gt;Klisz_Verbräuche[[#Headers],[2030]],Refsz_Verbräuche[[#This Row],[2030]],"")))</f>
        <v/>
      </c>
      <c r="V190" s="57" t="str">
        <f>IF(Klisz_Verbräuche[[#Headers],[2035]]=$B$57,IF(COUNTIF($F190:Klisz_Verbräuche[[#This Row],[2030]],"&gt;0")&gt;0, AVERAGEIF($F190:Klisz_Verbräuche[[#This Row],[2030]],"&lt;&gt;"), ""),IF($B$57&lt;Klisz_Verbräuche[[#Headers],[2035]],IF(COUNTIF($F190:Klisz_Verbräuche[[#This Row],[2030]],"&gt;0")&gt;0,IF(COUNTIF($F190:Klisz_Verbräuche[[#This Row],[2030]],"&gt;0")&gt;0,Klisz_Verbräuche[[#This Row],[2030]]*(1-$E190)^5, ""), ""),IF($B$57&gt;Klisz_Verbräuche[[#Headers],[2035]],Refsz_Verbräuche[[#This Row],[2035]],"")))</f>
        <v/>
      </c>
      <c r="W190" s="57" t="str">
        <f>IF(Klisz_Verbräuche[[#Headers],[2040]]=$B$57,IF(COUNTIF($F190:Klisz_Verbräuche[[#This Row],[2035]],"&gt;0")&gt;0, AVERAGEIF($F190:Klisz_Verbräuche[[#This Row],[2035]],"&lt;&gt;"), ""),IF($B$57&lt;Klisz_Verbräuche[[#Headers],[2040]],IF(COUNTIF($F190:Klisz_Verbräuche[[#This Row],[2035]],"&gt;0")&gt;0,IF(COUNTIF($F190:Klisz_Verbräuche[[#This Row],[2035]],"&gt;0")&gt;0,Klisz_Verbräuche[[#This Row],[2035]]*(1-$E190)^5, ""), ""),IF($B$57&gt;Klisz_Verbräuche[[#Headers],[2040]],Refsz_Verbräuche[[#This Row],[2040]],"")))</f>
        <v/>
      </c>
      <c r="X190" s="57" t="str">
        <f>IF(Klisz_Verbräuche[[#Headers],[2045]]=$B$57,IF(COUNTIF($F190:Klisz_Verbräuche[[#This Row],[2040]],"&gt;0")&gt;0, AVERAGEIF($F190:Klisz_Verbräuche[[#This Row],[2040]],"&lt;&gt;"), ""),IF($B$57&lt;Klisz_Verbräuche[[#Headers],[2045]],IF(COUNTIF($F190:Klisz_Verbräuche[[#This Row],[2040]],"&gt;0")&gt;0,IF(COUNTIF($F190:Klisz_Verbräuche[[#This Row],[2040]],"&gt;0")&gt;0,Klisz_Verbräuche[[#This Row],[2040]]*(1-$E190)^5, ""), ""),IF($B$57&gt;Klisz_Verbräuche[[#Headers],[2045]],Refsz_Verbräuche[[#This Row],[2045]],"")))</f>
        <v/>
      </c>
      <c r="Y190" s="57" t="str">
        <f>IF(Klisz_Verbräuche[[#Headers],[2050]]=$B$57,IF(COUNTIF($F190:Klisz_Verbräuche[[#This Row],[2045]],"&gt;0")&gt;0, AVERAGEIF($F190:Klisz_Verbräuche[[#This Row],[2045]],"&lt;&gt;"), ""),IF($B$57&lt;Klisz_Verbräuche[[#Headers],[2050]],IF(COUNTIF($F190:Klisz_Verbräuche[[#This Row],[2045]],"&gt;0")&gt;0,IF(COUNTIF($F190:Klisz_Verbräuche[[#This Row],[2045]],"&gt;0")&gt;0,Klisz_Verbräuche[[#This Row],[2045]]*(1-$E190)^5, ""), ""),IF($B$57&gt;Klisz_Verbräuche[[#Headers],[2050]],Refsz_Verbräuche[[#This Row],[2050]],"")))</f>
        <v/>
      </c>
      <c r="Z190" s="15"/>
    </row>
    <row r="191" spans="2:26" x14ac:dyDescent="0.35">
      <c r="B191" s="15">
        <v>131</v>
      </c>
      <c r="C191" s="20" t="str">
        <f>Refsz_Verbräuche[[#This Row],[Datenpunkt]]</f>
        <v>Stahl-Blech</v>
      </c>
      <c r="D191" s="29" t="str">
        <f>Refsz_Verbräuche[[#This Row],[Einheit]]</f>
        <v>kg</v>
      </c>
      <c r="E191" s="122"/>
      <c r="F191" s="15" t="str">
        <f>IF(ISBLANK(Refsz_Verbräuche[[#This Row],[2015]]),"",Refsz_Verbräuche[[#This Row],[2015]])</f>
        <v/>
      </c>
      <c r="G191" s="15" t="str">
        <f>IF(ISBLANK(Refsz_Verbräuche[[#This Row],[2016]]),"",Refsz_Verbräuche[[#This Row],[2016]])</f>
        <v/>
      </c>
      <c r="H191" s="15" t="str">
        <f>IF(ISBLANK(Refsz_Verbräuche[[#This Row],[2017]]),"",Refsz_Verbräuche[[#This Row],[2017]])</f>
        <v/>
      </c>
      <c r="I191" s="15" t="str">
        <f>IF(ISBLANK(Refsz_Verbräuche[[#This Row],[2018]]),"",Refsz_Verbräuche[[#This Row],[2018]])</f>
        <v/>
      </c>
      <c r="J191" s="15" t="str">
        <f>IF(ISBLANK(Refsz_Verbräuche[[#This Row],[2019]]),"",Refsz_Verbräuche[[#This Row],[2019]])</f>
        <v/>
      </c>
      <c r="K191" s="15" t="str">
        <f>IF(ISBLANK(Refsz_Verbräuche[[#This Row],[2020]]),"",Refsz_Verbräuche[[#This Row],[2020]])</f>
        <v/>
      </c>
      <c r="L191" s="15" t="str">
        <f>IF(ISBLANK(Refsz_Verbräuche[[#This Row],[2021]]),"",Refsz_Verbräuche[[#This Row],[2021]])</f>
        <v/>
      </c>
      <c r="M191" s="57" t="str">
        <f>IF(Klisz_Verbräuche[[#Headers],[2022]]=$B$57,IF(COUNTIF($F191:Klisz_Verbräuche[[#This Row],[2021]],"&gt;0")&gt;0, AVERAGEIF($F191:Klisz_Verbräuche[[#This Row],[2021]],"&lt;&gt;"), ""),IF($B$57&lt;Klisz_Verbräuche[[#Headers],[2022]],IF(COUNTIF($F191:Klisz_Verbräuche[[#This Row],[2021]],"&gt;0")&gt;0,IF(COUNTIF($F191:Klisz_Verbräuche[[#This Row],[2021]],"&gt;0")&gt;0,Klisz_Verbräuche[[#This Row],[2021]]*(1-$E191)^1, ""), ""),IF($B$57&gt;Klisz_Verbräuche[[#Headers],[2022]],Refsz_Verbräuche[[#This Row],[2022]],"")))</f>
        <v/>
      </c>
      <c r="N191" s="57" t="str">
        <f>IF(Klisz_Verbräuche[[#Headers],[2023]]=$B$57,IF(COUNTIF($F191:Klisz_Verbräuche[[#This Row],[2022]],"&gt;0")&gt;0, AVERAGEIF($F191:Klisz_Verbräuche[[#This Row],[2022]],"&lt;&gt;"), ""),IF($B$57&lt;Klisz_Verbräuche[[#Headers],[2023]],IF(COUNTIF($F191:Klisz_Verbräuche[[#This Row],[2022]],"&gt;0")&gt;0,IF(COUNTIF($F191:Klisz_Verbräuche[[#This Row],[2022]],"&gt;0")&gt;0,Klisz_Verbräuche[[#This Row],[2022]]*(1-$E191)^1, ""), ""),IF($B$57&gt;Klisz_Verbräuche[[#Headers],[2023]],Refsz_Verbräuche[[#This Row],[2023]],"")))</f>
        <v/>
      </c>
      <c r="O191" s="57" t="str">
        <f>IF(Klisz_Verbräuche[[#Headers],[2024]]=$B$57,IF(COUNTIF($F191:Klisz_Verbräuche[[#This Row],[2023]],"&gt;0")&gt;0, AVERAGEIF($F191:Klisz_Verbräuche[[#This Row],[2023]],"&lt;&gt;"), ""),IF($B$57&lt;Klisz_Verbräuche[[#Headers],[2024]],IF(COUNTIF($F191:Klisz_Verbräuche[[#This Row],[2023]],"&gt;0")&gt;0,IF(COUNTIF($F191:Klisz_Verbräuche[[#This Row],[2023]],"&gt;0")&gt;0,Klisz_Verbräuche[[#This Row],[2023]]*(1-$E191)^1, ""), ""),IF($B$57&gt;Klisz_Verbräuche[[#Headers],[2024]],Refsz_Verbräuche[[#This Row],[2024]],"")))</f>
        <v/>
      </c>
      <c r="P191" s="57" t="str">
        <f>IF(Klisz_Verbräuche[[#Headers],[2025]]=$B$57,IF(COUNTIF($F191:Klisz_Verbräuche[[#This Row],[2024]],"&gt;0")&gt;0, AVERAGEIF($F191:Klisz_Verbräuche[[#This Row],[2024]],"&lt;&gt;"), ""),IF($B$57&lt;Klisz_Verbräuche[[#Headers],[2025]],IF(COUNTIF($F191:Klisz_Verbräuche[[#This Row],[2024]],"&gt;0")&gt;0,IF(COUNTIF($F191:Klisz_Verbräuche[[#This Row],[2024]],"&gt;0")&gt;0,Klisz_Verbräuche[[#This Row],[2024]]*(1-$E191)^1, ""), ""),IF($B$57&gt;Klisz_Verbräuche[[#Headers],[2025]],Refsz_Verbräuche[[#This Row],[2025]],"")))</f>
        <v/>
      </c>
      <c r="Q191" s="57" t="str">
        <f>IF(Klisz_Verbräuche[[#Headers],[2026]]=$B$57,IF(COUNTIF($F191:Klisz_Verbräuche[[#This Row],[2025]],"&gt;0")&gt;0, AVERAGEIF($F191:Klisz_Verbräuche[[#This Row],[2025]],"&lt;&gt;"), ""),IF($B$57&lt;Klisz_Verbräuche[[#Headers],[2026]],IF(COUNTIF($F191:Klisz_Verbräuche[[#This Row],[2025]],"&gt;0")&gt;0,IF(COUNTIF($F191:Klisz_Verbräuche[[#This Row],[2025]],"&gt;0")&gt;0,Klisz_Verbräuche[[#This Row],[2025]]*(1-$E191)^1, ""), ""),IF($B$57&gt;Klisz_Verbräuche[[#Headers],[2026]],Refsz_Verbräuche[[#This Row],[2026]],"")))</f>
        <v/>
      </c>
      <c r="R191" s="57" t="str">
        <f>IF(Klisz_Verbräuche[[#Headers],[2027]]=$B$57,IF(COUNTIF($F191:Klisz_Verbräuche[[#This Row],[2026]],"&gt;0")&gt;0, AVERAGEIF($F191:Klisz_Verbräuche[[#This Row],[2026]],"&lt;&gt;"), ""),IF($B$57&lt;Klisz_Verbräuche[[#Headers],[2027]],IF(COUNTIF($F191:Klisz_Verbräuche[[#This Row],[2026]],"&gt;0")&gt;0,IF(COUNTIF($F191:Klisz_Verbräuche[[#This Row],[2026]],"&gt;0")&gt;0,Klisz_Verbräuche[[#This Row],[2026]]*(1-$E191)^1, ""), ""),IF($B$57&gt;Klisz_Verbräuche[[#Headers],[2027]],Refsz_Verbräuche[[#This Row],[2027]],"")))</f>
        <v/>
      </c>
      <c r="S191" s="57" t="str">
        <f>IF(Klisz_Verbräuche[[#Headers],[2028]]=$B$57,IF(COUNTIF($F191:Klisz_Verbräuche[[#This Row],[2027]],"&gt;0")&gt;0, AVERAGEIF($F191:Klisz_Verbräuche[[#This Row],[2027]],"&lt;&gt;"), ""),IF($B$57&lt;Klisz_Verbräuche[[#Headers],[2028]],IF(COUNTIF($F191:Klisz_Verbräuche[[#This Row],[2027]],"&gt;0")&gt;0,IF(COUNTIF($F191:Klisz_Verbräuche[[#This Row],[2027]],"&gt;0")&gt;0,Klisz_Verbräuche[[#This Row],[2027]]*(1-$E191)^1, ""), ""),IF($B$57&gt;Klisz_Verbräuche[[#Headers],[2028]],Refsz_Verbräuche[[#This Row],[2028]],"")))</f>
        <v/>
      </c>
      <c r="T191" s="57" t="str">
        <f>IF(Klisz_Verbräuche[[#Headers],[2029]]=$B$57,IF(COUNTIF($F191:Klisz_Verbräuche[[#This Row],[2028]],"&gt;0")&gt;0, AVERAGEIF($F191:Klisz_Verbräuche[[#This Row],[2028]],"&lt;&gt;"), ""),IF($B$57&lt;Klisz_Verbräuche[[#Headers],[2029]],IF(COUNTIF($F191:Klisz_Verbräuche[[#This Row],[2028]],"&gt;0")&gt;0,IF(COUNTIF($F191:Klisz_Verbräuche[[#This Row],[2028]],"&gt;0")&gt;0,Klisz_Verbräuche[[#This Row],[2028]]*(1-$E191)^1, ""), ""),IF($B$57&gt;Klisz_Verbräuche[[#Headers],[2029]],Refsz_Verbräuche[[#This Row],[2029]],"")))</f>
        <v/>
      </c>
      <c r="U191" s="57" t="str">
        <f>IF(Klisz_Verbräuche[[#Headers],[2030]]=$B$57,IF(COUNTIF($F191:Klisz_Verbräuche[[#This Row],[2029]],"&gt;0")&gt;0, AVERAGEIF($F191:Klisz_Verbräuche[[#This Row],[2029]],"&lt;&gt;"), ""),IF($B$57&lt;Klisz_Verbräuche[[#Headers],[2030]],IF(COUNTIF($F191:Klisz_Verbräuche[[#This Row],[2029]],"&gt;0")&gt;0,IF(COUNTIF($F191:Klisz_Verbräuche[[#This Row],[2029]],"&gt;0")&gt;0,Klisz_Verbräuche[[#This Row],[2029]]*(1-$E191)^1, ""), ""),IF($B$57&gt;Klisz_Verbräuche[[#Headers],[2030]],Refsz_Verbräuche[[#This Row],[2030]],"")))</f>
        <v/>
      </c>
      <c r="V191" s="57" t="str">
        <f>IF(Klisz_Verbräuche[[#Headers],[2035]]=$B$57,IF(COUNTIF($F191:Klisz_Verbräuche[[#This Row],[2030]],"&gt;0")&gt;0, AVERAGEIF($F191:Klisz_Verbräuche[[#This Row],[2030]],"&lt;&gt;"), ""),IF($B$57&lt;Klisz_Verbräuche[[#Headers],[2035]],IF(COUNTIF($F191:Klisz_Verbräuche[[#This Row],[2030]],"&gt;0")&gt;0,IF(COUNTIF($F191:Klisz_Verbräuche[[#This Row],[2030]],"&gt;0")&gt;0,Klisz_Verbräuche[[#This Row],[2030]]*(1-$E191)^5, ""), ""),IF($B$57&gt;Klisz_Verbräuche[[#Headers],[2035]],Refsz_Verbräuche[[#This Row],[2035]],"")))</f>
        <v/>
      </c>
      <c r="W191" s="57" t="str">
        <f>IF(Klisz_Verbräuche[[#Headers],[2040]]=$B$57,IF(COUNTIF($F191:Klisz_Verbräuche[[#This Row],[2035]],"&gt;0")&gt;0, AVERAGEIF($F191:Klisz_Verbräuche[[#This Row],[2035]],"&lt;&gt;"), ""),IF($B$57&lt;Klisz_Verbräuche[[#Headers],[2040]],IF(COUNTIF($F191:Klisz_Verbräuche[[#This Row],[2035]],"&gt;0")&gt;0,IF(COUNTIF($F191:Klisz_Verbräuche[[#This Row],[2035]],"&gt;0")&gt;0,Klisz_Verbräuche[[#This Row],[2035]]*(1-$E191)^5, ""), ""),IF($B$57&gt;Klisz_Verbräuche[[#Headers],[2040]],Refsz_Verbräuche[[#This Row],[2040]],"")))</f>
        <v/>
      </c>
      <c r="X191" s="57" t="str">
        <f>IF(Klisz_Verbräuche[[#Headers],[2045]]=$B$57,IF(COUNTIF($F191:Klisz_Verbräuche[[#This Row],[2040]],"&gt;0")&gt;0, AVERAGEIF($F191:Klisz_Verbräuche[[#This Row],[2040]],"&lt;&gt;"), ""),IF($B$57&lt;Klisz_Verbräuche[[#Headers],[2045]],IF(COUNTIF($F191:Klisz_Verbräuche[[#This Row],[2040]],"&gt;0")&gt;0,IF(COUNTIF($F191:Klisz_Verbräuche[[#This Row],[2040]],"&gt;0")&gt;0,Klisz_Verbräuche[[#This Row],[2040]]*(1-$E191)^5, ""), ""),IF($B$57&gt;Klisz_Verbräuche[[#Headers],[2045]],Refsz_Verbräuche[[#This Row],[2045]],"")))</f>
        <v/>
      </c>
      <c r="Y191" s="57" t="str">
        <f>IF(Klisz_Verbräuche[[#Headers],[2050]]=$B$57,IF(COUNTIF($F191:Klisz_Verbräuche[[#This Row],[2045]],"&gt;0")&gt;0, AVERAGEIF($F191:Klisz_Verbräuche[[#This Row],[2045]],"&lt;&gt;"), ""),IF($B$57&lt;Klisz_Verbräuche[[#Headers],[2050]],IF(COUNTIF($F191:Klisz_Verbräuche[[#This Row],[2045]],"&gt;0")&gt;0,IF(COUNTIF($F191:Klisz_Verbräuche[[#This Row],[2045]],"&gt;0")&gt;0,Klisz_Verbräuche[[#This Row],[2045]]*(1-$E191)^5, ""), ""),IF($B$57&gt;Klisz_Verbräuche[[#Headers],[2050]],Refsz_Verbräuche[[#This Row],[2050]],"")))</f>
        <v/>
      </c>
      <c r="Z191" s="15"/>
    </row>
    <row r="192" spans="2:26" x14ac:dyDescent="0.35">
      <c r="B192" s="15">
        <v>132</v>
      </c>
      <c r="C192" s="20" t="str">
        <f>Refsz_Verbräuche[[#This Row],[Datenpunkt]]</f>
        <v>Stahl-Blech verzinkt</v>
      </c>
      <c r="D192" s="29" t="str">
        <f>Refsz_Verbräuche[[#This Row],[Einheit]]</f>
        <v>kg</v>
      </c>
      <c r="E192" s="122"/>
      <c r="F192" s="15" t="str">
        <f>IF(ISBLANK(Refsz_Verbräuche[[#This Row],[2015]]),"",Refsz_Verbräuche[[#This Row],[2015]])</f>
        <v/>
      </c>
      <c r="G192" s="15" t="str">
        <f>IF(ISBLANK(Refsz_Verbräuche[[#This Row],[2016]]),"",Refsz_Verbräuche[[#This Row],[2016]])</f>
        <v/>
      </c>
      <c r="H192" s="15" t="str">
        <f>IF(ISBLANK(Refsz_Verbräuche[[#This Row],[2017]]),"",Refsz_Verbräuche[[#This Row],[2017]])</f>
        <v/>
      </c>
      <c r="I192" s="15" t="str">
        <f>IF(ISBLANK(Refsz_Verbräuche[[#This Row],[2018]]),"",Refsz_Verbräuche[[#This Row],[2018]])</f>
        <v/>
      </c>
      <c r="J192" s="15" t="str">
        <f>IF(ISBLANK(Refsz_Verbräuche[[#This Row],[2019]]),"",Refsz_Verbräuche[[#This Row],[2019]])</f>
        <v/>
      </c>
      <c r="K192" s="15" t="str">
        <f>IF(ISBLANK(Refsz_Verbräuche[[#This Row],[2020]]),"",Refsz_Verbräuche[[#This Row],[2020]])</f>
        <v/>
      </c>
      <c r="L192" s="15" t="str">
        <f>IF(ISBLANK(Refsz_Verbräuche[[#This Row],[2021]]),"",Refsz_Verbräuche[[#This Row],[2021]])</f>
        <v/>
      </c>
      <c r="M192" s="57" t="str">
        <f>IF(Klisz_Verbräuche[[#Headers],[2022]]=$B$57,IF(COUNTIF($F192:Klisz_Verbräuche[[#This Row],[2021]],"&gt;0")&gt;0, AVERAGEIF($F192:Klisz_Verbräuche[[#This Row],[2021]],"&lt;&gt;"), ""),IF($B$57&lt;Klisz_Verbräuche[[#Headers],[2022]],IF(COUNTIF($F192:Klisz_Verbräuche[[#This Row],[2021]],"&gt;0")&gt;0,IF(COUNTIF($F192:Klisz_Verbräuche[[#This Row],[2021]],"&gt;0")&gt;0,Klisz_Verbräuche[[#This Row],[2021]]*(1-$E192)^1, ""), ""),IF($B$57&gt;Klisz_Verbräuche[[#Headers],[2022]],Refsz_Verbräuche[[#This Row],[2022]],"")))</f>
        <v/>
      </c>
      <c r="N192" s="57" t="str">
        <f>IF(Klisz_Verbräuche[[#Headers],[2023]]=$B$57,IF(COUNTIF($F192:Klisz_Verbräuche[[#This Row],[2022]],"&gt;0")&gt;0, AVERAGEIF($F192:Klisz_Verbräuche[[#This Row],[2022]],"&lt;&gt;"), ""),IF($B$57&lt;Klisz_Verbräuche[[#Headers],[2023]],IF(COUNTIF($F192:Klisz_Verbräuche[[#This Row],[2022]],"&gt;0")&gt;0,IF(COUNTIF($F192:Klisz_Verbräuche[[#This Row],[2022]],"&gt;0")&gt;0,Klisz_Verbräuche[[#This Row],[2022]]*(1-$E192)^1, ""), ""),IF($B$57&gt;Klisz_Verbräuche[[#Headers],[2023]],Refsz_Verbräuche[[#This Row],[2023]],"")))</f>
        <v/>
      </c>
      <c r="O192" s="57" t="str">
        <f>IF(Klisz_Verbräuche[[#Headers],[2024]]=$B$57,IF(COUNTIF($F192:Klisz_Verbräuche[[#This Row],[2023]],"&gt;0")&gt;0, AVERAGEIF($F192:Klisz_Verbräuche[[#This Row],[2023]],"&lt;&gt;"), ""),IF($B$57&lt;Klisz_Verbräuche[[#Headers],[2024]],IF(COUNTIF($F192:Klisz_Verbräuche[[#This Row],[2023]],"&gt;0")&gt;0,IF(COUNTIF($F192:Klisz_Verbräuche[[#This Row],[2023]],"&gt;0")&gt;0,Klisz_Verbräuche[[#This Row],[2023]]*(1-$E192)^1, ""), ""),IF($B$57&gt;Klisz_Verbräuche[[#Headers],[2024]],Refsz_Verbräuche[[#This Row],[2024]],"")))</f>
        <v/>
      </c>
      <c r="P192" s="57" t="str">
        <f>IF(Klisz_Verbräuche[[#Headers],[2025]]=$B$57,IF(COUNTIF($F192:Klisz_Verbräuche[[#This Row],[2024]],"&gt;0")&gt;0, AVERAGEIF($F192:Klisz_Verbräuche[[#This Row],[2024]],"&lt;&gt;"), ""),IF($B$57&lt;Klisz_Verbräuche[[#Headers],[2025]],IF(COUNTIF($F192:Klisz_Verbräuche[[#This Row],[2024]],"&gt;0")&gt;0,IF(COUNTIF($F192:Klisz_Verbräuche[[#This Row],[2024]],"&gt;0")&gt;0,Klisz_Verbräuche[[#This Row],[2024]]*(1-$E192)^1, ""), ""),IF($B$57&gt;Klisz_Verbräuche[[#Headers],[2025]],Refsz_Verbräuche[[#This Row],[2025]],"")))</f>
        <v/>
      </c>
      <c r="Q192" s="57" t="str">
        <f>IF(Klisz_Verbräuche[[#Headers],[2026]]=$B$57,IF(COUNTIF($F192:Klisz_Verbräuche[[#This Row],[2025]],"&gt;0")&gt;0, AVERAGEIF($F192:Klisz_Verbräuche[[#This Row],[2025]],"&lt;&gt;"), ""),IF($B$57&lt;Klisz_Verbräuche[[#Headers],[2026]],IF(COUNTIF($F192:Klisz_Verbräuche[[#This Row],[2025]],"&gt;0")&gt;0,IF(COUNTIF($F192:Klisz_Verbräuche[[#This Row],[2025]],"&gt;0")&gt;0,Klisz_Verbräuche[[#This Row],[2025]]*(1-$E192)^1, ""), ""),IF($B$57&gt;Klisz_Verbräuche[[#Headers],[2026]],Refsz_Verbräuche[[#This Row],[2026]],"")))</f>
        <v/>
      </c>
      <c r="R192" s="57" t="str">
        <f>IF(Klisz_Verbräuche[[#Headers],[2027]]=$B$57,IF(COUNTIF($F192:Klisz_Verbräuche[[#This Row],[2026]],"&gt;0")&gt;0, AVERAGEIF($F192:Klisz_Verbräuche[[#This Row],[2026]],"&lt;&gt;"), ""),IF($B$57&lt;Klisz_Verbräuche[[#Headers],[2027]],IF(COUNTIF($F192:Klisz_Verbräuche[[#This Row],[2026]],"&gt;0")&gt;0,IF(COUNTIF($F192:Klisz_Verbräuche[[#This Row],[2026]],"&gt;0")&gt;0,Klisz_Verbräuche[[#This Row],[2026]]*(1-$E192)^1, ""), ""),IF($B$57&gt;Klisz_Verbräuche[[#Headers],[2027]],Refsz_Verbräuche[[#This Row],[2027]],"")))</f>
        <v/>
      </c>
      <c r="S192" s="57" t="str">
        <f>IF(Klisz_Verbräuche[[#Headers],[2028]]=$B$57,IF(COUNTIF($F192:Klisz_Verbräuche[[#This Row],[2027]],"&gt;0")&gt;0, AVERAGEIF($F192:Klisz_Verbräuche[[#This Row],[2027]],"&lt;&gt;"), ""),IF($B$57&lt;Klisz_Verbräuche[[#Headers],[2028]],IF(COUNTIF($F192:Klisz_Verbräuche[[#This Row],[2027]],"&gt;0")&gt;0,IF(COUNTIF($F192:Klisz_Verbräuche[[#This Row],[2027]],"&gt;0")&gt;0,Klisz_Verbräuche[[#This Row],[2027]]*(1-$E192)^1, ""), ""),IF($B$57&gt;Klisz_Verbräuche[[#Headers],[2028]],Refsz_Verbräuche[[#This Row],[2028]],"")))</f>
        <v/>
      </c>
      <c r="T192" s="57" t="str">
        <f>IF(Klisz_Verbräuche[[#Headers],[2029]]=$B$57,IF(COUNTIF($F192:Klisz_Verbräuche[[#This Row],[2028]],"&gt;0")&gt;0, AVERAGEIF($F192:Klisz_Verbräuche[[#This Row],[2028]],"&lt;&gt;"), ""),IF($B$57&lt;Klisz_Verbräuche[[#Headers],[2029]],IF(COUNTIF($F192:Klisz_Verbräuche[[#This Row],[2028]],"&gt;0")&gt;0,IF(COUNTIF($F192:Klisz_Verbräuche[[#This Row],[2028]],"&gt;0")&gt;0,Klisz_Verbräuche[[#This Row],[2028]]*(1-$E192)^1, ""), ""),IF($B$57&gt;Klisz_Verbräuche[[#Headers],[2029]],Refsz_Verbräuche[[#This Row],[2029]],"")))</f>
        <v/>
      </c>
      <c r="U192" s="57" t="str">
        <f>IF(Klisz_Verbräuche[[#Headers],[2030]]=$B$57,IF(COUNTIF($F192:Klisz_Verbräuche[[#This Row],[2029]],"&gt;0")&gt;0, AVERAGEIF($F192:Klisz_Verbräuche[[#This Row],[2029]],"&lt;&gt;"), ""),IF($B$57&lt;Klisz_Verbräuche[[#Headers],[2030]],IF(COUNTIF($F192:Klisz_Verbräuche[[#This Row],[2029]],"&gt;0")&gt;0,IF(COUNTIF($F192:Klisz_Verbräuche[[#This Row],[2029]],"&gt;0")&gt;0,Klisz_Verbräuche[[#This Row],[2029]]*(1-$E192)^1, ""), ""),IF($B$57&gt;Klisz_Verbräuche[[#Headers],[2030]],Refsz_Verbräuche[[#This Row],[2030]],"")))</f>
        <v/>
      </c>
      <c r="V192" s="57" t="str">
        <f>IF(Klisz_Verbräuche[[#Headers],[2035]]=$B$57,IF(COUNTIF($F192:Klisz_Verbräuche[[#This Row],[2030]],"&gt;0")&gt;0, AVERAGEIF($F192:Klisz_Verbräuche[[#This Row],[2030]],"&lt;&gt;"), ""),IF($B$57&lt;Klisz_Verbräuche[[#Headers],[2035]],IF(COUNTIF($F192:Klisz_Verbräuche[[#This Row],[2030]],"&gt;0")&gt;0,IF(COUNTIF($F192:Klisz_Verbräuche[[#This Row],[2030]],"&gt;0")&gt;0,Klisz_Verbräuche[[#This Row],[2030]]*(1-$E192)^5, ""), ""),IF($B$57&gt;Klisz_Verbräuche[[#Headers],[2035]],Refsz_Verbräuche[[#This Row],[2035]],"")))</f>
        <v/>
      </c>
      <c r="W192" s="57" t="str">
        <f>IF(Klisz_Verbräuche[[#Headers],[2040]]=$B$57,IF(COUNTIF($F192:Klisz_Verbräuche[[#This Row],[2035]],"&gt;0")&gt;0, AVERAGEIF($F192:Klisz_Verbräuche[[#This Row],[2035]],"&lt;&gt;"), ""),IF($B$57&lt;Klisz_Verbräuche[[#Headers],[2040]],IF(COUNTIF($F192:Klisz_Verbräuche[[#This Row],[2035]],"&gt;0")&gt;0,IF(COUNTIF($F192:Klisz_Verbräuche[[#This Row],[2035]],"&gt;0")&gt;0,Klisz_Verbräuche[[#This Row],[2035]]*(1-$E192)^5, ""), ""),IF($B$57&gt;Klisz_Verbräuche[[#Headers],[2040]],Refsz_Verbräuche[[#This Row],[2040]],"")))</f>
        <v/>
      </c>
      <c r="X192" s="57" t="str">
        <f>IF(Klisz_Verbräuche[[#Headers],[2045]]=$B$57,IF(COUNTIF($F192:Klisz_Verbräuche[[#This Row],[2040]],"&gt;0")&gt;0, AVERAGEIF($F192:Klisz_Verbräuche[[#This Row],[2040]],"&lt;&gt;"), ""),IF($B$57&lt;Klisz_Verbräuche[[#Headers],[2045]],IF(COUNTIF($F192:Klisz_Verbräuche[[#This Row],[2040]],"&gt;0")&gt;0,IF(COUNTIF($F192:Klisz_Verbräuche[[#This Row],[2040]],"&gt;0")&gt;0,Klisz_Verbräuche[[#This Row],[2040]]*(1-$E192)^5, ""), ""),IF($B$57&gt;Klisz_Verbräuche[[#Headers],[2045]],Refsz_Verbräuche[[#This Row],[2045]],"")))</f>
        <v/>
      </c>
      <c r="Y192" s="57" t="str">
        <f>IF(Klisz_Verbräuche[[#Headers],[2050]]=$B$57,IF(COUNTIF($F192:Klisz_Verbräuche[[#This Row],[2045]],"&gt;0")&gt;0, AVERAGEIF($F192:Klisz_Verbräuche[[#This Row],[2045]],"&lt;&gt;"), ""),IF($B$57&lt;Klisz_Verbräuche[[#Headers],[2050]],IF(COUNTIF($F192:Klisz_Verbräuche[[#This Row],[2045]],"&gt;0")&gt;0,IF(COUNTIF($F192:Klisz_Verbräuche[[#This Row],[2045]],"&gt;0")&gt;0,Klisz_Verbräuche[[#This Row],[2045]]*(1-$E192)^5, ""), ""),IF($B$57&gt;Klisz_Verbräuche[[#Headers],[2050]],Refsz_Verbräuche[[#This Row],[2050]],"")))</f>
        <v/>
      </c>
      <c r="Z192" s="15"/>
    </row>
    <row r="193" spans="2:26" x14ac:dyDescent="0.35">
      <c r="B193" s="15">
        <v>133</v>
      </c>
      <c r="C193" s="20" t="str">
        <f>Refsz_Verbräuche[[#This Row],[Datenpunkt]]</f>
        <v>Stahl-Elektro</v>
      </c>
      <c r="D193" s="29" t="str">
        <f>Refsz_Verbräuche[[#This Row],[Einheit]]</f>
        <v>kg</v>
      </c>
      <c r="E193" s="122"/>
      <c r="F193" s="15" t="str">
        <f>IF(ISBLANK(Refsz_Verbräuche[[#This Row],[2015]]),"",Refsz_Verbräuche[[#This Row],[2015]])</f>
        <v/>
      </c>
      <c r="G193" s="15" t="str">
        <f>IF(ISBLANK(Refsz_Verbräuche[[#This Row],[2016]]),"",Refsz_Verbräuche[[#This Row],[2016]])</f>
        <v/>
      </c>
      <c r="H193" s="15" t="str">
        <f>IF(ISBLANK(Refsz_Verbräuche[[#This Row],[2017]]),"",Refsz_Verbräuche[[#This Row],[2017]])</f>
        <v/>
      </c>
      <c r="I193" s="15" t="str">
        <f>IF(ISBLANK(Refsz_Verbräuche[[#This Row],[2018]]),"",Refsz_Verbräuche[[#This Row],[2018]])</f>
        <v/>
      </c>
      <c r="J193" s="15" t="str">
        <f>IF(ISBLANK(Refsz_Verbräuche[[#This Row],[2019]]),"",Refsz_Verbräuche[[#This Row],[2019]])</f>
        <v/>
      </c>
      <c r="K193" s="15" t="str">
        <f>IF(ISBLANK(Refsz_Verbräuche[[#This Row],[2020]]),"",Refsz_Verbräuche[[#This Row],[2020]])</f>
        <v/>
      </c>
      <c r="L193" s="15" t="str">
        <f>IF(ISBLANK(Refsz_Verbräuche[[#This Row],[2021]]),"",Refsz_Verbräuche[[#This Row],[2021]])</f>
        <v/>
      </c>
      <c r="M193" s="57" t="str">
        <f>IF(Klisz_Verbräuche[[#Headers],[2022]]=$B$57,IF(COUNTIF($F193:Klisz_Verbräuche[[#This Row],[2021]],"&gt;0")&gt;0, AVERAGEIF($F193:Klisz_Verbräuche[[#This Row],[2021]],"&lt;&gt;"), ""),IF($B$57&lt;Klisz_Verbräuche[[#Headers],[2022]],IF(COUNTIF($F193:Klisz_Verbräuche[[#This Row],[2021]],"&gt;0")&gt;0,IF(COUNTIF($F193:Klisz_Verbräuche[[#This Row],[2021]],"&gt;0")&gt;0,Klisz_Verbräuche[[#This Row],[2021]]*(1-$E193)^1, ""), ""),IF($B$57&gt;Klisz_Verbräuche[[#Headers],[2022]],Refsz_Verbräuche[[#This Row],[2022]],"")))</f>
        <v/>
      </c>
      <c r="N193" s="57" t="str">
        <f>IF(Klisz_Verbräuche[[#Headers],[2023]]=$B$57,IF(COUNTIF($F193:Klisz_Verbräuche[[#This Row],[2022]],"&gt;0")&gt;0, AVERAGEIF($F193:Klisz_Verbräuche[[#This Row],[2022]],"&lt;&gt;"), ""),IF($B$57&lt;Klisz_Verbräuche[[#Headers],[2023]],IF(COUNTIF($F193:Klisz_Verbräuche[[#This Row],[2022]],"&gt;0")&gt;0,IF(COUNTIF($F193:Klisz_Verbräuche[[#This Row],[2022]],"&gt;0")&gt;0,Klisz_Verbräuche[[#This Row],[2022]]*(1-$E193)^1, ""), ""),IF($B$57&gt;Klisz_Verbräuche[[#Headers],[2023]],Refsz_Verbräuche[[#This Row],[2023]],"")))</f>
        <v/>
      </c>
      <c r="O193" s="57" t="str">
        <f>IF(Klisz_Verbräuche[[#Headers],[2024]]=$B$57,IF(COUNTIF($F193:Klisz_Verbräuche[[#This Row],[2023]],"&gt;0")&gt;0, AVERAGEIF($F193:Klisz_Verbräuche[[#This Row],[2023]],"&lt;&gt;"), ""),IF($B$57&lt;Klisz_Verbräuche[[#Headers],[2024]],IF(COUNTIF($F193:Klisz_Verbräuche[[#This Row],[2023]],"&gt;0")&gt;0,IF(COUNTIF($F193:Klisz_Verbräuche[[#This Row],[2023]],"&gt;0")&gt;0,Klisz_Verbräuche[[#This Row],[2023]]*(1-$E193)^1, ""), ""),IF($B$57&gt;Klisz_Verbräuche[[#Headers],[2024]],Refsz_Verbräuche[[#This Row],[2024]],"")))</f>
        <v/>
      </c>
      <c r="P193" s="57" t="str">
        <f>IF(Klisz_Verbräuche[[#Headers],[2025]]=$B$57,IF(COUNTIF($F193:Klisz_Verbräuche[[#This Row],[2024]],"&gt;0")&gt;0, AVERAGEIF($F193:Klisz_Verbräuche[[#This Row],[2024]],"&lt;&gt;"), ""),IF($B$57&lt;Klisz_Verbräuche[[#Headers],[2025]],IF(COUNTIF($F193:Klisz_Verbräuche[[#This Row],[2024]],"&gt;0")&gt;0,IF(COUNTIF($F193:Klisz_Verbräuche[[#This Row],[2024]],"&gt;0")&gt;0,Klisz_Verbräuche[[#This Row],[2024]]*(1-$E193)^1, ""), ""),IF($B$57&gt;Klisz_Verbräuche[[#Headers],[2025]],Refsz_Verbräuche[[#This Row],[2025]],"")))</f>
        <v/>
      </c>
      <c r="Q193" s="57" t="str">
        <f>IF(Klisz_Verbräuche[[#Headers],[2026]]=$B$57,IF(COUNTIF($F193:Klisz_Verbräuche[[#This Row],[2025]],"&gt;0")&gt;0, AVERAGEIF($F193:Klisz_Verbräuche[[#This Row],[2025]],"&lt;&gt;"), ""),IF($B$57&lt;Klisz_Verbräuche[[#Headers],[2026]],IF(COUNTIF($F193:Klisz_Verbräuche[[#This Row],[2025]],"&gt;0")&gt;0,IF(COUNTIF($F193:Klisz_Verbräuche[[#This Row],[2025]],"&gt;0")&gt;0,Klisz_Verbräuche[[#This Row],[2025]]*(1-$E193)^1, ""), ""),IF($B$57&gt;Klisz_Verbräuche[[#Headers],[2026]],Refsz_Verbräuche[[#This Row],[2026]],"")))</f>
        <v/>
      </c>
      <c r="R193" s="57" t="str">
        <f>IF(Klisz_Verbräuche[[#Headers],[2027]]=$B$57,IF(COUNTIF($F193:Klisz_Verbräuche[[#This Row],[2026]],"&gt;0")&gt;0, AVERAGEIF($F193:Klisz_Verbräuche[[#This Row],[2026]],"&lt;&gt;"), ""),IF($B$57&lt;Klisz_Verbräuche[[#Headers],[2027]],IF(COUNTIF($F193:Klisz_Verbräuche[[#This Row],[2026]],"&gt;0")&gt;0,IF(COUNTIF($F193:Klisz_Verbräuche[[#This Row],[2026]],"&gt;0")&gt;0,Klisz_Verbräuche[[#This Row],[2026]]*(1-$E193)^1, ""), ""),IF($B$57&gt;Klisz_Verbräuche[[#Headers],[2027]],Refsz_Verbräuche[[#This Row],[2027]],"")))</f>
        <v/>
      </c>
      <c r="S193" s="57" t="str">
        <f>IF(Klisz_Verbräuche[[#Headers],[2028]]=$B$57,IF(COUNTIF($F193:Klisz_Verbräuche[[#This Row],[2027]],"&gt;0")&gt;0, AVERAGEIF($F193:Klisz_Verbräuche[[#This Row],[2027]],"&lt;&gt;"), ""),IF($B$57&lt;Klisz_Verbräuche[[#Headers],[2028]],IF(COUNTIF($F193:Klisz_Verbräuche[[#This Row],[2027]],"&gt;0")&gt;0,IF(COUNTIF($F193:Klisz_Verbräuche[[#This Row],[2027]],"&gt;0")&gt;0,Klisz_Verbräuche[[#This Row],[2027]]*(1-$E193)^1, ""), ""),IF($B$57&gt;Klisz_Verbräuche[[#Headers],[2028]],Refsz_Verbräuche[[#This Row],[2028]],"")))</f>
        <v/>
      </c>
      <c r="T193" s="57" t="str">
        <f>IF(Klisz_Verbräuche[[#Headers],[2029]]=$B$57,IF(COUNTIF($F193:Klisz_Verbräuche[[#This Row],[2028]],"&gt;0")&gt;0, AVERAGEIF($F193:Klisz_Verbräuche[[#This Row],[2028]],"&lt;&gt;"), ""),IF($B$57&lt;Klisz_Verbräuche[[#Headers],[2029]],IF(COUNTIF($F193:Klisz_Verbräuche[[#This Row],[2028]],"&gt;0")&gt;0,IF(COUNTIF($F193:Klisz_Verbräuche[[#This Row],[2028]],"&gt;0")&gt;0,Klisz_Verbräuche[[#This Row],[2028]]*(1-$E193)^1, ""), ""),IF($B$57&gt;Klisz_Verbräuche[[#Headers],[2029]],Refsz_Verbräuche[[#This Row],[2029]],"")))</f>
        <v/>
      </c>
      <c r="U193" s="57" t="str">
        <f>IF(Klisz_Verbräuche[[#Headers],[2030]]=$B$57,IF(COUNTIF($F193:Klisz_Verbräuche[[#This Row],[2029]],"&gt;0")&gt;0, AVERAGEIF($F193:Klisz_Verbräuche[[#This Row],[2029]],"&lt;&gt;"), ""),IF($B$57&lt;Klisz_Verbräuche[[#Headers],[2030]],IF(COUNTIF($F193:Klisz_Verbräuche[[#This Row],[2029]],"&gt;0")&gt;0,IF(COUNTIF($F193:Klisz_Verbräuche[[#This Row],[2029]],"&gt;0")&gt;0,Klisz_Verbräuche[[#This Row],[2029]]*(1-$E193)^1, ""), ""),IF($B$57&gt;Klisz_Verbräuche[[#Headers],[2030]],Refsz_Verbräuche[[#This Row],[2030]],"")))</f>
        <v/>
      </c>
      <c r="V193" s="57" t="str">
        <f>IF(Klisz_Verbräuche[[#Headers],[2035]]=$B$57,IF(COUNTIF($F193:Klisz_Verbräuche[[#This Row],[2030]],"&gt;0")&gt;0, AVERAGEIF($F193:Klisz_Verbräuche[[#This Row],[2030]],"&lt;&gt;"), ""),IF($B$57&lt;Klisz_Verbräuche[[#Headers],[2035]],IF(COUNTIF($F193:Klisz_Verbräuche[[#This Row],[2030]],"&gt;0")&gt;0,IF(COUNTIF($F193:Klisz_Verbräuche[[#This Row],[2030]],"&gt;0")&gt;0,Klisz_Verbräuche[[#This Row],[2030]]*(1-$E193)^5, ""), ""),IF($B$57&gt;Klisz_Verbräuche[[#Headers],[2035]],Refsz_Verbräuche[[#This Row],[2035]],"")))</f>
        <v/>
      </c>
      <c r="W193" s="57" t="str">
        <f>IF(Klisz_Verbräuche[[#Headers],[2040]]=$B$57,IF(COUNTIF($F193:Klisz_Verbräuche[[#This Row],[2035]],"&gt;0")&gt;0, AVERAGEIF($F193:Klisz_Verbräuche[[#This Row],[2035]],"&lt;&gt;"), ""),IF($B$57&lt;Klisz_Verbräuche[[#Headers],[2040]],IF(COUNTIF($F193:Klisz_Verbräuche[[#This Row],[2035]],"&gt;0")&gt;0,IF(COUNTIF($F193:Klisz_Verbräuche[[#This Row],[2035]],"&gt;0")&gt;0,Klisz_Verbräuche[[#This Row],[2035]]*(1-$E193)^5, ""), ""),IF($B$57&gt;Klisz_Verbräuche[[#Headers],[2040]],Refsz_Verbräuche[[#This Row],[2040]],"")))</f>
        <v/>
      </c>
      <c r="X193" s="57" t="str">
        <f>IF(Klisz_Verbräuche[[#Headers],[2045]]=$B$57,IF(COUNTIF($F193:Klisz_Verbräuche[[#This Row],[2040]],"&gt;0")&gt;0, AVERAGEIF($F193:Klisz_Verbräuche[[#This Row],[2040]],"&lt;&gt;"), ""),IF($B$57&lt;Klisz_Verbräuche[[#Headers],[2045]],IF(COUNTIF($F193:Klisz_Verbräuche[[#This Row],[2040]],"&gt;0")&gt;0,IF(COUNTIF($F193:Klisz_Verbräuche[[#This Row],[2040]],"&gt;0")&gt;0,Klisz_Verbräuche[[#This Row],[2040]]*(1-$E193)^5, ""), ""),IF($B$57&gt;Klisz_Verbräuche[[#Headers],[2045]],Refsz_Verbräuche[[#This Row],[2045]],"")))</f>
        <v/>
      </c>
      <c r="Y193" s="57" t="str">
        <f>IF(Klisz_Verbräuche[[#Headers],[2050]]=$B$57,IF(COUNTIF($F193:Klisz_Verbräuche[[#This Row],[2045]],"&gt;0")&gt;0, AVERAGEIF($F193:Klisz_Verbräuche[[#This Row],[2045]],"&lt;&gt;"), ""),IF($B$57&lt;Klisz_Verbräuche[[#Headers],[2050]],IF(COUNTIF($F193:Klisz_Verbräuche[[#This Row],[2045]],"&gt;0")&gt;0,IF(COUNTIF($F193:Klisz_Verbräuche[[#This Row],[2045]],"&gt;0")&gt;0,Klisz_Verbräuche[[#This Row],[2045]]*(1-$E193)^5, ""), ""),IF($B$57&gt;Klisz_Verbräuche[[#Headers],[2050]],Refsz_Verbräuche[[#This Row],[2050]],"")))</f>
        <v/>
      </c>
      <c r="Z193" s="15"/>
    </row>
    <row r="194" spans="2:26" x14ac:dyDescent="0.35">
      <c r="B194" s="15">
        <v>134</v>
      </c>
      <c r="C194" s="20" t="str">
        <f>Refsz_Verbräuche[[#This Row],[Datenpunkt]]</f>
        <v>Stahl-mix</v>
      </c>
      <c r="D194" s="29" t="str">
        <f>Refsz_Verbräuche[[#This Row],[Einheit]]</f>
        <v>kg</v>
      </c>
      <c r="E194" s="122"/>
      <c r="F194" s="15" t="str">
        <f>IF(ISBLANK(Refsz_Verbräuche[[#This Row],[2015]]),"",Refsz_Verbräuche[[#This Row],[2015]])</f>
        <v/>
      </c>
      <c r="G194" s="15" t="str">
        <f>IF(ISBLANK(Refsz_Verbräuche[[#This Row],[2016]]),"",Refsz_Verbräuche[[#This Row],[2016]])</f>
        <v/>
      </c>
      <c r="H194" s="15" t="str">
        <f>IF(ISBLANK(Refsz_Verbräuche[[#This Row],[2017]]),"",Refsz_Verbräuche[[#This Row],[2017]])</f>
        <v/>
      </c>
      <c r="I194" s="15" t="str">
        <f>IF(ISBLANK(Refsz_Verbräuche[[#This Row],[2018]]),"",Refsz_Verbräuche[[#This Row],[2018]])</f>
        <v/>
      </c>
      <c r="J194" s="15" t="str">
        <f>IF(ISBLANK(Refsz_Verbräuche[[#This Row],[2019]]),"",Refsz_Verbräuche[[#This Row],[2019]])</f>
        <v/>
      </c>
      <c r="K194" s="15" t="str">
        <f>IF(ISBLANK(Refsz_Verbräuche[[#This Row],[2020]]),"",Refsz_Verbräuche[[#This Row],[2020]])</f>
        <v/>
      </c>
      <c r="L194" s="15" t="str">
        <f>IF(ISBLANK(Refsz_Verbräuche[[#This Row],[2021]]),"",Refsz_Verbräuche[[#This Row],[2021]])</f>
        <v/>
      </c>
      <c r="M194" s="57" t="str">
        <f>IF(Klisz_Verbräuche[[#Headers],[2022]]=$B$57,IF(COUNTIF($F194:Klisz_Verbräuche[[#This Row],[2021]],"&gt;0")&gt;0, AVERAGEIF($F194:Klisz_Verbräuche[[#This Row],[2021]],"&lt;&gt;"), ""),IF($B$57&lt;Klisz_Verbräuche[[#Headers],[2022]],IF(COUNTIF($F194:Klisz_Verbräuche[[#This Row],[2021]],"&gt;0")&gt;0,IF(COUNTIF($F194:Klisz_Verbräuche[[#This Row],[2021]],"&gt;0")&gt;0,Klisz_Verbräuche[[#This Row],[2021]]*(1-$E194)^1, ""), ""),IF($B$57&gt;Klisz_Verbräuche[[#Headers],[2022]],Refsz_Verbräuche[[#This Row],[2022]],"")))</f>
        <v/>
      </c>
      <c r="N194" s="57" t="str">
        <f>IF(Klisz_Verbräuche[[#Headers],[2023]]=$B$57,IF(COUNTIF($F194:Klisz_Verbräuche[[#This Row],[2022]],"&gt;0")&gt;0, AVERAGEIF($F194:Klisz_Verbräuche[[#This Row],[2022]],"&lt;&gt;"), ""),IF($B$57&lt;Klisz_Verbräuche[[#Headers],[2023]],IF(COUNTIF($F194:Klisz_Verbräuche[[#This Row],[2022]],"&gt;0")&gt;0,IF(COUNTIF($F194:Klisz_Verbräuche[[#This Row],[2022]],"&gt;0")&gt;0,Klisz_Verbräuche[[#This Row],[2022]]*(1-$E194)^1, ""), ""),IF($B$57&gt;Klisz_Verbräuche[[#Headers],[2023]],Refsz_Verbräuche[[#This Row],[2023]],"")))</f>
        <v/>
      </c>
      <c r="O194" s="57" t="str">
        <f>IF(Klisz_Verbräuche[[#Headers],[2024]]=$B$57,IF(COUNTIF($F194:Klisz_Verbräuche[[#This Row],[2023]],"&gt;0")&gt;0, AVERAGEIF($F194:Klisz_Verbräuche[[#This Row],[2023]],"&lt;&gt;"), ""),IF($B$57&lt;Klisz_Verbräuche[[#Headers],[2024]],IF(COUNTIF($F194:Klisz_Verbräuche[[#This Row],[2023]],"&gt;0")&gt;0,IF(COUNTIF($F194:Klisz_Verbräuche[[#This Row],[2023]],"&gt;0")&gt;0,Klisz_Verbräuche[[#This Row],[2023]]*(1-$E194)^1, ""), ""),IF($B$57&gt;Klisz_Verbräuche[[#Headers],[2024]],Refsz_Verbräuche[[#This Row],[2024]],"")))</f>
        <v/>
      </c>
      <c r="P194" s="57" t="str">
        <f>IF(Klisz_Verbräuche[[#Headers],[2025]]=$B$57,IF(COUNTIF($F194:Klisz_Verbräuche[[#This Row],[2024]],"&gt;0")&gt;0, AVERAGEIF($F194:Klisz_Verbräuche[[#This Row],[2024]],"&lt;&gt;"), ""),IF($B$57&lt;Klisz_Verbräuche[[#Headers],[2025]],IF(COUNTIF($F194:Klisz_Verbräuche[[#This Row],[2024]],"&gt;0")&gt;0,IF(COUNTIF($F194:Klisz_Verbräuche[[#This Row],[2024]],"&gt;0")&gt;0,Klisz_Verbräuche[[#This Row],[2024]]*(1-$E194)^1, ""), ""),IF($B$57&gt;Klisz_Verbräuche[[#Headers],[2025]],Refsz_Verbräuche[[#This Row],[2025]],"")))</f>
        <v/>
      </c>
      <c r="Q194" s="57" t="str">
        <f>IF(Klisz_Verbräuche[[#Headers],[2026]]=$B$57,IF(COUNTIF($F194:Klisz_Verbräuche[[#This Row],[2025]],"&gt;0")&gt;0, AVERAGEIF($F194:Klisz_Verbräuche[[#This Row],[2025]],"&lt;&gt;"), ""),IF($B$57&lt;Klisz_Verbräuche[[#Headers],[2026]],IF(COUNTIF($F194:Klisz_Verbräuche[[#This Row],[2025]],"&gt;0")&gt;0,IF(COUNTIF($F194:Klisz_Verbräuche[[#This Row],[2025]],"&gt;0")&gt;0,Klisz_Verbräuche[[#This Row],[2025]]*(1-$E194)^1, ""), ""),IF($B$57&gt;Klisz_Verbräuche[[#Headers],[2026]],Refsz_Verbräuche[[#This Row],[2026]],"")))</f>
        <v/>
      </c>
      <c r="R194" s="57" t="str">
        <f>IF(Klisz_Verbräuche[[#Headers],[2027]]=$B$57,IF(COUNTIF($F194:Klisz_Verbräuche[[#This Row],[2026]],"&gt;0")&gt;0, AVERAGEIF($F194:Klisz_Verbräuche[[#This Row],[2026]],"&lt;&gt;"), ""),IF($B$57&lt;Klisz_Verbräuche[[#Headers],[2027]],IF(COUNTIF($F194:Klisz_Verbräuche[[#This Row],[2026]],"&gt;0")&gt;0,IF(COUNTIF($F194:Klisz_Verbräuche[[#This Row],[2026]],"&gt;0")&gt;0,Klisz_Verbräuche[[#This Row],[2026]]*(1-$E194)^1, ""), ""),IF($B$57&gt;Klisz_Verbräuche[[#Headers],[2027]],Refsz_Verbräuche[[#This Row],[2027]],"")))</f>
        <v/>
      </c>
      <c r="S194" s="57" t="str">
        <f>IF(Klisz_Verbräuche[[#Headers],[2028]]=$B$57,IF(COUNTIF($F194:Klisz_Verbräuche[[#This Row],[2027]],"&gt;0")&gt;0, AVERAGEIF($F194:Klisz_Verbräuche[[#This Row],[2027]],"&lt;&gt;"), ""),IF($B$57&lt;Klisz_Verbräuche[[#Headers],[2028]],IF(COUNTIF($F194:Klisz_Verbräuche[[#This Row],[2027]],"&gt;0")&gt;0,IF(COUNTIF($F194:Klisz_Verbräuche[[#This Row],[2027]],"&gt;0")&gt;0,Klisz_Verbräuche[[#This Row],[2027]]*(1-$E194)^1, ""), ""),IF($B$57&gt;Klisz_Verbräuche[[#Headers],[2028]],Refsz_Verbräuche[[#This Row],[2028]],"")))</f>
        <v/>
      </c>
      <c r="T194" s="57" t="str">
        <f>IF(Klisz_Verbräuche[[#Headers],[2029]]=$B$57,IF(COUNTIF($F194:Klisz_Verbräuche[[#This Row],[2028]],"&gt;0")&gt;0, AVERAGEIF($F194:Klisz_Verbräuche[[#This Row],[2028]],"&lt;&gt;"), ""),IF($B$57&lt;Klisz_Verbräuche[[#Headers],[2029]],IF(COUNTIF($F194:Klisz_Verbräuche[[#This Row],[2028]],"&gt;0")&gt;0,IF(COUNTIF($F194:Klisz_Verbräuche[[#This Row],[2028]],"&gt;0")&gt;0,Klisz_Verbräuche[[#This Row],[2028]]*(1-$E194)^1, ""), ""),IF($B$57&gt;Klisz_Verbräuche[[#Headers],[2029]],Refsz_Verbräuche[[#This Row],[2029]],"")))</f>
        <v/>
      </c>
      <c r="U194" s="57" t="str">
        <f>IF(Klisz_Verbräuche[[#Headers],[2030]]=$B$57,IF(COUNTIF($F194:Klisz_Verbräuche[[#This Row],[2029]],"&gt;0")&gt;0, AVERAGEIF($F194:Klisz_Verbräuche[[#This Row],[2029]],"&lt;&gt;"), ""),IF($B$57&lt;Klisz_Verbräuche[[#Headers],[2030]],IF(COUNTIF($F194:Klisz_Verbräuche[[#This Row],[2029]],"&gt;0")&gt;0,IF(COUNTIF($F194:Klisz_Verbräuche[[#This Row],[2029]],"&gt;0")&gt;0,Klisz_Verbräuche[[#This Row],[2029]]*(1-$E194)^1, ""), ""),IF($B$57&gt;Klisz_Verbräuche[[#Headers],[2030]],Refsz_Verbräuche[[#This Row],[2030]],"")))</f>
        <v/>
      </c>
      <c r="V194" s="57" t="str">
        <f>IF(Klisz_Verbräuche[[#Headers],[2035]]=$B$57,IF(COUNTIF($F194:Klisz_Verbräuche[[#This Row],[2030]],"&gt;0")&gt;0, AVERAGEIF($F194:Klisz_Verbräuche[[#This Row],[2030]],"&lt;&gt;"), ""),IF($B$57&lt;Klisz_Verbräuche[[#Headers],[2035]],IF(COUNTIF($F194:Klisz_Verbräuche[[#This Row],[2030]],"&gt;0")&gt;0,IF(COUNTIF($F194:Klisz_Verbräuche[[#This Row],[2030]],"&gt;0")&gt;0,Klisz_Verbräuche[[#This Row],[2030]]*(1-$E194)^5, ""), ""),IF($B$57&gt;Klisz_Verbräuche[[#Headers],[2035]],Refsz_Verbräuche[[#This Row],[2035]],"")))</f>
        <v/>
      </c>
      <c r="W194" s="57" t="str">
        <f>IF(Klisz_Verbräuche[[#Headers],[2040]]=$B$57,IF(COUNTIF($F194:Klisz_Verbräuche[[#This Row],[2035]],"&gt;0")&gt;0, AVERAGEIF($F194:Klisz_Verbräuche[[#This Row],[2035]],"&lt;&gt;"), ""),IF($B$57&lt;Klisz_Verbräuche[[#Headers],[2040]],IF(COUNTIF($F194:Klisz_Verbräuche[[#This Row],[2035]],"&gt;0")&gt;0,IF(COUNTIF($F194:Klisz_Verbräuche[[#This Row],[2035]],"&gt;0")&gt;0,Klisz_Verbräuche[[#This Row],[2035]]*(1-$E194)^5, ""), ""),IF($B$57&gt;Klisz_Verbräuche[[#Headers],[2040]],Refsz_Verbräuche[[#This Row],[2040]],"")))</f>
        <v/>
      </c>
      <c r="X194" s="57" t="str">
        <f>IF(Klisz_Verbräuche[[#Headers],[2045]]=$B$57,IF(COUNTIF($F194:Klisz_Verbräuche[[#This Row],[2040]],"&gt;0")&gt;0, AVERAGEIF($F194:Klisz_Verbräuche[[#This Row],[2040]],"&lt;&gt;"), ""),IF($B$57&lt;Klisz_Verbräuche[[#Headers],[2045]],IF(COUNTIF($F194:Klisz_Verbräuche[[#This Row],[2040]],"&gt;0")&gt;0,IF(COUNTIF($F194:Klisz_Verbräuche[[#This Row],[2040]],"&gt;0")&gt;0,Klisz_Verbräuche[[#This Row],[2040]]*(1-$E194)^5, ""), ""),IF($B$57&gt;Klisz_Verbräuche[[#Headers],[2045]],Refsz_Verbräuche[[#This Row],[2045]],"")))</f>
        <v/>
      </c>
      <c r="Y194" s="57" t="str">
        <f>IF(Klisz_Verbräuche[[#Headers],[2050]]=$B$57,IF(COUNTIF($F194:Klisz_Verbräuche[[#This Row],[2045]],"&gt;0")&gt;0, AVERAGEIF($F194:Klisz_Verbräuche[[#This Row],[2045]],"&lt;&gt;"), ""),IF($B$57&lt;Klisz_Verbräuche[[#Headers],[2050]],IF(COUNTIF($F194:Klisz_Verbräuche[[#This Row],[2045]],"&gt;0")&gt;0,IF(COUNTIF($F194:Klisz_Verbräuche[[#This Row],[2045]],"&gt;0")&gt;0,Klisz_Verbräuche[[#This Row],[2045]]*(1-$E194)^5, ""), ""),IF($B$57&gt;Klisz_Verbräuche[[#Headers],[2050]],Refsz_Verbräuche[[#This Row],[2050]],"")))</f>
        <v/>
      </c>
      <c r="Z194" s="15"/>
    </row>
    <row r="195" spans="2:26" x14ac:dyDescent="0.35">
      <c r="B195" s="15">
        <v>135</v>
      </c>
      <c r="C195" s="20" t="str">
        <f>Refsz_Verbräuche[[#This Row],[Datenpunkt]]</f>
        <v>Beton</v>
      </c>
      <c r="D195" s="29" t="str">
        <f>Refsz_Verbräuche[[#This Row],[Einheit]]</f>
        <v>kg</v>
      </c>
      <c r="E195" s="122"/>
      <c r="F195" s="15" t="str">
        <f>IF(ISBLANK(Refsz_Verbräuche[[#This Row],[2015]]),"",Refsz_Verbräuche[[#This Row],[2015]])</f>
        <v/>
      </c>
      <c r="G195" s="15" t="str">
        <f>IF(ISBLANK(Refsz_Verbräuche[[#This Row],[2016]]),"",Refsz_Verbräuche[[#This Row],[2016]])</f>
        <v/>
      </c>
      <c r="H195" s="15" t="str">
        <f>IF(ISBLANK(Refsz_Verbräuche[[#This Row],[2017]]),"",Refsz_Verbräuche[[#This Row],[2017]])</f>
        <v/>
      </c>
      <c r="I195" s="15" t="str">
        <f>IF(ISBLANK(Refsz_Verbräuche[[#This Row],[2018]]),"",Refsz_Verbräuche[[#This Row],[2018]])</f>
        <v/>
      </c>
      <c r="J195" s="15" t="str">
        <f>IF(ISBLANK(Refsz_Verbräuche[[#This Row],[2019]]),"",Refsz_Verbräuche[[#This Row],[2019]])</f>
        <v/>
      </c>
      <c r="K195" s="15" t="str">
        <f>IF(ISBLANK(Refsz_Verbräuche[[#This Row],[2020]]),"",Refsz_Verbräuche[[#This Row],[2020]])</f>
        <v/>
      </c>
      <c r="L195" s="15" t="str">
        <f>IF(ISBLANK(Refsz_Verbräuche[[#This Row],[2021]]),"",Refsz_Verbräuche[[#This Row],[2021]])</f>
        <v/>
      </c>
      <c r="M195" s="57" t="str">
        <f>IF(Klisz_Verbräuche[[#Headers],[2022]]=$B$57,IF(COUNTIF($F195:Klisz_Verbräuche[[#This Row],[2021]],"&gt;0")&gt;0, AVERAGEIF($F195:Klisz_Verbräuche[[#This Row],[2021]],"&lt;&gt;"), ""),IF($B$57&lt;Klisz_Verbräuche[[#Headers],[2022]],IF(COUNTIF($F195:Klisz_Verbräuche[[#This Row],[2021]],"&gt;0")&gt;0,IF(COUNTIF($F195:Klisz_Verbräuche[[#This Row],[2021]],"&gt;0")&gt;0,Klisz_Verbräuche[[#This Row],[2021]]*(1-$E195)^1, ""), ""),IF($B$57&gt;Klisz_Verbräuche[[#Headers],[2022]],Refsz_Verbräuche[[#This Row],[2022]],"")))</f>
        <v/>
      </c>
      <c r="N195" s="57" t="str">
        <f>IF(Klisz_Verbräuche[[#Headers],[2023]]=$B$57,IF(COUNTIF($F195:Klisz_Verbräuche[[#This Row],[2022]],"&gt;0")&gt;0, AVERAGEIF($F195:Klisz_Verbräuche[[#This Row],[2022]],"&lt;&gt;"), ""),IF($B$57&lt;Klisz_Verbräuche[[#Headers],[2023]],IF(COUNTIF($F195:Klisz_Verbräuche[[#This Row],[2022]],"&gt;0")&gt;0,IF(COUNTIF($F195:Klisz_Verbräuche[[#This Row],[2022]],"&gt;0")&gt;0,Klisz_Verbräuche[[#This Row],[2022]]*(1-$E195)^1, ""), ""),IF($B$57&gt;Klisz_Verbräuche[[#Headers],[2023]],Refsz_Verbräuche[[#This Row],[2023]],"")))</f>
        <v/>
      </c>
      <c r="O195" s="57" t="str">
        <f>IF(Klisz_Verbräuche[[#Headers],[2024]]=$B$57,IF(COUNTIF($F195:Klisz_Verbräuche[[#This Row],[2023]],"&gt;0")&gt;0, AVERAGEIF($F195:Klisz_Verbräuche[[#This Row],[2023]],"&lt;&gt;"), ""),IF($B$57&lt;Klisz_Verbräuche[[#Headers],[2024]],IF(COUNTIF($F195:Klisz_Verbräuche[[#This Row],[2023]],"&gt;0")&gt;0,IF(COUNTIF($F195:Klisz_Verbräuche[[#This Row],[2023]],"&gt;0")&gt;0,Klisz_Verbräuche[[#This Row],[2023]]*(1-$E195)^1, ""), ""),IF($B$57&gt;Klisz_Verbräuche[[#Headers],[2024]],Refsz_Verbräuche[[#This Row],[2024]],"")))</f>
        <v/>
      </c>
      <c r="P195" s="57" t="str">
        <f>IF(Klisz_Verbräuche[[#Headers],[2025]]=$B$57,IF(COUNTIF($F195:Klisz_Verbräuche[[#This Row],[2024]],"&gt;0")&gt;0, AVERAGEIF($F195:Klisz_Verbräuche[[#This Row],[2024]],"&lt;&gt;"), ""),IF($B$57&lt;Klisz_Verbräuche[[#Headers],[2025]],IF(COUNTIF($F195:Klisz_Verbräuche[[#This Row],[2024]],"&gt;0")&gt;0,IF(COUNTIF($F195:Klisz_Verbräuche[[#This Row],[2024]],"&gt;0")&gt;0,Klisz_Verbräuche[[#This Row],[2024]]*(1-$E195)^1, ""), ""),IF($B$57&gt;Klisz_Verbräuche[[#Headers],[2025]],Refsz_Verbräuche[[#This Row],[2025]],"")))</f>
        <v/>
      </c>
      <c r="Q195" s="57" t="str">
        <f>IF(Klisz_Verbräuche[[#Headers],[2026]]=$B$57,IF(COUNTIF($F195:Klisz_Verbräuche[[#This Row],[2025]],"&gt;0")&gt;0, AVERAGEIF($F195:Klisz_Verbräuche[[#This Row],[2025]],"&lt;&gt;"), ""),IF($B$57&lt;Klisz_Verbräuche[[#Headers],[2026]],IF(COUNTIF($F195:Klisz_Verbräuche[[#This Row],[2025]],"&gt;0")&gt;0,IF(COUNTIF($F195:Klisz_Verbräuche[[#This Row],[2025]],"&gt;0")&gt;0,Klisz_Verbräuche[[#This Row],[2025]]*(1-$E195)^1, ""), ""),IF($B$57&gt;Klisz_Verbräuche[[#Headers],[2026]],Refsz_Verbräuche[[#This Row],[2026]],"")))</f>
        <v/>
      </c>
      <c r="R195" s="57" t="str">
        <f>IF(Klisz_Verbräuche[[#Headers],[2027]]=$B$57,IF(COUNTIF($F195:Klisz_Verbräuche[[#This Row],[2026]],"&gt;0")&gt;0, AVERAGEIF($F195:Klisz_Verbräuche[[#This Row],[2026]],"&lt;&gt;"), ""),IF($B$57&lt;Klisz_Verbräuche[[#Headers],[2027]],IF(COUNTIF($F195:Klisz_Verbräuche[[#This Row],[2026]],"&gt;0")&gt;0,IF(COUNTIF($F195:Klisz_Verbräuche[[#This Row],[2026]],"&gt;0")&gt;0,Klisz_Verbräuche[[#This Row],[2026]]*(1-$E195)^1, ""), ""),IF($B$57&gt;Klisz_Verbräuche[[#Headers],[2027]],Refsz_Verbräuche[[#This Row],[2027]],"")))</f>
        <v/>
      </c>
      <c r="S195" s="57" t="str">
        <f>IF(Klisz_Verbräuche[[#Headers],[2028]]=$B$57,IF(COUNTIF($F195:Klisz_Verbräuche[[#This Row],[2027]],"&gt;0")&gt;0, AVERAGEIF($F195:Klisz_Verbräuche[[#This Row],[2027]],"&lt;&gt;"), ""),IF($B$57&lt;Klisz_Verbräuche[[#Headers],[2028]],IF(COUNTIF($F195:Klisz_Verbräuche[[#This Row],[2027]],"&gt;0")&gt;0,IF(COUNTIF($F195:Klisz_Verbräuche[[#This Row],[2027]],"&gt;0")&gt;0,Klisz_Verbräuche[[#This Row],[2027]]*(1-$E195)^1, ""), ""),IF($B$57&gt;Klisz_Verbräuche[[#Headers],[2028]],Refsz_Verbräuche[[#This Row],[2028]],"")))</f>
        <v/>
      </c>
      <c r="T195" s="57" t="str">
        <f>IF(Klisz_Verbräuche[[#Headers],[2029]]=$B$57,IF(COUNTIF($F195:Klisz_Verbräuche[[#This Row],[2028]],"&gt;0")&gt;0, AVERAGEIF($F195:Klisz_Verbräuche[[#This Row],[2028]],"&lt;&gt;"), ""),IF($B$57&lt;Klisz_Verbräuche[[#Headers],[2029]],IF(COUNTIF($F195:Klisz_Verbräuche[[#This Row],[2028]],"&gt;0")&gt;0,IF(COUNTIF($F195:Klisz_Verbräuche[[#This Row],[2028]],"&gt;0")&gt;0,Klisz_Verbräuche[[#This Row],[2028]]*(1-$E195)^1, ""), ""),IF($B$57&gt;Klisz_Verbräuche[[#Headers],[2029]],Refsz_Verbräuche[[#This Row],[2029]],"")))</f>
        <v/>
      </c>
      <c r="U195" s="57" t="str">
        <f>IF(Klisz_Verbräuche[[#Headers],[2030]]=$B$57,IF(COUNTIF($F195:Klisz_Verbräuche[[#This Row],[2029]],"&gt;0")&gt;0, AVERAGEIF($F195:Klisz_Verbräuche[[#This Row],[2029]],"&lt;&gt;"), ""),IF($B$57&lt;Klisz_Verbräuche[[#Headers],[2030]],IF(COUNTIF($F195:Klisz_Verbräuche[[#This Row],[2029]],"&gt;0")&gt;0,IF(COUNTIF($F195:Klisz_Verbräuche[[#This Row],[2029]],"&gt;0")&gt;0,Klisz_Verbräuche[[#This Row],[2029]]*(1-$E195)^1, ""), ""),IF($B$57&gt;Klisz_Verbräuche[[#Headers],[2030]],Refsz_Verbräuche[[#This Row],[2030]],"")))</f>
        <v/>
      </c>
      <c r="V195" s="57" t="str">
        <f>IF(Klisz_Verbräuche[[#Headers],[2035]]=$B$57,IF(COUNTIF($F195:Klisz_Verbräuche[[#This Row],[2030]],"&gt;0")&gt;0, AVERAGEIF($F195:Klisz_Verbräuche[[#This Row],[2030]],"&lt;&gt;"), ""),IF($B$57&lt;Klisz_Verbräuche[[#Headers],[2035]],IF(COUNTIF($F195:Klisz_Verbräuche[[#This Row],[2030]],"&gt;0")&gt;0,IF(COUNTIF($F195:Klisz_Verbräuche[[#This Row],[2030]],"&gt;0")&gt;0,Klisz_Verbräuche[[#This Row],[2030]]*(1-$E195)^5, ""), ""),IF($B$57&gt;Klisz_Verbräuche[[#Headers],[2035]],Refsz_Verbräuche[[#This Row],[2035]],"")))</f>
        <v/>
      </c>
      <c r="W195" s="57" t="str">
        <f>IF(Klisz_Verbräuche[[#Headers],[2040]]=$B$57,IF(COUNTIF($F195:Klisz_Verbräuche[[#This Row],[2035]],"&gt;0")&gt;0, AVERAGEIF($F195:Klisz_Verbräuche[[#This Row],[2035]],"&lt;&gt;"), ""),IF($B$57&lt;Klisz_Verbräuche[[#Headers],[2040]],IF(COUNTIF($F195:Klisz_Verbräuche[[#This Row],[2035]],"&gt;0")&gt;0,IF(COUNTIF($F195:Klisz_Verbräuche[[#This Row],[2035]],"&gt;0")&gt;0,Klisz_Verbräuche[[#This Row],[2035]]*(1-$E195)^5, ""), ""),IF($B$57&gt;Klisz_Verbräuche[[#Headers],[2040]],Refsz_Verbräuche[[#This Row],[2040]],"")))</f>
        <v/>
      </c>
      <c r="X195" s="57" t="str">
        <f>IF(Klisz_Verbräuche[[#Headers],[2045]]=$B$57,IF(COUNTIF($F195:Klisz_Verbräuche[[#This Row],[2040]],"&gt;0")&gt;0, AVERAGEIF($F195:Klisz_Verbräuche[[#This Row],[2040]],"&lt;&gt;"), ""),IF($B$57&lt;Klisz_Verbräuche[[#Headers],[2045]],IF(COUNTIF($F195:Klisz_Verbräuche[[#This Row],[2040]],"&gt;0")&gt;0,IF(COUNTIF($F195:Klisz_Verbräuche[[#This Row],[2040]],"&gt;0")&gt;0,Klisz_Verbräuche[[#This Row],[2040]]*(1-$E195)^5, ""), ""),IF($B$57&gt;Klisz_Verbräuche[[#Headers],[2045]],Refsz_Verbräuche[[#This Row],[2045]],"")))</f>
        <v/>
      </c>
      <c r="Y195" s="57" t="str">
        <f>IF(Klisz_Verbräuche[[#Headers],[2050]]=$B$57,IF(COUNTIF($F195:Klisz_Verbräuche[[#This Row],[2045]],"&gt;0")&gt;0, AVERAGEIF($F195:Klisz_Verbräuche[[#This Row],[2045]],"&lt;&gt;"), ""),IF($B$57&lt;Klisz_Verbräuche[[#Headers],[2050]],IF(COUNTIF($F195:Klisz_Verbräuche[[#This Row],[2045]],"&gt;0")&gt;0,IF(COUNTIF($F195:Klisz_Verbräuche[[#This Row],[2045]],"&gt;0")&gt;0,Klisz_Verbräuche[[#This Row],[2045]]*(1-$E195)^5, ""), ""),IF($B$57&gt;Klisz_Verbräuche[[#Headers],[2050]],Refsz_Verbräuche[[#This Row],[2050]],"")))</f>
        <v/>
      </c>
      <c r="Z195" s="15"/>
    </row>
    <row r="196" spans="2:26" x14ac:dyDescent="0.35">
      <c r="B196" s="15">
        <v>136</v>
      </c>
      <c r="C196" s="20" t="str">
        <f>Refsz_Verbräuche[[#This Row],[Datenpunkt]]</f>
        <v>Glaswolle</v>
      </c>
      <c r="D196" s="29" t="str">
        <f>Refsz_Verbräuche[[#This Row],[Einheit]]</f>
        <v>kg</v>
      </c>
      <c r="E196" s="122"/>
      <c r="F196" s="15" t="str">
        <f>IF(ISBLANK(Refsz_Verbräuche[[#This Row],[2015]]),"",Refsz_Verbräuche[[#This Row],[2015]])</f>
        <v/>
      </c>
      <c r="G196" s="15" t="str">
        <f>IF(ISBLANK(Refsz_Verbräuche[[#This Row],[2016]]),"",Refsz_Verbräuche[[#This Row],[2016]])</f>
        <v/>
      </c>
      <c r="H196" s="15" t="str">
        <f>IF(ISBLANK(Refsz_Verbräuche[[#This Row],[2017]]),"",Refsz_Verbräuche[[#This Row],[2017]])</f>
        <v/>
      </c>
      <c r="I196" s="15" t="str">
        <f>IF(ISBLANK(Refsz_Verbräuche[[#This Row],[2018]]),"",Refsz_Verbräuche[[#This Row],[2018]])</f>
        <v/>
      </c>
      <c r="J196" s="15" t="str">
        <f>IF(ISBLANK(Refsz_Verbräuche[[#This Row],[2019]]),"",Refsz_Verbräuche[[#This Row],[2019]])</f>
        <v/>
      </c>
      <c r="K196" s="15" t="str">
        <f>IF(ISBLANK(Refsz_Verbräuche[[#This Row],[2020]]),"",Refsz_Verbräuche[[#This Row],[2020]])</f>
        <v/>
      </c>
      <c r="L196" s="15" t="str">
        <f>IF(ISBLANK(Refsz_Verbräuche[[#This Row],[2021]]),"",Refsz_Verbräuche[[#This Row],[2021]])</f>
        <v/>
      </c>
      <c r="M196" s="57" t="str">
        <f>IF(Klisz_Verbräuche[[#Headers],[2022]]=$B$57,IF(COUNTIF($F196:Klisz_Verbräuche[[#This Row],[2021]],"&gt;0")&gt;0, AVERAGEIF($F196:Klisz_Verbräuche[[#This Row],[2021]],"&lt;&gt;"), ""),IF($B$57&lt;Klisz_Verbräuche[[#Headers],[2022]],IF(COUNTIF($F196:Klisz_Verbräuche[[#This Row],[2021]],"&gt;0")&gt;0,IF(COUNTIF($F196:Klisz_Verbräuche[[#This Row],[2021]],"&gt;0")&gt;0,Klisz_Verbräuche[[#This Row],[2021]]*(1-$E196)^1, ""), ""),IF($B$57&gt;Klisz_Verbräuche[[#Headers],[2022]],Refsz_Verbräuche[[#This Row],[2022]],"")))</f>
        <v/>
      </c>
      <c r="N196" s="57" t="str">
        <f>IF(Klisz_Verbräuche[[#Headers],[2023]]=$B$57,IF(COUNTIF($F196:Klisz_Verbräuche[[#This Row],[2022]],"&gt;0")&gt;0, AVERAGEIF($F196:Klisz_Verbräuche[[#This Row],[2022]],"&lt;&gt;"), ""),IF($B$57&lt;Klisz_Verbräuche[[#Headers],[2023]],IF(COUNTIF($F196:Klisz_Verbräuche[[#This Row],[2022]],"&gt;0")&gt;0,IF(COUNTIF($F196:Klisz_Verbräuche[[#This Row],[2022]],"&gt;0")&gt;0,Klisz_Verbräuche[[#This Row],[2022]]*(1-$E196)^1, ""), ""),IF($B$57&gt;Klisz_Verbräuche[[#Headers],[2023]],Refsz_Verbräuche[[#This Row],[2023]],"")))</f>
        <v/>
      </c>
      <c r="O196" s="57" t="str">
        <f>IF(Klisz_Verbräuche[[#Headers],[2024]]=$B$57,IF(COUNTIF($F196:Klisz_Verbräuche[[#This Row],[2023]],"&gt;0")&gt;0, AVERAGEIF($F196:Klisz_Verbräuche[[#This Row],[2023]],"&lt;&gt;"), ""),IF($B$57&lt;Klisz_Verbräuche[[#Headers],[2024]],IF(COUNTIF($F196:Klisz_Verbräuche[[#This Row],[2023]],"&gt;0")&gt;0,IF(COUNTIF($F196:Klisz_Verbräuche[[#This Row],[2023]],"&gt;0")&gt;0,Klisz_Verbräuche[[#This Row],[2023]]*(1-$E196)^1, ""), ""),IF($B$57&gt;Klisz_Verbräuche[[#Headers],[2024]],Refsz_Verbräuche[[#This Row],[2024]],"")))</f>
        <v/>
      </c>
      <c r="P196" s="57" t="str">
        <f>IF(Klisz_Verbräuche[[#Headers],[2025]]=$B$57,IF(COUNTIF($F196:Klisz_Verbräuche[[#This Row],[2024]],"&gt;0")&gt;0, AVERAGEIF($F196:Klisz_Verbräuche[[#This Row],[2024]],"&lt;&gt;"), ""),IF($B$57&lt;Klisz_Verbräuche[[#Headers],[2025]],IF(COUNTIF($F196:Klisz_Verbräuche[[#This Row],[2024]],"&gt;0")&gt;0,IF(COUNTIF($F196:Klisz_Verbräuche[[#This Row],[2024]],"&gt;0")&gt;0,Klisz_Verbräuche[[#This Row],[2024]]*(1-$E196)^1, ""), ""),IF($B$57&gt;Klisz_Verbräuche[[#Headers],[2025]],Refsz_Verbräuche[[#This Row],[2025]],"")))</f>
        <v/>
      </c>
      <c r="Q196" s="57" t="str">
        <f>IF(Klisz_Verbräuche[[#Headers],[2026]]=$B$57,IF(COUNTIF($F196:Klisz_Verbräuche[[#This Row],[2025]],"&gt;0")&gt;0, AVERAGEIF($F196:Klisz_Verbräuche[[#This Row],[2025]],"&lt;&gt;"), ""),IF($B$57&lt;Klisz_Verbräuche[[#Headers],[2026]],IF(COUNTIF($F196:Klisz_Verbräuche[[#This Row],[2025]],"&gt;0")&gt;0,IF(COUNTIF($F196:Klisz_Verbräuche[[#This Row],[2025]],"&gt;0")&gt;0,Klisz_Verbräuche[[#This Row],[2025]]*(1-$E196)^1, ""), ""),IF($B$57&gt;Klisz_Verbräuche[[#Headers],[2026]],Refsz_Verbräuche[[#This Row],[2026]],"")))</f>
        <v/>
      </c>
      <c r="R196" s="57" t="str">
        <f>IF(Klisz_Verbräuche[[#Headers],[2027]]=$B$57,IF(COUNTIF($F196:Klisz_Verbräuche[[#This Row],[2026]],"&gt;0")&gt;0, AVERAGEIF($F196:Klisz_Verbräuche[[#This Row],[2026]],"&lt;&gt;"), ""),IF($B$57&lt;Klisz_Verbräuche[[#Headers],[2027]],IF(COUNTIF($F196:Klisz_Verbräuche[[#This Row],[2026]],"&gt;0")&gt;0,IF(COUNTIF($F196:Klisz_Verbräuche[[#This Row],[2026]],"&gt;0")&gt;0,Klisz_Verbräuche[[#This Row],[2026]]*(1-$E196)^1, ""), ""),IF($B$57&gt;Klisz_Verbräuche[[#Headers],[2027]],Refsz_Verbräuche[[#This Row],[2027]],"")))</f>
        <v/>
      </c>
      <c r="S196" s="57" t="str">
        <f>IF(Klisz_Verbräuche[[#Headers],[2028]]=$B$57,IF(COUNTIF($F196:Klisz_Verbräuche[[#This Row],[2027]],"&gt;0")&gt;0, AVERAGEIF($F196:Klisz_Verbräuche[[#This Row],[2027]],"&lt;&gt;"), ""),IF($B$57&lt;Klisz_Verbräuche[[#Headers],[2028]],IF(COUNTIF($F196:Klisz_Verbräuche[[#This Row],[2027]],"&gt;0")&gt;0,IF(COUNTIF($F196:Klisz_Verbräuche[[#This Row],[2027]],"&gt;0")&gt;0,Klisz_Verbräuche[[#This Row],[2027]]*(1-$E196)^1, ""), ""),IF($B$57&gt;Klisz_Verbräuche[[#Headers],[2028]],Refsz_Verbräuche[[#This Row],[2028]],"")))</f>
        <v/>
      </c>
      <c r="T196" s="57" t="str">
        <f>IF(Klisz_Verbräuche[[#Headers],[2029]]=$B$57,IF(COUNTIF($F196:Klisz_Verbräuche[[#This Row],[2028]],"&gt;0")&gt;0, AVERAGEIF($F196:Klisz_Verbräuche[[#This Row],[2028]],"&lt;&gt;"), ""),IF($B$57&lt;Klisz_Verbräuche[[#Headers],[2029]],IF(COUNTIF($F196:Klisz_Verbräuche[[#This Row],[2028]],"&gt;0")&gt;0,IF(COUNTIF($F196:Klisz_Verbräuche[[#This Row],[2028]],"&gt;0")&gt;0,Klisz_Verbräuche[[#This Row],[2028]]*(1-$E196)^1, ""), ""),IF($B$57&gt;Klisz_Verbräuche[[#Headers],[2029]],Refsz_Verbräuche[[#This Row],[2029]],"")))</f>
        <v/>
      </c>
      <c r="U196" s="57" t="str">
        <f>IF(Klisz_Verbräuche[[#Headers],[2030]]=$B$57,IF(COUNTIF($F196:Klisz_Verbräuche[[#This Row],[2029]],"&gt;0")&gt;0, AVERAGEIF($F196:Klisz_Verbräuche[[#This Row],[2029]],"&lt;&gt;"), ""),IF($B$57&lt;Klisz_Verbräuche[[#Headers],[2030]],IF(COUNTIF($F196:Klisz_Verbräuche[[#This Row],[2029]],"&gt;0")&gt;0,IF(COUNTIF($F196:Klisz_Verbräuche[[#This Row],[2029]],"&gt;0")&gt;0,Klisz_Verbräuche[[#This Row],[2029]]*(1-$E196)^1, ""), ""),IF($B$57&gt;Klisz_Verbräuche[[#Headers],[2030]],Refsz_Verbräuche[[#This Row],[2030]],"")))</f>
        <v/>
      </c>
      <c r="V196" s="57" t="str">
        <f>IF(Klisz_Verbräuche[[#Headers],[2035]]=$B$57,IF(COUNTIF($F196:Klisz_Verbräuche[[#This Row],[2030]],"&gt;0")&gt;0, AVERAGEIF($F196:Klisz_Verbräuche[[#This Row],[2030]],"&lt;&gt;"), ""),IF($B$57&lt;Klisz_Verbräuche[[#Headers],[2035]],IF(COUNTIF($F196:Klisz_Verbräuche[[#This Row],[2030]],"&gt;0")&gt;0,IF(COUNTIF($F196:Klisz_Verbräuche[[#This Row],[2030]],"&gt;0")&gt;0,Klisz_Verbräuche[[#This Row],[2030]]*(1-$E196)^5, ""), ""),IF($B$57&gt;Klisz_Verbräuche[[#Headers],[2035]],Refsz_Verbräuche[[#This Row],[2035]],"")))</f>
        <v/>
      </c>
      <c r="W196" s="57" t="str">
        <f>IF(Klisz_Verbräuche[[#Headers],[2040]]=$B$57,IF(COUNTIF($F196:Klisz_Verbräuche[[#This Row],[2035]],"&gt;0")&gt;0, AVERAGEIF($F196:Klisz_Verbräuche[[#This Row],[2035]],"&lt;&gt;"), ""),IF($B$57&lt;Klisz_Verbräuche[[#Headers],[2040]],IF(COUNTIF($F196:Klisz_Verbräuche[[#This Row],[2035]],"&gt;0")&gt;0,IF(COUNTIF($F196:Klisz_Verbräuche[[#This Row],[2035]],"&gt;0")&gt;0,Klisz_Verbräuche[[#This Row],[2035]]*(1-$E196)^5, ""), ""),IF($B$57&gt;Klisz_Verbräuche[[#Headers],[2040]],Refsz_Verbräuche[[#This Row],[2040]],"")))</f>
        <v/>
      </c>
      <c r="X196" s="57" t="str">
        <f>IF(Klisz_Verbräuche[[#Headers],[2045]]=$B$57,IF(COUNTIF($F196:Klisz_Verbräuche[[#This Row],[2040]],"&gt;0")&gt;0, AVERAGEIF($F196:Klisz_Verbräuche[[#This Row],[2040]],"&lt;&gt;"), ""),IF($B$57&lt;Klisz_Verbräuche[[#Headers],[2045]],IF(COUNTIF($F196:Klisz_Verbräuche[[#This Row],[2040]],"&gt;0")&gt;0,IF(COUNTIF($F196:Klisz_Verbräuche[[#This Row],[2040]],"&gt;0")&gt;0,Klisz_Verbräuche[[#This Row],[2040]]*(1-$E196)^5, ""), ""),IF($B$57&gt;Klisz_Verbräuche[[#Headers],[2045]],Refsz_Verbräuche[[#This Row],[2045]],"")))</f>
        <v/>
      </c>
      <c r="Y196" s="57" t="str">
        <f>IF(Klisz_Verbräuche[[#Headers],[2050]]=$B$57,IF(COUNTIF($F196:Klisz_Verbräuche[[#This Row],[2045]],"&gt;0")&gt;0, AVERAGEIF($F196:Klisz_Verbräuche[[#This Row],[2045]],"&lt;&gt;"), ""),IF($B$57&lt;Klisz_Verbräuche[[#Headers],[2050]],IF(COUNTIF($F196:Klisz_Verbräuche[[#This Row],[2045]],"&gt;0")&gt;0,IF(COUNTIF($F196:Klisz_Verbräuche[[#This Row],[2045]],"&gt;0")&gt;0,Klisz_Verbräuche[[#This Row],[2045]]*(1-$E196)^5, ""), ""),IF($B$57&gt;Klisz_Verbräuche[[#Headers],[2050]],Refsz_Verbräuche[[#This Row],[2050]],"")))</f>
        <v/>
      </c>
      <c r="Z196" s="15"/>
    </row>
    <row r="197" spans="2:26" x14ac:dyDescent="0.35">
      <c r="B197" s="15">
        <v>137</v>
      </c>
      <c r="C197" s="20" t="str">
        <f>Refsz_Verbräuche[[#This Row],[Datenpunkt]]</f>
        <v>Konstruktionsvollholz</v>
      </c>
      <c r="D197" s="29" t="str">
        <f>Refsz_Verbräuche[[#This Row],[Einheit]]</f>
        <v>m³</v>
      </c>
      <c r="E197" s="122"/>
      <c r="F197" s="15" t="str">
        <f>IF(ISBLANK(Refsz_Verbräuche[[#This Row],[2015]]),"",Refsz_Verbräuche[[#This Row],[2015]])</f>
        <v/>
      </c>
      <c r="G197" s="15" t="str">
        <f>IF(ISBLANK(Refsz_Verbräuche[[#This Row],[2016]]),"",Refsz_Verbräuche[[#This Row],[2016]])</f>
        <v/>
      </c>
      <c r="H197" s="15" t="str">
        <f>IF(ISBLANK(Refsz_Verbräuche[[#This Row],[2017]]),"",Refsz_Verbräuche[[#This Row],[2017]])</f>
        <v/>
      </c>
      <c r="I197" s="15" t="str">
        <f>IF(ISBLANK(Refsz_Verbräuche[[#This Row],[2018]]),"",Refsz_Verbräuche[[#This Row],[2018]])</f>
        <v/>
      </c>
      <c r="J197" s="15" t="str">
        <f>IF(ISBLANK(Refsz_Verbräuche[[#This Row],[2019]]),"",Refsz_Verbräuche[[#This Row],[2019]])</f>
        <v/>
      </c>
      <c r="K197" s="15" t="str">
        <f>IF(ISBLANK(Refsz_Verbräuche[[#This Row],[2020]]),"",Refsz_Verbräuche[[#This Row],[2020]])</f>
        <v/>
      </c>
      <c r="L197" s="15" t="str">
        <f>IF(ISBLANK(Refsz_Verbräuche[[#This Row],[2021]]),"",Refsz_Verbräuche[[#This Row],[2021]])</f>
        <v/>
      </c>
      <c r="M197" s="57" t="str">
        <f>IF(Klisz_Verbräuche[[#Headers],[2022]]=$B$57,IF(COUNTIF($F197:Klisz_Verbräuche[[#This Row],[2021]],"&gt;0")&gt;0, AVERAGEIF($F197:Klisz_Verbräuche[[#This Row],[2021]],"&lt;&gt;"), ""),IF($B$57&lt;Klisz_Verbräuche[[#Headers],[2022]],IF(COUNTIF($F197:Klisz_Verbräuche[[#This Row],[2021]],"&gt;0")&gt;0,IF(COUNTIF($F197:Klisz_Verbräuche[[#This Row],[2021]],"&gt;0")&gt;0,Klisz_Verbräuche[[#This Row],[2021]]*(1-$E197)^1, ""), ""),IF($B$57&gt;Klisz_Verbräuche[[#Headers],[2022]],Refsz_Verbräuche[[#This Row],[2022]],"")))</f>
        <v/>
      </c>
      <c r="N197" s="57" t="str">
        <f>IF(Klisz_Verbräuche[[#Headers],[2023]]=$B$57,IF(COUNTIF($F197:Klisz_Verbräuche[[#This Row],[2022]],"&gt;0")&gt;0, AVERAGEIF($F197:Klisz_Verbräuche[[#This Row],[2022]],"&lt;&gt;"), ""),IF($B$57&lt;Klisz_Verbräuche[[#Headers],[2023]],IF(COUNTIF($F197:Klisz_Verbräuche[[#This Row],[2022]],"&gt;0")&gt;0,IF(COUNTIF($F197:Klisz_Verbräuche[[#This Row],[2022]],"&gt;0")&gt;0,Klisz_Verbräuche[[#This Row],[2022]]*(1-$E197)^1, ""), ""),IF($B$57&gt;Klisz_Verbräuche[[#Headers],[2023]],Refsz_Verbräuche[[#This Row],[2023]],"")))</f>
        <v/>
      </c>
      <c r="O197" s="57" t="str">
        <f>IF(Klisz_Verbräuche[[#Headers],[2024]]=$B$57,IF(COUNTIF($F197:Klisz_Verbräuche[[#This Row],[2023]],"&gt;0")&gt;0, AVERAGEIF($F197:Klisz_Verbräuche[[#This Row],[2023]],"&lt;&gt;"), ""),IF($B$57&lt;Klisz_Verbräuche[[#Headers],[2024]],IF(COUNTIF($F197:Klisz_Verbräuche[[#This Row],[2023]],"&gt;0")&gt;0,IF(COUNTIF($F197:Klisz_Verbräuche[[#This Row],[2023]],"&gt;0")&gt;0,Klisz_Verbräuche[[#This Row],[2023]]*(1-$E197)^1, ""), ""),IF($B$57&gt;Klisz_Verbräuche[[#Headers],[2024]],Refsz_Verbräuche[[#This Row],[2024]],"")))</f>
        <v/>
      </c>
      <c r="P197" s="57" t="str">
        <f>IF(Klisz_Verbräuche[[#Headers],[2025]]=$B$57,IF(COUNTIF($F197:Klisz_Verbräuche[[#This Row],[2024]],"&gt;0")&gt;0, AVERAGEIF($F197:Klisz_Verbräuche[[#This Row],[2024]],"&lt;&gt;"), ""),IF($B$57&lt;Klisz_Verbräuche[[#Headers],[2025]],IF(COUNTIF($F197:Klisz_Verbräuche[[#This Row],[2024]],"&gt;0")&gt;0,IF(COUNTIF($F197:Klisz_Verbräuche[[#This Row],[2024]],"&gt;0")&gt;0,Klisz_Verbräuche[[#This Row],[2024]]*(1-$E197)^1, ""), ""),IF($B$57&gt;Klisz_Verbräuche[[#Headers],[2025]],Refsz_Verbräuche[[#This Row],[2025]],"")))</f>
        <v/>
      </c>
      <c r="Q197" s="57" t="str">
        <f>IF(Klisz_Verbräuche[[#Headers],[2026]]=$B$57,IF(COUNTIF($F197:Klisz_Verbräuche[[#This Row],[2025]],"&gt;0")&gt;0, AVERAGEIF($F197:Klisz_Verbräuche[[#This Row],[2025]],"&lt;&gt;"), ""),IF($B$57&lt;Klisz_Verbräuche[[#Headers],[2026]],IF(COUNTIF($F197:Klisz_Verbräuche[[#This Row],[2025]],"&gt;0")&gt;0,IF(COUNTIF($F197:Klisz_Verbräuche[[#This Row],[2025]],"&gt;0")&gt;0,Klisz_Verbräuche[[#This Row],[2025]]*(1-$E197)^1, ""), ""),IF($B$57&gt;Klisz_Verbräuche[[#Headers],[2026]],Refsz_Verbräuche[[#This Row],[2026]],"")))</f>
        <v/>
      </c>
      <c r="R197" s="57" t="str">
        <f>IF(Klisz_Verbräuche[[#Headers],[2027]]=$B$57,IF(COUNTIF($F197:Klisz_Verbräuche[[#This Row],[2026]],"&gt;0")&gt;0, AVERAGEIF($F197:Klisz_Verbräuche[[#This Row],[2026]],"&lt;&gt;"), ""),IF($B$57&lt;Klisz_Verbräuche[[#Headers],[2027]],IF(COUNTIF($F197:Klisz_Verbräuche[[#This Row],[2026]],"&gt;0")&gt;0,IF(COUNTIF($F197:Klisz_Verbräuche[[#This Row],[2026]],"&gt;0")&gt;0,Klisz_Verbräuche[[#This Row],[2026]]*(1-$E197)^1, ""), ""),IF($B$57&gt;Klisz_Verbräuche[[#Headers],[2027]],Refsz_Verbräuche[[#This Row],[2027]],"")))</f>
        <v/>
      </c>
      <c r="S197" s="57" t="str">
        <f>IF(Klisz_Verbräuche[[#Headers],[2028]]=$B$57,IF(COUNTIF($F197:Klisz_Verbräuche[[#This Row],[2027]],"&gt;0")&gt;0, AVERAGEIF($F197:Klisz_Verbräuche[[#This Row],[2027]],"&lt;&gt;"), ""),IF($B$57&lt;Klisz_Verbräuche[[#Headers],[2028]],IF(COUNTIF($F197:Klisz_Verbräuche[[#This Row],[2027]],"&gt;0")&gt;0,IF(COUNTIF($F197:Klisz_Verbräuche[[#This Row],[2027]],"&gt;0")&gt;0,Klisz_Verbräuche[[#This Row],[2027]]*(1-$E197)^1, ""), ""),IF($B$57&gt;Klisz_Verbräuche[[#Headers],[2028]],Refsz_Verbräuche[[#This Row],[2028]],"")))</f>
        <v/>
      </c>
      <c r="T197" s="57" t="str">
        <f>IF(Klisz_Verbräuche[[#Headers],[2029]]=$B$57,IF(COUNTIF($F197:Klisz_Verbräuche[[#This Row],[2028]],"&gt;0")&gt;0, AVERAGEIF($F197:Klisz_Verbräuche[[#This Row],[2028]],"&lt;&gt;"), ""),IF($B$57&lt;Klisz_Verbräuche[[#Headers],[2029]],IF(COUNTIF($F197:Klisz_Verbräuche[[#This Row],[2028]],"&gt;0")&gt;0,IF(COUNTIF($F197:Klisz_Verbräuche[[#This Row],[2028]],"&gt;0")&gt;0,Klisz_Verbräuche[[#This Row],[2028]]*(1-$E197)^1, ""), ""),IF($B$57&gt;Klisz_Verbräuche[[#Headers],[2029]],Refsz_Verbräuche[[#This Row],[2029]],"")))</f>
        <v/>
      </c>
      <c r="U197" s="57" t="str">
        <f>IF(Klisz_Verbräuche[[#Headers],[2030]]=$B$57,IF(COUNTIF($F197:Klisz_Verbräuche[[#This Row],[2029]],"&gt;0")&gt;0, AVERAGEIF($F197:Klisz_Verbräuche[[#This Row],[2029]],"&lt;&gt;"), ""),IF($B$57&lt;Klisz_Verbräuche[[#Headers],[2030]],IF(COUNTIF($F197:Klisz_Verbräuche[[#This Row],[2029]],"&gt;0")&gt;0,IF(COUNTIF($F197:Klisz_Verbräuche[[#This Row],[2029]],"&gt;0")&gt;0,Klisz_Verbräuche[[#This Row],[2029]]*(1-$E197)^1, ""), ""),IF($B$57&gt;Klisz_Verbräuche[[#Headers],[2030]],Refsz_Verbräuche[[#This Row],[2030]],"")))</f>
        <v/>
      </c>
      <c r="V197" s="57" t="str">
        <f>IF(Klisz_Verbräuche[[#Headers],[2035]]=$B$57,IF(COUNTIF($F197:Klisz_Verbräuche[[#This Row],[2030]],"&gt;0")&gt;0, AVERAGEIF($F197:Klisz_Verbräuche[[#This Row],[2030]],"&lt;&gt;"), ""),IF($B$57&lt;Klisz_Verbräuche[[#Headers],[2035]],IF(COUNTIF($F197:Klisz_Verbräuche[[#This Row],[2030]],"&gt;0")&gt;0,IF(COUNTIF($F197:Klisz_Verbräuche[[#This Row],[2030]],"&gt;0")&gt;0,Klisz_Verbräuche[[#This Row],[2030]]*(1-$E197)^5, ""), ""),IF($B$57&gt;Klisz_Verbräuche[[#Headers],[2035]],Refsz_Verbräuche[[#This Row],[2035]],"")))</f>
        <v/>
      </c>
      <c r="W197" s="57" t="str">
        <f>IF(Klisz_Verbräuche[[#Headers],[2040]]=$B$57,IF(COUNTIF($F197:Klisz_Verbräuche[[#This Row],[2035]],"&gt;0")&gt;0, AVERAGEIF($F197:Klisz_Verbräuche[[#This Row],[2035]],"&lt;&gt;"), ""),IF($B$57&lt;Klisz_Verbräuche[[#Headers],[2040]],IF(COUNTIF($F197:Klisz_Verbräuche[[#This Row],[2035]],"&gt;0")&gt;0,IF(COUNTIF($F197:Klisz_Verbräuche[[#This Row],[2035]],"&gt;0")&gt;0,Klisz_Verbräuche[[#This Row],[2035]]*(1-$E197)^5, ""), ""),IF($B$57&gt;Klisz_Verbräuche[[#Headers],[2040]],Refsz_Verbräuche[[#This Row],[2040]],"")))</f>
        <v/>
      </c>
      <c r="X197" s="57" t="str">
        <f>IF(Klisz_Verbräuche[[#Headers],[2045]]=$B$57,IF(COUNTIF($F197:Klisz_Verbräuche[[#This Row],[2040]],"&gt;0")&gt;0, AVERAGEIF($F197:Klisz_Verbräuche[[#This Row],[2040]],"&lt;&gt;"), ""),IF($B$57&lt;Klisz_Verbräuche[[#Headers],[2045]],IF(COUNTIF($F197:Klisz_Verbräuche[[#This Row],[2040]],"&gt;0")&gt;0,IF(COUNTIF($F197:Klisz_Verbräuche[[#This Row],[2040]],"&gt;0")&gt;0,Klisz_Verbräuche[[#This Row],[2040]]*(1-$E197)^5, ""), ""),IF($B$57&gt;Klisz_Verbräuche[[#Headers],[2045]],Refsz_Verbräuche[[#This Row],[2045]],"")))</f>
        <v/>
      </c>
      <c r="Y197" s="57" t="str">
        <f>IF(Klisz_Verbräuche[[#Headers],[2050]]=$B$57,IF(COUNTIF($F197:Klisz_Verbräuche[[#This Row],[2045]],"&gt;0")&gt;0, AVERAGEIF($F197:Klisz_Verbräuche[[#This Row],[2045]],"&lt;&gt;"), ""),IF($B$57&lt;Klisz_Verbräuche[[#Headers],[2050]],IF(COUNTIF($F197:Klisz_Verbräuche[[#This Row],[2045]],"&gt;0")&gt;0,IF(COUNTIF($F197:Klisz_Verbräuche[[#This Row],[2045]],"&gt;0")&gt;0,Klisz_Verbräuche[[#This Row],[2045]]*(1-$E197)^5, ""), ""),IF($B$57&gt;Klisz_Verbräuche[[#Headers],[2050]],Refsz_Verbräuche[[#This Row],[2050]],"")))</f>
        <v/>
      </c>
      <c r="Z197" s="15"/>
    </row>
    <row r="198" spans="2:26" x14ac:dyDescent="0.35">
      <c r="B198" s="15">
        <v>138</v>
      </c>
      <c r="C198" s="20" t="str">
        <f>Refsz_Verbräuche[[#This Row],[Datenpunkt]]</f>
        <v>Spanplatte</v>
      </c>
      <c r="D198" s="29" t="str">
        <f>Refsz_Verbräuche[[#This Row],[Einheit]]</f>
        <v>kg</v>
      </c>
      <c r="E198" s="122"/>
      <c r="F198" s="15" t="str">
        <f>IF(ISBLANK(Refsz_Verbräuche[[#This Row],[2015]]),"",Refsz_Verbräuche[[#This Row],[2015]])</f>
        <v/>
      </c>
      <c r="G198" s="15" t="str">
        <f>IF(ISBLANK(Refsz_Verbräuche[[#This Row],[2016]]),"",Refsz_Verbräuche[[#This Row],[2016]])</f>
        <v/>
      </c>
      <c r="H198" s="15" t="str">
        <f>IF(ISBLANK(Refsz_Verbräuche[[#This Row],[2017]]),"",Refsz_Verbräuche[[#This Row],[2017]])</f>
        <v/>
      </c>
      <c r="I198" s="15" t="str">
        <f>IF(ISBLANK(Refsz_Verbräuche[[#This Row],[2018]]),"",Refsz_Verbräuche[[#This Row],[2018]])</f>
        <v/>
      </c>
      <c r="J198" s="15" t="str">
        <f>IF(ISBLANK(Refsz_Verbräuche[[#This Row],[2019]]),"",Refsz_Verbräuche[[#This Row],[2019]])</f>
        <v/>
      </c>
      <c r="K198" s="15" t="str">
        <f>IF(ISBLANK(Refsz_Verbräuche[[#This Row],[2020]]),"",Refsz_Verbräuche[[#This Row],[2020]])</f>
        <v/>
      </c>
      <c r="L198" s="15" t="str">
        <f>IF(ISBLANK(Refsz_Verbräuche[[#This Row],[2021]]),"",Refsz_Verbräuche[[#This Row],[2021]])</f>
        <v/>
      </c>
      <c r="M198" s="57" t="str">
        <f>IF(Klisz_Verbräuche[[#Headers],[2022]]=$B$57,IF(COUNTIF($F198:Klisz_Verbräuche[[#This Row],[2021]],"&gt;0")&gt;0, AVERAGEIF($F198:Klisz_Verbräuche[[#This Row],[2021]],"&lt;&gt;"), ""),IF($B$57&lt;Klisz_Verbräuche[[#Headers],[2022]],IF(COUNTIF($F198:Klisz_Verbräuche[[#This Row],[2021]],"&gt;0")&gt;0,IF(COUNTIF($F198:Klisz_Verbräuche[[#This Row],[2021]],"&gt;0")&gt;0,Klisz_Verbräuche[[#This Row],[2021]]*(1-$E198)^1, ""), ""),IF($B$57&gt;Klisz_Verbräuche[[#Headers],[2022]],Refsz_Verbräuche[[#This Row],[2022]],"")))</f>
        <v/>
      </c>
      <c r="N198" s="57" t="str">
        <f>IF(Klisz_Verbräuche[[#Headers],[2023]]=$B$57,IF(COUNTIF($F198:Klisz_Verbräuche[[#This Row],[2022]],"&gt;0")&gt;0, AVERAGEIF($F198:Klisz_Verbräuche[[#This Row],[2022]],"&lt;&gt;"), ""),IF($B$57&lt;Klisz_Verbräuche[[#Headers],[2023]],IF(COUNTIF($F198:Klisz_Verbräuche[[#This Row],[2022]],"&gt;0")&gt;0,IF(COUNTIF($F198:Klisz_Verbräuche[[#This Row],[2022]],"&gt;0")&gt;0,Klisz_Verbräuche[[#This Row],[2022]]*(1-$E198)^1, ""), ""),IF($B$57&gt;Klisz_Verbräuche[[#Headers],[2023]],Refsz_Verbräuche[[#This Row],[2023]],"")))</f>
        <v/>
      </c>
      <c r="O198" s="57" t="str">
        <f>IF(Klisz_Verbräuche[[#Headers],[2024]]=$B$57,IF(COUNTIF($F198:Klisz_Verbräuche[[#This Row],[2023]],"&gt;0")&gt;0, AVERAGEIF($F198:Klisz_Verbräuche[[#This Row],[2023]],"&lt;&gt;"), ""),IF($B$57&lt;Klisz_Verbräuche[[#Headers],[2024]],IF(COUNTIF($F198:Klisz_Verbräuche[[#This Row],[2023]],"&gt;0")&gt;0,IF(COUNTIF($F198:Klisz_Verbräuche[[#This Row],[2023]],"&gt;0")&gt;0,Klisz_Verbräuche[[#This Row],[2023]]*(1-$E198)^1, ""), ""),IF($B$57&gt;Klisz_Verbräuche[[#Headers],[2024]],Refsz_Verbräuche[[#This Row],[2024]],"")))</f>
        <v/>
      </c>
      <c r="P198" s="57" t="str">
        <f>IF(Klisz_Verbräuche[[#Headers],[2025]]=$B$57,IF(COUNTIF($F198:Klisz_Verbräuche[[#This Row],[2024]],"&gt;0")&gt;0, AVERAGEIF($F198:Klisz_Verbräuche[[#This Row],[2024]],"&lt;&gt;"), ""),IF($B$57&lt;Klisz_Verbräuche[[#Headers],[2025]],IF(COUNTIF($F198:Klisz_Verbräuche[[#This Row],[2024]],"&gt;0")&gt;0,IF(COUNTIF($F198:Klisz_Verbräuche[[#This Row],[2024]],"&gt;0")&gt;0,Klisz_Verbräuche[[#This Row],[2024]]*(1-$E198)^1, ""), ""),IF($B$57&gt;Klisz_Verbräuche[[#Headers],[2025]],Refsz_Verbräuche[[#This Row],[2025]],"")))</f>
        <v/>
      </c>
      <c r="Q198" s="57" t="str">
        <f>IF(Klisz_Verbräuche[[#Headers],[2026]]=$B$57,IF(COUNTIF($F198:Klisz_Verbräuche[[#This Row],[2025]],"&gt;0")&gt;0, AVERAGEIF($F198:Klisz_Verbräuche[[#This Row],[2025]],"&lt;&gt;"), ""),IF($B$57&lt;Klisz_Verbräuche[[#Headers],[2026]],IF(COUNTIF($F198:Klisz_Verbräuche[[#This Row],[2025]],"&gt;0")&gt;0,IF(COUNTIF($F198:Klisz_Verbräuche[[#This Row],[2025]],"&gt;0")&gt;0,Klisz_Verbräuche[[#This Row],[2025]]*(1-$E198)^1, ""), ""),IF($B$57&gt;Klisz_Verbräuche[[#Headers],[2026]],Refsz_Verbräuche[[#This Row],[2026]],"")))</f>
        <v/>
      </c>
      <c r="R198" s="57" t="str">
        <f>IF(Klisz_Verbräuche[[#Headers],[2027]]=$B$57,IF(COUNTIF($F198:Klisz_Verbräuche[[#This Row],[2026]],"&gt;0")&gt;0, AVERAGEIF($F198:Klisz_Verbräuche[[#This Row],[2026]],"&lt;&gt;"), ""),IF($B$57&lt;Klisz_Verbräuche[[#Headers],[2027]],IF(COUNTIF($F198:Klisz_Verbräuche[[#This Row],[2026]],"&gt;0")&gt;0,IF(COUNTIF($F198:Klisz_Verbräuche[[#This Row],[2026]],"&gt;0")&gt;0,Klisz_Verbräuche[[#This Row],[2026]]*(1-$E198)^1, ""), ""),IF($B$57&gt;Klisz_Verbräuche[[#Headers],[2027]],Refsz_Verbräuche[[#This Row],[2027]],"")))</f>
        <v/>
      </c>
      <c r="S198" s="57" t="str">
        <f>IF(Klisz_Verbräuche[[#Headers],[2028]]=$B$57,IF(COUNTIF($F198:Klisz_Verbräuche[[#This Row],[2027]],"&gt;0")&gt;0, AVERAGEIF($F198:Klisz_Verbräuche[[#This Row],[2027]],"&lt;&gt;"), ""),IF($B$57&lt;Klisz_Verbräuche[[#Headers],[2028]],IF(COUNTIF($F198:Klisz_Verbräuche[[#This Row],[2027]],"&gt;0")&gt;0,IF(COUNTIF($F198:Klisz_Verbräuche[[#This Row],[2027]],"&gt;0")&gt;0,Klisz_Verbräuche[[#This Row],[2027]]*(1-$E198)^1, ""), ""),IF($B$57&gt;Klisz_Verbräuche[[#Headers],[2028]],Refsz_Verbräuche[[#This Row],[2028]],"")))</f>
        <v/>
      </c>
      <c r="T198" s="57" t="str">
        <f>IF(Klisz_Verbräuche[[#Headers],[2029]]=$B$57,IF(COUNTIF($F198:Klisz_Verbräuche[[#This Row],[2028]],"&gt;0")&gt;0, AVERAGEIF($F198:Klisz_Verbräuche[[#This Row],[2028]],"&lt;&gt;"), ""),IF($B$57&lt;Klisz_Verbräuche[[#Headers],[2029]],IF(COUNTIF($F198:Klisz_Verbräuche[[#This Row],[2028]],"&gt;0")&gt;0,IF(COUNTIF($F198:Klisz_Verbräuche[[#This Row],[2028]],"&gt;0")&gt;0,Klisz_Verbräuche[[#This Row],[2028]]*(1-$E198)^1, ""), ""),IF($B$57&gt;Klisz_Verbräuche[[#Headers],[2029]],Refsz_Verbräuche[[#This Row],[2029]],"")))</f>
        <v/>
      </c>
      <c r="U198" s="57" t="str">
        <f>IF(Klisz_Verbräuche[[#Headers],[2030]]=$B$57,IF(COUNTIF($F198:Klisz_Verbräuche[[#This Row],[2029]],"&gt;0")&gt;0, AVERAGEIF($F198:Klisz_Verbräuche[[#This Row],[2029]],"&lt;&gt;"), ""),IF($B$57&lt;Klisz_Verbräuche[[#Headers],[2030]],IF(COUNTIF($F198:Klisz_Verbräuche[[#This Row],[2029]],"&gt;0")&gt;0,IF(COUNTIF($F198:Klisz_Verbräuche[[#This Row],[2029]],"&gt;0")&gt;0,Klisz_Verbräuche[[#This Row],[2029]]*(1-$E198)^1, ""), ""),IF($B$57&gt;Klisz_Verbräuche[[#Headers],[2030]],Refsz_Verbräuche[[#This Row],[2030]],"")))</f>
        <v/>
      </c>
      <c r="V198" s="57" t="str">
        <f>IF(Klisz_Verbräuche[[#Headers],[2035]]=$B$57,IF(COUNTIF($F198:Klisz_Verbräuche[[#This Row],[2030]],"&gt;0")&gt;0, AVERAGEIF($F198:Klisz_Verbräuche[[#This Row],[2030]],"&lt;&gt;"), ""),IF($B$57&lt;Klisz_Verbräuche[[#Headers],[2035]],IF(COUNTIF($F198:Klisz_Verbräuche[[#This Row],[2030]],"&gt;0")&gt;0,IF(COUNTIF($F198:Klisz_Verbräuche[[#This Row],[2030]],"&gt;0")&gt;0,Klisz_Verbräuche[[#This Row],[2030]]*(1-$E198)^5, ""), ""),IF($B$57&gt;Klisz_Verbräuche[[#Headers],[2035]],Refsz_Verbräuche[[#This Row],[2035]],"")))</f>
        <v/>
      </c>
      <c r="W198" s="57" t="str">
        <f>IF(Klisz_Verbräuche[[#Headers],[2040]]=$B$57,IF(COUNTIF($F198:Klisz_Verbräuche[[#This Row],[2035]],"&gt;0")&gt;0, AVERAGEIF($F198:Klisz_Verbräuche[[#This Row],[2035]],"&lt;&gt;"), ""),IF($B$57&lt;Klisz_Verbräuche[[#Headers],[2040]],IF(COUNTIF($F198:Klisz_Verbräuche[[#This Row],[2035]],"&gt;0")&gt;0,IF(COUNTIF($F198:Klisz_Verbräuche[[#This Row],[2035]],"&gt;0")&gt;0,Klisz_Verbräuche[[#This Row],[2035]]*(1-$E198)^5, ""), ""),IF($B$57&gt;Klisz_Verbräuche[[#Headers],[2040]],Refsz_Verbräuche[[#This Row],[2040]],"")))</f>
        <v/>
      </c>
      <c r="X198" s="57" t="str">
        <f>IF(Klisz_Verbräuche[[#Headers],[2045]]=$B$57,IF(COUNTIF($F198:Klisz_Verbräuche[[#This Row],[2040]],"&gt;0")&gt;0, AVERAGEIF($F198:Klisz_Verbräuche[[#This Row],[2040]],"&lt;&gt;"), ""),IF($B$57&lt;Klisz_Verbräuche[[#Headers],[2045]],IF(COUNTIF($F198:Klisz_Verbräuche[[#This Row],[2040]],"&gt;0")&gt;0,IF(COUNTIF($F198:Klisz_Verbräuche[[#This Row],[2040]],"&gt;0")&gt;0,Klisz_Verbräuche[[#This Row],[2040]]*(1-$E198)^5, ""), ""),IF($B$57&gt;Klisz_Verbräuche[[#Headers],[2045]],Refsz_Verbräuche[[#This Row],[2045]],"")))</f>
        <v/>
      </c>
      <c r="Y198" s="57" t="str">
        <f>IF(Klisz_Verbräuche[[#Headers],[2050]]=$B$57,IF(COUNTIF($F198:Klisz_Verbräuche[[#This Row],[2045]],"&gt;0")&gt;0, AVERAGEIF($F198:Klisz_Verbräuche[[#This Row],[2045]],"&lt;&gt;"), ""),IF($B$57&lt;Klisz_Verbräuche[[#Headers],[2050]],IF(COUNTIF($F198:Klisz_Verbräuche[[#This Row],[2045]],"&gt;0")&gt;0,IF(COUNTIF($F198:Klisz_Verbräuche[[#This Row],[2045]],"&gt;0")&gt;0,Klisz_Verbräuche[[#This Row],[2045]]*(1-$E198)^5, ""), ""),IF($B$57&gt;Klisz_Verbräuche[[#Headers],[2050]],Refsz_Verbräuche[[#This Row],[2050]],"")))</f>
        <v/>
      </c>
      <c r="Z198" s="15"/>
    </row>
    <row r="199" spans="2:26" x14ac:dyDescent="0.35">
      <c r="B199" s="15">
        <v>139</v>
      </c>
      <c r="C199" s="20" t="str">
        <f>Refsz_Verbräuche[[#This Row],[Datenpunkt]]</f>
        <v>Perlit</v>
      </c>
      <c r="D199" s="29" t="str">
        <f>Refsz_Verbräuche[[#This Row],[Einheit]]</f>
        <v>kg</v>
      </c>
      <c r="E199" s="122"/>
      <c r="F199" s="15" t="str">
        <f>IF(ISBLANK(Refsz_Verbräuche[[#This Row],[2015]]),"",Refsz_Verbräuche[[#This Row],[2015]])</f>
        <v/>
      </c>
      <c r="G199" s="15" t="str">
        <f>IF(ISBLANK(Refsz_Verbräuche[[#This Row],[2016]]),"",Refsz_Verbräuche[[#This Row],[2016]])</f>
        <v/>
      </c>
      <c r="H199" s="15" t="str">
        <f>IF(ISBLANK(Refsz_Verbräuche[[#This Row],[2017]]),"",Refsz_Verbräuche[[#This Row],[2017]])</f>
        <v/>
      </c>
      <c r="I199" s="15" t="str">
        <f>IF(ISBLANK(Refsz_Verbräuche[[#This Row],[2018]]),"",Refsz_Verbräuche[[#This Row],[2018]])</f>
        <v/>
      </c>
      <c r="J199" s="15" t="str">
        <f>IF(ISBLANK(Refsz_Verbräuche[[#This Row],[2019]]),"",Refsz_Verbräuche[[#This Row],[2019]])</f>
        <v/>
      </c>
      <c r="K199" s="15" t="str">
        <f>IF(ISBLANK(Refsz_Verbräuche[[#This Row],[2020]]),"",Refsz_Verbräuche[[#This Row],[2020]])</f>
        <v/>
      </c>
      <c r="L199" s="15" t="str">
        <f>IF(ISBLANK(Refsz_Verbräuche[[#This Row],[2021]]),"",Refsz_Verbräuche[[#This Row],[2021]])</f>
        <v/>
      </c>
      <c r="M199" s="57" t="str">
        <f>IF(Klisz_Verbräuche[[#Headers],[2022]]=$B$57,IF(COUNTIF($F199:Klisz_Verbräuche[[#This Row],[2021]],"&gt;0")&gt;0, AVERAGEIF($F199:Klisz_Verbräuche[[#This Row],[2021]],"&lt;&gt;"), ""),IF($B$57&lt;Klisz_Verbräuche[[#Headers],[2022]],IF(COUNTIF($F199:Klisz_Verbräuche[[#This Row],[2021]],"&gt;0")&gt;0,IF(COUNTIF($F199:Klisz_Verbräuche[[#This Row],[2021]],"&gt;0")&gt;0,Klisz_Verbräuche[[#This Row],[2021]]*(1-$E199)^1, ""), ""),IF($B$57&gt;Klisz_Verbräuche[[#Headers],[2022]],Refsz_Verbräuche[[#This Row],[2022]],"")))</f>
        <v/>
      </c>
      <c r="N199" s="57" t="str">
        <f>IF(Klisz_Verbräuche[[#Headers],[2023]]=$B$57,IF(COUNTIF($F199:Klisz_Verbräuche[[#This Row],[2022]],"&gt;0")&gt;0, AVERAGEIF($F199:Klisz_Verbräuche[[#This Row],[2022]],"&lt;&gt;"), ""),IF($B$57&lt;Klisz_Verbräuche[[#Headers],[2023]],IF(COUNTIF($F199:Klisz_Verbräuche[[#This Row],[2022]],"&gt;0")&gt;0,IF(COUNTIF($F199:Klisz_Verbräuche[[#This Row],[2022]],"&gt;0")&gt;0,Klisz_Verbräuche[[#This Row],[2022]]*(1-$E199)^1, ""), ""),IF($B$57&gt;Klisz_Verbräuche[[#Headers],[2023]],Refsz_Verbräuche[[#This Row],[2023]],"")))</f>
        <v/>
      </c>
      <c r="O199" s="57" t="str">
        <f>IF(Klisz_Verbräuche[[#Headers],[2024]]=$B$57,IF(COUNTIF($F199:Klisz_Verbräuche[[#This Row],[2023]],"&gt;0")&gt;0, AVERAGEIF($F199:Klisz_Verbräuche[[#This Row],[2023]],"&lt;&gt;"), ""),IF($B$57&lt;Klisz_Verbräuche[[#Headers],[2024]],IF(COUNTIF($F199:Klisz_Verbräuche[[#This Row],[2023]],"&gt;0")&gt;0,IF(COUNTIF($F199:Klisz_Verbräuche[[#This Row],[2023]],"&gt;0")&gt;0,Klisz_Verbräuche[[#This Row],[2023]]*(1-$E199)^1, ""), ""),IF($B$57&gt;Klisz_Verbräuche[[#Headers],[2024]],Refsz_Verbräuche[[#This Row],[2024]],"")))</f>
        <v/>
      </c>
      <c r="P199" s="57" t="str">
        <f>IF(Klisz_Verbräuche[[#Headers],[2025]]=$B$57,IF(COUNTIF($F199:Klisz_Verbräuche[[#This Row],[2024]],"&gt;0")&gt;0, AVERAGEIF($F199:Klisz_Verbräuche[[#This Row],[2024]],"&lt;&gt;"), ""),IF($B$57&lt;Klisz_Verbräuche[[#Headers],[2025]],IF(COUNTIF($F199:Klisz_Verbräuche[[#This Row],[2024]],"&gt;0")&gt;0,IF(COUNTIF($F199:Klisz_Verbräuche[[#This Row],[2024]],"&gt;0")&gt;0,Klisz_Verbräuche[[#This Row],[2024]]*(1-$E199)^1, ""), ""),IF($B$57&gt;Klisz_Verbräuche[[#Headers],[2025]],Refsz_Verbräuche[[#This Row],[2025]],"")))</f>
        <v/>
      </c>
      <c r="Q199" s="57" t="str">
        <f>IF(Klisz_Verbräuche[[#Headers],[2026]]=$B$57,IF(COUNTIF($F199:Klisz_Verbräuche[[#This Row],[2025]],"&gt;0")&gt;0, AVERAGEIF($F199:Klisz_Verbräuche[[#This Row],[2025]],"&lt;&gt;"), ""),IF($B$57&lt;Klisz_Verbräuche[[#Headers],[2026]],IF(COUNTIF($F199:Klisz_Verbräuche[[#This Row],[2025]],"&gt;0")&gt;0,IF(COUNTIF($F199:Klisz_Verbräuche[[#This Row],[2025]],"&gt;0")&gt;0,Klisz_Verbräuche[[#This Row],[2025]]*(1-$E199)^1, ""), ""),IF($B$57&gt;Klisz_Verbräuche[[#Headers],[2026]],Refsz_Verbräuche[[#This Row],[2026]],"")))</f>
        <v/>
      </c>
      <c r="R199" s="57" t="str">
        <f>IF(Klisz_Verbräuche[[#Headers],[2027]]=$B$57,IF(COUNTIF($F199:Klisz_Verbräuche[[#This Row],[2026]],"&gt;0")&gt;0, AVERAGEIF($F199:Klisz_Verbräuche[[#This Row],[2026]],"&lt;&gt;"), ""),IF($B$57&lt;Klisz_Verbräuche[[#Headers],[2027]],IF(COUNTIF($F199:Klisz_Verbräuche[[#This Row],[2026]],"&gt;0")&gt;0,IF(COUNTIF($F199:Klisz_Verbräuche[[#This Row],[2026]],"&gt;0")&gt;0,Klisz_Verbräuche[[#This Row],[2026]]*(1-$E199)^1, ""), ""),IF($B$57&gt;Klisz_Verbräuche[[#Headers],[2027]],Refsz_Verbräuche[[#This Row],[2027]],"")))</f>
        <v/>
      </c>
      <c r="S199" s="57" t="str">
        <f>IF(Klisz_Verbräuche[[#Headers],[2028]]=$B$57,IF(COUNTIF($F199:Klisz_Verbräuche[[#This Row],[2027]],"&gt;0")&gt;0, AVERAGEIF($F199:Klisz_Verbräuche[[#This Row],[2027]],"&lt;&gt;"), ""),IF($B$57&lt;Klisz_Verbräuche[[#Headers],[2028]],IF(COUNTIF($F199:Klisz_Verbräuche[[#This Row],[2027]],"&gt;0")&gt;0,IF(COUNTIF($F199:Klisz_Verbräuche[[#This Row],[2027]],"&gt;0")&gt;0,Klisz_Verbräuche[[#This Row],[2027]]*(1-$E199)^1, ""), ""),IF($B$57&gt;Klisz_Verbräuche[[#Headers],[2028]],Refsz_Verbräuche[[#This Row],[2028]],"")))</f>
        <v/>
      </c>
      <c r="T199" s="57" t="str">
        <f>IF(Klisz_Verbräuche[[#Headers],[2029]]=$B$57,IF(COUNTIF($F199:Klisz_Verbräuche[[#This Row],[2028]],"&gt;0")&gt;0, AVERAGEIF($F199:Klisz_Verbräuche[[#This Row],[2028]],"&lt;&gt;"), ""),IF($B$57&lt;Klisz_Verbräuche[[#Headers],[2029]],IF(COUNTIF($F199:Klisz_Verbräuche[[#This Row],[2028]],"&gt;0")&gt;0,IF(COUNTIF($F199:Klisz_Verbräuche[[#This Row],[2028]],"&gt;0")&gt;0,Klisz_Verbräuche[[#This Row],[2028]]*(1-$E199)^1, ""), ""),IF($B$57&gt;Klisz_Verbräuche[[#Headers],[2029]],Refsz_Verbräuche[[#This Row],[2029]],"")))</f>
        <v/>
      </c>
      <c r="U199" s="57" t="str">
        <f>IF(Klisz_Verbräuche[[#Headers],[2030]]=$B$57,IF(COUNTIF($F199:Klisz_Verbräuche[[#This Row],[2029]],"&gt;0")&gt;0, AVERAGEIF($F199:Klisz_Verbräuche[[#This Row],[2029]],"&lt;&gt;"), ""),IF($B$57&lt;Klisz_Verbräuche[[#Headers],[2030]],IF(COUNTIF($F199:Klisz_Verbräuche[[#This Row],[2029]],"&gt;0")&gt;0,IF(COUNTIF($F199:Klisz_Verbräuche[[#This Row],[2029]],"&gt;0")&gt;0,Klisz_Verbräuche[[#This Row],[2029]]*(1-$E199)^1, ""), ""),IF($B$57&gt;Klisz_Verbräuche[[#Headers],[2030]],Refsz_Verbräuche[[#This Row],[2030]],"")))</f>
        <v/>
      </c>
      <c r="V199" s="57" t="str">
        <f>IF(Klisz_Verbräuche[[#Headers],[2035]]=$B$57,IF(COUNTIF($F199:Klisz_Verbräuche[[#This Row],[2030]],"&gt;0")&gt;0, AVERAGEIF($F199:Klisz_Verbräuche[[#This Row],[2030]],"&lt;&gt;"), ""),IF($B$57&lt;Klisz_Verbräuche[[#Headers],[2035]],IF(COUNTIF($F199:Klisz_Verbräuche[[#This Row],[2030]],"&gt;0")&gt;0,IF(COUNTIF($F199:Klisz_Verbräuche[[#This Row],[2030]],"&gt;0")&gt;0,Klisz_Verbräuche[[#This Row],[2030]]*(1-$E199)^5, ""), ""),IF($B$57&gt;Klisz_Verbräuche[[#Headers],[2035]],Refsz_Verbräuche[[#This Row],[2035]],"")))</f>
        <v/>
      </c>
      <c r="W199" s="57" t="str">
        <f>IF(Klisz_Verbräuche[[#Headers],[2040]]=$B$57,IF(COUNTIF($F199:Klisz_Verbräuche[[#This Row],[2035]],"&gt;0")&gt;0, AVERAGEIF($F199:Klisz_Verbräuche[[#This Row],[2035]],"&lt;&gt;"), ""),IF($B$57&lt;Klisz_Verbräuche[[#Headers],[2040]],IF(COUNTIF($F199:Klisz_Verbräuche[[#This Row],[2035]],"&gt;0")&gt;0,IF(COUNTIF($F199:Klisz_Verbräuche[[#This Row],[2035]],"&gt;0")&gt;0,Klisz_Verbräuche[[#This Row],[2035]]*(1-$E199)^5, ""), ""),IF($B$57&gt;Klisz_Verbräuche[[#Headers],[2040]],Refsz_Verbräuche[[#This Row],[2040]],"")))</f>
        <v/>
      </c>
      <c r="X199" s="57" t="str">
        <f>IF(Klisz_Verbräuche[[#Headers],[2045]]=$B$57,IF(COUNTIF($F199:Klisz_Verbräuche[[#This Row],[2040]],"&gt;0")&gt;0, AVERAGEIF($F199:Klisz_Verbräuche[[#This Row],[2040]],"&lt;&gt;"), ""),IF($B$57&lt;Klisz_Verbräuche[[#Headers],[2045]],IF(COUNTIF($F199:Klisz_Verbräuche[[#This Row],[2040]],"&gt;0")&gt;0,IF(COUNTIF($F199:Klisz_Verbräuche[[#This Row],[2040]],"&gt;0")&gt;0,Klisz_Verbräuche[[#This Row],[2040]]*(1-$E199)^5, ""), ""),IF($B$57&gt;Klisz_Verbräuche[[#Headers],[2045]],Refsz_Verbräuche[[#This Row],[2045]],"")))</f>
        <v/>
      </c>
      <c r="Y199" s="57" t="str">
        <f>IF(Klisz_Verbräuche[[#Headers],[2050]]=$B$57,IF(COUNTIF($F199:Klisz_Verbräuche[[#This Row],[2045]],"&gt;0")&gt;0, AVERAGEIF($F199:Klisz_Verbräuche[[#This Row],[2045]],"&lt;&gt;"), ""),IF($B$57&lt;Klisz_Verbräuche[[#Headers],[2050]],IF(COUNTIF($F199:Klisz_Verbräuche[[#This Row],[2045]],"&gt;0")&gt;0,IF(COUNTIF($F199:Klisz_Verbräuche[[#This Row],[2045]],"&gt;0")&gt;0,Klisz_Verbräuche[[#This Row],[2045]]*(1-$E199)^5, ""), ""),IF($B$57&gt;Klisz_Verbräuche[[#Headers],[2050]],Refsz_Verbräuche[[#This Row],[2050]],"")))</f>
        <v/>
      </c>
      <c r="Z199" s="15"/>
    </row>
    <row r="200" spans="2:26" x14ac:dyDescent="0.35">
      <c r="B200" s="15">
        <v>140</v>
      </c>
      <c r="C200" s="20" t="str">
        <f>Refsz_Verbräuche[[#This Row],[Datenpunkt]]</f>
        <v>Stahlbeton Fertigteil Decke (20cm Dicke)</v>
      </c>
      <c r="D200" s="29" t="str">
        <f>Refsz_Verbräuche[[#This Row],[Einheit]]</f>
        <v>m²</v>
      </c>
      <c r="E200" s="122"/>
      <c r="F200" s="15" t="str">
        <f>IF(ISBLANK(Refsz_Verbräuche[[#This Row],[2015]]),"",Refsz_Verbräuche[[#This Row],[2015]])</f>
        <v/>
      </c>
      <c r="G200" s="15" t="str">
        <f>IF(ISBLANK(Refsz_Verbräuche[[#This Row],[2016]]),"",Refsz_Verbräuche[[#This Row],[2016]])</f>
        <v/>
      </c>
      <c r="H200" s="15" t="str">
        <f>IF(ISBLANK(Refsz_Verbräuche[[#This Row],[2017]]),"",Refsz_Verbräuche[[#This Row],[2017]])</f>
        <v/>
      </c>
      <c r="I200" s="15" t="str">
        <f>IF(ISBLANK(Refsz_Verbräuche[[#This Row],[2018]]),"",Refsz_Verbräuche[[#This Row],[2018]])</f>
        <v/>
      </c>
      <c r="J200" s="15" t="str">
        <f>IF(ISBLANK(Refsz_Verbräuche[[#This Row],[2019]]),"",Refsz_Verbräuche[[#This Row],[2019]])</f>
        <v/>
      </c>
      <c r="K200" s="15" t="str">
        <f>IF(ISBLANK(Refsz_Verbräuche[[#This Row],[2020]]),"",Refsz_Verbräuche[[#This Row],[2020]])</f>
        <v/>
      </c>
      <c r="L200" s="15" t="str">
        <f>IF(ISBLANK(Refsz_Verbräuche[[#This Row],[2021]]),"",Refsz_Verbräuche[[#This Row],[2021]])</f>
        <v/>
      </c>
      <c r="M200" s="57" t="str">
        <f>IF(Klisz_Verbräuche[[#Headers],[2022]]=$B$57,IF(COUNTIF($F200:Klisz_Verbräuche[[#This Row],[2021]],"&gt;0")&gt;0, AVERAGEIF($F200:Klisz_Verbräuche[[#This Row],[2021]],"&lt;&gt;"), ""),IF($B$57&lt;Klisz_Verbräuche[[#Headers],[2022]],IF(COUNTIF($F200:Klisz_Verbräuche[[#This Row],[2021]],"&gt;0")&gt;0,IF(COUNTIF($F200:Klisz_Verbräuche[[#This Row],[2021]],"&gt;0")&gt;0,Klisz_Verbräuche[[#This Row],[2021]]*(1-$E200)^1, ""), ""),IF($B$57&gt;Klisz_Verbräuche[[#Headers],[2022]],Refsz_Verbräuche[[#This Row],[2022]],"")))</f>
        <v/>
      </c>
      <c r="N200" s="57" t="str">
        <f>IF(Klisz_Verbräuche[[#Headers],[2023]]=$B$57,IF(COUNTIF($F200:Klisz_Verbräuche[[#This Row],[2022]],"&gt;0")&gt;0, AVERAGEIF($F200:Klisz_Verbräuche[[#This Row],[2022]],"&lt;&gt;"), ""),IF($B$57&lt;Klisz_Verbräuche[[#Headers],[2023]],IF(COUNTIF($F200:Klisz_Verbräuche[[#This Row],[2022]],"&gt;0")&gt;0,IF(COUNTIF($F200:Klisz_Verbräuche[[#This Row],[2022]],"&gt;0")&gt;0,Klisz_Verbräuche[[#This Row],[2022]]*(1-$E200)^1, ""), ""),IF($B$57&gt;Klisz_Verbräuche[[#Headers],[2023]],Refsz_Verbräuche[[#This Row],[2023]],"")))</f>
        <v/>
      </c>
      <c r="O200" s="57" t="str">
        <f>IF(Klisz_Verbräuche[[#Headers],[2024]]=$B$57,IF(COUNTIF($F200:Klisz_Verbräuche[[#This Row],[2023]],"&gt;0")&gt;0, AVERAGEIF($F200:Klisz_Verbräuche[[#This Row],[2023]],"&lt;&gt;"), ""),IF($B$57&lt;Klisz_Verbräuche[[#Headers],[2024]],IF(COUNTIF($F200:Klisz_Verbräuche[[#This Row],[2023]],"&gt;0")&gt;0,IF(COUNTIF($F200:Klisz_Verbräuche[[#This Row],[2023]],"&gt;0")&gt;0,Klisz_Verbräuche[[#This Row],[2023]]*(1-$E200)^1, ""), ""),IF($B$57&gt;Klisz_Verbräuche[[#Headers],[2024]],Refsz_Verbräuche[[#This Row],[2024]],"")))</f>
        <v/>
      </c>
      <c r="P200" s="57" t="str">
        <f>IF(Klisz_Verbräuche[[#Headers],[2025]]=$B$57,IF(COUNTIF($F200:Klisz_Verbräuche[[#This Row],[2024]],"&gt;0")&gt;0, AVERAGEIF($F200:Klisz_Verbräuche[[#This Row],[2024]],"&lt;&gt;"), ""),IF($B$57&lt;Klisz_Verbräuche[[#Headers],[2025]],IF(COUNTIF($F200:Klisz_Verbräuche[[#This Row],[2024]],"&gt;0")&gt;0,IF(COUNTIF($F200:Klisz_Verbräuche[[#This Row],[2024]],"&gt;0")&gt;0,Klisz_Verbräuche[[#This Row],[2024]]*(1-$E200)^1, ""), ""),IF($B$57&gt;Klisz_Verbräuche[[#Headers],[2025]],Refsz_Verbräuche[[#This Row],[2025]],"")))</f>
        <v/>
      </c>
      <c r="Q200" s="57" t="str">
        <f>IF(Klisz_Verbräuche[[#Headers],[2026]]=$B$57,IF(COUNTIF($F200:Klisz_Verbräuche[[#This Row],[2025]],"&gt;0")&gt;0, AVERAGEIF($F200:Klisz_Verbräuche[[#This Row],[2025]],"&lt;&gt;"), ""),IF($B$57&lt;Klisz_Verbräuche[[#Headers],[2026]],IF(COUNTIF($F200:Klisz_Verbräuche[[#This Row],[2025]],"&gt;0")&gt;0,IF(COUNTIF($F200:Klisz_Verbräuche[[#This Row],[2025]],"&gt;0")&gt;0,Klisz_Verbräuche[[#This Row],[2025]]*(1-$E200)^1, ""), ""),IF($B$57&gt;Klisz_Verbräuche[[#Headers],[2026]],Refsz_Verbräuche[[#This Row],[2026]],"")))</f>
        <v/>
      </c>
      <c r="R200" s="57" t="str">
        <f>IF(Klisz_Verbräuche[[#Headers],[2027]]=$B$57,IF(COUNTIF($F200:Klisz_Verbräuche[[#This Row],[2026]],"&gt;0")&gt;0, AVERAGEIF($F200:Klisz_Verbräuche[[#This Row],[2026]],"&lt;&gt;"), ""),IF($B$57&lt;Klisz_Verbräuche[[#Headers],[2027]],IF(COUNTIF($F200:Klisz_Verbräuche[[#This Row],[2026]],"&gt;0")&gt;0,IF(COUNTIF($F200:Klisz_Verbräuche[[#This Row],[2026]],"&gt;0")&gt;0,Klisz_Verbräuche[[#This Row],[2026]]*(1-$E200)^1, ""), ""),IF($B$57&gt;Klisz_Verbräuche[[#Headers],[2027]],Refsz_Verbräuche[[#This Row],[2027]],"")))</f>
        <v/>
      </c>
      <c r="S200" s="57" t="str">
        <f>IF(Klisz_Verbräuche[[#Headers],[2028]]=$B$57,IF(COUNTIF($F200:Klisz_Verbräuche[[#This Row],[2027]],"&gt;0")&gt;0, AVERAGEIF($F200:Klisz_Verbräuche[[#This Row],[2027]],"&lt;&gt;"), ""),IF($B$57&lt;Klisz_Verbräuche[[#Headers],[2028]],IF(COUNTIF($F200:Klisz_Verbräuche[[#This Row],[2027]],"&gt;0")&gt;0,IF(COUNTIF($F200:Klisz_Verbräuche[[#This Row],[2027]],"&gt;0")&gt;0,Klisz_Verbräuche[[#This Row],[2027]]*(1-$E200)^1, ""), ""),IF($B$57&gt;Klisz_Verbräuche[[#Headers],[2028]],Refsz_Verbräuche[[#This Row],[2028]],"")))</f>
        <v/>
      </c>
      <c r="T200" s="57" t="str">
        <f>IF(Klisz_Verbräuche[[#Headers],[2029]]=$B$57,IF(COUNTIF($F200:Klisz_Verbräuche[[#This Row],[2028]],"&gt;0")&gt;0, AVERAGEIF($F200:Klisz_Verbräuche[[#This Row],[2028]],"&lt;&gt;"), ""),IF($B$57&lt;Klisz_Verbräuche[[#Headers],[2029]],IF(COUNTIF($F200:Klisz_Verbräuche[[#This Row],[2028]],"&gt;0")&gt;0,IF(COUNTIF($F200:Klisz_Verbräuche[[#This Row],[2028]],"&gt;0")&gt;0,Klisz_Verbräuche[[#This Row],[2028]]*(1-$E200)^1, ""), ""),IF($B$57&gt;Klisz_Verbräuche[[#Headers],[2029]],Refsz_Verbräuche[[#This Row],[2029]],"")))</f>
        <v/>
      </c>
      <c r="U200" s="57" t="str">
        <f>IF(Klisz_Verbräuche[[#Headers],[2030]]=$B$57,IF(COUNTIF($F200:Klisz_Verbräuche[[#This Row],[2029]],"&gt;0")&gt;0, AVERAGEIF($F200:Klisz_Verbräuche[[#This Row],[2029]],"&lt;&gt;"), ""),IF($B$57&lt;Klisz_Verbräuche[[#Headers],[2030]],IF(COUNTIF($F200:Klisz_Verbräuche[[#This Row],[2029]],"&gt;0")&gt;0,IF(COUNTIF($F200:Klisz_Verbräuche[[#This Row],[2029]],"&gt;0")&gt;0,Klisz_Verbräuche[[#This Row],[2029]]*(1-$E200)^1, ""), ""),IF($B$57&gt;Klisz_Verbräuche[[#Headers],[2030]],Refsz_Verbräuche[[#This Row],[2030]],"")))</f>
        <v/>
      </c>
      <c r="V200" s="57" t="str">
        <f>IF(Klisz_Verbräuche[[#Headers],[2035]]=$B$57,IF(COUNTIF($F200:Klisz_Verbräuche[[#This Row],[2030]],"&gt;0")&gt;0, AVERAGEIF($F200:Klisz_Verbräuche[[#This Row],[2030]],"&lt;&gt;"), ""),IF($B$57&lt;Klisz_Verbräuche[[#Headers],[2035]],IF(COUNTIF($F200:Klisz_Verbräuche[[#This Row],[2030]],"&gt;0")&gt;0,IF(COUNTIF($F200:Klisz_Verbräuche[[#This Row],[2030]],"&gt;0")&gt;0,Klisz_Verbräuche[[#This Row],[2030]]*(1-$E200)^5, ""), ""),IF($B$57&gt;Klisz_Verbräuche[[#Headers],[2035]],Refsz_Verbräuche[[#This Row],[2035]],"")))</f>
        <v/>
      </c>
      <c r="W200" s="57" t="str">
        <f>IF(Klisz_Verbräuche[[#Headers],[2040]]=$B$57,IF(COUNTIF($F200:Klisz_Verbräuche[[#This Row],[2035]],"&gt;0")&gt;0, AVERAGEIF($F200:Klisz_Verbräuche[[#This Row],[2035]],"&lt;&gt;"), ""),IF($B$57&lt;Klisz_Verbräuche[[#Headers],[2040]],IF(COUNTIF($F200:Klisz_Verbräuche[[#This Row],[2035]],"&gt;0")&gt;0,IF(COUNTIF($F200:Klisz_Verbräuche[[#This Row],[2035]],"&gt;0")&gt;0,Klisz_Verbräuche[[#This Row],[2035]]*(1-$E200)^5, ""), ""),IF($B$57&gt;Klisz_Verbräuche[[#Headers],[2040]],Refsz_Verbräuche[[#This Row],[2040]],"")))</f>
        <v/>
      </c>
      <c r="X200" s="57" t="str">
        <f>IF(Klisz_Verbräuche[[#Headers],[2045]]=$B$57,IF(COUNTIF($F200:Klisz_Verbräuche[[#This Row],[2040]],"&gt;0")&gt;0, AVERAGEIF($F200:Klisz_Verbräuche[[#This Row],[2040]],"&lt;&gt;"), ""),IF($B$57&lt;Klisz_Verbräuche[[#Headers],[2045]],IF(COUNTIF($F200:Klisz_Verbräuche[[#This Row],[2040]],"&gt;0")&gt;0,IF(COUNTIF($F200:Klisz_Verbräuche[[#This Row],[2040]],"&gt;0")&gt;0,Klisz_Verbräuche[[#This Row],[2040]]*(1-$E200)^5, ""), ""),IF($B$57&gt;Klisz_Verbräuche[[#Headers],[2045]],Refsz_Verbräuche[[#This Row],[2045]],"")))</f>
        <v/>
      </c>
      <c r="Y200" s="57" t="str">
        <f>IF(Klisz_Verbräuche[[#Headers],[2050]]=$B$57,IF(COUNTIF($F200:Klisz_Verbräuche[[#This Row],[2045]],"&gt;0")&gt;0, AVERAGEIF($F200:Klisz_Verbräuche[[#This Row],[2045]],"&lt;&gt;"), ""),IF($B$57&lt;Klisz_Verbräuche[[#Headers],[2050]],IF(COUNTIF($F200:Klisz_Verbräuche[[#This Row],[2045]],"&gt;0")&gt;0,IF(COUNTIF($F200:Klisz_Verbräuche[[#This Row],[2045]],"&gt;0")&gt;0,Klisz_Verbräuche[[#This Row],[2045]]*(1-$E200)^5, ""), ""),IF($B$57&gt;Klisz_Verbräuche[[#Headers],[2050]],Refsz_Verbräuche[[#This Row],[2050]],"")))</f>
        <v/>
      </c>
      <c r="Z200" s="15"/>
    </row>
    <row r="201" spans="2:26" x14ac:dyDescent="0.35">
      <c r="B201" s="15">
        <v>141</v>
      </c>
      <c r="C201" s="20" t="str">
        <f>Refsz_Verbräuche[[#This Row],[Datenpunkt]]</f>
        <v>Stahlbeton Fertigteil Wand (12cm Dicke)</v>
      </c>
      <c r="D201" s="29" t="str">
        <f>Refsz_Verbräuche[[#This Row],[Einheit]]</f>
        <v>m²</v>
      </c>
      <c r="E201" s="122"/>
      <c r="F201" s="15" t="str">
        <f>IF(ISBLANK(Refsz_Verbräuche[[#This Row],[2015]]),"",Refsz_Verbräuche[[#This Row],[2015]])</f>
        <v/>
      </c>
      <c r="G201" s="15" t="str">
        <f>IF(ISBLANK(Refsz_Verbräuche[[#This Row],[2016]]),"",Refsz_Verbräuche[[#This Row],[2016]])</f>
        <v/>
      </c>
      <c r="H201" s="15" t="str">
        <f>IF(ISBLANK(Refsz_Verbräuche[[#This Row],[2017]]),"",Refsz_Verbräuche[[#This Row],[2017]])</f>
        <v/>
      </c>
      <c r="I201" s="15" t="str">
        <f>IF(ISBLANK(Refsz_Verbräuche[[#This Row],[2018]]),"",Refsz_Verbräuche[[#This Row],[2018]])</f>
        <v/>
      </c>
      <c r="J201" s="15" t="str">
        <f>IF(ISBLANK(Refsz_Verbräuche[[#This Row],[2019]]),"",Refsz_Verbräuche[[#This Row],[2019]])</f>
        <v/>
      </c>
      <c r="K201" s="15" t="str">
        <f>IF(ISBLANK(Refsz_Verbräuche[[#This Row],[2020]]),"",Refsz_Verbräuche[[#This Row],[2020]])</f>
        <v/>
      </c>
      <c r="L201" s="15" t="str">
        <f>IF(ISBLANK(Refsz_Verbräuche[[#This Row],[2021]]),"",Refsz_Verbräuche[[#This Row],[2021]])</f>
        <v/>
      </c>
      <c r="M201" s="57" t="str">
        <f>IF(Klisz_Verbräuche[[#Headers],[2022]]=$B$57,IF(COUNTIF($F201:Klisz_Verbräuche[[#This Row],[2021]],"&gt;0")&gt;0, AVERAGEIF($F201:Klisz_Verbräuche[[#This Row],[2021]],"&lt;&gt;"), ""),IF($B$57&lt;Klisz_Verbräuche[[#Headers],[2022]],IF(COUNTIF($F201:Klisz_Verbräuche[[#This Row],[2021]],"&gt;0")&gt;0,IF(COUNTIF($F201:Klisz_Verbräuche[[#This Row],[2021]],"&gt;0")&gt;0,Klisz_Verbräuche[[#This Row],[2021]]*(1-$E201)^1, ""), ""),IF($B$57&gt;Klisz_Verbräuche[[#Headers],[2022]],Refsz_Verbräuche[[#This Row],[2022]],"")))</f>
        <v/>
      </c>
      <c r="N201" s="57" t="str">
        <f>IF(Klisz_Verbräuche[[#Headers],[2023]]=$B$57,IF(COUNTIF($F201:Klisz_Verbräuche[[#This Row],[2022]],"&gt;0")&gt;0, AVERAGEIF($F201:Klisz_Verbräuche[[#This Row],[2022]],"&lt;&gt;"), ""),IF($B$57&lt;Klisz_Verbräuche[[#Headers],[2023]],IF(COUNTIF($F201:Klisz_Verbräuche[[#This Row],[2022]],"&gt;0")&gt;0,IF(COUNTIF($F201:Klisz_Verbräuche[[#This Row],[2022]],"&gt;0")&gt;0,Klisz_Verbräuche[[#This Row],[2022]]*(1-$E201)^1, ""), ""),IF($B$57&gt;Klisz_Verbräuche[[#Headers],[2023]],Refsz_Verbräuche[[#This Row],[2023]],"")))</f>
        <v/>
      </c>
      <c r="O201" s="57" t="str">
        <f>IF(Klisz_Verbräuche[[#Headers],[2024]]=$B$57,IF(COUNTIF($F201:Klisz_Verbräuche[[#This Row],[2023]],"&gt;0")&gt;0, AVERAGEIF($F201:Klisz_Verbräuche[[#This Row],[2023]],"&lt;&gt;"), ""),IF($B$57&lt;Klisz_Verbräuche[[#Headers],[2024]],IF(COUNTIF($F201:Klisz_Verbräuche[[#This Row],[2023]],"&gt;0")&gt;0,IF(COUNTIF($F201:Klisz_Verbräuche[[#This Row],[2023]],"&gt;0")&gt;0,Klisz_Verbräuche[[#This Row],[2023]]*(1-$E201)^1, ""), ""),IF($B$57&gt;Klisz_Verbräuche[[#Headers],[2024]],Refsz_Verbräuche[[#This Row],[2024]],"")))</f>
        <v/>
      </c>
      <c r="P201" s="57" t="str">
        <f>IF(Klisz_Verbräuche[[#Headers],[2025]]=$B$57,IF(COUNTIF($F201:Klisz_Verbräuche[[#This Row],[2024]],"&gt;0")&gt;0, AVERAGEIF($F201:Klisz_Verbräuche[[#This Row],[2024]],"&lt;&gt;"), ""),IF($B$57&lt;Klisz_Verbräuche[[#Headers],[2025]],IF(COUNTIF($F201:Klisz_Verbräuche[[#This Row],[2024]],"&gt;0")&gt;0,IF(COUNTIF($F201:Klisz_Verbräuche[[#This Row],[2024]],"&gt;0")&gt;0,Klisz_Verbräuche[[#This Row],[2024]]*(1-$E201)^1, ""), ""),IF($B$57&gt;Klisz_Verbräuche[[#Headers],[2025]],Refsz_Verbräuche[[#This Row],[2025]],"")))</f>
        <v/>
      </c>
      <c r="Q201" s="57" t="str">
        <f>IF(Klisz_Verbräuche[[#Headers],[2026]]=$B$57,IF(COUNTIF($F201:Klisz_Verbräuche[[#This Row],[2025]],"&gt;0")&gt;0, AVERAGEIF($F201:Klisz_Verbräuche[[#This Row],[2025]],"&lt;&gt;"), ""),IF($B$57&lt;Klisz_Verbräuche[[#Headers],[2026]],IF(COUNTIF($F201:Klisz_Verbräuche[[#This Row],[2025]],"&gt;0")&gt;0,IF(COUNTIF($F201:Klisz_Verbräuche[[#This Row],[2025]],"&gt;0")&gt;0,Klisz_Verbräuche[[#This Row],[2025]]*(1-$E201)^1, ""), ""),IF($B$57&gt;Klisz_Verbräuche[[#Headers],[2026]],Refsz_Verbräuche[[#This Row],[2026]],"")))</f>
        <v/>
      </c>
      <c r="R201" s="57" t="str">
        <f>IF(Klisz_Verbräuche[[#Headers],[2027]]=$B$57,IF(COUNTIF($F201:Klisz_Verbräuche[[#This Row],[2026]],"&gt;0")&gt;0, AVERAGEIF($F201:Klisz_Verbräuche[[#This Row],[2026]],"&lt;&gt;"), ""),IF($B$57&lt;Klisz_Verbräuche[[#Headers],[2027]],IF(COUNTIF($F201:Klisz_Verbräuche[[#This Row],[2026]],"&gt;0")&gt;0,IF(COUNTIF($F201:Klisz_Verbräuche[[#This Row],[2026]],"&gt;0")&gt;0,Klisz_Verbräuche[[#This Row],[2026]]*(1-$E201)^1, ""), ""),IF($B$57&gt;Klisz_Verbräuche[[#Headers],[2027]],Refsz_Verbräuche[[#This Row],[2027]],"")))</f>
        <v/>
      </c>
      <c r="S201" s="57" t="str">
        <f>IF(Klisz_Verbräuche[[#Headers],[2028]]=$B$57,IF(COUNTIF($F201:Klisz_Verbräuche[[#This Row],[2027]],"&gt;0")&gt;0, AVERAGEIF($F201:Klisz_Verbräuche[[#This Row],[2027]],"&lt;&gt;"), ""),IF($B$57&lt;Klisz_Verbräuche[[#Headers],[2028]],IF(COUNTIF($F201:Klisz_Verbräuche[[#This Row],[2027]],"&gt;0")&gt;0,IF(COUNTIF($F201:Klisz_Verbräuche[[#This Row],[2027]],"&gt;0")&gt;0,Klisz_Verbräuche[[#This Row],[2027]]*(1-$E201)^1, ""), ""),IF($B$57&gt;Klisz_Verbräuche[[#Headers],[2028]],Refsz_Verbräuche[[#This Row],[2028]],"")))</f>
        <v/>
      </c>
      <c r="T201" s="57" t="str">
        <f>IF(Klisz_Verbräuche[[#Headers],[2029]]=$B$57,IF(COUNTIF($F201:Klisz_Verbräuche[[#This Row],[2028]],"&gt;0")&gt;0, AVERAGEIF($F201:Klisz_Verbräuche[[#This Row],[2028]],"&lt;&gt;"), ""),IF($B$57&lt;Klisz_Verbräuche[[#Headers],[2029]],IF(COUNTIF($F201:Klisz_Verbräuche[[#This Row],[2028]],"&gt;0")&gt;0,IF(COUNTIF($F201:Klisz_Verbräuche[[#This Row],[2028]],"&gt;0")&gt;0,Klisz_Verbräuche[[#This Row],[2028]]*(1-$E201)^1, ""), ""),IF($B$57&gt;Klisz_Verbräuche[[#Headers],[2029]],Refsz_Verbräuche[[#This Row],[2029]],"")))</f>
        <v/>
      </c>
      <c r="U201" s="57" t="str">
        <f>IF(Klisz_Verbräuche[[#Headers],[2030]]=$B$57,IF(COUNTIF($F201:Klisz_Verbräuche[[#This Row],[2029]],"&gt;0")&gt;0, AVERAGEIF($F201:Klisz_Verbräuche[[#This Row],[2029]],"&lt;&gt;"), ""),IF($B$57&lt;Klisz_Verbräuche[[#Headers],[2030]],IF(COUNTIF($F201:Klisz_Verbräuche[[#This Row],[2029]],"&gt;0")&gt;0,IF(COUNTIF($F201:Klisz_Verbräuche[[#This Row],[2029]],"&gt;0")&gt;0,Klisz_Verbräuche[[#This Row],[2029]]*(1-$E201)^1, ""), ""),IF($B$57&gt;Klisz_Verbräuche[[#Headers],[2030]],Refsz_Verbräuche[[#This Row],[2030]],"")))</f>
        <v/>
      </c>
      <c r="V201" s="57" t="str">
        <f>IF(Klisz_Verbräuche[[#Headers],[2035]]=$B$57,IF(COUNTIF($F201:Klisz_Verbräuche[[#This Row],[2030]],"&gt;0")&gt;0, AVERAGEIF($F201:Klisz_Verbräuche[[#This Row],[2030]],"&lt;&gt;"), ""),IF($B$57&lt;Klisz_Verbräuche[[#Headers],[2035]],IF(COUNTIF($F201:Klisz_Verbräuche[[#This Row],[2030]],"&gt;0")&gt;0,IF(COUNTIF($F201:Klisz_Verbräuche[[#This Row],[2030]],"&gt;0")&gt;0,Klisz_Verbräuche[[#This Row],[2030]]*(1-$E201)^5, ""), ""),IF($B$57&gt;Klisz_Verbräuche[[#Headers],[2035]],Refsz_Verbräuche[[#This Row],[2035]],"")))</f>
        <v/>
      </c>
      <c r="W201" s="57" t="str">
        <f>IF(Klisz_Verbräuche[[#Headers],[2040]]=$B$57,IF(COUNTIF($F201:Klisz_Verbräuche[[#This Row],[2035]],"&gt;0")&gt;0, AVERAGEIF($F201:Klisz_Verbräuche[[#This Row],[2035]],"&lt;&gt;"), ""),IF($B$57&lt;Klisz_Verbräuche[[#Headers],[2040]],IF(COUNTIF($F201:Klisz_Verbräuche[[#This Row],[2035]],"&gt;0")&gt;0,IF(COUNTIF($F201:Klisz_Verbräuche[[#This Row],[2035]],"&gt;0")&gt;0,Klisz_Verbräuche[[#This Row],[2035]]*(1-$E201)^5, ""), ""),IF($B$57&gt;Klisz_Verbräuche[[#Headers],[2040]],Refsz_Verbräuche[[#This Row],[2040]],"")))</f>
        <v/>
      </c>
      <c r="X201" s="57" t="str">
        <f>IF(Klisz_Verbräuche[[#Headers],[2045]]=$B$57,IF(COUNTIF($F201:Klisz_Verbräuche[[#This Row],[2040]],"&gt;0")&gt;0, AVERAGEIF($F201:Klisz_Verbräuche[[#This Row],[2040]],"&lt;&gt;"), ""),IF($B$57&lt;Klisz_Verbräuche[[#Headers],[2045]],IF(COUNTIF($F201:Klisz_Verbräuche[[#This Row],[2040]],"&gt;0")&gt;0,IF(COUNTIF($F201:Klisz_Verbräuche[[#This Row],[2040]],"&gt;0")&gt;0,Klisz_Verbräuche[[#This Row],[2040]]*(1-$E201)^5, ""), ""),IF($B$57&gt;Klisz_Verbräuche[[#Headers],[2045]],Refsz_Verbräuche[[#This Row],[2045]],"")))</f>
        <v/>
      </c>
      <c r="Y201" s="57" t="str">
        <f>IF(Klisz_Verbräuche[[#Headers],[2050]]=$B$57,IF(COUNTIF($F201:Klisz_Verbräuche[[#This Row],[2045]],"&gt;0")&gt;0, AVERAGEIF($F201:Klisz_Verbräuche[[#This Row],[2045]],"&lt;&gt;"), ""),IF($B$57&lt;Klisz_Verbräuche[[#Headers],[2050]],IF(COUNTIF($F201:Klisz_Verbräuche[[#This Row],[2045]],"&gt;0")&gt;0,IF(COUNTIF($F201:Klisz_Verbräuche[[#This Row],[2045]],"&gt;0")&gt;0,Klisz_Verbräuche[[#This Row],[2045]]*(1-$E201)^5, ""), ""),IF($B$57&gt;Klisz_Verbräuche[[#Headers],[2050]],Refsz_Verbräuche[[#This Row],[2050]],"")))</f>
        <v/>
      </c>
      <c r="Z201" s="15"/>
    </row>
    <row r="202" spans="2:26" x14ac:dyDescent="0.35">
      <c r="B202" s="15">
        <v>142</v>
      </c>
      <c r="C202" s="20" t="str">
        <f>Refsz_Verbräuche[[#This Row],[Datenpunkt]]</f>
        <v xml:space="preserve">Stahlbeton Fertigteil Treppe (1,1 m Breite, 9 Stufen a 16 cm) </v>
      </c>
      <c r="D202" s="29" t="str">
        <f>Refsz_Verbräuche[[#This Row],[Einheit]]</f>
        <v>Stk</v>
      </c>
      <c r="E202" s="122"/>
      <c r="F202" s="15" t="str">
        <f>IF(ISBLANK(Refsz_Verbräuche[[#This Row],[2015]]),"",Refsz_Verbräuche[[#This Row],[2015]])</f>
        <v/>
      </c>
      <c r="G202" s="15" t="str">
        <f>IF(ISBLANK(Refsz_Verbräuche[[#This Row],[2016]]),"",Refsz_Verbräuche[[#This Row],[2016]])</f>
        <v/>
      </c>
      <c r="H202" s="15" t="str">
        <f>IF(ISBLANK(Refsz_Verbräuche[[#This Row],[2017]]),"",Refsz_Verbräuche[[#This Row],[2017]])</f>
        <v/>
      </c>
      <c r="I202" s="15" t="str">
        <f>IF(ISBLANK(Refsz_Verbräuche[[#This Row],[2018]]),"",Refsz_Verbräuche[[#This Row],[2018]])</f>
        <v/>
      </c>
      <c r="J202" s="15" t="str">
        <f>IF(ISBLANK(Refsz_Verbräuche[[#This Row],[2019]]),"",Refsz_Verbräuche[[#This Row],[2019]])</f>
        <v/>
      </c>
      <c r="K202" s="15" t="str">
        <f>IF(ISBLANK(Refsz_Verbräuche[[#This Row],[2020]]),"",Refsz_Verbräuche[[#This Row],[2020]])</f>
        <v/>
      </c>
      <c r="L202" s="15" t="str">
        <f>IF(ISBLANK(Refsz_Verbräuche[[#This Row],[2021]]),"",Refsz_Verbräuche[[#This Row],[2021]])</f>
        <v/>
      </c>
      <c r="M202" s="57" t="str">
        <f>IF(Klisz_Verbräuche[[#Headers],[2022]]=$B$57,IF(COUNTIF($F202:Klisz_Verbräuche[[#This Row],[2021]],"&gt;0")&gt;0, AVERAGEIF($F202:Klisz_Verbräuche[[#This Row],[2021]],"&lt;&gt;"), ""),IF($B$57&lt;Klisz_Verbräuche[[#Headers],[2022]],IF(COUNTIF($F202:Klisz_Verbräuche[[#This Row],[2021]],"&gt;0")&gt;0,IF(COUNTIF($F202:Klisz_Verbräuche[[#This Row],[2021]],"&gt;0")&gt;0,Klisz_Verbräuche[[#This Row],[2021]]*(1-$E202)^1, ""), ""),IF($B$57&gt;Klisz_Verbräuche[[#Headers],[2022]],Refsz_Verbräuche[[#This Row],[2022]],"")))</f>
        <v/>
      </c>
      <c r="N202" s="57" t="str">
        <f>IF(Klisz_Verbräuche[[#Headers],[2023]]=$B$57,IF(COUNTIF($F202:Klisz_Verbräuche[[#This Row],[2022]],"&gt;0")&gt;0, AVERAGEIF($F202:Klisz_Verbräuche[[#This Row],[2022]],"&lt;&gt;"), ""),IF($B$57&lt;Klisz_Verbräuche[[#Headers],[2023]],IF(COUNTIF($F202:Klisz_Verbräuche[[#This Row],[2022]],"&gt;0")&gt;0,IF(COUNTIF($F202:Klisz_Verbräuche[[#This Row],[2022]],"&gt;0")&gt;0,Klisz_Verbräuche[[#This Row],[2022]]*(1-$E202)^1, ""), ""),IF($B$57&gt;Klisz_Verbräuche[[#Headers],[2023]],Refsz_Verbräuche[[#This Row],[2023]],"")))</f>
        <v/>
      </c>
      <c r="O202" s="57" t="str">
        <f>IF(Klisz_Verbräuche[[#Headers],[2024]]=$B$57,IF(COUNTIF($F202:Klisz_Verbräuche[[#This Row],[2023]],"&gt;0")&gt;0, AVERAGEIF($F202:Klisz_Verbräuche[[#This Row],[2023]],"&lt;&gt;"), ""),IF($B$57&lt;Klisz_Verbräuche[[#Headers],[2024]],IF(COUNTIF($F202:Klisz_Verbräuche[[#This Row],[2023]],"&gt;0")&gt;0,IF(COUNTIF($F202:Klisz_Verbräuche[[#This Row],[2023]],"&gt;0")&gt;0,Klisz_Verbräuche[[#This Row],[2023]]*(1-$E202)^1, ""), ""),IF($B$57&gt;Klisz_Verbräuche[[#Headers],[2024]],Refsz_Verbräuche[[#This Row],[2024]],"")))</f>
        <v/>
      </c>
      <c r="P202" s="57" t="str">
        <f>IF(Klisz_Verbräuche[[#Headers],[2025]]=$B$57,IF(COUNTIF($F202:Klisz_Verbräuche[[#This Row],[2024]],"&gt;0")&gt;0, AVERAGEIF($F202:Klisz_Verbräuche[[#This Row],[2024]],"&lt;&gt;"), ""),IF($B$57&lt;Klisz_Verbräuche[[#Headers],[2025]],IF(COUNTIF($F202:Klisz_Verbräuche[[#This Row],[2024]],"&gt;0")&gt;0,IF(COUNTIF($F202:Klisz_Verbräuche[[#This Row],[2024]],"&gt;0")&gt;0,Klisz_Verbräuche[[#This Row],[2024]]*(1-$E202)^1, ""), ""),IF($B$57&gt;Klisz_Verbräuche[[#Headers],[2025]],Refsz_Verbräuche[[#This Row],[2025]],"")))</f>
        <v/>
      </c>
      <c r="Q202" s="57" t="str">
        <f>IF(Klisz_Verbräuche[[#Headers],[2026]]=$B$57,IF(COUNTIF($F202:Klisz_Verbräuche[[#This Row],[2025]],"&gt;0")&gt;0, AVERAGEIF($F202:Klisz_Verbräuche[[#This Row],[2025]],"&lt;&gt;"), ""),IF($B$57&lt;Klisz_Verbräuche[[#Headers],[2026]],IF(COUNTIF($F202:Klisz_Verbräuche[[#This Row],[2025]],"&gt;0")&gt;0,IF(COUNTIF($F202:Klisz_Verbräuche[[#This Row],[2025]],"&gt;0")&gt;0,Klisz_Verbräuche[[#This Row],[2025]]*(1-$E202)^1, ""), ""),IF($B$57&gt;Klisz_Verbräuche[[#Headers],[2026]],Refsz_Verbräuche[[#This Row],[2026]],"")))</f>
        <v/>
      </c>
      <c r="R202" s="57" t="str">
        <f>IF(Klisz_Verbräuche[[#Headers],[2027]]=$B$57,IF(COUNTIF($F202:Klisz_Verbräuche[[#This Row],[2026]],"&gt;0")&gt;0, AVERAGEIF($F202:Klisz_Verbräuche[[#This Row],[2026]],"&lt;&gt;"), ""),IF($B$57&lt;Klisz_Verbräuche[[#Headers],[2027]],IF(COUNTIF($F202:Klisz_Verbräuche[[#This Row],[2026]],"&gt;0")&gt;0,IF(COUNTIF($F202:Klisz_Verbräuche[[#This Row],[2026]],"&gt;0")&gt;0,Klisz_Verbräuche[[#This Row],[2026]]*(1-$E202)^1, ""), ""),IF($B$57&gt;Klisz_Verbräuche[[#Headers],[2027]],Refsz_Verbräuche[[#This Row],[2027]],"")))</f>
        <v/>
      </c>
      <c r="S202" s="57" t="str">
        <f>IF(Klisz_Verbräuche[[#Headers],[2028]]=$B$57,IF(COUNTIF($F202:Klisz_Verbräuche[[#This Row],[2027]],"&gt;0")&gt;0, AVERAGEIF($F202:Klisz_Verbräuche[[#This Row],[2027]],"&lt;&gt;"), ""),IF($B$57&lt;Klisz_Verbräuche[[#Headers],[2028]],IF(COUNTIF($F202:Klisz_Verbräuche[[#This Row],[2027]],"&gt;0")&gt;0,IF(COUNTIF($F202:Klisz_Verbräuche[[#This Row],[2027]],"&gt;0")&gt;0,Klisz_Verbräuche[[#This Row],[2027]]*(1-$E202)^1, ""), ""),IF($B$57&gt;Klisz_Verbräuche[[#Headers],[2028]],Refsz_Verbräuche[[#This Row],[2028]],"")))</f>
        <v/>
      </c>
      <c r="T202" s="57" t="str">
        <f>IF(Klisz_Verbräuche[[#Headers],[2029]]=$B$57,IF(COUNTIF($F202:Klisz_Verbräuche[[#This Row],[2028]],"&gt;0")&gt;0, AVERAGEIF($F202:Klisz_Verbräuche[[#This Row],[2028]],"&lt;&gt;"), ""),IF($B$57&lt;Klisz_Verbräuche[[#Headers],[2029]],IF(COUNTIF($F202:Klisz_Verbräuche[[#This Row],[2028]],"&gt;0")&gt;0,IF(COUNTIF($F202:Klisz_Verbräuche[[#This Row],[2028]],"&gt;0")&gt;0,Klisz_Verbräuche[[#This Row],[2028]]*(1-$E202)^1, ""), ""),IF($B$57&gt;Klisz_Verbräuche[[#Headers],[2029]],Refsz_Verbräuche[[#This Row],[2029]],"")))</f>
        <v/>
      </c>
      <c r="U202" s="57" t="str">
        <f>IF(Klisz_Verbräuche[[#Headers],[2030]]=$B$57,IF(COUNTIF($F202:Klisz_Verbräuche[[#This Row],[2029]],"&gt;0")&gt;0, AVERAGEIF($F202:Klisz_Verbräuche[[#This Row],[2029]],"&lt;&gt;"), ""),IF($B$57&lt;Klisz_Verbräuche[[#Headers],[2030]],IF(COUNTIF($F202:Klisz_Verbräuche[[#This Row],[2029]],"&gt;0")&gt;0,IF(COUNTIF($F202:Klisz_Verbräuche[[#This Row],[2029]],"&gt;0")&gt;0,Klisz_Verbräuche[[#This Row],[2029]]*(1-$E202)^1, ""), ""),IF($B$57&gt;Klisz_Verbräuche[[#Headers],[2030]],Refsz_Verbräuche[[#This Row],[2030]],"")))</f>
        <v/>
      </c>
      <c r="V202" s="57" t="str">
        <f>IF(Klisz_Verbräuche[[#Headers],[2035]]=$B$57,IF(COUNTIF($F202:Klisz_Verbräuche[[#This Row],[2030]],"&gt;0")&gt;0, AVERAGEIF($F202:Klisz_Verbräuche[[#This Row],[2030]],"&lt;&gt;"), ""),IF($B$57&lt;Klisz_Verbräuche[[#Headers],[2035]],IF(COUNTIF($F202:Klisz_Verbräuche[[#This Row],[2030]],"&gt;0")&gt;0,IF(COUNTIF($F202:Klisz_Verbräuche[[#This Row],[2030]],"&gt;0")&gt;0,Klisz_Verbräuche[[#This Row],[2030]]*(1-$E202)^5, ""), ""),IF($B$57&gt;Klisz_Verbräuche[[#Headers],[2035]],Refsz_Verbräuche[[#This Row],[2035]],"")))</f>
        <v/>
      </c>
      <c r="W202" s="57" t="str">
        <f>IF(Klisz_Verbräuche[[#Headers],[2040]]=$B$57,IF(COUNTIF($F202:Klisz_Verbräuche[[#This Row],[2035]],"&gt;0")&gt;0, AVERAGEIF($F202:Klisz_Verbräuche[[#This Row],[2035]],"&lt;&gt;"), ""),IF($B$57&lt;Klisz_Verbräuche[[#Headers],[2040]],IF(COUNTIF($F202:Klisz_Verbräuche[[#This Row],[2035]],"&gt;0")&gt;0,IF(COUNTIF($F202:Klisz_Verbräuche[[#This Row],[2035]],"&gt;0")&gt;0,Klisz_Verbräuche[[#This Row],[2035]]*(1-$E202)^5, ""), ""),IF($B$57&gt;Klisz_Verbräuche[[#Headers],[2040]],Refsz_Verbräuche[[#This Row],[2040]],"")))</f>
        <v/>
      </c>
      <c r="X202" s="57" t="str">
        <f>IF(Klisz_Verbräuche[[#Headers],[2045]]=$B$57,IF(COUNTIF($F202:Klisz_Verbräuche[[#This Row],[2040]],"&gt;0")&gt;0, AVERAGEIF($F202:Klisz_Verbräuche[[#This Row],[2040]],"&lt;&gt;"), ""),IF($B$57&lt;Klisz_Verbräuche[[#Headers],[2045]],IF(COUNTIF($F202:Klisz_Verbräuche[[#This Row],[2040]],"&gt;0")&gt;0,IF(COUNTIF($F202:Klisz_Verbräuche[[#This Row],[2040]],"&gt;0")&gt;0,Klisz_Verbräuche[[#This Row],[2040]]*(1-$E202)^5, ""), ""),IF($B$57&gt;Klisz_Verbräuche[[#Headers],[2045]],Refsz_Verbräuche[[#This Row],[2045]],"")))</f>
        <v/>
      </c>
      <c r="Y202" s="57" t="str">
        <f>IF(Klisz_Verbräuche[[#Headers],[2050]]=$B$57,IF(COUNTIF($F202:Klisz_Verbräuche[[#This Row],[2045]],"&gt;0")&gt;0, AVERAGEIF($F202:Klisz_Verbräuche[[#This Row],[2045]],"&lt;&gt;"), ""),IF($B$57&lt;Klisz_Verbräuche[[#Headers],[2050]],IF(COUNTIF($F202:Klisz_Verbräuche[[#This Row],[2045]],"&gt;0")&gt;0,IF(COUNTIF($F202:Klisz_Verbräuche[[#This Row],[2045]],"&gt;0")&gt;0,Klisz_Verbräuche[[#This Row],[2045]]*(1-$E202)^5, ""), ""),IF($B$57&gt;Klisz_Verbräuche[[#Headers],[2050]],Refsz_Verbräuche[[#This Row],[2050]],"")))</f>
        <v/>
      </c>
      <c r="Z202" s="15"/>
    </row>
    <row r="203" spans="2:26" x14ac:dyDescent="0.35">
      <c r="B203" s="15">
        <v>143</v>
      </c>
      <c r="C203" s="20" t="str">
        <f>Refsz_Verbräuche[[#This Row],[Datenpunkt]]</f>
        <v>Mineralwolle</v>
      </c>
      <c r="D203" s="29" t="str">
        <f>Refsz_Verbräuche[[#This Row],[Einheit]]</f>
        <v>m³</v>
      </c>
      <c r="E203" s="122"/>
      <c r="F203" s="15" t="str">
        <f>IF(ISBLANK(Refsz_Verbräuche[[#This Row],[2015]]),"",Refsz_Verbräuche[[#This Row],[2015]])</f>
        <v/>
      </c>
      <c r="G203" s="15" t="str">
        <f>IF(ISBLANK(Refsz_Verbräuche[[#This Row],[2016]]),"",Refsz_Verbräuche[[#This Row],[2016]])</f>
        <v/>
      </c>
      <c r="H203" s="15" t="str">
        <f>IF(ISBLANK(Refsz_Verbräuche[[#This Row],[2017]]),"",Refsz_Verbräuche[[#This Row],[2017]])</f>
        <v/>
      </c>
      <c r="I203" s="15" t="str">
        <f>IF(ISBLANK(Refsz_Verbräuche[[#This Row],[2018]]),"",Refsz_Verbräuche[[#This Row],[2018]])</f>
        <v/>
      </c>
      <c r="J203" s="15" t="str">
        <f>IF(ISBLANK(Refsz_Verbräuche[[#This Row],[2019]]),"",Refsz_Verbräuche[[#This Row],[2019]])</f>
        <v/>
      </c>
      <c r="K203" s="15" t="str">
        <f>IF(ISBLANK(Refsz_Verbräuche[[#This Row],[2020]]),"",Refsz_Verbräuche[[#This Row],[2020]])</f>
        <v/>
      </c>
      <c r="L203" s="15" t="str">
        <f>IF(ISBLANK(Refsz_Verbräuche[[#This Row],[2021]]),"",Refsz_Verbräuche[[#This Row],[2021]])</f>
        <v/>
      </c>
      <c r="M203" s="57" t="str">
        <f>IF(Klisz_Verbräuche[[#Headers],[2022]]=$B$57,IF(COUNTIF($F203:Klisz_Verbräuche[[#This Row],[2021]],"&gt;0")&gt;0, AVERAGEIF($F203:Klisz_Verbräuche[[#This Row],[2021]],"&lt;&gt;"), ""),IF($B$57&lt;Klisz_Verbräuche[[#Headers],[2022]],IF(COUNTIF($F203:Klisz_Verbräuche[[#This Row],[2021]],"&gt;0")&gt;0,IF(COUNTIF($F203:Klisz_Verbräuche[[#This Row],[2021]],"&gt;0")&gt;0,Klisz_Verbräuche[[#This Row],[2021]]*(1-$E203)^1, ""), ""),IF($B$57&gt;Klisz_Verbräuche[[#Headers],[2022]],Refsz_Verbräuche[[#This Row],[2022]],"")))</f>
        <v/>
      </c>
      <c r="N203" s="57" t="str">
        <f>IF(Klisz_Verbräuche[[#Headers],[2023]]=$B$57,IF(COUNTIF($F203:Klisz_Verbräuche[[#This Row],[2022]],"&gt;0")&gt;0, AVERAGEIF($F203:Klisz_Verbräuche[[#This Row],[2022]],"&lt;&gt;"), ""),IF($B$57&lt;Klisz_Verbräuche[[#Headers],[2023]],IF(COUNTIF($F203:Klisz_Verbräuche[[#This Row],[2022]],"&gt;0")&gt;0,IF(COUNTIF($F203:Klisz_Verbräuche[[#This Row],[2022]],"&gt;0")&gt;0,Klisz_Verbräuche[[#This Row],[2022]]*(1-$E203)^1, ""), ""),IF($B$57&gt;Klisz_Verbräuche[[#Headers],[2023]],Refsz_Verbräuche[[#This Row],[2023]],"")))</f>
        <v/>
      </c>
      <c r="O203" s="57" t="str">
        <f>IF(Klisz_Verbräuche[[#Headers],[2024]]=$B$57,IF(COUNTIF($F203:Klisz_Verbräuche[[#This Row],[2023]],"&gt;0")&gt;0, AVERAGEIF($F203:Klisz_Verbräuche[[#This Row],[2023]],"&lt;&gt;"), ""),IF($B$57&lt;Klisz_Verbräuche[[#Headers],[2024]],IF(COUNTIF($F203:Klisz_Verbräuche[[#This Row],[2023]],"&gt;0")&gt;0,IF(COUNTIF($F203:Klisz_Verbräuche[[#This Row],[2023]],"&gt;0")&gt;0,Klisz_Verbräuche[[#This Row],[2023]]*(1-$E203)^1, ""), ""),IF($B$57&gt;Klisz_Verbräuche[[#Headers],[2024]],Refsz_Verbräuche[[#This Row],[2024]],"")))</f>
        <v/>
      </c>
      <c r="P203" s="57" t="str">
        <f>IF(Klisz_Verbräuche[[#Headers],[2025]]=$B$57,IF(COUNTIF($F203:Klisz_Verbräuche[[#This Row],[2024]],"&gt;0")&gt;0, AVERAGEIF($F203:Klisz_Verbräuche[[#This Row],[2024]],"&lt;&gt;"), ""),IF($B$57&lt;Klisz_Verbräuche[[#Headers],[2025]],IF(COUNTIF($F203:Klisz_Verbräuche[[#This Row],[2024]],"&gt;0")&gt;0,IF(COUNTIF($F203:Klisz_Verbräuche[[#This Row],[2024]],"&gt;0")&gt;0,Klisz_Verbräuche[[#This Row],[2024]]*(1-$E203)^1, ""), ""),IF($B$57&gt;Klisz_Verbräuche[[#Headers],[2025]],Refsz_Verbräuche[[#This Row],[2025]],"")))</f>
        <v/>
      </c>
      <c r="Q203" s="57" t="str">
        <f>IF(Klisz_Verbräuche[[#Headers],[2026]]=$B$57,IF(COUNTIF($F203:Klisz_Verbräuche[[#This Row],[2025]],"&gt;0")&gt;0, AVERAGEIF($F203:Klisz_Verbräuche[[#This Row],[2025]],"&lt;&gt;"), ""),IF($B$57&lt;Klisz_Verbräuche[[#Headers],[2026]],IF(COUNTIF($F203:Klisz_Verbräuche[[#This Row],[2025]],"&gt;0")&gt;0,IF(COUNTIF($F203:Klisz_Verbräuche[[#This Row],[2025]],"&gt;0")&gt;0,Klisz_Verbräuche[[#This Row],[2025]]*(1-$E203)^1, ""), ""),IF($B$57&gt;Klisz_Verbräuche[[#Headers],[2026]],Refsz_Verbräuche[[#This Row],[2026]],"")))</f>
        <v/>
      </c>
      <c r="R203" s="57" t="str">
        <f>IF(Klisz_Verbräuche[[#Headers],[2027]]=$B$57,IF(COUNTIF($F203:Klisz_Verbräuche[[#This Row],[2026]],"&gt;0")&gt;0, AVERAGEIF($F203:Klisz_Verbräuche[[#This Row],[2026]],"&lt;&gt;"), ""),IF($B$57&lt;Klisz_Verbräuche[[#Headers],[2027]],IF(COUNTIF($F203:Klisz_Verbräuche[[#This Row],[2026]],"&gt;0")&gt;0,IF(COUNTIF($F203:Klisz_Verbräuche[[#This Row],[2026]],"&gt;0")&gt;0,Klisz_Verbräuche[[#This Row],[2026]]*(1-$E203)^1, ""), ""),IF($B$57&gt;Klisz_Verbräuche[[#Headers],[2027]],Refsz_Verbräuche[[#This Row],[2027]],"")))</f>
        <v/>
      </c>
      <c r="S203" s="57" t="str">
        <f>IF(Klisz_Verbräuche[[#Headers],[2028]]=$B$57,IF(COUNTIF($F203:Klisz_Verbräuche[[#This Row],[2027]],"&gt;0")&gt;0, AVERAGEIF($F203:Klisz_Verbräuche[[#This Row],[2027]],"&lt;&gt;"), ""),IF($B$57&lt;Klisz_Verbräuche[[#Headers],[2028]],IF(COUNTIF($F203:Klisz_Verbräuche[[#This Row],[2027]],"&gt;0")&gt;0,IF(COUNTIF($F203:Klisz_Verbräuche[[#This Row],[2027]],"&gt;0")&gt;0,Klisz_Verbräuche[[#This Row],[2027]]*(1-$E203)^1, ""), ""),IF($B$57&gt;Klisz_Verbräuche[[#Headers],[2028]],Refsz_Verbräuche[[#This Row],[2028]],"")))</f>
        <v/>
      </c>
      <c r="T203" s="57" t="str">
        <f>IF(Klisz_Verbräuche[[#Headers],[2029]]=$B$57,IF(COUNTIF($F203:Klisz_Verbräuche[[#This Row],[2028]],"&gt;0")&gt;0, AVERAGEIF($F203:Klisz_Verbräuche[[#This Row],[2028]],"&lt;&gt;"), ""),IF($B$57&lt;Klisz_Verbräuche[[#Headers],[2029]],IF(COUNTIF($F203:Klisz_Verbräuche[[#This Row],[2028]],"&gt;0")&gt;0,IF(COUNTIF($F203:Klisz_Verbräuche[[#This Row],[2028]],"&gt;0")&gt;0,Klisz_Verbräuche[[#This Row],[2028]]*(1-$E203)^1, ""), ""),IF($B$57&gt;Klisz_Verbräuche[[#Headers],[2029]],Refsz_Verbräuche[[#This Row],[2029]],"")))</f>
        <v/>
      </c>
      <c r="U203" s="57" t="str">
        <f>IF(Klisz_Verbräuche[[#Headers],[2030]]=$B$57,IF(COUNTIF($F203:Klisz_Verbräuche[[#This Row],[2029]],"&gt;0")&gt;0, AVERAGEIF($F203:Klisz_Verbräuche[[#This Row],[2029]],"&lt;&gt;"), ""),IF($B$57&lt;Klisz_Verbräuche[[#Headers],[2030]],IF(COUNTIF($F203:Klisz_Verbräuche[[#This Row],[2029]],"&gt;0")&gt;0,IF(COUNTIF($F203:Klisz_Verbräuche[[#This Row],[2029]],"&gt;0")&gt;0,Klisz_Verbräuche[[#This Row],[2029]]*(1-$E203)^1, ""), ""),IF($B$57&gt;Klisz_Verbräuche[[#Headers],[2030]],Refsz_Verbräuche[[#This Row],[2030]],"")))</f>
        <v/>
      </c>
      <c r="V203" s="57" t="str">
        <f>IF(Klisz_Verbräuche[[#Headers],[2035]]=$B$57,IF(COUNTIF($F203:Klisz_Verbräuche[[#This Row],[2030]],"&gt;0")&gt;0, AVERAGEIF($F203:Klisz_Verbräuche[[#This Row],[2030]],"&lt;&gt;"), ""),IF($B$57&lt;Klisz_Verbräuche[[#Headers],[2035]],IF(COUNTIF($F203:Klisz_Verbräuche[[#This Row],[2030]],"&gt;0")&gt;0,IF(COUNTIF($F203:Klisz_Verbräuche[[#This Row],[2030]],"&gt;0")&gt;0,Klisz_Verbräuche[[#This Row],[2030]]*(1-$E203)^5, ""), ""),IF($B$57&gt;Klisz_Verbräuche[[#Headers],[2035]],Refsz_Verbräuche[[#This Row],[2035]],"")))</f>
        <v/>
      </c>
      <c r="W203" s="57" t="str">
        <f>IF(Klisz_Verbräuche[[#Headers],[2040]]=$B$57,IF(COUNTIF($F203:Klisz_Verbräuche[[#This Row],[2035]],"&gt;0")&gt;0, AVERAGEIF($F203:Klisz_Verbräuche[[#This Row],[2035]],"&lt;&gt;"), ""),IF($B$57&lt;Klisz_Verbräuche[[#Headers],[2040]],IF(COUNTIF($F203:Klisz_Verbräuche[[#This Row],[2035]],"&gt;0")&gt;0,IF(COUNTIF($F203:Klisz_Verbräuche[[#This Row],[2035]],"&gt;0")&gt;0,Klisz_Verbräuche[[#This Row],[2035]]*(1-$E203)^5, ""), ""),IF($B$57&gt;Klisz_Verbräuche[[#Headers],[2040]],Refsz_Verbräuche[[#This Row],[2040]],"")))</f>
        <v/>
      </c>
      <c r="X203" s="57" t="str">
        <f>IF(Klisz_Verbräuche[[#Headers],[2045]]=$B$57,IF(COUNTIF($F203:Klisz_Verbräuche[[#This Row],[2040]],"&gt;0")&gt;0, AVERAGEIF($F203:Klisz_Verbräuche[[#This Row],[2040]],"&lt;&gt;"), ""),IF($B$57&lt;Klisz_Verbräuche[[#Headers],[2045]],IF(COUNTIF($F203:Klisz_Verbräuche[[#This Row],[2040]],"&gt;0")&gt;0,IF(COUNTIF($F203:Klisz_Verbräuche[[#This Row],[2040]],"&gt;0")&gt;0,Klisz_Verbräuche[[#This Row],[2040]]*(1-$E203)^5, ""), ""),IF($B$57&gt;Klisz_Verbräuche[[#Headers],[2045]],Refsz_Verbräuche[[#This Row],[2045]],"")))</f>
        <v/>
      </c>
      <c r="Y203" s="57" t="str">
        <f>IF(Klisz_Verbräuche[[#Headers],[2050]]=$B$57,IF(COUNTIF($F203:Klisz_Verbräuche[[#This Row],[2045]],"&gt;0")&gt;0, AVERAGEIF($F203:Klisz_Verbräuche[[#This Row],[2045]],"&lt;&gt;"), ""),IF($B$57&lt;Klisz_Verbräuche[[#Headers],[2050]],IF(COUNTIF($F203:Klisz_Verbräuche[[#This Row],[2045]],"&gt;0")&gt;0,IF(COUNTIF($F203:Klisz_Verbräuche[[#This Row],[2045]],"&gt;0")&gt;0,Klisz_Verbräuche[[#This Row],[2045]]*(1-$E203)^5, ""), ""),IF($B$57&gt;Klisz_Verbräuche[[#Headers],[2050]],Refsz_Verbräuche[[#This Row],[2050]],"")))</f>
        <v/>
      </c>
      <c r="Z203" s="15"/>
    </row>
    <row r="204" spans="2:26" x14ac:dyDescent="0.35">
      <c r="B204" s="15">
        <v>144</v>
      </c>
      <c r="C204" s="20" t="str">
        <f>Refsz_Verbräuche[[#This Row],[Datenpunkt]]</f>
        <v>Mauerziegel (ungefüllt)</v>
      </c>
      <c r="D204" s="29" t="str">
        <f>Refsz_Verbräuche[[#This Row],[Einheit]]</f>
        <v>m³</v>
      </c>
      <c r="E204" s="122"/>
      <c r="F204" s="15" t="str">
        <f>IF(ISBLANK(Refsz_Verbräuche[[#This Row],[2015]]),"",Refsz_Verbräuche[[#This Row],[2015]])</f>
        <v/>
      </c>
      <c r="G204" s="15" t="str">
        <f>IF(ISBLANK(Refsz_Verbräuche[[#This Row],[2016]]),"",Refsz_Verbräuche[[#This Row],[2016]])</f>
        <v/>
      </c>
      <c r="H204" s="15" t="str">
        <f>IF(ISBLANK(Refsz_Verbräuche[[#This Row],[2017]]),"",Refsz_Verbräuche[[#This Row],[2017]])</f>
        <v/>
      </c>
      <c r="I204" s="15" t="str">
        <f>IF(ISBLANK(Refsz_Verbräuche[[#This Row],[2018]]),"",Refsz_Verbräuche[[#This Row],[2018]])</f>
        <v/>
      </c>
      <c r="J204" s="15" t="str">
        <f>IF(ISBLANK(Refsz_Verbräuche[[#This Row],[2019]]),"",Refsz_Verbräuche[[#This Row],[2019]])</f>
        <v/>
      </c>
      <c r="K204" s="15" t="str">
        <f>IF(ISBLANK(Refsz_Verbräuche[[#This Row],[2020]]),"",Refsz_Verbräuche[[#This Row],[2020]])</f>
        <v/>
      </c>
      <c r="L204" s="15" t="str">
        <f>IF(ISBLANK(Refsz_Verbräuche[[#This Row],[2021]]),"",Refsz_Verbräuche[[#This Row],[2021]])</f>
        <v/>
      </c>
      <c r="M204" s="57" t="str">
        <f>IF(Klisz_Verbräuche[[#Headers],[2022]]=$B$57,IF(COUNTIF($F204:Klisz_Verbräuche[[#This Row],[2021]],"&gt;0")&gt;0, AVERAGEIF($F204:Klisz_Verbräuche[[#This Row],[2021]],"&lt;&gt;"), ""),IF($B$57&lt;Klisz_Verbräuche[[#Headers],[2022]],IF(COUNTIF($F204:Klisz_Verbräuche[[#This Row],[2021]],"&gt;0")&gt;0,IF(COUNTIF($F204:Klisz_Verbräuche[[#This Row],[2021]],"&gt;0")&gt;0,Klisz_Verbräuche[[#This Row],[2021]]*(1-$E204)^1, ""), ""),IF($B$57&gt;Klisz_Verbräuche[[#Headers],[2022]],Refsz_Verbräuche[[#This Row],[2022]],"")))</f>
        <v/>
      </c>
      <c r="N204" s="57" t="str">
        <f>IF(Klisz_Verbräuche[[#Headers],[2023]]=$B$57,IF(COUNTIF($F204:Klisz_Verbräuche[[#This Row],[2022]],"&gt;0")&gt;0, AVERAGEIF($F204:Klisz_Verbräuche[[#This Row],[2022]],"&lt;&gt;"), ""),IF($B$57&lt;Klisz_Verbräuche[[#Headers],[2023]],IF(COUNTIF($F204:Klisz_Verbräuche[[#This Row],[2022]],"&gt;0")&gt;0,IF(COUNTIF($F204:Klisz_Verbräuche[[#This Row],[2022]],"&gt;0")&gt;0,Klisz_Verbräuche[[#This Row],[2022]]*(1-$E204)^1, ""), ""),IF($B$57&gt;Klisz_Verbräuche[[#Headers],[2023]],Refsz_Verbräuche[[#This Row],[2023]],"")))</f>
        <v/>
      </c>
      <c r="O204" s="57" t="str">
        <f>IF(Klisz_Verbräuche[[#Headers],[2024]]=$B$57,IF(COUNTIF($F204:Klisz_Verbräuche[[#This Row],[2023]],"&gt;0")&gt;0, AVERAGEIF($F204:Klisz_Verbräuche[[#This Row],[2023]],"&lt;&gt;"), ""),IF($B$57&lt;Klisz_Verbräuche[[#Headers],[2024]],IF(COUNTIF($F204:Klisz_Verbräuche[[#This Row],[2023]],"&gt;0")&gt;0,IF(COUNTIF($F204:Klisz_Verbräuche[[#This Row],[2023]],"&gt;0")&gt;0,Klisz_Verbräuche[[#This Row],[2023]]*(1-$E204)^1, ""), ""),IF($B$57&gt;Klisz_Verbräuche[[#Headers],[2024]],Refsz_Verbräuche[[#This Row],[2024]],"")))</f>
        <v/>
      </c>
      <c r="P204" s="57" t="str">
        <f>IF(Klisz_Verbräuche[[#Headers],[2025]]=$B$57,IF(COUNTIF($F204:Klisz_Verbräuche[[#This Row],[2024]],"&gt;0")&gt;0, AVERAGEIF($F204:Klisz_Verbräuche[[#This Row],[2024]],"&lt;&gt;"), ""),IF($B$57&lt;Klisz_Verbräuche[[#Headers],[2025]],IF(COUNTIF($F204:Klisz_Verbräuche[[#This Row],[2024]],"&gt;0")&gt;0,IF(COUNTIF($F204:Klisz_Verbräuche[[#This Row],[2024]],"&gt;0")&gt;0,Klisz_Verbräuche[[#This Row],[2024]]*(1-$E204)^1, ""), ""),IF($B$57&gt;Klisz_Verbräuche[[#Headers],[2025]],Refsz_Verbräuche[[#This Row],[2025]],"")))</f>
        <v/>
      </c>
      <c r="Q204" s="57" t="str">
        <f>IF(Klisz_Verbräuche[[#Headers],[2026]]=$B$57,IF(COUNTIF($F204:Klisz_Verbräuche[[#This Row],[2025]],"&gt;0")&gt;0, AVERAGEIF($F204:Klisz_Verbräuche[[#This Row],[2025]],"&lt;&gt;"), ""),IF($B$57&lt;Klisz_Verbräuche[[#Headers],[2026]],IF(COUNTIF($F204:Klisz_Verbräuche[[#This Row],[2025]],"&gt;0")&gt;0,IF(COUNTIF($F204:Klisz_Verbräuche[[#This Row],[2025]],"&gt;0")&gt;0,Klisz_Verbräuche[[#This Row],[2025]]*(1-$E204)^1, ""), ""),IF($B$57&gt;Klisz_Verbräuche[[#Headers],[2026]],Refsz_Verbräuche[[#This Row],[2026]],"")))</f>
        <v/>
      </c>
      <c r="R204" s="57" t="str">
        <f>IF(Klisz_Verbräuche[[#Headers],[2027]]=$B$57,IF(COUNTIF($F204:Klisz_Verbräuche[[#This Row],[2026]],"&gt;0")&gt;0, AVERAGEIF($F204:Klisz_Verbräuche[[#This Row],[2026]],"&lt;&gt;"), ""),IF($B$57&lt;Klisz_Verbräuche[[#Headers],[2027]],IF(COUNTIF($F204:Klisz_Verbräuche[[#This Row],[2026]],"&gt;0")&gt;0,IF(COUNTIF($F204:Klisz_Verbräuche[[#This Row],[2026]],"&gt;0")&gt;0,Klisz_Verbräuche[[#This Row],[2026]]*(1-$E204)^1, ""), ""),IF($B$57&gt;Klisz_Verbräuche[[#Headers],[2027]],Refsz_Verbräuche[[#This Row],[2027]],"")))</f>
        <v/>
      </c>
      <c r="S204" s="57" t="str">
        <f>IF(Klisz_Verbräuche[[#Headers],[2028]]=$B$57,IF(COUNTIF($F204:Klisz_Verbräuche[[#This Row],[2027]],"&gt;0")&gt;0, AVERAGEIF($F204:Klisz_Verbräuche[[#This Row],[2027]],"&lt;&gt;"), ""),IF($B$57&lt;Klisz_Verbräuche[[#Headers],[2028]],IF(COUNTIF($F204:Klisz_Verbräuche[[#This Row],[2027]],"&gt;0")&gt;0,IF(COUNTIF($F204:Klisz_Verbräuche[[#This Row],[2027]],"&gt;0")&gt;0,Klisz_Verbräuche[[#This Row],[2027]]*(1-$E204)^1, ""), ""),IF($B$57&gt;Klisz_Verbräuche[[#Headers],[2028]],Refsz_Verbräuche[[#This Row],[2028]],"")))</f>
        <v/>
      </c>
      <c r="T204" s="57" t="str">
        <f>IF(Klisz_Verbräuche[[#Headers],[2029]]=$B$57,IF(COUNTIF($F204:Klisz_Verbräuche[[#This Row],[2028]],"&gt;0")&gt;0, AVERAGEIF($F204:Klisz_Verbräuche[[#This Row],[2028]],"&lt;&gt;"), ""),IF($B$57&lt;Klisz_Verbräuche[[#Headers],[2029]],IF(COUNTIF($F204:Klisz_Verbräuche[[#This Row],[2028]],"&gt;0")&gt;0,IF(COUNTIF($F204:Klisz_Verbräuche[[#This Row],[2028]],"&gt;0")&gt;0,Klisz_Verbräuche[[#This Row],[2028]]*(1-$E204)^1, ""), ""),IF($B$57&gt;Klisz_Verbräuche[[#Headers],[2029]],Refsz_Verbräuche[[#This Row],[2029]],"")))</f>
        <v/>
      </c>
      <c r="U204" s="57" t="str">
        <f>IF(Klisz_Verbräuche[[#Headers],[2030]]=$B$57,IF(COUNTIF($F204:Klisz_Verbräuche[[#This Row],[2029]],"&gt;0")&gt;0, AVERAGEIF($F204:Klisz_Verbräuche[[#This Row],[2029]],"&lt;&gt;"), ""),IF($B$57&lt;Klisz_Verbräuche[[#Headers],[2030]],IF(COUNTIF($F204:Klisz_Verbräuche[[#This Row],[2029]],"&gt;0")&gt;0,IF(COUNTIF($F204:Klisz_Verbräuche[[#This Row],[2029]],"&gt;0")&gt;0,Klisz_Verbräuche[[#This Row],[2029]]*(1-$E204)^1, ""), ""),IF($B$57&gt;Klisz_Verbräuche[[#Headers],[2030]],Refsz_Verbräuche[[#This Row],[2030]],"")))</f>
        <v/>
      </c>
      <c r="V204" s="57" t="str">
        <f>IF(Klisz_Verbräuche[[#Headers],[2035]]=$B$57,IF(COUNTIF($F204:Klisz_Verbräuche[[#This Row],[2030]],"&gt;0")&gt;0, AVERAGEIF($F204:Klisz_Verbräuche[[#This Row],[2030]],"&lt;&gt;"), ""),IF($B$57&lt;Klisz_Verbräuche[[#Headers],[2035]],IF(COUNTIF($F204:Klisz_Verbräuche[[#This Row],[2030]],"&gt;0")&gt;0,IF(COUNTIF($F204:Klisz_Verbräuche[[#This Row],[2030]],"&gt;0")&gt;0,Klisz_Verbräuche[[#This Row],[2030]]*(1-$E204)^5, ""), ""),IF($B$57&gt;Klisz_Verbräuche[[#Headers],[2035]],Refsz_Verbräuche[[#This Row],[2035]],"")))</f>
        <v/>
      </c>
      <c r="W204" s="57" t="str">
        <f>IF(Klisz_Verbräuche[[#Headers],[2040]]=$B$57,IF(COUNTIF($F204:Klisz_Verbräuche[[#This Row],[2035]],"&gt;0")&gt;0, AVERAGEIF($F204:Klisz_Verbräuche[[#This Row],[2035]],"&lt;&gt;"), ""),IF($B$57&lt;Klisz_Verbräuche[[#Headers],[2040]],IF(COUNTIF($F204:Klisz_Verbräuche[[#This Row],[2035]],"&gt;0")&gt;0,IF(COUNTIF($F204:Klisz_Verbräuche[[#This Row],[2035]],"&gt;0")&gt;0,Klisz_Verbräuche[[#This Row],[2035]]*(1-$E204)^5, ""), ""),IF($B$57&gt;Klisz_Verbräuche[[#Headers],[2040]],Refsz_Verbräuche[[#This Row],[2040]],"")))</f>
        <v/>
      </c>
      <c r="X204" s="57" t="str">
        <f>IF(Klisz_Verbräuche[[#Headers],[2045]]=$B$57,IF(COUNTIF($F204:Klisz_Verbräuche[[#This Row],[2040]],"&gt;0")&gt;0, AVERAGEIF($F204:Klisz_Verbräuche[[#This Row],[2040]],"&lt;&gt;"), ""),IF($B$57&lt;Klisz_Verbräuche[[#Headers],[2045]],IF(COUNTIF($F204:Klisz_Verbräuche[[#This Row],[2040]],"&gt;0")&gt;0,IF(COUNTIF($F204:Klisz_Verbräuche[[#This Row],[2040]],"&gt;0")&gt;0,Klisz_Verbräuche[[#This Row],[2040]]*(1-$E204)^5, ""), ""),IF($B$57&gt;Klisz_Verbräuche[[#Headers],[2045]],Refsz_Verbräuche[[#This Row],[2045]],"")))</f>
        <v/>
      </c>
      <c r="Y204" s="57" t="str">
        <f>IF(Klisz_Verbräuche[[#Headers],[2050]]=$B$57,IF(COUNTIF($F204:Klisz_Verbräuche[[#This Row],[2045]],"&gt;0")&gt;0, AVERAGEIF($F204:Klisz_Verbräuche[[#This Row],[2045]],"&lt;&gt;"), ""),IF($B$57&lt;Klisz_Verbräuche[[#Headers],[2050]],IF(COUNTIF($F204:Klisz_Verbräuche[[#This Row],[2045]],"&gt;0")&gt;0,IF(COUNTIF($F204:Klisz_Verbräuche[[#This Row],[2045]],"&gt;0")&gt;0,Klisz_Verbräuche[[#This Row],[2045]]*(1-$E204)^5, ""), ""),IF($B$57&gt;Klisz_Verbräuche[[#Headers],[2050]],Refsz_Verbräuche[[#This Row],[2050]],"")))</f>
        <v/>
      </c>
      <c r="Z204" s="15"/>
    </row>
    <row r="205" spans="2:26" x14ac:dyDescent="0.35">
      <c r="B205" s="15">
        <v>145</v>
      </c>
      <c r="C205" s="20">
        <f>Refsz_Verbräuche[[#This Row],[Datenpunkt]]</f>
        <v>0</v>
      </c>
      <c r="D205" s="29">
        <f>Refsz_Verbräuche[[#This Row],[Einheit]]</f>
        <v>0</v>
      </c>
      <c r="E205" s="122"/>
      <c r="F205" s="15" t="str">
        <f>IF(ISBLANK(Refsz_Verbräuche[[#This Row],[2015]]),"",Refsz_Verbräuche[[#This Row],[2015]])</f>
        <v/>
      </c>
      <c r="G205" s="15" t="str">
        <f>IF(ISBLANK(Refsz_Verbräuche[[#This Row],[2016]]),"",Refsz_Verbräuche[[#This Row],[2016]])</f>
        <v/>
      </c>
      <c r="H205" s="15" t="str">
        <f>IF(ISBLANK(Refsz_Verbräuche[[#This Row],[2017]]),"",Refsz_Verbräuche[[#This Row],[2017]])</f>
        <v/>
      </c>
      <c r="I205" s="15" t="str">
        <f>IF(ISBLANK(Refsz_Verbräuche[[#This Row],[2018]]),"",Refsz_Verbräuche[[#This Row],[2018]])</f>
        <v/>
      </c>
      <c r="J205" s="15" t="str">
        <f>IF(ISBLANK(Refsz_Verbräuche[[#This Row],[2019]]),"",Refsz_Verbräuche[[#This Row],[2019]])</f>
        <v/>
      </c>
      <c r="K205" s="15" t="str">
        <f>IF(ISBLANK(Refsz_Verbräuche[[#This Row],[2020]]),"",Refsz_Verbräuche[[#This Row],[2020]])</f>
        <v/>
      </c>
      <c r="L205" s="15" t="str">
        <f>IF(ISBLANK(Refsz_Verbräuche[[#This Row],[2021]]),"",Refsz_Verbräuche[[#This Row],[2021]])</f>
        <v/>
      </c>
      <c r="M205" s="57" t="str">
        <f>IF(Klisz_Verbräuche[[#Headers],[2022]]=$B$57,IF(COUNTIF($F205:Klisz_Verbräuche[[#This Row],[2021]],"&gt;0")&gt;0, AVERAGEIF($F205:Klisz_Verbräuche[[#This Row],[2021]],"&lt;&gt;"), ""),IF($B$57&lt;Klisz_Verbräuche[[#Headers],[2022]],IF(COUNTIF($F205:Klisz_Verbräuche[[#This Row],[2021]],"&gt;0")&gt;0,IF(COUNTIF($F205:Klisz_Verbräuche[[#This Row],[2021]],"&gt;0")&gt;0,Klisz_Verbräuche[[#This Row],[2021]]*(1-$E205)^1, ""), ""),IF($B$57&gt;Klisz_Verbräuche[[#Headers],[2022]],Refsz_Verbräuche[[#This Row],[2022]],"")))</f>
        <v/>
      </c>
      <c r="N205" s="57" t="str">
        <f>IF(Klisz_Verbräuche[[#Headers],[2023]]=$B$57,IF(COUNTIF($F205:Klisz_Verbräuche[[#This Row],[2022]],"&gt;0")&gt;0, AVERAGEIF($F205:Klisz_Verbräuche[[#This Row],[2022]],"&lt;&gt;"), ""),IF($B$57&lt;Klisz_Verbräuche[[#Headers],[2023]],IF(COUNTIF($F205:Klisz_Verbräuche[[#This Row],[2022]],"&gt;0")&gt;0,IF(COUNTIF($F205:Klisz_Verbräuche[[#This Row],[2022]],"&gt;0")&gt;0,Klisz_Verbräuche[[#This Row],[2022]]*(1-$E205)^1, ""), ""),IF($B$57&gt;Klisz_Verbräuche[[#Headers],[2023]],Refsz_Verbräuche[[#This Row],[2023]],"")))</f>
        <v/>
      </c>
      <c r="O205" s="57" t="str">
        <f>IF(Klisz_Verbräuche[[#Headers],[2024]]=$B$57,IF(COUNTIF($F205:Klisz_Verbräuche[[#This Row],[2023]],"&gt;0")&gt;0, AVERAGEIF($F205:Klisz_Verbräuche[[#This Row],[2023]],"&lt;&gt;"), ""),IF($B$57&lt;Klisz_Verbräuche[[#Headers],[2024]],IF(COUNTIF($F205:Klisz_Verbräuche[[#This Row],[2023]],"&gt;0")&gt;0,IF(COUNTIF($F205:Klisz_Verbräuche[[#This Row],[2023]],"&gt;0")&gt;0,Klisz_Verbräuche[[#This Row],[2023]]*(1-$E205)^1, ""), ""),IF($B$57&gt;Klisz_Verbräuche[[#Headers],[2024]],Refsz_Verbräuche[[#This Row],[2024]],"")))</f>
        <v/>
      </c>
      <c r="P205" s="57" t="str">
        <f>IF(Klisz_Verbräuche[[#Headers],[2025]]=$B$57,IF(COUNTIF($F205:Klisz_Verbräuche[[#This Row],[2024]],"&gt;0")&gt;0, AVERAGEIF($F205:Klisz_Verbräuche[[#This Row],[2024]],"&lt;&gt;"), ""),IF($B$57&lt;Klisz_Verbräuche[[#Headers],[2025]],IF(COUNTIF($F205:Klisz_Verbräuche[[#This Row],[2024]],"&gt;0")&gt;0,IF(COUNTIF($F205:Klisz_Verbräuche[[#This Row],[2024]],"&gt;0")&gt;0,Klisz_Verbräuche[[#This Row],[2024]]*(1-$E205)^1, ""), ""),IF($B$57&gt;Klisz_Verbräuche[[#Headers],[2025]],Refsz_Verbräuche[[#This Row],[2025]],"")))</f>
        <v/>
      </c>
      <c r="Q205" s="57" t="str">
        <f>IF(Klisz_Verbräuche[[#Headers],[2026]]=$B$57,IF(COUNTIF($F205:Klisz_Verbräuche[[#This Row],[2025]],"&gt;0")&gt;0, AVERAGEIF($F205:Klisz_Verbräuche[[#This Row],[2025]],"&lt;&gt;"), ""),IF($B$57&lt;Klisz_Verbräuche[[#Headers],[2026]],IF(COUNTIF($F205:Klisz_Verbräuche[[#This Row],[2025]],"&gt;0")&gt;0,IF(COUNTIF($F205:Klisz_Verbräuche[[#This Row],[2025]],"&gt;0")&gt;0,Klisz_Verbräuche[[#This Row],[2025]]*(1-$E205)^1, ""), ""),IF($B$57&gt;Klisz_Verbräuche[[#Headers],[2026]],Refsz_Verbräuche[[#This Row],[2026]],"")))</f>
        <v/>
      </c>
      <c r="R205" s="57" t="str">
        <f>IF(Klisz_Verbräuche[[#Headers],[2027]]=$B$57,IF(COUNTIF($F205:Klisz_Verbräuche[[#This Row],[2026]],"&gt;0")&gt;0, AVERAGEIF($F205:Klisz_Verbräuche[[#This Row],[2026]],"&lt;&gt;"), ""),IF($B$57&lt;Klisz_Verbräuche[[#Headers],[2027]],IF(COUNTIF($F205:Klisz_Verbräuche[[#This Row],[2026]],"&gt;0")&gt;0,IF(COUNTIF($F205:Klisz_Verbräuche[[#This Row],[2026]],"&gt;0")&gt;0,Klisz_Verbräuche[[#This Row],[2026]]*(1-$E205)^1, ""), ""),IF($B$57&gt;Klisz_Verbräuche[[#Headers],[2027]],Refsz_Verbräuche[[#This Row],[2027]],"")))</f>
        <v/>
      </c>
      <c r="S205" s="57" t="str">
        <f>IF(Klisz_Verbräuche[[#Headers],[2028]]=$B$57,IF(COUNTIF($F205:Klisz_Verbräuche[[#This Row],[2027]],"&gt;0")&gt;0, AVERAGEIF($F205:Klisz_Verbräuche[[#This Row],[2027]],"&lt;&gt;"), ""),IF($B$57&lt;Klisz_Verbräuche[[#Headers],[2028]],IF(COUNTIF($F205:Klisz_Verbräuche[[#This Row],[2027]],"&gt;0")&gt;0,IF(COUNTIF($F205:Klisz_Verbräuche[[#This Row],[2027]],"&gt;0")&gt;0,Klisz_Verbräuche[[#This Row],[2027]]*(1-$E205)^1, ""), ""),IF($B$57&gt;Klisz_Verbräuche[[#Headers],[2028]],Refsz_Verbräuche[[#This Row],[2028]],"")))</f>
        <v/>
      </c>
      <c r="T205" s="57" t="str">
        <f>IF(Klisz_Verbräuche[[#Headers],[2029]]=$B$57,IF(COUNTIF($F205:Klisz_Verbräuche[[#This Row],[2028]],"&gt;0")&gt;0, AVERAGEIF($F205:Klisz_Verbräuche[[#This Row],[2028]],"&lt;&gt;"), ""),IF($B$57&lt;Klisz_Verbräuche[[#Headers],[2029]],IF(COUNTIF($F205:Klisz_Verbräuche[[#This Row],[2028]],"&gt;0")&gt;0,IF(COUNTIF($F205:Klisz_Verbräuche[[#This Row],[2028]],"&gt;0")&gt;0,Klisz_Verbräuche[[#This Row],[2028]]*(1-$E205)^1, ""), ""),IF($B$57&gt;Klisz_Verbräuche[[#Headers],[2029]],Refsz_Verbräuche[[#This Row],[2029]],"")))</f>
        <v/>
      </c>
      <c r="U205" s="57" t="str">
        <f>IF(Klisz_Verbräuche[[#Headers],[2030]]=$B$57,IF(COUNTIF($F205:Klisz_Verbräuche[[#This Row],[2029]],"&gt;0")&gt;0, AVERAGEIF($F205:Klisz_Verbräuche[[#This Row],[2029]],"&lt;&gt;"), ""),IF($B$57&lt;Klisz_Verbräuche[[#Headers],[2030]],IF(COUNTIF($F205:Klisz_Verbräuche[[#This Row],[2029]],"&gt;0")&gt;0,IF(COUNTIF($F205:Klisz_Verbräuche[[#This Row],[2029]],"&gt;0")&gt;0,Klisz_Verbräuche[[#This Row],[2029]]*(1-$E205)^1, ""), ""),IF($B$57&gt;Klisz_Verbräuche[[#Headers],[2030]],Refsz_Verbräuche[[#This Row],[2030]],"")))</f>
        <v/>
      </c>
      <c r="V205" s="57" t="str">
        <f>IF(Klisz_Verbräuche[[#Headers],[2035]]=$B$57,IF(COUNTIF($F205:Klisz_Verbräuche[[#This Row],[2030]],"&gt;0")&gt;0, AVERAGEIF($F205:Klisz_Verbräuche[[#This Row],[2030]],"&lt;&gt;"), ""),IF($B$57&lt;Klisz_Verbräuche[[#Headers],[2035]],IF(COUNTIF($F205:Klisz_Verbräuche[[#This Row],[2030]],"&gt;0")&gt;0,IF(COUNTIF($F205:Klisz_Verbräuche[[#This Row],[2030]],"&gt;0")&gt;0,Klisz_Verbräuche[[#This Row],[2030]]*(1-$E205)^5, ""), ""),IF($B$57&gt;Klisz_Verbräuche[[#Headers],[2035]],Refsz_Verbräuche[[#This Row],[2035]],"")))</f>
        <v/>
      </c>
      <c r="W205" s="57" t="str">
        <f>IF(Klisz_Verbräuche[[#Headers],[2040]]=$B$57,IF(COUNTIF($F205:Klisz_Verbräuche[[#This Row],[2035]],"&gt;0")&gt;0, AVERAGEIF($F205:Klisz_Verbräuche[[#This Row],[2035]],"&lt;&gt;"), ""),IF($B$57&lt;Klisz_Verbräuche[[#Headers],[2040]],IF(COUNTIF($F205:Klisz_Verbräuche[[#This Row],[2035]],"&gt;0")&gt;0,IF(COUNTIF($F205:Klisz_Verbräuche[[#This Row],[2035]],"&gt;0")&gt;0,Klisz_Verbräuche[[#This Row],[2035]]*(1-$E205)^5, ""), ""),IF($B$57&gt;Klisz_Verbräuche[[#Headers],[2040]],Refsz_Verbräuche[[#This Row],[2040]],"")))</f>
        <v/>
      </c>
      <c r="X205" s="57" t="str">
        <f>IF(Klisz_Verbräuche[[#Headers],[2045]]=$B$57,IF(COUNTIF($F205:Klisz_Verbräuche[[#This Row],[2040]],"&gt;0")&gt;0, AVERAGEIF($F205:Klisz_Verbräuche[[#This Row],[2040]],"&lt;&gt;"), ""),IF($B$57&lt;Klisz_Verbräuche[[#Headers],[2045]],IF(COUNTIF($F205:Klisz_Verbräuche[[#This Row],[2040]],"&gt;0")&gt;0,IF(COUNTIF($F205:Klisz_Verbräuche[[#This Row],[2040]],"&gt;0")&gt;0,Klisz_Verbräuche[[#This Row],[2040]]*(1-$E205)^5, ""), ""),IF($B$57&gt;Klisz_Verbräuche[[#Headers],[2045]],Refsz_Verbräuche[[#This Row],[2045]],"")))</f>
        <v/>
      </c>
      <c r="Y205" s="57" t="str">
        <f>IF(Klisz_Verbräuche[[#Headers],[2050]]=$B$57,IF(COUNTIF($F205:Klisz_Verbräuche[[#This Row],[2045]],"&gt;0")&gt;0, AVERAGEIF($F205:Klisz_Verbräuche[[#This Row],[2045]],"&lt;&gt;"), ""),IF($B$57&lt;Klisz_Verbräuche[[#Headers],[2050]],IF(COUNTIF($F205:Klisz_Verbräuche[[#This Row],[2045]],"&gt;0")&gt;0,IF(COUNTIF($F205:Klisz_Verbräuche[[#This Row],[2045]],"&gt;0")&gt;0,Klisz_Verbräuche[[#This Row],[2045]]*(1-$E205)^5, ""), ""),IF($B$57&gt;Klisz_Verbräuche[[#Headers],[2050]],Refsz_Verbräuche[[#This Row],[2050]],"")))</f>
        <v/>
      </c>
      <c r="Z205" s="15"/>
    </row>
    <row r="206" spans="2:26" x14ac:dyDescent="0.35">
      <c r="B206" s="15">
        <v>146</v>
      </c>
      <c r="C206" s="20" t="str">
        <f>Refsz_Verbräuche[[#This Row],[Datenpunkt]]</f>
        <v>Holzfaserdämmpatte (flexibe Matte)</v>
      </c>
      <c r="D206" s="176" t="str">
        <f>Refsz_Verbräuche[[#This Row],[Einheit]]</f>
        <v>m³</v>
      </c>
      <c r="E206" s="122"/>
      <c r="F206" s="15" t="str">
        <f>IF(ISBLANK(Refsz_Verbräuche[[#This Row],[2015]]),"",Refsz_Verbräuche[[#This Row],[2015]])</f>
        <v/>
      </c>
      <c r="G206" s="15" t="str">
        <f>IF(ISBLANK(Refsz_Verbräuche[[#This Row],[2016]]),"",Refsz_Verbräuche[[#This Row],[2016]])</f>
        <v/>
      </c>
      <c r="H206" s="15" t="str">
        <f>IF(ISBLANK(Refsz_Verbräuche[[#This Row],[2017]]),"",Refsz_Verbräuche[[#This Row],[2017]])</f>
        <v/>
      </c>
      <c r="I206" s="15" t="str">
        <f>IF(ISBLANK(Refsz_Verbräuche[[#This Row],[2018]]),"",Refsz_Verbräuche[[#This Row],[2018]])</f>
        <v/>
      </c>
      <c r="J206" s="15" t="str">
        <f>IF(ISBLANK(Refsz_Verbräuche[[#This Row],[2019]]),"",Refsz_Verbräuche[[#This Row],[2019]])</f>
        <v/>
      </c>
      <c r="K206" s="15" t="str">
        <f>IF(ISBLANK(Refsz_Verbräuche[[#This Row],[2020]]),"",Refsz_Verbräuche[[#This Row],[2020]])</f>
        <v/>
      </c>
      <c r="L206" s="15" t="str">
        <f>IF(ISBLANK(Refsz_Verbräuche[[#This Row],[2021]]),"",Refsz_Verbräuche[[#This Row],[2021]])</f>
        <v/>
      </c>
      <c r="M206" s="57" t="str">
        <f>IF(Klisz_Verbräuche[[#Headers],[2022]]=$B$57,IF(COUNTIF($F206:Klisz_Verbräuche[[#This Row],[2021]],"&gt;0")&gt;0, AVERAGEIF($F206:Klisz_Verbräuche[[#This Row],[2021]],"&lt;&gt;"), ""),IF($B$57&lt;Klisz_Verbräuche[[#Headers],[2022]],IF(COUNTIF($F206:Klisz_Verbräuche[[#This Row],[2021]],"&gt;0")&gt;0,IF(COUNTIF($F206:Klisz_Verbräuche[[#This Row],[2021]],"&gt;0")&gt;0,Klisz_Verbräuche[[#This Row],[2021]]*(1-$E206)^1, ""), ""),IF($B$57&gt;Klisz_Verbräuche[[#Headers],[2022]],Refsz_Verbräuche[[#This Row],[2022]],"")))</f>
        <v/>
      </c>
      <c r="N206" s="57" t="str">
        <f>IF(Klisz_Verbräuche[[#Headers],[2023]]=$B$57,IF(COUNTIF($F206:Klisz_Verbräuche[[#This Row],[2022]],"&gt;0")&gt;0, AVERAGEIF($F206:Klisz_Verbräuche[[#This Row],[2022]],"&lt;&gt;"), ""),IF($B$57&lt;Klisz_Verbräuche[[#Headers],[2023]],IF(COUNTIF($F206:Klisz_Verbräuche[[#This Row],[2022]],"&gt;0")&gt;0,IF(COUNTIF($F206:Klisz_Verbräuche[[#This Row],[2022]],"&gt;0")&gt;0,Klisz_Verbräuche[[#This Row],[2022]]*(1-$E206)^1, ""), ""),IF($B$57&gt;Klisz_Verbräuche[[#Headers],[2023]],Refsz_Verbräuche[[#This Row],[2023]],"")))</f>
        <v/>
      </c>
      <c r="O206" s="57" t="str">
        <f>IF(Klisz_Verbräuche[[#Headers],[2024]]=$B$57,IF(COUNTIF($F206:Klisz_Verbräuche[[#This Row],[2023]],"&gt;0")&gt;0, AVERAGEIF($F206:Klisz_Verbräuche[[#This Row],[2023]],"&lt;&gt;"), ""),IF($B$57&lt;Klisz_Verbräuche[[#Headers],[2024]],IF(COUNTIF($F206:Klisz_Verbräuche[[#This Row],[2023]],"&gt;0")&gt;0,IF(COUNTIF($F206:Klisz_Verbräuche[[#This Row],[2023]],"&gt;0")&gt;0,Klisz_Verbräuche[[#This Row],[2023]]*(1-$E206)^1, ""), ""),IF($B$57&gt;Klisz_Verbräuche[[#Headers],[2024]],Refsz_Verbräuche[[#This Row],[2024]],"")))</f>
        <v/>
      </c>
      <c r="P206" s="57" t="str">
        <f>IF(Klisz_Verbräuche[[#Headers],[2025]]=$B$57,IF(COUNTIF($F206:Klisz_Verbräuche[[#This Row],[2024]],"&gt;0")&gt;0, AVERAGEIF($F206:Klisz_Verbräuche[[#This Row],[2024]],"&lt;&gt;"), ""),IF($B$57&lt;Klisz_Verbräuche[[#Headers],[2025]],IF(COUNTIF($F206:Klisz_Verbräuche[[#This Row],[2024]],"&gt;0")&gt;0,IF(COUNTIF($F206:Klisz_Verbräuche[[#This Row],[2024]],"&gt;0")&gt;0,Klisz_Verbräuche[[#This Row],[2024]]*(1-$E206)^1, ""), ""),IF($B$57&gt;Klisz_Verbräuche[[#Headers],[2025]],Refsz_Verbräuche[[#This Row],[2025]],"")))</f>
        <v/>
      </c>
      <c r="Q206" s="57" t="str">
        <f>IF(Klisz_Verbräuche[[#Headers],[2026]]=$B$57,IF(COUNTIF($F206:Klisz_Verbräuche[[#This Row],[2025]],"&gt;0")&gt;0, AVERAGEIF($F206:Klisz_Verbräuche[[#This Row],[2025]],"&lt;&gt;"), ""),IF($B$57&lt;Klisz_Verbräuche[[#Headers],[2026]],IF(COUNTIF($F206:Klisz_Verbräuche[[#This Row],[2025]],"&gt;0")&gt;0,IF(COUNTIF($F206:Klisz_Verbräuche[[#This Row],[2025]],"&gt;0")&gt;0,Klisz_Verbräuche[[#This Row],[2025]]*(1-$E206)^1, ""), ""),IF($B$57&gt;Klisz_Verbräuche[[#Headers],[2026]],Refsz_Verbräuche[[#This Row],[2026]],"")))</f>
        <v/>
      </c>
      <c r="R206" s="57" t="str">
        <f>IF(Klisz_Verbräuche[[#Headers],[2027]]=$B$57,IF(COUNTIF($F206:Klisz_Verbräuche[[#This Row],[2026]],"&gt;0")&gt;0, AVERAGEIF($F206:Klisz_Verbräuche[[#This Row],[2026]],"&lt;&gt;"), ""),IF($B$57&lt;Klisz_Verbräuche[[#Headers],[2027]],IF(COUNTIF($F206:Klisz_Verbräuche[[#This Row],[2026]],"&gt;0")&gt;0,IF(COUNTIF($F206:Klisz_Verbräuche[[#This Row],[2026]],"&gt;0")&gt;0,Klisz_Verbräuche[[#This Row],[2026]]*(1-$E206)^1, ""), ""),IF($B$57&gt;Klisz_Verbräuche[[#Headers],[2027]],Refsz_Verbräuche[[#This Row],[2027]],"")))</f>
        <v/>
      </c>
      <c r="S206" s="57" t="str">
        <f>IF(Klisz_Verbräuche[[#Headers],[2028]]=$B$57,IF(COUNTIF($F206:Klisz_Verbräuche[[#This Row],[2027]],"&gt;0")&gt;0, AVERAGEIF($F206:Klisz_Verbräuche[[#This Row],[2027]],"&lt;&gt;"), ""),IF($B$57&lt;Klisz_Verbräuche[[#Headers],[2028]],IF(COUNTIF($F206:Klisz_Verbräuche[[#This Row],[2027]],"&gt;0")&gt;0,IF(COUNTIF($F206:Klisz_Verbräuche[[#This Row],[2027]],"&gt;0")&gt;0,Klisz_Verbräuche[[#This Row],[2027]]*(1-$E206)^1, ""), ""),IF($B$57&gt;Klisz_Verbräuche[[#Headers],[2028]],Refsz_Verbräuche[[#This Row],[2028]],"")))</f>
        <v/>
      </c>
      <c r="T206" s="57" t="str">
        <f>IF(Klisz_Verbräuche[[#Headers],[2029]]=$B$57,IF(COUNTIF($F206:Klisz_Verbräuche[[#This Row],[2028]],"&gt;0")&gt;0, AVERAGEIF($F206:Klisz_Verbräuche[[#This Row],[2028]],"&lt;&gt;"), ""),IF($B$57&lt;Klisz_Verbräuche[[#Headers],[2029]],IF(COUNTIF($F206:Klisz_Verbräuche[[#This Row],[2028]],"&gt;0")&gt;0,IF(COUNTIF($F206:Klisz_Verbräuche[[#This Row],[2028]],"&gt;0")&gt;0,Klisz_Verbräuche[[#This Row],[2028]]*(1-$E206)^1, ""), ""),IF($B$57&gt;Klisz_Verbräuche[[#Headers],[2029]],Refsz_Verbräuche[[#This Row],[2029]],"")))</f>
        <v/>
      </c>
      <c r="U206" s="57" t="str">
        <f>IF(Klisz_Verbräuche[[#Headers],[2030]]=$B$57,IF(COUNTIF($F206:Klisz_Verbräuche[[#This Row],[2029]],"&gt;0")&gt;0, AVERAGEIF($F206:Klisz_Verbräuche[[#This Row],[2029]],"&lt;&gt;"), ""),IF($B$57&lt;Klisz_Verbräuche[[#Headers],[2030]],IF(COUNTIF($F206:Klisz_Verbräuche[[#This Row],[2029]],"&gt;0")&gt;0,IF(COUNTIF($F206:Klisz_Verbräuche[[#This Row],[2029]],"&gt;0")&gt;0,Klisz_Verbräuche[[#This Row],[2029]]*(1-$E206)^1, ""), ""),IF($B$57&gt;Klisz_Verbräuche[[#Headers],[2030]],Refsz_Verbräuche[[#This Row],[2030]],"")))</f>
        <v/>
      </c>
      <c r="V206" s="57" t="str">
        <f>IF(Klisz_Verbräuche[[#Headers],[2035]]=$B$57,IF(COUNTIF($F206:Klisz_Verbräuche[[#This Row],[2030]],"&gt;0")&gt;0, AVERAGEIF($F206:Klisz_Verbräuche[[#This Row],[2030]],"&lt;&gt;"), ""),IF($B$57&lt;Klisz_Verbräuche[[#Headers],[2035]],IF(COUNTIF($F206:Klisz_Verbräuche[[#This Row],[2030]],"&gt;0")&gt;0,IF(COUNTIF($F206:Klisz_Verbräuche[[#This Row],[2030]],"&gt;0")&gt;0,Klisz_Verbräuche[[#This Row],[2030]]*(1-$E206)^5, ""), ""),IF($B$57&gt;Klisz_Verbräuche[[#Headers],[2035]],Refsz_Verbräuche[[#This Row],[2035]],"")))</f>
        <v/>
      </c>
      <c r="W206" s="57" t="str">
        <f>IF(Klisz_Verbräuche[[#Headers],[2040]]=$B$57,IF(COUNTIF($F206:Klisz_Verbräuche[[#This Row],[2035]],"&gt;0")&gt;0, AVERAGEIF($F206:Klisz_Verbräuche[[#This Row],[2035]],"&lt;&gt;"), ""),IF($B$57&lt;Klisz_Verbräuche[[#Headers],[2040]],IF(COUNTIF($F206:Klisz_Verbräuche[[#This Row],[2035]],"&gt;0")&gt;0,IF(COUNTIF($F206:Klisz_Verbräuche[[#This Row],[2035]],"&gt;0")&gt;0,Klisz_Verbräuche[[#This Row],[2035]]*(1-$E206)^5, ""), ""),IF($B$57&gt;Klisz_Verbräuche[[#Headers],[2040]],Refsz_Verbräuche[[#This Row],[2040]],"")))</f>
        <v/>
      </c>
      <c r="X206" s="57" t="str">
        <f>IF(Klisz_Verbräuche[[#Headers],[2045]]=$B$57,IF(COUNTIF($F206:Klisz_Verbräuche[[#This Row],[2040]],"&gt;0")&gt;0, AVERAGEIF($F206:Klisz_Verbräuche[[#This Row],[2040]],"&lt;&gt;"), ""),IF($B$57&lt;Klisz_Verbräuche[[#Headers],[2045]],IF(COUNTIF($F206:Klisz_Verbräuche[[#This Row],[2040]],"&gt;0")&gt;0,IF(COUNTIF($F206:Klisz_Verbräuche[[#This Row],[2040]],"&gt;0")&gt;0,Klisz_Verbräuche[[#This Row],[2040]]*(1-$E206)^5, ""), ""),IF($B$57&gt;Klisz_Verbräuche[[#Headers],[2045]],Refsz_Verbräuche[[#This Row],[2045]],"")))</f>
        <v/>
      </c>
      <c r="Y206" s="57" t="str">
        <f>IF(Klisz_Verbräuche[[#Headers],[2050]]=$B$57,IF(COUNTIF($F206:Klisz_Verbräuche[[#This Row],[2045]],"&gt;0")&gt;0, AVERAGEIF($F206:Klisz_Verbräuche[[#This Row],[2045]],"&lt;&gt;"), ""),IF($B$57&lt;Klisz_Verbräuche[[#Headers],[2050]],IF(COUNTIF($F206:Klisz_Verbräuche[[#This Row],[2045]],"&gt;0")&gt;0,IF(COUNTIF($F206:Klisz_Verbräuche[[#This Row],[2045]],"&gt;0")&gt;0,Klisz_Verbräuche[[#This Row],[2045]]*(1-$E206)^5, ""), ""),IF($B$57&gt;Klisz_Verbräuche[[#Headers],[2050]],Refsz_Verbräuche[[#This Row],[2050]],"")))</f>
        <v/>
      </c>
      <c r="Z206" s="15"/>
    </row>
    <row r="207" spans="2:26" x14ac:dyDescent="0.35">
      <c r="B207" s="15">
        <v>147</v>
      </c>
      <c r="C207" s="20">
        <f>Refsz_Verbräuche[[#This Row],[Datenpunkt]]</f>
        <v>0</v>
      </c>
      <c r="D207" s="29">
        <f>Refsz_Verbräuche[[#This Row],[Einheit]]</f>
        <v>0</v>
      </c>
      <c r="E207" s="122"/>
      <c r="F207" s="15" t="str">
        <f>IF(ISBLANK(Refsz_Verbräuche[[#This Row],[2015]]),"",Refsz_Verbräuche[[#This Row],[2015]])</f>
        <v/>
      </c>
      <c r="G207" s="15" t="str">
        <f>IF(ISBLANK(Refsz_Verbräuche[[#This Row],[2016]]),"",Refsz_Verbräuche[[#This Row],[2016]])</f>
        <v/>
      </c>
      <c r="H207" s="15" t="str">
        <f>IF(ISBLANK(Refsz_Verbräuche[[#This Row],[2017]]),"",Refsz_Verbräuche[[#This Row],[2017]])</f>
        <v/>
      </c>
      <c r="I207" s="15" t="str">
        <f>IF(ISBLANK(Refsz_Verbräuche[[#This Row],[2018]]),"",Refsz_Verbräuche[[#This Row],[2018]])</f>
        <v/>
      </c>
      <c r="J207" s="15" t="str">
        <f>IF(ISBLANK(Refsz_Verbräuche[[#This Row],[2019]]),"",Refsz_Verbräuche[[#This Row],[2019]])</f>
        <v/>
      </c>
      <c r="K207" s="15" t="str">
        <f>IF(ISBLANK(Refsz_Verbräuche[[#This Row],[2020]]),"",Refsz_Verbräuche[[#This Row],[2020]])</f>
        <v/>
      </c>
      <c r="L207" s="15" t="str">
        <f>IF(ISBLANK(Refsz_Verbräuche[[#This Row],[2021]]),"",Refsz_Verbräuche[[#This Row],[2021]])</f>
        <v/>
      </c>
      <c r="M207" s="57" t="str">
        <f>IF(Klisz_Verbräuche[[#Headers],[2022]]=$B$57,IF(COUNTIF($F207:Klisz_Verbräuche[[#This Row],[2021]],"&gt;0")&gt;0, AVERAGEIF($F207:Klisz_Verbräuche[[#This Row],[2021]],"&lt;&gt;"), ""),IF($B$57&lt;Klisz_Verbräuche[[#Headers],[2022]],IF(COUNTIF($F207:Klisz_Verbräuche[[#This Row],[2021]],"&gt;0")&gt;0,IF(COUNTIF($F207:Klisz_Verbräuche[[#This Row],[2021]],"&gt;0")&gt;0,Klisz_Verbräuche[[#This Row],[2021]]*(1-$E207)^1, ""), ""),IF($B$57&gt;Klisz_Verbräuche[[#Headers],[2022]],Refsz_Verbräuche[[#This Row],[2022]],"")))</f>
        <v/>
      </c>
      <c r="N207" s="57" t="str">
        <f>IF(Klisz_Verbräuche[[#Headers],[2023]]=$B$57,IF(COUNTIF($F207:Klisz_Verbräuche[[#This Row],[2022]],"&gt;0")&gt;0, AVERAGEIF($F207:Klisz_Verbräuche[[#This Row],[2022]],"&lt;&gt;"), ""),IF($B$57&lt;Klisz_Verbräuche[[#Headers],[2023]],IF(COUNTIF($F207:Klisz_Verbräuche[[#This Row],[2022]],"&gt;0")&gt;0,IF(COUNTIF($F207:Klisz_Verbräuche[[#This Row],[2022]],"&gt;0")&gt;0,Klisz_Verbräuche[[#This Row],[2022]]*(1-$E207)^1, ""), ""),IF($B$57&gt;Klisz_Verbräuche[[#Headers],[2023]],Refsz_Verbräuche[[#This Row],[2023]],"")))</f>
        <v/>
      </c>
      <c r="O207" s="57" t="str">
        <f>IF(Klisz_Verbräuche[[#Headers],[2024]]=$B$57,IF(COUNTIF($F207:Klisz_Verbräuche[[#This Row],[2023]],"&gt;0")&gt;0, AVERAGEIF($F207:Klisz_Verbräuche[[#This Row],[2023]],"&lt;&gt;"), ""),IF($B$57&lt;Klisz_Verbräuche[[#Headers],[2024]],IF(COUNTIF($F207:Klisz_Verbräuche[[#This Row],[2023]],"&gt;0")&gt;0,IF(COUNTIF($F207:Klisz_Verbräuche[[#This Row],[2023]],"&gt;0")&gt;0,Klisz_Verbräuche[[#This Row],[2023]]*(1-$E207)^1, ""), ""),IF($B$57&gt;Klisz_Verbräuche[[#Headers],[2024]],Refsz_Verbräuche[[#This Row],[2024]],"")))</f>
        <v/>
      </c>
      <c r="P207" s="57" t="str">
        <f>IF(Klisz_Verbräuche[[#Headers],[2025]]=$B$57,IF(COUNTIF($F207:Klisz_Verbräuche[[#This Row],[2024]],"&gt;0")&gt;0, AVERAGEIF($F207:Klisz_Verbräuche[[#This Row],[2024]],"&lt;&gt;"), ""),IF($B$57&lt;Klisz_Verbräuche[[#Headers],[2025]],IF(COUNTIF($F207:Klisz_Verbräuche[[#This Row],[2024]],"&gt;0")&gt;0,IF(COUNTIF($F207:Klisz_Verbräuche[[#This Row],[2024]],"&gt;0")&gt;0,Klisz_Verbräuche[[#This Row],[2024]]*(1-$E207)^1, ""), ""),IF($B$57&gt;Klisz_Verbräuche[[#Headers],[2025]],Refsz_Verbräuche[[#This Row],[2025]],"")))</f>
        <v/>
      </c>
      <c r="Q207" s="57" t="str">
        <f>IF(Klisz_Verbräuche[[#Headers],[2026]]=$B$57,IF(COUNTIF($F207:Klisz_Verbräuche[[#This Row],[2025]],"&gt;0")&gt;0, AVERAGEIF($F207:Klisz_Verbräuche[[#This Row],[2025]],"&lt;&gt;"), ""),IF($B$57&lt;Klisz_Verbräuche[[#Headers],[2026]],IF(COUNTIF($F207:Klisz_Verbräuche[[#This Row],[2025]],"&gt;0")&gt;0,IF(COUNTIF($F207:Klisz_Verbräuche[[#This Row],[2025]],"&gt;0")&gt;0,Klisz_Verbräuche[[#This Row],[2025]]*(1-$E207)^1, ""), ""),IF($B$57&gt;Klisz_Verbräuche[[#Headers],[2026]],Refsz_Verbräuche[[#This Row],[2026]],"")))</f>
        <v/>
      </c>
      <c r="R207" s="57" t="str">
        <f>IF(Klisz_Verbräuche[[#Headers],[2027]]=$B$57,IF(COUNTIF($F207:Klisz_Verbräuche[[#This Row],[2026]],"&gt;0")&gt;0, AVERAGEIF($F207:Klisz_Verbräuche[[#This Row],[2026]],"&lt;&gt;"), ""),IF($B$57&lt;Klisz_Verbräuche[[#Headers],[2027]],IF(COUNTIF($F207:Klisz_Verbräuche[[#This Row],[2026]],"&gt;0")&gt;0,IF(COUNTIF($F207:Klisz_Verbräuche[[#This Row],[2026]],"&gt;0")&gt;0,Klisz_Verbräuche[[#This Row],[2026]]*(1-$E207)^1, ""), ""),IF($B$57&gt;Klisz_Verbräuche[[#Headers],[2027]],Refsz_Verbräuche[[#This Row],[2027]],"")))</f>
        <v/>
      </c>
      <c r="S207" s="57" t="str">
        <f>IF(Klisz_Verbräuche[[#Headers],[2028]]=$B$57,IF(COUNTIF($F207:Klisz_Verbräuche[[#This Row],[2027]],"&gt;0")&gt;0, AVERAGEIF($F207:Klisz_Verbräuche[[#This Row],[2027]],"&lt;&gt;"), ""),IF($B$57&lt;Klisz_Verbräuche[[#Headers],[2028]],IF(COUNTIF($F207:Klisz_Verbräuche[[#This Row],[2027]],"&gt;0")&gt;0,IF(COUNTIF($F207:Klisz_Verbräuche[[#This Row],[2027]],"&gt;0")&gt;0,Klisz_Verbräuche[[#This Row],[2027]]*(1-$E207)^1, ""), ""),IF($B$57&gt;Klisz_Verbräuche[[#Headers],[2028]],Refsz_Verbräuche[[#This Row],[2028]],"")))</f>
        <v/>
      </c>
      <c r="T207" s="57" t="str">
        <f>IF(Klisz_Verbräuche[[#Headers],[2029]]=$B$57,IF(COUNTIF($F207:Klisz_Verbräuche[[#This Row],[2028]],"&gt;0")&gt;0, AVERAGEIF($F207:Klisz_Verbräuche[[#This Row],[2028]],"&lt;&gt;"), ""),IF($B$57&lt;Klisz_Verbräuche[[#Headers],[2029]],IF(COUNTIF($F207:Klisz_Verbräuche[[#This Row],[2028]],"&gt;0")&gt;0,IF(COUNTIF($F207:Klisz_Verbräuche[[#This Row],[2028]],"&gt;0")&gt;0,Klisz_Verbräuche[[#This Row],[2028]]*(1-$E207)^1, ""), ""),IF($B$57&gt;Klisz_Verbräuche[[#Headers],[2029]],Refsz_Verbräuche[[#This Row],[2029]],"")))</f>
        <v/>
      </c>
      <c r="U207" s="57" t="str">
        <f>IF(Klisz_Verbräuche[[#Headers],[2030]]=$B$57,IF(COUNTIF($F207:Klisz_Verbräuche[[#This Row],[2029]],"&gt;0")&gt;0, AVERAGEIF($F207:Klisz_Verbräuche[[#This Row],[2029]],"&lt;&gt;"), ""),IF($B$57&lt;Klisz_Verbräuche[[#Headers],[2030]],IF(COUNTIF($F207:Klisz_Verbräuche[[#This Row],[2029]],"&gt;0")&gt;0,IF(COUNTIF($F207:Klisz_Verbräuche[[#This Row],[2029]],"&gt;0")&gt;0,Klisz_Verbräuche[[#This Row],[2029]]*(1-$E207)^1, ""), ""),IF($B$57&gt;Klisz_Verbräuche[[#Headers],[2030]],Refsz_Verbräuche[[#This Row],[2030]],"")))</f>
        <v/>
      </c>
      <c r="V207" s="57" t="str">
        <f>IF(Klisz_Verbräuche[[#Headers],[2035]]=$B$57,IF(COUNTIF($F207:Klisz_Verbräuche[[#This Row],[2030]],"&gt;0")&gt;0, AVERAGEIF($F207:Klisz_Verbräuche[[#This Row],[2030]],"&lt;&gt;"), ""),IF($B$57&lt;Klisz_Verbräuche[[#Headers],[2035]],IF(COUNTIF($F207:Klisz_Verbräuche[[#This Row],[2030]],"&gt;0")&gt;0,IF(COUNTIF($F207:Klisz_Verbräuche[[#This Row],[2030]],"&gt;0")&gt;0,Klisz_Verbräuche[[#This Row],[2030]]*(1-$E207)^5, ""), ""),IF($B$57&gt;Klisz_Verbräuche[[#Headers],[2035]],Refsz_Verbräuche[[#This Row],[2035]],"")))</f>
        <v/>
      </c>
      <c r="W207" s="57" t="str">
        <f>IF(Klisz_Verbräuche[[#Headers],[2040]]=$B$57,IF(COUNTIF($F207:Klisz_Verbräuche[[#This Row],[2035]],"&gt;0")&gt;0, AVERAGEIF($F207:Klisz_Verbräuche[[#This Row],[2035]],"&lt;&gt;"), ""),IF($B$57&lt;Klisz_Verbräuche[[#Headers],[2040]],IF(COUNTIF($F207:Klisz_Verbräuche[[#This Row],[2035]],"&gt;0")&gt;0,IF(COUNTIF($F207:Klisz_Verbräuche[[#This Row],[2035]],"&gt;0")&gt;0,Klisz_Verbräuche[[#This Row],[2035]]*(1-$E207)^5, ""), ""),IF($B$57&gt;Klisz_Verbräuche[[#Headers],[2040]],Refsz_Verbräuche[[#This Row],[2040]],"")))</f>
        <v/>
      </c>
      <c r="X207" s="57" t="str">
        <f>IF(Klisz_Verbräuche[[#Headers],[2045]]=$B$57,IF(COUNTIF($F207:Klisz_Verbräuche[[#This Row],[2040]],"&gt;0")&gt;0, AVERAGEIF($F207:Klisz_Verbräuche[[#This Row],[2040]],"&lt;&gt;"), ""),IF($B$57&lt;Klisz_Verbräuche[[#Headers],[2045]],IF(COUNTIF($F207:Klisz_Verbräuche[[#This Row],[2040]],"&gt;0")&gt;0,IF(COUNTIF($F207:Klisz_Verbräuche[[#This Row],[2040]],"&gt;0")&gt;0,Klisz_Verbräuche[[#This Row],[2040]]*(1-$E207)^5, ""), ""),IF($B$57&gt;Klisz_Verbräuche[[#Headers],[2045]],Refsz_Verbräuche[[#This Row],[2045]],"")))</f>
        <v/>
      </c>
      <c r="Y207" s="57" t="str">
        <f>IF(Klisz_Verbräuche[[#Headers],[2050]]=$B$57,IF(COUNTIF($F207:Klisz_Verbräuche[[#This Row],[2045]],"&gt;0")&gt;0, AVERAGEIF($F207:Klisz_Verbräuche[[#This Row],[2045]],"&lt;&gt;"), ""),IF($B$57&lt;Klisz_Verbräuche[[#Headers],[2050]],IF(COUNTIF($F207:Klisz_Verbräuche[[#This Row],[2045]],"&gt;0")&gt;0,IF(COUNTIF($F207:Klisz_Verbräuche[[#This Row],[2045]],"&gt;0")&gt;0,Klisz_Verbräuche[[#This Row],[2045]]*(1-$E207)^5, ""), ""),IF($B$57&gt;Klisz_Verbräuche[[#Headers],[2050]],Refsz_Verbräuche[[#This Row],[2050]],"")))</f>
        <v/>
      </c>
      <c r="Z207" s="15"/>
    </row>
    <row r="208" spans="2:26" x14ac:dyDescent="0.35">
      <c r="B208" s="15">
        <v>148</v>
      </c>
      <c r="C208" s="20" t="str">
        <f>Refsz_Verbräuche[[#This Row],[Datenpunkt]]</f>
        <v>Kompensation</v>
      </c>
      <c r="D208" s="29" t="str">
        <f>Refsz_Verbräuche[[#This Row],[Einheit]]</f>
        <v>t</v>
      </c>
      <c r="E208" s="122"/>
      <c r="F208" s="15" t="str">
        <f>IF(ISBLANK(Refsz_Verbräuche[[#This Row],[2015]]),"",Refsz_Verbräuche[[#This Row],[2015]])</f>
        <v/>
      </c>
      <c r="G208" s="15" t="str">
        <f>IF(ISBLANK(Refsz_Verbräuche[[#This Row],[2016]]),"",Refsz_Verbräuche[[#This Row],[2016]])</f>
        <v/>
      </c>
      <c r="H208" s="15" t="str">
        <f>IF(ISBLANK(Refsz_Verbräuche[[#This Row],[2017]]),"",Refsz_Verbräuche[[#This Row],[2017]])</f>
        <v/>
      </c>
      <c r="I208" s="15" t="str">
        <f>IF(ISBLANK(Refsz_Verbräuche[[#This Row],[2018]]),"",Refsz_Verbräuche[[#This Row],[2018]])</f>
        <v/>
      </c>
      <c r="J208" s="15" t="str">
        <f>IF(ISBLANK(Refsz_Verbräuche[[#This Row],[2019]]),"",Refsz_Verbräuche[[#This Row],[2019]])</f>
        <v/>
      </c>
      <c r="K208" s="15" t="str">
        <f>IF(ISBLANK(Refsz_Verbräuche[[#This Row],[2020]]),"",Refsz_Verbräuche[[#This Row],[2020]])</f>
        <v/>
      </c>
      <c r="L208" s="15" t="str">
        <f>IF(ISBLANK(Refsz_Verbräuche[[#This Row],[2021]]),"",Refsz_Verbräuche[[#This Row],[2021]])</f>
        <v/>
      </c>
      <c r="M208" s="57" t="str">
        <f>IF(Klisz_Verbräuche[[#Headers],[2022]]=$B$57,IF(COUNTIF($F208:Klisz_Verbräuche[[#This Row],[2021]],"&gt;0")&gt;0, AVERAGEIF($F208:Klisz_Verbräuche[[#This Row],[2021]],"&lt;&gt;"), ""),IF($B$57&lt;Klisz_Verbräuche[[#Headers],[2022]],IF(COUNTIF($F208:Klisz_Verbräuche[[#This Row],[2021]],"&gt;0")&gt;0,IF(COUNTIF($F208:Klisz_Verbräuche[[#This Row],[2021]],"&gt;0")&gt;0,Klisz_Verbräuche[[#This Row],[2021]]*(1-$E208)^1, ""), ""),IF($B$57&gt;Klisz_Verbräuche[[#Headers],[2022]],Refsz_Verbräuche[[#This Row],[2022]],"")))</f>
        <v/>
      </c>
      <c r="N208" s="57" t="str">
        <f>IF(Klisz_Verbräuche[[#Headers],[2023]]=$B$57,IF(COUNTIF($F208:Klisz_Verbräuche[[#This Row],[2022]],"&gt;0")&gt;0, AVERAGEIF($F208:Klisz_Verbräuche[[#This Row],[2022]],"&lt;&gt;"), ""),IF($B$57&lt;Klisz_Verbräuche[[#Headers],[2023]],IF(COUNTIF($F208:Klisz_Verbräuche[[#This Row],[2022]],"&gt;0")&gt;0,IF(COUNTIF($F208:Klisz_Verbräuche[[#This Row],[2022]],"&gt;0")&gt;0,Klisz_Verbräuche[[#This Row],[2022]]*(1-$E208)^1, ""), ""),IF($B$57&gt;Klisz_Verbräuche[[#Headers],[2023]],Refsz_Verbräuche[[#This Row],[2023]],"")))</f>
        <v/>
      </c>
      <c r="O208" s="57" t="str">
        <f>IF(Klisz_Verbräuche[[#Headers],[2024]]=$B$57,IF(COUNTIF($F208:Klisz_Verbräuche[[#This Row],[2023]],"&gt;0")&gt;0, AVERAGEIF($F208:Klisz_Verbräuche[[#This Row],[2023]],"&lt;&gt;"), ""),IF($B$57&lt;Klisz_Verbräuche[[#Headers],[2024]],IF(COUNTIF($F208:Klisz_Verbräuche[[#This Row],[2023]],"&gt;0")&gt;0,IF(COUNTIF($F208:Klisz_Verbräuche[[#This Row],[2023]],"&gt;0")&gt;0,Klisz_Verbräuche[[#This Row],[2023]]*(1-$E208)^1, ""), ""),IF($B$57&gt;Klisz_Verbräuche[[#Headers],[2024]],Refsz_Verbräuche[[#This Row],[2024]],"")))</f>
        <v/>
      </c>
      <c r="P208" s="57" t="str">
        <f>IF(Klisz_Verbräuche[[#Headers],[2025]]=$B$57,IF(COUNTIF($F208:Klisz_Verbräuche[[#This Row],[2024]],"&gt;0")&gt;0, AVERAGEIF($F208:Klisz_Verbräuche[[#This Row],[2024]],"&lt;&gt;"), ""),IF($B$57&lt;Klisz_Verbräuche[[#Headers],[2025]],IF(COUNTIF($F208:Klisz_Verbräuche[[#This Row],[2024]],"&gt;0")&gt;0,IF(COUNTIF($F208:Klisz_Verbräuche[[#This Row],[2024]],"&gt;0")&gt;0,Klisz_Verbräuche[[#This Row],[2024]]*(1-$E208)^1, ""), ""),IF($B$57&gt;Klisz_Verbräuche[[#Headers],[2025]],Refsz_Verbräuche[[#This Row],[2025]],"")))</f>
        <v/>
      </c>
      <c r="Q208" s="57" t="str">
        <f>IF(Klisz_Verbräuche[[#Headers],[2026]]=$B$57,IF(COUNTIF($F208:Klisz_Verbräuche[[#This Row],[2025]],"&gt;0")&gt;0, AVERAGEIF($F208:Klisz_Verbräuche[[#This Row],[2025]],"&lt;&gt;"), ""),IF($B$57&lt;Klisz_Verbräuche[[#Headers],[2026]],IF(COUNTIF($F208:Klisz_Verbräuche[[#This Row],[2025]],"&gt;0")&gt;0,IF(COUNTIF($F208:Klisz_Verbräuche[[#This Row],[2025]],"&gt;0")&gt;0,Klisz_Verbräuche[[#This Row],[2025]]*(1-$E208)^1, ""), ""),IF($B$57&gt;Klisz_Verbräuche[[#Headers],[2026]],Refsz_Verbräuche[[#This Row],[2026]],"")))</f>
        <v/>
      </c>
      <c r="R208" s="57" t="str">
        <f>IF(Klisz_Verbräuche[[#Headers],[2027]]=$B$57,IF(COUNTIF($F208:Klisz_Verbräuche[[#This Row],[2026]],"&gt;0")&gt;0, AVERAGEIF($F208:Klisz_Verbräuche[[#This Row],[2026]],"&lt;&gt;"), ""),IF($B$57&lt;Klisz_Verbräuche[[#Headers],[2027]],IF(COUNTIF($F208:Klisz_Verbräuche[[#This Row],[2026]],"&gt;0")&gt;0,IF(COUNTIF($F208:Klisz_Verbräuche[[#This Row],[2026]],"&gt;0")&gt;0,Klisz_Verbräuche[[#This Row],[2026]]*(1-$E208)^1, ""), ""),IF($B$57&gt;Klisz_Verbräuche[[#Headers],[2027]],Refsz_Verbräuche[[#This Row],[2027]],"")))</f>
        <v/>
      </c>
      <c r="S208" s="57" t="str">
        <f>IF(Klisz_Verbräuche[[#Headers],[2028]]=$B$57,IF(COUNTIF($F208:Klisz_Verbräuche[[#This Row],[2027]],"&gt;0")&gt;0, AVERAGEIF($F208:Klisz_Verbräuche[[#This Row],[2027]],"&lt;&gt;"), ""),IF($B$57&lt;Klisz_Verbräuche[[#Headers],[2028]],IF(COUNTIF($F208:Klisz_Verbräuche[[#This Row],[2027]],"&gt;0")&gt;0,IF(COUNTIF($F208:Klisz_Verbräuche[[#This Row],[2027]],"&gt;0")&gt;0,Klisz_Verbräuche[[#This Row],[2027]]*(1-$E208)^1, ""), ""),IF($B$57&gt;Klisz_Verbräuche[[#Headers],[2028]],Refsz_Verbräuche[[#This Row],[2028]],"")))</f>
        <v/>
      </c>
      <c r="T208" s="57" t="str">
        <f>IF(Klisz_Verbräuche[[#Headers],[2029]]=$B$57,IF(COUNTIF($F208:Klisz_Verbräuche[[#This Row],[2028]],"&gt;0")&gt;0, AVERAGEIF($F208:Klisz_Verbräuche[[#This Row],[2028]],"&lt;&gt;"), ""),IF($B$57&lt;Klisz_Verbräuche[[#Headers],[2029]],IF(COUNTIF($F208:Klisz_Verbräuche[[#This Row],[2028]],"&gt;0")&gt;0,IF(COUNTIF($F208:Klisz_Verbräuche[[#This Row],[2028]],"&gt;0")&gt;0,Klisz_Verbräuche[[#This Row],[2028]]*(1-$E208)^1, ""), ""),IF($B$57&gt;Klisz_Verbräuche[[#Headers],[2029]],Refsz_Verbräuche[[#This Row],[2029]],"")))</f>
        <v/>
      </c>
      <c r="U208" s="57" t="str">
        <f>IF(Klisz_Verbräuche[[#Headers],[2030]]=$B$57,IF(COUNTIF($F208:Klisz_Verbräuche[[#This Row],[2029]],"&gt;0")&gt;0, AVERAGEIF($F208:Klisz_Verbräuche[[#This Row],[2029]],"&lt;&gt;"), ""),IF($B$57&lt;Klisz_Verbräuche[[#Headers],[2030]],IF(COUNTIF($F208:Klisz_Verbräuche[[#This Row],[2029]],"&gt;0")&gt;0,IF(COUNTIF($F208:Klisz_Verbräuche[[#This Row],[2029]],"&gt;0")&gt;0,Klisz_Verbräuche[[#This Row],[2029]]*(1-$E208)^1, ""), ""),IF($B$57&gt;Klisz_Verbräuche[[#Headers],[2030]],Refsz_Verbräuche[[#This Row],[2030]],"")))</f>
        <v/>
      </c>
      <c r="V208" s="57" t="str">
        <f>IF(Klisz_Verbräuche[[#Headers],[2035]]=$B$57,IF(COUNTIF($F208:Klisz_Verbräuche[[#This Row],[2030]],"&gt;0")&gt;0, AVERAGEIF($F208:Klisz_Verbräuche[[#This Row],[2030]],"&lt;&gt;"), ""),IF($B$57&lt;Klisz_Verbräuche[[#Headers],[2035]],IF(COUNTIF($F208:Klisz_Verbräuche[[#This Row],[2030]],"&gt;0")&gt;0,IF(COUNTIF($F208:Klisz_Verbräuche[[#This Row],[2030]],"&gt;0")&gt;0,Klisz_Verbräuche[[#This Row],[2030]]*(1-$E208)^5, ""), ""),IF($B$57&gt;Klisz_Verbräuche[[#Headers],[2035]],Refsz_Verbräuche[[#This Row],[2035]],"")))</f>
        <v/>
      </c>
      <c r="W208" s="57" t="str">
        <f>IF(Klisz_Verbräuche[[#Headers],[2040]]=$B$57,IF(COUNTIF($F208:Klisz_Verbräuche[[#This Row],[2035]],"&gt;0")&gt;0, AVERAGEIF($F208:Klisz_Verbräuche[[#This Row],[2035]],"&lt;&gt;"), ""),IF($B$57&lt;Klisz_Verbräuche[[#Headers],[2040]],IF(COUNTIF($F208:Klisz_Verbräuche[[#This Row],[2035]],"&gt;0")&gt;0,IF(COUNTIF($F208:Klisz_Verbräuche[[#This Row],[2035]],"&gt;0")&gt;0,Klisz_Verbräuche[[#This Row],[2035]]*(1-$E208)^5, ""), ""),IF($B$57&gt;Klisz_Verbräuche[[#Headers],[2040]],Refsz_Verbräuche[[#This Row],[2040]],"")))</f>
        <v/>
      </c>
      <c r="X208" s="57" t="str">
        <f>IF(Klisz_Verbräuche[[#Headers],[2045]]=$B$57,IF(COUNTIF($F208:Klisz_Verbräuche[[#This Row],[2040]],"&gt;0")&gt;0, AVERAGEIF($F208:Klisz_Verbräuche[[#This Row],[2040]],"&lt;&gt;"), ""),IF($B$57&lt;Klisz_Verbräuche[[#Headers],[2045]],IF(COUNTIF($F208:Klisz_Verbräuche[[#This Row],[2040]],"&gt;0")&gt;0,IF(COUNTIF($F208:Klisz_Verbräuche[[#This Row],[2040]],"&gt;0")&gt;0,Klisz_Verbräuche[[#This Row],[2040]]*(1-$E208)^5, ""), ""),IF($B$57&gt;Klisz_Verbräuche[[#Headers],[2045]],Refsz_Verbräuche[[#This Row],[2045]],"")))</f>
        <v/>
      </c>
      <c r="Y208" s="57" t="str">
        <f>IF(Klisz_Verbräuche[[#Headers],[2050]]=$B$57,IF(COUNTIF($F208:Klisz_Verbräuche[[#This Row],[2045]],"&gt;0")&gt;0, AVERAGEIF($F208:Klisz_Verbräuche[[#This Row],[2045]],"&lt;&gt;"), ""),IF($B$57&lt;Klisz_Verbräuche[[#Headers],[2050]],IF(COUNTIF($F208:Klisz_Verbräuche[[#This Row],[2045]],"&gt;0")&gt;0,IF(COUNTIF($F208:Klisz_Verbräuche[[#This Row],[2045]],"&gt;0")&gt;0,Klisz_Verbräuche[[#This Row],[2045]]*(1-$E208)^5, ""), ""),IF($B$57&gt;Klisz_Verbräuche[[#Headers],[2050]],Refsz_Verbräuche[[#This Row],[2050]],"")))</f>
        <v/>
      </c>
      <c r="Z208" s="15"/>
    </row>
    <row r="209" spans="2:26" x14ac:dyDescent="0.35">
      <c r="B209" s="15">
        <v>149</v>
      </c>
      <c r="C209" s="20">
        <f>Refsz_Verbräuche[[#This Row],[Datenpunkt]]</f>
        <v>0</v>
      </c>
      <c r="D209" s="29">
        <f>Refsz_Verbräuche[[#This Row],[Einheit]]</f>
        <v>0</v>
      </c>
      <c r="E209" s="122"/>
      <c r="F209" s="15" t="str">
        <f>IF(ISBLANK(Refsz_Verbräuche[[#This Row],[2015]]),"",Refsz_Verbräuche[[#This Row],[2015]])</f>
        <v/>
      </c>
      <c r="G209" s="15" t="str">
        <f>IF(ISBLANK(Refsz_Verbräuche[[#This Row],[2016]]),"",Refsz_Verbräuche[[#This Row],[2016]])</f>
        <v/>
      </c>
      <c r="H209" s="15" t="str">
        <f>IF(ISBLANK(Refsz_Verbräuche[[#This Row],[2017]]),"",Refsz_Verbräuche[[#This Row],[2017]])</f>
        <v/>
      </c>
      <c r="I209" s="15" t="str">
        <f>IF(ISBLANK(Refsz_Verbräuche[[#This Row],[2018]]),"",Refsz_Verbräuche[[#This Row],[2018]])</f>
        <v/>
      </c>
      <c r="J209" s="15" t="str">
        <f>IF(ISBLANK(Refsz_Verbräuche[[#This Row],[2019]]),"",Refsz_Verbräuche[[#This Row],[2019]])</f>
        <v/>
      </c>
      <c r="K209" s="15" t="str">
        <f>IF(ISBLANK(Refsz_Verbräuche[[#This Row],[2020]]),"",Refsz_Verbräuche[[#This Row],[2020]])</f>
        <v/>
      </c>
      <c r="L209" s="15" t="str">
        <f>IF(ISBLANK(Refsz_Verbräuche[[#This Row],[2021]]),"",Refsz_Verbräuche[[#This Row],[2021]])</f>
        <v/>
      </c>
      <c r="M209" s="57" t="str">
        <f>IF(Klisz_Verbräuche[[#Headers],[2022]]=$B$57,IF(COUNTIF($F209:Klisz_Verbräuche[[#This Row],[2021]],"&gt;0")&gt;0, AVERAGEIF($F209:Klisz_Verbräuche[[#This Row],[2021]],"&lt;&gt;"), ""),IF($B$57&lt;Klisz_Verbräuche[[#Headers],[2022]],IF(COUNTIF($F209:Klisz_Verbräuche[[#This Row],[2021]],"&gt;0")&gt;0,IF(COUNTIF($F209:Klisz_Verbräuche[[#This Row],[2021]],"&gt;0")&gt;0,Klisz_Verbräuche[[#This Row],[2021]]*(1-$E209)^1, ""), ""),IF($B$57&gt;Klisz_Verbräuche[[#Headers],[2022]],Refsz_Verbräuche[[#This Row],[2022]],"")))</f>
        <v/>
      </c>
      <c r="N209" s="57" t="str">
        <f>IF(Klisz_Verbräuche[[#Headers],[2023]]=$B$57,IF(COUNTIF($F209:Klisz_Verbräuche[[#This Row],[2022]],"&gt;0")&gt;0, AVERAGEIF($F209:Klisz_Verbräuche[[#This Row],[2022]],"&lt;&gt;"), ""),IF($B$57&lt;Klisz_Verbräuche[[#Headers],[2023]],IF(COUNTIF($F209:Klisz_Verbräuche[[#This Row],[2022]],"&gt;0")&gt;0,IF(COUNTIF($F209:Klisz_Verbräuche[[#This Row],[2022]],"&gt;0")&gt;0,Klisz_Verbräuche[[#This Row],[2022]]*(1-$E209)^1, ""), ""),IF($B$57&gt;Klisz_Verbräuche[[#Headers],[2023]],Refsz_Verbräuche[[#This Row],[2023]],"")))</f>
        <v/>
      </c>
      <c r="O209" s="57" t="str">
        <f>IF(Klisz_Verbräuche[[#Headers],[2024]]=$B$57,IF(COUNTIF($F209:Klisz_Verbräuche[[#This Row],[2023]],"&gt;0")&gt;0, AVERAGEIF($F209:Klisz_Verbräuche[[#This Row],[2023]],"&lt;&gt;"), ""),IF($B$57&lt;Klisz_Verbräuche[[#Headers],[2024]],IF(COUNTIF($F209:Klisz_Verbräuche[[#This Row],[2023]],"&gt;0")&gt;0,IF(COUNTIF($F209:Klisz_Verbräuche[[#This Row],[2023]],"&gt;0")&gt;0,Klisz_Verbräuche[[#This Row],[2023]]*(1-$E209)^1, ""), ""),IF($B$57&gt;Klisz_Verbräuche[[#Headers],[2024]],Refsz_Verbräuche[[#This Row],[2024]],"")))</f>
        <v/>
      </c>
      <c r="P209" s="57" t="str">
        <f>IF(Klisz_Verbräuche[[#Headers],[2025]]=$B$57,IF(COUNTIF($F209:Klisz_Verbräuche[[#This Row],[2024]],"&gt;0")&gt;0, AVERAGEIF($F209:Klisz_Verbräuche[[#This Row],[2024]],"&lt;&gt;"), ""),IF($B$57&lt;Klisz_Verbräuche[[#Headers],[2025]],IF(COUNTIF($F209:Klisz_Verbräuche[[#This Row],[2024]],"&gt;0")&gt;0,IF(COUNTIF($F209:Klisz_Verbräuche[[#This Row],[2024]],"&gt;0")&gt;0,Klisz_Verbräuche[[#This Row],[2024]]*(1-$E209)^1, ""), ""),IF($B$57&gt;Klisz_Verbräuche[[#Headers],[2025]],Refsz_Verbräuche[[#This Row],[2025]],"")))</f>
        <v/>
      </c>
      <c r="Q209" s="57" t="str">
        <f>IF(Klisz_Verbräuche[[#Headers],[2026]]=$B$57,IF(COUNTIF($F209:Klisz_Verbräuche[[#This Row],[2025]],"&gt;0")&gt;0, AVERAGEIF($F209:Klisz_Verbräuche[[#This Row],[2025]],"&lt;&gt;"), ""),IF($B$57&lt;Klisz_Verbräuche[[#Headers],[2026]],IF(COUNTIF($F209:Klisz_Verbräuche[[#This Row],[2025]],"&gt;0")&gt;0,IF(COUNTIF($F209:Klisz_Verbräuche[[#This Row],[2025]],"&gt;0")&gt;0,Klisz_Verbräuche[[#This Row],[2025]]*(1-$E209)^1, ""), ""),IF($B$57&gt;Klisz_Verbräuche[[#Headers],[2026]],Refsz_Verbräuche[[#This Row],[2026]],"")))</f>
        <v/>
      </c>
      <c r="R209" s="57" t="str">
        <f>IF(Klisz_Verbräuche[[#Headers],[2027]]=$B$57,IF(COUNTIF($F209:Klisz_Verbräuche[[#This Row],[2026]],"&gt;0")&gt;0, AVERAGEIF($F209:Klisz_Verbräuche[[#This Row],[2026]],"&lt;&gt;"), ""),IF($B$57&lt;Klisz_Verbräuche[[#Headers],[2027]],IF(COUNTIF($F209:Klisz_Verbräuche[[#This Row],[2026]],"&gt;0")&gt;0,IF(COUNTIF($F209:Klisz_Verbräuche[[#This Row],[2026]],"&gt;0")&gt;0,Klisz_Verbräuche[[#This Row],[2026]]*(1-$E209)^1, ""), ""),IF($B$57&gt;Klisz_Verbräuche[[#Headers],[2027]],Refsz_Verbräuche[[#This Row],[2027]],"")))</f>
        <v/>
      </c>
      <c r="S209" s="57" t="str">
        <f>IF(Klisz_Verbräuche[[#Headers],[2028]]=$B$57,IF(COUNTIF($F209:Klisz_Verbräuche[[#This Row],[2027]],"&gt;0")&gt;0, AVERAGEIF($F209:Klisz_Verbräuche[[#This Row],[2027]],"&lt;&gt;"), ""),IF($B$57&lt;Klisz_Verbräuche[[#Headers],[2028]],IF(COUNTIF($F209:Klisz_Verbräuche[[#This Row],[2027]],"&gt;0")&gt;0,IF(COUNTIF($F209:Klisz_Verbräuche[[#This Row],[2027]],"&gt;0")&gt;0,Klisz_Verbräuche[[#This Row],[2027]]*(1-$E209)^1, ""), ""),IF($B$57&gt;Klisz_Verbräuche[[#Headers],[2028]],Refsz_Verbräuche[[#This Row],[2028]],"")))</f>
        <v/>
      </c>
      <c r="T209" s="57" t="str">
        <f>IF(Klisz_Verbräuche[[#Headers],[2029]]=$B$57,IF(COUNTIF($F209:Klisz_Verbräuche[[#This Row],[2028]],"&gt;0")&gt;0, AVERAGEIF($F209:Klisz_Verbräuche[[#This Row],[2028]],"&lt;&gt;"), ""),IF($B$57&lt;Klisz_Verbräuche[[#Headers],[2029]],IF(COUNTIF($F209:Klisz_Verbräuche[[#This Row],[2028]],"&gt;0")&gt;0,IF(COUNTIF($F209:Klisz_Verbräuche[[#This Row],[2028]],"&gt;0")&gt;0,Klisz_Verbräuche[[#This Row],[2028]]*(1-$E209)^1, ""), ""),IF($B$57&gt;Klisz_Verbräuche[[#Headers],[2029]],Refsz_Verbräuche[[#This Row],[2029]],"")))</f>
        <v/>
      </c>
      <c r="U209" s="57" t="str">
        <f>IF(Klisz_Verbräuche[[#Headers],[2030]]=$B$57,IF(COUNTIF($F209:Klisz_Verbräuche[[#This Row],[2029]],"&gt;0")&gt;0, AVERAGEIF($F209:Klisz_Verbräuche[[#This Row],[2029]],"&lt;&gt;"), ""),IF($B$57&lt;Klisz_Verbräuche[[#Headers],[2030]],IF(COUNTIF($F209:Klisz_Verbräuche[[#This Row],[2029]],"&gt;0")&gt;0,IF(COUNTIF($F209:Klisz_Verbräuche[[#This Row],[2029]],"&gt;0")&gt;0,Klisz_Verbräuche[[#This Row],[2029]]*(1-$E209)^1, ""), ""),IF($B$57&gt;Klisz_Verbräuche[[#Headers],[2030]],Refsz_Verbräuche[[#This Row],[2030]],"")))</f>
        <v/>
      </c>
      <c r="V209" s="57" t="str">
        <f>IF(Klisz_Verbräuche[[#Headers],[2035]]=$B$57,IF(COUNTIF($F209:Klisz_Verbräuche[[#This Row],[2030]],"&gt;0")&gt;0, AVERAGEIF($F209:Klisz_Verbräuche[[#This Row],[2030]],"&lt;&gt;"), ""),IF($B$57&lt;Klisz_Verbräuche[[#Headers],[2035]],IF(COUNTIF($F209:Klisz_Verbräuche[[#This Row],[2030]],"&gt;0")&gt;0,IF(COUNTIF($F209:Klisz_Verbräuche[[#This Row],[2030]],"&gt;0")&gt;0,Klisz_Verbräuche[[#This Row],[2030]]*(1-$E209)^5, ""), ""),IF($B$57&gt;Klisz_Verbräuche[[#Headers],[2035]],Refsz_Verbräuche[[#This Row],[2035]],"")))</f>
        <v/>
      </c>
      <c r="W209" s="57" t="str">
        <f>IF(Klisz_Verbräuche[[#Headers],[2040]]=$B$57,IF(COUNTIF($F209:Klisz_Verbräuche[[#This Row],[2035]],"&gt;0")&gt;0, AVERAGEIF($F209:Klisz_Verbräuche[[#This Row],[2035]],"&lt;&gt;"), ""),IF($B$57&lt;Klisz_Verbräuche[[#Headers],[2040]],IF(COUNTIF($F209:Klisz_Verbräuche[[#This Row],[2035]],"&gt;0")&gt;0,IF(COUNTIF($F209:Klisz_Verbräuche[[#This Row],[2035]],"&gt;0")&gt;0,Klisz_Verbräuche[[#This Row],[2035]]*(1-$E209)^5, ""), ""),IF($B$57&gt;Klisz_Verbräuche[[#Headers],[2040]],Refsz_Verbräuche[[#This Row],[2040]],"")))</f>
        <v/>
      </c>
      <c r="X209" s="57" t="str">
        <f>IF(Klisz_Verbräuche[[#Headers],[2045]]=$B$57,IF(COUNTIF($F209:Klisz_Verbräuche[[#This Row],[2040]],"&gt;0")&gt;0, AVERAGEIF($F209:Klisz_Verbräuche[[#This Row],[2040]],"&lt;&gt;"), ""),IF($B$57&lt;Klisz_Verbräuche[[#Headers],[2045]],IF(COUNTIF($F209:Klisz_Verbräuche[[#This Row],[2040]],"&gt;0")&gt;0,IF(COUNTIF($F209:Klisz_Verbräuche[[#This Row],[2040]],"&gt;0")&gt;0,Klisz_Verbräuche[[#This Row],[2040]]*(1-$E209)^5, ""), ""),IF($B$57&gt;Klisz_Verbräuche[[#Headers],[2045]],Refsz_Verbräuche[[#This Row],[2045]],"")))</f>
        <v/>
      </c>
      <c r="Y209" s="57" t="str">
        <f>IF(Klisz_Verbräuche[[#Headers],[2050]]=$B$57,IF(COUNTIF($F209:Klisz_Verbräuche[[#This Row],[2045]],"&gt;0")&gt;0, AVERAGEIF($F209:Klisz_Verbräuche[[#This Row],[2045]],"&lt;&gt;"), ""),IF($B$57&lt;Klisz_Verbräuche[[#Headers],[2050]],IF(COUNTIF($F209:Klisz_Verbräuche[[#This Row],[2045]],"&gt;0")&gt;0,IF(COUNTIF($F209:Klisz_Verbräuche[[#This Row],[2045]],"&gt;0")&gt;0,Klisz_Verbräuche[[#This Row],[2045]]*(1-$E209)^5, ""), ""),IF($B$57&gt;Klisz_Verbräuche[[#Headers],[2050]],Refsz_Verbräuche[[#This Row],[2050]],"")))</f>
        <v/>
      </c>
      <c r="Z209" s="15"/>
    </row>
    <row r="210" spans="2:26" x14ac:dyDescent="0.35">
      <c r="B210" s="15">
        <v>150</v>
      </c>
      <c r="C210" s="20">
        <f>Refsz_Verbräuche[[#This Row],[Datenpunkt]]</f>
        <v>0</v>
      </c>
      <c r="D210" s="29">
        <f>Refsz_Verbräuche[[#This Row],[Einheit]]</f>
        <v>0</v>
      </c>
      <c r="E210" s="122"/>
      <c r="F210" s="15" t="str">
        <f>IF(ISBLANK(Refsz_Verbräuche[[#This Row],[2015]]),"",Refsz_Verbräuche[[#This Row],[2015]])</f>
        <v/>
      </c>
      <c r="G210" s="15" t="str">
        <f>IF(ISBLANK(Refsz_Verbräuche[[#This Row],[2016]]),"",Refsz_Verbräuche[[#This Row],[2016]])</f>
        <v/>
      </c>
      <c r="H210" s="15" t="str">
        <f>IF(ISBLANK(Refsz_Verbräuche[[#This Row],[2017]]),"",Refsz_Verbräuche[[#This Row],[2017]])</f>
        <v/>
      </c>
      <c r="I210" s="15" t="str">
        <f>IF(ISBLANK(Refsz_Verbräuche[[#This Row],[2018]]),"",Refsz_Verbräuche[[#This Row],[2018]])</f>
        <v/>
      </c>
      <c r="J210" s="15" t="str">
        <f>IF(ISBLANK(Refsz_Verbräuche[[#This Row],[2019]]),"",Refsz_Verbräuche[[#This Row],[2019]])</f>
        <v/>
      </c>
      <c r="K210" s="15" t="str">
        <f>IF(ISBLANK(Refsz_Verbräuche[[#This Row],[2020]]),"",Refsz_Verbräuche[[#This Row],[2020]])</f>
        <v/>
      </c>
      <c r="L210" s="15" t="str">
        <f>IF(ISBLANK(Refsz_Verbräuche[[#This Row],[2021]]),"",Refsz_Verbräuche[[#This Row],[2021]])</f>
        <v/>
      </c>
      <c r="M210" s="57" t="str">
        <f>IF(Klisz_Verbräuche[[#Headers],[2022]]=$B$57,IF(COUNTIF($F210:Klisz_Verbräuche[[#This Row],[2021]],"&gt;0")&gt;0, AVERAGEIF($F210:Klisz_Verbräuche[[#This Row],[2021]],"&lt;&gt;"), ""),IF($B$57&lt;Klisz_Verbräuche[[#Headers],[2022]],IF(COUNTIF($F210:Klisz_Verbräuche[[#This Row],[2021]],"&gt;0")&gt;0,IF(COUNTIF($F210:Klisz_Verbräuche[[#This Row],[2021]],"&gt;0")&gt;0,Klisz_Verbräuche[[#This Row],[2021]]*(1-$E210)^1, ""), ""),IF($B$57&gt;Klisz_Verbräuche[[#Headers],[2022]],Refsz_Verbräuche[[#This Row],[2022]],"")))</f>
        <v/>
      </c>
      <c r="N210" s="57" t="str">
        <f>IF(Klisz_Verbräuche[[#Headers],[2023]]=$B$57,IF(COUNTIF($F210:Klisz_Verbräuche[[#This Row],[2022]],"&gt;0")&gt;0, AVERAGEIF($F210:Klisz_Verbräuche[[#This Row],[2022]],"&lt;&gt;"), ""),IF($B$57&lt;Klisz_Verbräuche[[#Headers],[2023]],IF(COUNTIF($F210:Klisz_Verbräuche[[#This Row],[2022]],"&gt;0")&gt;0,IF(COUNTIF($F210:Klisz_Verbräuche[[#This Row],[2022]],"&gt;0")&gt;0,Klisz_Verbräuche[[#This Row],[2022]]*(1-$E210)^1, ""), ""),IF($B$57&gt;Klisz_Verbräuche[[#Headers],[2023]],Refsz_Verbräuche[[#This Row],[2023]],"")))</f>
        <v/>
      </c>
      <c r="O210" s="57" t="str">
        <f>IF(Klisz_Verbräuche[[#Headers],[2024]]=$B$57,IF(COUNTIF($F210:Klisz_Verbräuche[[#This Row],[2023]],"&gt;0")&gt;0, AVERAGEIF($F210:Klisz_Verbräuche[[#This Row],[2023]],"&lt;&gt;"), ""),IF($B$57&lt;Klisz_Verbräuche[[#Headers],[2024]],IF(COUNTIF($F210:Klisz_Verbräuche[[#This Row],[2023]],"&gt;0")&gt;0,IF(COUNTIF($F210:Klisz_Verbräuche[[#This Row],[2023]],"&gt;0")&gt;0,Klisz_Verbräuche[[#This Row],[2023]]*(1-$E210)^1, ""), ""),IF($B$57&gt;Klisz_Verbräuche[[#Headers],[2024]],Refsz_Verbräuche[[#This Row],[2024]],"")))</f>
        <v/>
      </c>
      <c r="P210" s="57" t="str">
        <f>IF(Klisz_Verbräuche[[#Headers],[2025]]=$B$57,IF(COUNTIF($F210:Klisz_Verbräuche[[#This Row],[2024]],"&gt;0")&gt;0, AVERAGEIF($F210:Klisz_Verbräuche[[#This Row],[2024]],"&lt;&gt;"), ""),IF($B$57&lt;Klisz_Verbräuche[[#Headers],[2025]],IF(COUNTIF($F210:Klisz_Verbräuche[[#This Row],[2024]],"&gt;0")&gt;0,IF(COUNTIF($F210:Klisz_Verbräuche[[#This Row],[2024]],"&gt;0")&gt;0,Klisz_Verbräuche[[#This Row],[2024]]*(1-$E210)^1, ""), ""),IF($B$57&gt;Klisz_Verbräuche[[#Headers],[2025]],Refsz_Verbräuche[[#This Row],[2025]],"")))</f>
        <v/>
      </c>
      <c r="Q210" s="57" t="str">
        <f>IF(Klisz_Verbräuche[[#Headers],[2026]]=$B$57,IF(COUNTIF($F210:Klisz_Verbräuche[[#This Row],[2025]],"&gt;0")&gt;0, AVERAGEIF($F210:Klisz_Verbräuche[[#This Row],[2025]],"&lt;&gt;"), ""),IF($B$57&lt;Klisz_Verbräuche[[#Headers],[2026]],IF(COUNTIF($F210:Klisz_Verbräuche[[#This Row],[2025]],"&gt;0")&gt;0,IF(COUNTIF($F210:Klisz_Verbräuche[[#This Row],[2025]],"&gt;0")&gt;0,Klisz_Verbräuche[[#This Row],[2025]]*(1-$E210)^1, ""), ""),IF($B$57&gt;Klisz_Verbräuche[[#Headers],[2026]],Refsz_Verbräuche[[#This Row],[2026]],"")))</f>
        <v/>
      </c>
      <c r="R210" s="57" t="str">
        <f>IF(Klisz_Verbräuche[[#Headers],[2027]]=$B$57,IF(COUNTIF($F210:Klisz_Verbräuche[[#This Row],[2026]],"&gt;0")&gt;0, AVERAGEIF($F210:Klisz_Verbräuche[[#This Row],[2026]],"&lt;&gt;"), ""),IF($B$57&lt;Klisz_Verbräuche[[#Headers],[2027]],IF(COUNTIF($F210:Klisz_Verbräuche[[#This Row],[2026]],"&gt;0")&gt;0,IF(COUNTIF($F210:Klisz_Verbräuche[[#This Row],[2026]],"&gt;0")&gt;0,Klisz_Verbräuche[[#This Row],[2026]]*(1-$E210)^1, ""), ""),IF($B$57&gt;Klisz_Verbräuche[[#Headers],[2027]],Refsz_Verbräuche[[#This Row],[2027]],"")))</f>
        <v/>
      </c>
      <c r="S210" s="57" t="str">
        <f>IF(Klisz_Verbräuche[[#Headers],[2028]]=$B$57,IF(COUNTIF($F210:Klisz_Verbräuche[[#This Row],[2027]],"&gt;0")&gt;0, AVERAGEIF($F210:Klisz_Verbräuche[[#This Row],[2027]],"&lt;&gt;"), ""),IF($B$57&lt;Klisz_Verbräuche[[#Headers],[2028]],IF(COUNTIF($F210:Klisz_Verbräuche[[#This Row],[2027]],"&gt;0")&gt;0,IF(COUNTIF($F210:Klisz_Verbräuche[[#This Row],[2027]],"&gt;0")&gt;0,Klisz_Verbräuche[[#This Row],[2027]]*(1-$E210)^1, ""), ""),IF($B$57&gt;Klisz_Verbräuche[[#Headers],[2028]],Refsz_Verbräuche[[#This Row],[2028]],"")))</f>
        <v/>
      </c>
      <c r="T210" s="57" t="str">
        <f>IF(Klisz_Verbräuche[[#Headers],[2029]]=$B$57,IF(COUNTIF($F210:Klisz_Verbräuche[[#This Row],[2028]],"&gt;0")&gt;0, AVERAGEIF($F210:Klisz_Verbräuche[[#This Row],[2028]],"&lt;&gt;"), ""),IF($B$57&lt;Klisz_Verbräuche[[#Headers],[2029]],IF(COUNTIF($F210:Klisz_Verbräuche[[#This Row],[2028]],"&gt;0")&gt;0,IF(COUNTIF($F210:Klisz_Verbräuche[[#This Row],[2028]],"&gt;0")&gt;0,Klisz_Verbräuche[[#This Row],[2028]]*(1-$E210)^1, ""), ""),IF($B$57&gt;Klisz_Verbräuche[[#Headers],[2029]],Refsz_Verbräuche[[#This Row],[2029]],"")))</f>
        <v/>
      </c>
      <c r="U210" s="57" t="str">
        <f>IF(Klisz_Verbräuche[[#Headers],[2030]]=$B$57,IF(COUNTIF($F210:Klisz_Verbräuche[[#This Row],[2029]],"&gt;0")&gt;0, AVERAGEIF($F210:Klisz_Verbräuche[[#This Row],[2029]],"&lt;&gt;"), ""),IF($B$57&lt;Klisz_Verbräuche[[#Headers],[2030]],IF(COUNTIF($F210:Klisz_Verbräuche[[#This Row],[2029]],"&gt;0")&gt;0,IF(COUNTIF($F210:Klisz_Verbräuche[[#This Row],[2029]],"&gt;0")&gt;0,Klisz_Verbräuche[[#This Row],[2029]]*(1-$E210)^1, ""), ""),IF($B$57&gt;Klisz_Verbräuche[[#Headers],[2030]],Refsz_Verbräuche[[#This Row],[2030]],"")))</f>
        <v/>
      </c>
      <c r="V210" s="57" t="str">
        <f>IF(Klisz_Verbräuche[[#Headers],[2035]]=$B$57,IF(COUNTIF($F210:Klisz_Verbräuche[[#This Row],[2030]],"&gt;0")&gt;0, AVERAGEIF($F210:Klisz_Verbräuche[[#This Row],[2030]],"&lt;&gt;"), ""),IF($B$57&lt;Klisz_Verbräuche[[#Headers],[2035]],IF(COUNTIF($F210:Klisz_Verbräuche[[#This Row],[2030]],"&gt;0")&gt;0,IF(COUNTIF($F210:Klisz_Verbräuche[[#This Row],[2030]],"&gt;0")&gt;0,Klisz_Verbräuche[[#This Row],[2030]]*(1-$E210)^5, ""), ""),IF($B$57&gt;Klisz_Verbräuche[[#Headers],[2035]],Refsz_Verbräuche[[#This Row],[2035]],"")))</f>
        <v/>
      </c>
      <c r="W210" s="57" t="str">
        <f>IF(Klisz_Verbräuche[[#Headers],[2040]]=$B$57,IF(COUNTIF($F210:Klisz_Verbräuche[[#This Row],[2035]],"&gt;0")&gt;0, AVERAGEIF($F210:Klisz_Verbräuche[[#This Row],[2035]],"&lt;&gt;"), ""),IF($B$57&lt;Klisz_Verbräuche[[#Headers],[2040]],IF(COUNTIF($F210:Klisz_Verbräuche[[#This Row],[2035]],"&gt;0")&gt;0,IF(COUNTIF($F210:Klisz_Verbräuche[[#This Row],[2035]],"&gt;0")&gt;0,Klisz_Verbräuche[[#This Row],[2035]]*(1-$E210)^5, ""), ""),IF($B$57&gt;Klisz_Verbräuche[[#Headers],[2040]],Refsz_Verbräuche[[#This Row],[2040]],"")))</f>
        <v/>
      </c>
      <c r="X210" s="57" t="str">
        <f>IF(Klisz_Verbräuche[[#Headers],[2045]]=$B$57,IF(COUNTIF($F210:Klisz_Verbräuche[[#This Row],[2040]],"&gt;0")&gt;0, AVERAGEIF($F210:Klisz_Verbräuche[[#This Row],[2040]],"&lt;&gt;"), ""),IF($B$57&lt;Klisz_Verbräuche[[#Headers],[2045]],IF(COUNTIF($F210:Klisz_Verbräuche[[#This Row],[2040]],"&gt;0")&gt;0,IF(COUNTIF($F210:Klisz_Verbräuche[[#This Row],[2040]],"&gt;0")&gt;0,Klisz_Verbräuche[[#This Row],[2040]]*(1-$E210)^5, ""), ""),IF($B$57&gt;Klisz_Verbräuche[[#Headers],[2045]],Refsz_Verbräuche[[#This Row],[2045]],"")))</f>
        <v/>
      </c>
      <c r="Y210" s="57" t="str">
        <f>IF(Klisz_Verbräuche[[#Headers],[2050]]=$B$57,IF(COUNTIF($F210:Klisz_Verbräuche[[#This Row],[2045]],"&gt;0")&gt;0, AVERAGEIF($F210:Klisz_Verbräuche[[#This Row],[2045]],"&lt;&gt;"), ""),IF($B$57&lt;Klisz_Verbräuche[[#Headers],[2050]],IF(COUNTIF($F210:Klisz_Verbräuche[[#This Row],[2045]],"&gt;0")&gt;0,IF(COUNTIF($F210:Klisz_Verbräuche[[#This Row],[2045]],"&gt;0")&gt;0,Klisz_Verbräuche[[#This Row],[2045]]*(1-$E210)^5, ""), ""),IF($B$57&gt;Klisz_Verbräuche[[#Headers],[2050]],Refsz_Verbräuche[[#This Row],[2050]],"")))</f>
        <v/>
      </c>
      <c r="Z210" s="15"/>
    </row>
    <row r="211" spans="2:26" x14ac:dyDescent="0.35">
      <c r="B211" s="15">
        <v>151</v>
      </c>
      <c r="C211" s="20">
        <f>Refsz_Verbräuche[[#This Row],[Datenpunkt]]</f>
        <v>0</v>
      </c>
      <c r="D211" s="29">
        <f>Refsz_Verbräuche[[#This Row],[Einheit]]</f>
        <v>0</v>
      </c>
      <c r="E211" s="122"/>
      <c r="F211" s="15" t="str">
        <f>IF(ISBLANK(Refsz_Verbräuche[[#This Row],[2015]]),"",Refsz_Verbräuche[[#This Row],[2015]])</f>
        <v/>
      </c>
      <c r="G211" s="15" t="str">
        <f>IF(ISBLANK(Refsz_Verbräuche[[#This Row],[2016]]),"",Refsz_Verbräuche[[#This Row],[2016]])</f>
        <v/>
      </c>
      <c r="H211" s="15" t="str">
        <f>IF(ISBLANK(Refsz_Verbräuche[[#This Row],[2017]]),"",Refsz_Verbräuche[[#This Row],[2017]])</f>
        <v/>
      </c>
      <c r="I211" s="15" t="str">
        <f>IF(ISBLANK(Refsz_Verbräuche[[#This Row],[2018]]),"",Refsz_Verbräuche[[#This Row],[2018]])</f>
        <v/>
      </c>
      <c r="J211" s="15" t="str">
        <f>IF(ISBLANK(Refsz_Verbräuche[[#This Row],[2019]]),"",Refsz_Verbräuche[[#This Row],[2019]])</f>
        <v/>
      </c>
      <c r="K211" s="15" t="str">
        <f>IF(ISBLANK(Refsz_Verbräuche[[#This Row],[2020]]),"",Refsz_Verbräuche[[#This Row],[2020]])</f>
        <v/>
      </c>
      <c r="L211" s="15" t="str">
        <f>IF(ISBLANK(Refsz_Verbräuche[[#This Row],[2021]]),"",Refsz_Verbräuche[[#This Row],[2021]])</f>
        <v/>
      </c>
      <c r="M211" s="57" t="str">
        <f>IF(Klisz_Verbräuche[[#Headers],[2022]]=$B$57,IF(COUNTIF($F211:Klisz_Verbräuche[[#This Row],[2021]],"&gt;0")&gt;0, AVERAGEIF($F211:Klisz_Verbräuche[[#This Row],[2021]],"&lt;&gt;"), ""),IF($B$57&lt;Klisz_Verbräuche[[#Headers],[2022]],IF(COUNTIF($F211:Klisz_Verbräuche[[#This Row],[2021]],"&gt;0")&gt;0,IF(COUNTIF($F211:Klisz_Verbräuche[[#This Row],[2021]],"&gt;0")&gt;0,Klisz_Verbräuche[[#This Row],[2021]]*(1-$E211)^1, ""), ""),IF($B$57&gt;Klisz_Verbräuche[[#Headers],[2022]],Refsz_Verbräuche[[#This Row],[2022]],"")))</f>
        <v/>
      </c>
      <c r="N211" s="57" t="str">
        <f>IF(Klisz_Verbräuche[[#Headers],[2023]]=$B$57,IF(COUNTIF($F211:Klisz_Verbräuche[[#This Row],[2022]],"&gt;0")&gt;0, AVERAGEIF($F211:Klisz_Verbräuche[[#This Row],[2022]],"&lt;&gt;"), ""),IF($B$57&lt;Klisz_Verbräuche[[#Headers],[2023]],IF(COUNTIF($F211:Klisz_Verbräuche[[#This Row],[2022]],"&gt;0")&gt;0,IF(COUNTIF($F211:Klisz_Verbräuche[[#This Row],[2022]],"&gt;0")&gt;0,Klisz_Verbräuche[[#This Row],[2022]]*(1-$E211)^1, ""), ""),IF($B$57&gt;Klisz_Verbräuche[[#Headers],[2023]],Refsz_Verbräuche[[#This Row],[2023]],"")))</f>
        <v/>
      </c>
      <c r="O211" s="57" t="str">
        <f>IF(Klisz_Verbräuche[[#Headers],[2024]]=$B$57,IF(COUNTIF($F211:Klisz_Verbräuche[[#This Row],[2023]],"&gt;0")&gt;0, AVERAGEIF($F211:Klisz_Verbräuche[[#This Row],[2023]],"&lt;&gt;"), ""),IF($B$57&lt;Klisz_Verbräuche[[#Headers],[2024]],IF(COUNTIF($F211:Klisz_Verbräuche[[#This Row],[2023]],"&gt;0")&gt;0,IF(COUNTIF($F211:Klisz_Verbräuche[[#This Row],[2023]],"&gt;0")&gt;0,Klisz_Verbräuche[[#This Row],[2023]]*(1-$E211)^1, ""), ""),IF($B$57&gt;Klisz_Verbräuche[[#Headers],[2024]],Refsz_Verbräuche[[#This Row],[2024]],"")))</f>
        <v/>
      </c>
      <c r="P211" s="57" t="str">
        <f>IF(Klisz_Verbräuche[[#Headers],[2025]]=$B$57,IF(COUNTIF($F211:Klisz_Verbräuche[[#This Row],[2024]],"&gt;0")&gt;0, AVERAGEIF($F211:Klisz_Verbräuche[[#This Row],[2024]],"&lt;&gt;"), ""),IF($B$57&lt;Klisz_Verbräuche[[#Headers],[2025]],IF(COUNTIF($F211:Klisz_Verbräuche[[#This Row],[2024]],"&gt;0")&gt;0,IF(COUNTIF($F211:Klisz_Verbräuche[[#This Row],[2024]],"&gt;0")&gt;0,Klisz_Verbräuche[[#This Row],[2024]]*(1-$E211)^1, ""), ""),IF($B$57&gt;Klisz_Verbräuche[[#Headers],[2025]],Refsz_Verbräuche[[#This Row],[2025]],"")))</f>
        <v/>
      </c>
      <c r="Q211" s="57" t="str">
        <f>IF(Klisz_Verbräuche[[#Headers],[2026]]=$B$57,IF(COUNTIF($F211:Klisz_Verbräuche[[#This Row],[2025]],"&gt;0")&gt;0, AVERAGEIF($F211:Klisz_Verbräuche[[#This Row],[2025]],"&lt;&gt;"), ""),IF($B$57&lt;Klisz_Verbräuche[[#Headers],[2026]],IF(COUNTIF($F211:Klisz_Verbräuche[[#This Row],[2025]],"&gt;0")&gt;0,IF(COUNTIF($F211:Klisz_Verbräuche[[#This Row],[2025]],"&gt;0")&gt;0,Klisz_Verbräuche[[#This Row],[2025]]*(1-$E211)^1, ""), ""),IF($B$57&gt;Klisz_Verbräuche[[#Headers],[2026]],Refsz_Verbräuche[[#This Row],[2026]],"")))</f>
        <v/>
      </c>
      <c r="R211" s="57" t="str">
        <f>IF(Klisz_Verbräuche[[#Headers],[2027]]=$B$57,IF(COUNTIF($F211:Klisz_Verbräuche[[#This Row],[2026]],"&gt;0")&gt;0, AVERAGEIF($F211:Klisz_Verbräuche[[#This Row],[2026]],"&lt;&gt;"), ""),IF($B$57&lt;Klisz_Verbräuche[[#Headers],[2027]],IF(COUNTIF($F211:Klisz_Verbräuche[[#This Row],[2026]],"&gt;0")&gt;0,IF(COUNTIF($F211:Klisz_Verbräuche[[#This Row],[2026]],"&gt;0")&gt;0,Klisz_Verbräuche[[#This Row],[2026]]*(1-$E211)^1, ""), ""),IF($B$57&gt;Klisz_Verbräuche[[#Headers],[2027]],Refsz_Verbräuche[[#This Row],[2027]],"")))</f>
        <v/>
      </c>
      <c r="S211" s="57" t="str">
        <f>IF(Klisz_Verbräuche[[#Headers],[2028]]=$B$57,IF(COUNTIF($F211:Klisz_Verbräuche[[#This Row],[2027]],"&gt;0")&gt;0, AVERAGEIF($F211:Klisz_Verbräuche[[#This Row],[2027]],"&lt;&gt;"), ""),IF($B$57&lt;Klisz_Verbräuche[[#Headers],[2028]],IF(COUNTIF($F211:Klisz_Verbräuche[[#This Row],[2027]],"&gt;0")&gt;0,IF(COUNTIF($F211:Klisz_Verbräuche[[#This Row],[2027]],"&gt;0")&gt;0,Klisz_Verbräuche[[#This Row],[2027]]*(1-$E211)^1, ""), ""),IF($B$57&gt;Klisz_Verbräuche[[#Headers],[2028]],Refsz_Verbräuche[[#This Row],[2028]],"")))</f>
        <v/>
      </c>
      <c r="T211" s="57" t="str">
        <f>IF(Klisz_Verbräuche[[#Headers],[2029]]=$B$57,IF(COUNTIF($F211:Klisz_Verbräuche[[#This Row],[2028]],"&gt;0")&gt;0, AVERAGEIF($F211:Klisz_Verbräuche[[#This Row],[2028]],"&lt;&gt;"), ""),IF($B$57&lt;Klisz_Verbräuche[[#Headers],[2029]],IF(COUNTIF($F211:Klisz_Verbräuche[[#This Row],[2028]],"&gt;0")&gt;0,IF(COUNTIF($F211:Klisz_Verbräuche[[#This Row],[2028]],"&gt;0")&gt;0,Klisz_Verbräuche[[#This Row],[2028]]*(1-$E211)^1, ""), ""),IF($B$57&gt;Klisz_Verbräuche[[#Headers],[2029]],Refsz_Verbräuche[[#This Row],[2029]],"")))</f>
        <v/>
      </c>
      <c r="U211" s="57" t="str">
        <f>IF(Klisz_Verbräuche[[#Headers],[2030]]=$B$57,IF(COUNTIF($F211:Klisz_Verbräuche[[#This Row],[2029]],"&gt;0")&gt;0, AVERAGEIF($F211:Klisz_Verbräuche[[#This Row],[2029]],"&lt;&gt;"), ""),IF($B$57&lt;Klisz_Verbräuche[[#Headers],[2030]],IF(COUNTIF($F211:Klisz_Verbräuche[[#This Row],[2029]],"&gt;0")&gt;0,IF(COUNTIF($F211:Klisz_Verbräuche[[#This Row],[2029]],"&gt;0")&gt;0,Klisz_Verbräuche[[#This Row],[2029]]*(1-$E211)^1, ""), ""),IF($B$57&gt;Klisz_Verbräuche[[#Headers],[2030]],Refsz_Verbräuche[[#This Row],[2030]],"")))</f>
        <v/>
      </c>
      <c r="V211" s="57" t="str">
        <f>IF(Klisz_Verbräuche[[#Headers],[2035]]=$B$57,IF(COUNTIF($F211:Klisz_Verbräuche[[#This Row],[2030]],"&gt;0")&gt;0, AVERAGEIF($F211:Klisz_Verbräuche[[#This Row],[2030]],"&lt;&gt;"), ""),IF($B$57&lt;Klisz_Verbräuche[[#Headers],[2035]],IF(COUNTIF($F211:Klisz_Verbräuche[[#This Row],[2030]],"&gt;0")&gt;0,IF(COUNTIF($F211:Klisz_Verbräuche[[#This Row],[2030]],"&gt;0")&gt;0,Klisz_Verbräuche[[#This Row],[2030]]*(1-$E211)^5, ""), ""),IF($B$57&gt;Klisz_Verbräuche[[#Headers],[2035]],Refsz_Verbräuche[[#This Row],[2035]],"")))</f>
        <v/>
      </c>
      <c r="W211" s="57" t="str">
        <f>IF(Klisz_Verbräuche[[#Headers],[2040]]=$B$57,IF(COUNTIF($F211:Klisz_Verbräuche[[#This Row],[2035]],"&gt;0")&gt;0, AVERAGEIF($F211:Klisz_Verbräuche[[#This Row],[2035]],"&lt;&gt;"), ""),IF($B$57&lt;Klisz_Verbräuche[[#Headers],[2040]],IF(COUNTIF($F211:Klisz_Verbräuche[[#This Row],[2035]],"&gt;0")&gt;0,IF(COUNTIF($F211:Klisz_Verbräuche[[#This Row],[2035]],"&gt;0")&gt;0,Klisz_Verbräuche[[#This Row],[2035]]*(1-$E211)^5, ""), ""),IF($B$57&gt;Klisz_Verbräuche[[#Headers],[2040]],Refsz_Verbräuche[[#This Row],[2040]],"")))</f>
        <v/>
      </c>
      <c r="X211" s="57" t="str">
        <f>IF(Klisz_Verbräuche[[#Headers],[2045]]=$B$57,IF(COUNTIF($F211:Klisz_Verbräuche[[#This Row],[2040]],"&gt;0")&gt;0, AVERAGEIF($F211:Klisz_Verbräuche[[#This Row],[2040]],"&lt;&gt;"), ""),IF($B$57&lt;Klisz_Verbräuche[[#Headers],[2045]],IF(COUNTIF($F211:Klisz_Verbräuche[[#This Row],[2040]],"&gt;0")&gt;0,IF(COUNTIF($F211:Klisz_Verbräuche[[#This Row],[2040]],"&gt;0")&gt;0,Klisz_Verbräuche[[#This Row],[2040]]*(1-$E211)^5, ""), ""),IF($B$57&gt;Klisz_Verbräuche[[#Headers],[2045]],Refsz_Verbräuche[[#This Row],[2045]],"")))</f>
        <v/>
      </c>
      <c r="Y211" s="57" t="str">
        <f>IF(Klisz_Verbräuche[[#Headers],[2050]]=$B$57,IF(COUNTIF($F211:Klisz_Verbräuche[[#This Row],[2045]],"&gt;0")&gt;0, AVERAGEIF($F211:Klisz_Verbräuche[[#This Row],[2045]],"&lt;&gt;"), ""),IF($B$57&lt;Klisz_Verbräuche[[#Headers],[2050]],IF(COUNTIF($F211:Klisz_Verbräuche[[#This Row],[2045]],"&gt;0")&gt;0,IF(COUNTIF($F211:Klisz_Verbräuche[[#This Row],[2045]],"&gt;0")&gt;0,Klisz_Verbräuche[[#This Row],[2045]]*(1-$E211)^5, ""), ""),IF($B$57&gt;Klisz_Verbräuche[[#Headers],[2050]],Refsz_Verbräuche[[#This Row],[2050]],"")))</f>
        <v/>
      </c>
      <c r="Z211" s="15"/>
    </row>
    <row r="212" spans="2:26" x14ac:dyDescent="0.35">
      <c r="B212" s="15">
        <v>152</v>
      </c>
      <c r="C212" s="20">
        <f>Refsz_Verbräuche[[#This Row],[Datenpunkt]]</f>
        <v>0</v>
      </c>
      <c r="D212" s="29">
        <f>Refsz_Verbräuche[[#This Row],[Einheit]]</f>
        <v>0</v>
      </c>
      <c r="E212" s="122"/>
      <c r="F212" s="15" t="str">
        <f>IF(ISBLANK(Refsz_Verbräuche[[#This Row],[2015]]),"",Refsz_Verbräuche[[#This Row],[2015]])</f>
        <v/>
      </c>
      <c r="G212" s="15" t="str">
        <f>IF(ISBLANK(Refsz_Verbräuche[[#This Row],[2016]]),"",Refsz_Verbräuche[[#This Row],[2016]])</f>
        <v/>
      </c>
      <c r="H212" s="15" t="str">
        <f>IF(ISBLANK(Refsz_Verbräuche[[#This Row],[2017]]),"",Refsz_Verbräuche[[#This Row],[2017]])</f>
        <v/>
      </c>
      <c r="I212" s="15" t="str">
        <f>IF(ISBLANK(Refsz_Verbräuche[[#This Row],[2018]]),"",Refsz_Verbräuche[[#This Row],[2018]])</f>
        <v/>
      </c>
      <c r="J212" s="15" t="str">
        <f>IF(ISBLANK(Refsz_Verbräuche[[#This Row],[2019]]),"",Refsz_Verbräuche[[#This Row],[2019]])</f>
        <v/>
      </c>
      <c r="K212" s="15" t="str">
        <f>IF(ISBLANK(Refsz_Verbräuche[[#This Row],[2020]]),"",Refsz_Verbräuche[[#This Row],[2020]])</f>
        <v/>
      </c>
      <c r="L212" s="15" t="str">
        <f>IF(ISBLANK(Refsz_Verbräuche[[#This Row],[2021]]),"",Refsz_Verbräuche[[#This Row],[2021]])</f>
        <v/>
      </c>
      <c r="M212" s="57" t="str">
        <f>IF(Klisz_Verbräuche[[#Headers],[2022]]=$B$57,IF(COUNTIF($F212:Klisz_Verbräuche[[#This Row],[2021]],"&gt;0")&gt;0, AVERAGEIF($F212:Klisz_Verbräuche[[#This Row],[2021]],"&lt;&gt;"), ""),IF($B$57&lt;Klisz_Verbräuche[[#Headers],[2022]],IF(COUNTIF($F212:Klisz_Verbräuche[[#This Row],[2021]],"&gt;0")&gt;0,IF(COUNTIF($F212:Klisz_Verbräuche[[#This Row],[2021]],"&gt;0")&gt;0,Klisz_Verbräuche[[#This Row],[2021]]*(1-$E212)^1, ""), ""),IF($B$57&gt;Klisz_Verbräuche[[#Headers],[2022]],Refsz_Verbräuche[[#This Row],[2022]],"")))</f>
        <v/>
      </c>
      <c r="N212" s="57" t="str">
        <f>IF(Klisz_Verbräuche[[#Headers],[2023]]=$B$57,IF(COUNTIF($F212:Klisz_Verbräuche[[#This Row],[2022]],"&gt;0")&gt;0, AVERAGEIF($F212:Klisz_Verbräuche[[#This Row],[2022]],"&lt;&gt;"), ""),IF($B$57&lt;Klisz_Verbräuche[[#Headers],[2023]],IF(COUNTIF($F212:Klisz_Verbräuche[[#This Row],[2022]],"&gt;0")&gt;0,IF(COUNTIF($F212:Klisz_Verbräuche[[#This Row],[2022]],"&gt;0")&gt;0,Klisz_Verbräuche[[#This Row],[2022]]*(1-$E212)^1, ""), ""),IF($B$57&gt;Klisz_Verbräuche[[#Headers],[2023]],Refsz_Verbräuche[[#This Row],[2023]],"")))</f>
        <v/>
      </c>
      <c r="O212" s="57" t="str">
        <f>IF(Klisz_Verbräuche[[#Headers],[2024]]=$B$57,IF(COUNTIF($F212:Klisz_Verbräuche[[#This Row],[2023]],"&gt;0")&gt;0, AVERAGEIF($F212:Klisz_Verbräuche[[#This Row],[2023]],"&lt;&gt;"), ""),IF($B$57&lt;Klisz_Verbräuche[[#Headers],[2024]],IF(COUNTIF($F212:Klisz_Verbräuche[[#This Row],[2023]],"&gt;0")&gt;0,IF(COUNTIF($F212:Klisz_Verbräuche[[#This Row],[2023]],"&gt;0")&gt;0,Klisz_Verbräuche[[#This Row],[2023]]*(1-$E212)^1, ""), ""),IF($B$57&gt;Klisz_Verbräuche[[#Headers],[2024]],Refsz_Verbräuche[[#This Row],[2024]],"")))</f>
        <v/>
      </c>
      <c r="P212" s="57" t="str">
        <f>IF(Klisz_Verbräuche[[#Headers],[2025]]=$B$57,IF(COUNTIF($F212:Klisz_Verbräuche[[#This Row],[2024]],"&gt;0")&gt;0, AVERAGEIF($F212:Klisz_Verbräuche[[#This Row],[2024]],"&lt;&gt;"), ""),IF($B$57&lt;Klisz_Verbräuche[[#Headers],[2025]],IF(COUNTIF($F212:Klisz_Verbräuche[[#This Row],[2024]],"&gt;0")&gt;0,IF(COUNTIF($F212:Klisz_Verbräuche[[#This Row],[2024]],"&gt;0")&gt;0,Klisz_Verbräuche[[#This Row],[2024]]*(1-$E212)^1, ""), ""),IF($B$57&gt;Klisz_Verbräuche[[#Headers],[2025]],Refsz_Verbräuche[[#This Row],[2025]],"")))</f>
        <v/>
      </c>
      <c r="Q212" s="57" t="str">
        <f>IF(Klisz_Verbräuche[[#Headers],[2026]]=$B$57,IF(COUNTIF($F212:Klisz_Verbräuche[[#This Row],[2025]],"&gt;0")&gt;0, AVERAGEIF($F212:Klisz_Verbräuche[[#This Row],[2025]],"&lt;&gt;"), ""),IF($B$57&lt;Klisz_Verbräuche[[#Headers],[2026]],IF(COUNTIF($F212:Klisz_Verbräuche[[#This Row],[2025]],"&gt;0")&gt;0,IF(COUNTIF($F212:Klisz_Verbräuche[[#This Row],[2025]],"&gt;0")&gt;0,Klisz_Verbräuche[[#This Row],[2025]]*(1-$E212)^1, ""), ""),IF($B$57&gt;Klisz_Verbräuche[[#Headers],[2026]],Refsz_Verbräuche[[#This Row],[2026]],"")))</f>
        <v/>
      </c>
      <c r="R212" s="57" t="str">
        <f>IF(Klisz_Verbräuche[[#Headers],[2027]]=$B$57,IF(COUNTIF($F212:Klisz_Verbräuche[[#This Row],[2026]],"&gt;0")&gt;0, AVERAGEIF($F212:Klisz_Verbräuche[[#This Row],[2026]],"&lt;&gt;"), ""),IF($B$57&lt;Klisz_Verbräuche[[#Headers],[2027]],IF(COUNTIF($F212:Klisz_Verbräuche[[#This Row],[2026]],"&gt;0")&gt;0,IF(COUNTIF($F212:Klisz_Verbräuche[[#This Row],[2026]],"&gt;0")&gt;0,Klisz_Verbräuche[[#This Row],[2026]]*(1-$E212)^1, ""), ""),IF($B$57&gt;Klisz_Verbräuche[[#Headers],[2027]],Refsz_Verbräuche[[#This Row],[2027]],"")))</f>
        <v/>
      </c>
      <c r="S212" s="57" t="str">
        <f>IF(Klisz_Verbräuche[[#Headers],[2028]]=$B$57,IF(COUNTIF($F212:Klisz_Verbräuche[[#This Row],[2027]],"&gt;0")&gt;0, AVERAGEIF($F212:Klisz_Verbräuche[[#This Row],[2027]],"&lt;&gt;"), ""),IF($B$57&lt;Klisz_Verbräuche[[#Headers],[2028]],IF(COUNTIF($F212:Klisz_Verbräuche[[#This Row],[2027]],"&gt;0")&gt;0,IF(COUNTIF($F212:Klisz_Verbräuche[[#This Row],[2027]],"&gt;0")&gt;0,Klisz_Verbräuche[[#This Row],[2027]]*(1-$E212)^1, ""), ""),IF($B$57&gt;Klisz_Verbräuche[[#Headers],[2028]],Refsz_Verbräuche[[#This Row],[2028]],"")))</f>
        <v/>
      </c>
      <c r="T212" s="57" t="str">
        <f>IF(Klisz_Verbräuche[[#Headers],[2029]]=$B$57,IF(COUNTIF($F212:Klisz_Verbräuche[[#This Row],[2028]],"&gt;0")&gt;0, AVERAGEIF($F212:Klisz_Verbräuche[[#This Row],[2028]],"&lt;&gt;"), ""),IF($B$57&lt;Klisz_Verbräuche[[#Headers],[2029]],IF(COUNTIF($F212:Klisz_Verbräuche[[#This Row],[2028]],"&gt;0")&gt;0,IF(COUNTIF($F212:Klisz_Verbräuche[[#This Row],[2028]],"&gt;0")&gt;0,Klisz_Verbräuche[[#This Row],[2028]]*(1-$E212)^1, ""), ""),IF($B$57&gt;Klisz_Verbräuche[[#Headers],[2029]],Refsz_Verbräuche[[#This Row],[2029]],"")))</f>
        <v/>
      </c>
      <c r="U212" s="57" t="str">
        <f>IF(Klisz_Verbräuche[[#Headers],[2030]]=$B$57,IF(COUNTIF($F212:Klisz_Verbräuche[[#This Row],[2029]],"&gt;0")&gt;0, AVERAGEIF($F212:Klisz_Verbräuche[[#This Row],[2029]],"&lt;&gt;"), ""),IF($B$57&lt;Klisz_Verbräuche[[#Headers],[2030]],IF(COUNTIF($F212:Klisz_Verbräuche[[#This Row],[2029]],"&gt;0")&gt;0,IF(COUNTIF($F212:Klisz_Verbräuche[[#This Row],[2029]],"&gt;0")&gt;0,Klisz_Verbräuche[[#This Row],[2029]]*(1-$E212)^1, ""), ""),IF($B$57&gt;Klisz_Verbräuche[[#Headers],[2030]],Refsz_Verbräuche[[#This Row],[2030]],"")))</f>
        <v/>
      </c>
      <c r="V212" s="57" t="str">
        <f>IF(Klisz_Verbräuche[[#Headers],[2035]]=$B$57,IF(COUNTIF($F212:Klisz_Verbräuche[[#This Row],[2030]],"&gt;0")&gt;0, AVERAGEIF($F212:Klisz_Verbräuche[[#This Row],[2030]],"&lt;&gt;"), ""),IF($B$57&lt;Klisz_Verbräuche[[#Headers],[2035]],IF(COUNTIF($F212:Klisz_Verbräuche[[#This Row],[2030]],"&gt;0")&gt;0,IF(COUNTIF($F212:Klisz_Verbräuche[[#This Row],[2030]],"&gt;0")&gt;0,Klisz_Verbräuche[[#This Row],[2030]]*(1-$E212)^5, ""), ""),IF($B$57&gt;Klisz_Verbräuche[[#Headers],[2035]],Refsz_Verbräuche[[#This Row],[2035]],"")))</f>
        <v/>
      </c>
      <c r="W212" s="57" t="str">
        <f>IF(Klisz_Verbräuche[[#Headers],[2040]]=$B$57,IF(COUNTIF($F212:Klisz_Verbräuche[[#This Row],[2035]],"&gt;0")&gt;0, AVERAGEIF($F212:Klisz_Verbräuche[[#This Row],[2035]],"&lt;&gt;"), ""),IF($B$57&lt;Klisz_Verbräuche[[#Headers],[2040]],IF(COUNTIF($F212:Klisz_Verbräuche[[#This Row],[2035]],"&gt;0")&gt;0,IF(COUNTIF($F212:Klisz_Verbräuche[[#This Row],[2035]],"&gt;0")&gt;0,Klisz_Verbräuche[[#This Row],[2035]]*(1-$E212)^5, ""), ""),IF($B$57&gt;Klisz_Verbräuche[[#Headers],[2040]],Refsz_Verbräuche[[#This Row],[2040]],"")))</f>
        <v/>
      </c>
      <c r="X212" s="57" t="str">
        <f>IF(Klisz_Verbräuche[[#Headers],[2045]]=$B$57,IF(COUNTIF($F212:Klisz_Verbräuche[[#This Row],[2040]],"&gt;0")&gt;0, AVERAGEIF($F212:Klisz_Verbräuche[[#This Row],[2040]],"&lt;&gt;"), ""),IF($B$57&lt;Klisz_Verbräuche[[#Headers],[2045]],IF(COUNTIF($F212:Klisz_Verbräuche[[#This Row],[2040]],"&gt;0")&gt;0,IF(COUNTIF($F212:Klisz_Verbräuche[[#This Row],[2040]],"&gt;0")&gt;0,Klisz_Verbräuche[[#This Row],[2040]]*(1-$E212)^5, ""), ""),IF($B$57&gt;Klisz_Verbräuche[[#Headers],[2045]],Refsz_Verbräuche[[#This Row],[2045]],"")))</f>
        <v/>
      </c>
      <c r="Y212" s="57" t="str">
        <f>IF(Klisz_Verbräuche[[#Headers],[2050]]=$B$57,IF(COUNTIF($F212:Klisz_Verbräuche[[#This Row],[2045]],"&gt;0")&gt;0, AVERAGEIF($F212:Klisz_Verbräuche[[#This Row],[2045]],"&lt;&gt;"), ""),IF($B$57&lt;Klisz_Verbräuche[[#Headers],[2050]],IF(COUNTIF($F212:Klisz_Verbräuche[[#This Row],[2045]],"&gt;0")&gt;0,IF(COUNTIF($F212:Klisz_Verbräuche[[#This Row],[2045]],"&gt;0")&gt;0,Klisz_Verbräuche[[#This Row],[2045]]*(1-$E212)^5, ""), ""),IF($B$57&gt;Klisz_Verbräuche[[#Headers],[2050]],Refsz_Verbräuche[[#This Row],[2050]],"")))</f>
        <v/>
      </c>
      <c r="Z212" s="15"/>
    </row>
    <row r="213" spans="2:26" x14ac:dyDescent="0.35">
      <c r="B213" s="15">
        <v>153</v>
      </c>
      <c r="C213" s="20">
        <f>Refsz_Verbräuche[[#This Row],[Datenpunkt]]</f>
        <v>0</v>
      </c>
      <c r="D213" s="29">
        <f>Refsz_Verbräuche[[#This Row],[Einheit]]</f>
        <v>0</v>
      </c>
      <c r="E213" s="122"/>
      <c r="F213" s="15" t="str">
        <f>IF(ISBLANK(Refsz_Verbräuche[[#This Row],[2015]]),"",Refsz_Verbräuche[[#This Row],[2015]])</f>
        <v/>
      </c>
      <c r="G213" s="15" t="str">
        <f>IF(ISBLANK(Refsz_Verbräuche[[#This Row],[2016]]),"",Refsz_Verbräuche[[#This Row],[2016]])</f>
        <v/>
      </c>
      <c r="H213" s="15" t="str">
        <f>IF(ISBLANK(Refsz_Verbräuche[[#This Row],[2017]]),"",Refsz_Verbräuche[[#This Row],[2017]])</f>
        <v/>
      </c>
      <c r="I213" s="15" t="str">
        <f>IF(ISBLANK(Refsz_Verbräuche[[#This Row],[2018]]),"",Refsz_Verbräuche[[#This Row],[2018]])</f>
        <v/>
      </c>
      <c r="J213" s="15" t="str">
        <f>IF(ISBLANK(Refsz_Verbräuche[[#This Row],[2019]]),"",Refsz_Verbräuche[[#This Row],[2019]])</f>
        <v/>
      </c>
      <c r="K213" s="15" t="str">
        <f>IF(ISBLANK(Refsz_Verbräuche[[#This Row],[2020]]),"",Refsz_Verbräuche[[#This Row],[2020]])</f>
        <v/>
      </c>
      <c r="L213" s="15" t="str">
        <f>IF(ISBLANK(Refsz_Verbräuche[[#This Row],[2021]]),"",Refsz_Verbräuche[[#This Row],[2021]])</f>
        <v/>
      </c>
      <c r="M213" s="57" t="str">
        <f>IF(Klisz_Verbräuche[[#Headers],[2022]]=$B$57,IF(COUNTIF($F213:Klisz_Verbräuche[[#This Row],[2021]],"&gt;0")&gt;0, AVERAGEIF($F213:Klisz_Verbräuche[[#This Row],[2021]],"&lt;&gt;"), ""),IF($B$57&lt;Klisz_Verbräuche[[#Headers],[2022]],IF(COUNTIF($F213:Klisz_Verbräuche[[#This Row],[2021]],"&gt;0")&gt;0,IF(COUNTIF($F213:Klisz_Verbräuche[[#This Row],[2021]],"&gt;0")&gt;0,Klisz_Verbräuche[[#This Row],[2021]]*(1-$E213)^1, ""), ""),IF($B$57&gt;Klisz_Verbräuche[[#Headers],[2022]],Refsz_Verbräuche[[#This Row],[2022]],"")))</f>
        <v/>
      </c>
      <c r="N213" s="57" t="str">
        <f>IF(Klisz_Verbräuche[[#Headers],[2023]]=$B$57,IF(COUNTIF($F213:Klisz_Verbräuche[[#This Row],[2022]],"&gt;0")&gt;0, AVERAGEIF($F213:Klisz_Verbräuche[[#This Row],[2022]],"&lt;&gt;"), ""),IF($B$57&lt;Klisz_Verbräuche[[#Headers],[2023]],IF(COUNTIF($F213:Klisz_Verbräuche[[#This Row],[2022]],"&gt;0")&gt;0,IF(COUNTIF($F213:Klisz_Verbräuche[[#This Row],[2022]],"&gt;0")&gt;0,Klisz_Verbräuche[[#This Row],[2022]]*(1-$E213)^1, ""), ""),IF($B$57&gt;Klisz_Verbräuche[[#Headers],[2023]],Refsz_Verbräuche[[#This Row],[2023]],"")))</f>
        <v/>
      </c>
      <c r="O213" s="57" t="str">
        <f>IF(Klisz_Verbräuche[[#Headers],[2024]]=$B$57,IF(COUNTIF($F213:Klisz_Verbräuche[[#This Row],[2023]],"&gt;0")&gt;0, AVERAGEIF($F213:Klisz_Verbräuche[[#This Row],[2023]],"&lt;&gt;"), ""),IF($B$57&lt;Klisz_Verbräuche[[#Headers],[2024]],IF(COUNTIF($F213:Klisz_Verbräuche[[#This Row],[2023]],"&gt;0")&gt;0,IF(COUNTIF($F213:Klisz_Verbräuche[[#This Row],[2023]],"&gt;0")&gt;0,Klisz_Verbräuche[[#This Row],[2023]]*(1-$E213)^1, ""), ""),IF($B$57&gt;Klisz_Verbräuche[[#Headers],[2024]],Refsz_Verbräuche[[#This Row],[2024]],"")))</f>
        <v/>
      </c>
      <c r="P213" s="57" t="str">
        <f>IF(Klisz_Verbräuche[[#Headers],[2025]]=$B$57,IF(COUNTIF($F213:Klisz_Verbräuche[[#This Row],[2024]],"&gt;0")&gt;0, AVERAGEIF($F213:Klisz_Verbräuche[[#This Row],[2024]],"&lt;&gt;"), ""),IF($B$57&lt;Klisz_Verbräuche[[#Headers],[2025]],IF(COUNTIF($F213:Klisz_Verbräuche[[#This Row],[2024]],"&gt;0")&gt;0,IF(COUNTIF($F213:Klisz_Verbräuche[[#This Row],[2024]],"&gt;0")&gt;0,Klisz_Verbräuche[[#This Row],[2024]]*(1-$E213)^1, ""), ""),IF($B$57&gt;Klisz_Verbräuche[[#Headers],[2025]],Refsz_Verbräuche[[#This Row],[2025]],"")))</f>
        <v/>
      </c>
      <c r="Q213" s="57" t="str">
        <f>IF(Klisz_Verbräuche[[#Headers],[2026]]=$B$57,IF(COUNTIF($F213:Klisz_Verbräuche[[#This Row],[2025]],"&gt;0")&gt;0, AVERAGEIF($F213:Klisz_Verbräuche[[#This Row],[2025]],"&lt;&gt;"), ""),IF($B$57&lt;Klisz_Verbräuche[[#Headers],[2026]],IF(COUNTIF($F213:Klisz_Verbräuche[[#This Row],[2025]],"&gt;0")&gt;0,IF(COUNTIF($F213:Klisz_Verbräuche[[#This Row],[2025]],"&gt;0")&gt;0,Klisz_Verbräuche[[#This Row],[2025]]*(1-$E213)^1, ""), ""),IF($B$57&gt;Klisz_Verbräuche[[#Headers],[2026]],Refsz_Verbräuche[[#This Row],[2026]],"")))</f>
        <v/>
      </c>
      <c r="R213" s="57" t="str">
        <f>IF(Klisz_Verbräuche[[#Headers],[2027]]=$B$57,IF(COUNTIF($F213:Klisz_Verbräuche[[#This Row],[2026]],"&gt;0")&gt;0, AVERAGEIF($F213:Klisz_Verbräuche[[#This Row],[2026]],"&lt;&gt;"), ""),IF($B$57&lt;Klisz_Verbräuche[[#Headers],[2027]],IF(COUNTIF($F213:Klisz_Verbräuche[[#This Row],[2026]],"&gt;0")&gt;0,IF(COUNTIF($F213:Klisz_Verbräuche[[#This Row],[2026]],"&gt;0")&gt;0,Klisz_Verbräuche[[#This Row],[2026]]*(1-$E213)^1, ""), ""),IF($B$57&gt;Klisz_Verbräuche[[#Headers],[2027]],Refsz_Verbräuche[[#This Row],[2027]],"")))</f>
        <v/>
      </c>
      <c r="S213" s="57" t="str">
        <f>IF(Klisz_Verbräuche[[#Headers],[2028]]=$B$57,IF(COUNTIF($F213:Klisz_Verbräuche[[#This Row],[2027]],"&gt;0")&gt;0, AVERAGEIF($F213:Klisz_Verbräuche[[#This Row],[2027]],"&lt;&gt;"), ""),IF($B$57&lt;Klisz_Verbräuche[[#Headers],[2028]],IF(COUNTIF($F213:Klisz_Verbräuche[[#This Row],[2027]],"&gt;0")&gt;0,IF(COUNTIF($F213:Klisz_Verbräuche[[#This Row],[2027]],"&gt;0")&gt;0,Klisz_Verbräuche[[#This Row],[2027]]*(1-$E213)^1, ""), ""),IF($B$57&gt;Klisz_Verbräuche[[#Headers],[2028]],Refsz_Verbräuche[[#This Row],[2028]],"")))</f>
        <v/>
      </c>
      <c r="T213" s="57" t="str">
        <f>IF(Klisz_Verbräuche[[#Headers],[2029]]=$B$57,IF(COUNTIF($F213:Klisz_Verbräuche[[#This Row],[2028]],"&gt;0")&gt;0, AVERAGEIF($F213:Klisz_Verbräuche[[#This Row],[2028]],"&lt;&gt;"), ""),IF($B$57&lt;Klisz_Verbräuche[[#Headers],[2029]],IF(COUNTIF($F213:Klisz_Verbräuche[[#This Row],[2028]],"&gt;0")&gt;0,IF(COUNTIF($F213:Klisz_Verbräuche[[#This Row],[2028]],"&gt;0")&gt;0,Klisz_Verbräuche[[#This Row],[2028]]*(1-$E213)^1, ""), ""),IF($B$57&gt;Klisz_Verbräuche[[#Headers],[2029]],Refsz_Verbräuche[[#This Row],[2029]],"")))</f>
        <v/>
      </c>
      <c r="U213" s="57" t="str">
        <f>IF(Klisz_Verbräuche[[#Headers],[2030]]=$B$57,IF(COUNTIF($F213:Klisz_Verbräuche[[#This Row],[2029]],"&gt;0")&gt;0, AVERAGEIF($F213:Klisz_Verbräuche[[#This Row],[2029]],"&lt;&gt;"), ""),IF($B$57&lt;Klisz_Verbräuche[[#Headers],[2030]],IF(COUNTIF($F213:Klisz_Verbräuche[[#This Row],[2029]],"&gt;0")&gt;0,IF(COUNTIF($F213:Klisz_Verbräuche[[#This Row],[2029]],"&gt;0")&gt;0,Klisz_Verbräuche[[#This Row],[2029]]*(1-$E213)^1, ""), ""),IF($B$57&gt;Klisz_Verbräuche[[#Headers],[2030]],Refsz_Verbräuche[[#This Row],[2030]],"")))</f>
        <v/>
      </c>
      <c r="V213" s="57" t="str">
        <f>IF(Klisz_Verbräuche[[#Headers],[2035]]=$B$57,IF(COUNTIF($F213:Klisz_Verbräuche[[#This Row],[2030]],"&gt;0")&gt;0, AVERAGEIF($F213:Klisz_Verbräuche[[#This Row],[2030]],"&lt;&gt;"), ""),IF($B$57&lt;Klisz_Verbräuche[[#Headers],[2035]],IF(COUNTIF($F213:Klisz_Verbräuche[[#This Row],[2030]],"&gt;0")&gt;0,IF(COUNTIF($F213:Klisz_Verbräuche[[#This Row],[2030]],"&gt;0")&gt;0,Klisz_Verbräuche[[#This Row],[2030]]*(1-$E213)^5, ""), ""),IF($B$57&gt;Klisz_Verbräuche[[#Headers],[2035]],Refsz_Verbräuche[[#This Row],[2035]],"")))</f>
        <v/>
      </c>
      <c r="W213" s="57" t="str">
        <f>IF(Klisz_Verbräuche[[#Headers],[2040]]=$B$57,IF(COUNTIF($F213:Klisz_Verbräuche[[#This Row],[2035]],"&gt;0")&gt;0, AVERAGEIF($F213:Klisz_Verbräuche[[#This Row],[2035]],"&lt;&gt;"), ""),IF($B$57&lt;Klisz_Verbräuche[[#Headers],[2040]],IF(COUNTIF($F213:Klisz_Verbräuche[[#This Row],[2035]],"&gt;0")&gt;0,IF(COUNTIF($F213:Klisz_Verbräuche[[#This Row],[2035]],"&gt;0")&gt;0,Klisz_Verbräuche[[#This Row],[2035]]*(1-$E213)^5, ""), ""),IF($B$57&gt;Klisz_Verbräuche[[#Headers],[2040]],Refsz_Verbräuche[[#This Row],[2040]],"")))</f>
        <v/>
      </c>
      <c r="X213" s="57" t="str">
        <f>IF(Klisz_Verbräuche[[#Headers],[2045]]=$B$57,IF(COUNTIF($F213:Klisz_Verbräuche[[#This Row],[2040]],"&gt;0")&gt;0, AVERAGEIF($F213:Klisz_Verbräuche[[#This Row],[2040]],"&lt;&gt;"), ""),IF($B$57&lt;Klisz_Verbräuche[[#Headers],[2045]],IF(COUNTIF($F213:Klisz_Verbräuche[[#This Row],[2040]],"&gt;0")&gt;0,IF(COUNTIF($F213:Klisz_Verbräuche[[#This Row],[2040]],"&gt;0")&gt;0,Klisz_Verbräuche[[#This Row],[2040]]*(1-$E213)^5, ""), ""),IF($B$57&gt;Klisz_Verbräuche[[#Headers],[2045]],Refsz_Verbräuche[[#This Row],[2045]],"")))</f>
        <v/>
      </c>
      <c r="Y213" s="57" t="str">
        <f>IF(Klisz_Verbräuche[[#Headers],[2050]]=$B$57,IF(COUNTIF($F213:Klisz_Verbräuche[[#This Row],[2045]],"&gt;0")&gt;0, AVERAGEIF($F213:Klisz_Verbräuche[[#This Row],[2045]],"&lt;&gt;"), ""),IF($B$57&lt;Klisz_Verbräuche[[#Headers],[2050]],IF(COUNTIF($F213:Klisz_Verbräuche[[#This Row],[2045]],"&gt;0")&gt;0,IF(COUNTIF($F213:Klisz_Verbräuche[[#This Row],[2045]],"&gt;0")&gt;0,Klisz_Verbräuche[[#This Row],[2045]]*(1-$E213)^5, ""), ""),IF($B$57&gt;Klisz_Verbräuche[[#Headers],[2050]],Refsz_Verbräuche[[#This Row],[2050]],"")))</f>
        <v/>
      </c>
      <c r="Z213" s="15"/>
    </row>
    <row r="214" spans="2:26" x14ac:dyDescent="0.35">
      <c r="B214" s="15">
        <v>154</v>
      </c>
      <c r="C214" s="20">
        <f>Refsz_Verbräuche[[#This Row],[Datenpunkt]]</f>
        <v>0</v>
      </c>
      <c r="D214" s="29">
        <f>Refsz_Verbräuche[[#This Row],[Einheit]]</f>
        <v>0</v>
      </c>
      <c r="E214" s="122"/>
      <c r="F214" s="15" t="str">
        <f>IF(ISBLANK(Refsz_Verbräuche[[#This Row],[2015]]),"",Refsz_Verbräuche[[#This Row],[2015]])</f>
        <v/>
      </c>
      <c r="G214" s="15" t="str">
        <f>IF(ISBLANK(Refsz_Verbräuche[[#This Row],[2016]]),"",Refsz_Verbräuche[[#This Row],[2016]])</f>
        <v/>
      </c>
      <c r="H214" s="15" t="str">
        <f>IF(ISBLANK(Refsz_Verbräuche[[#This Row],[2017]]),"",Refsz_Verbräuche[[#This Row],[2017]])</f>
        <v/>
      </c>
      <c r="I214" s="15" t="str">
        <f>IF(ISBLANK(Refsz_Verbräuche[[#This Row],[2018]]),"",Refsz_Verbräuche[[#This Row],[2018]])</f>
        <v/>
      </c>
      <c r="J214" s="15" t="str">
        <f>IF(ISBLANK(Refsz_Verbräuche[[#This Row],[2019]]),"",Refsz_Verbräuche[[#This Row],[2019]])</f>
        <v/>
      </c>
      <c r="K214" s="15" t="str">
        <f>IF(ISBLANK(Refsz_Verbräuche[[#This Row],[2020]]),"",Refsz_Verbräuche[[#This Row],[2020]])</f>
        <v/>
      </c>
      <c r="L214" s="15" t="str">
        <f>IF(ISBLANK(Refsz_Verbräuche[[#This Row],[2021]]),"",Refsz_Verbräuche[[#This Row],[2021]])</f>
        <v/>
      </c>
      <c r="M214" s="57" t="str">
        <f>IF(Klisz_Verbräuche[[#Headers],[2022]]=$B$57,IF(COUNTIF($F214:Klisz_Verbräuche[[#This Row],[2021]],"&gt;0")&gt;0, AVERAGEIF($F214:Klisz_Verbräuche[[#This Row],[2021]],"&lt;&gt;"), ""),IF($B$57&lt;Klisz_Verbräuche[[#Headers],[2022]],IF(COUNTIF($F214:Klisz_Verbräuche[[#This Row],[2021]],"&gt;0")&gt;0,IF(COUNTIF($F214:Klisz_Verbräuche[[#This Row],[2021]],"&gt;0")&gt;0,Klisz_Verbräuche[[#This Row],[2021]]*(1-$E214)^1, ""), ""),IF($B$57&gt;Klisz_Verbräuche[[#Headers],[2022]],Refsz_Verbräuche[[#This Row],[2022]],"")))</f>
        <v/>
      </c>
      <c r="N214" s="57" t="str">
        <f>IF(Klisz_Verbräuche[[#Headers],[2023]]=$B$57,IF(COUNTIF($F214:Klisz_Verbräuche[[#This Row],[2022]],"&gt;0")&gt;0, AVERAGEIF($F214:Klisz_Verbräuche[[#This Row],[2022]],"&lt;&gt;"), ""),IF($B$57&lt;Klisz_Verbräuche[[#Headers],[2023]],IF(COUNTIF($F214:Klisz_Verbräuche[[#This Row],[2022]],"&gt;0")&gt;0,IF(COUNTIF($F214:Klisz_Verbräuche[[#This Row],[2022]],"&gt;0")&gt;0,Klisz_Verbräuche[[#This Row],[2022]]*(1-$E214)^1, ""), ""),IF($B$57&gt;Klisz_Verbräuche[[#Headers],[2023]],Refsz_Verbräuche[[#This Row],[2023]],"")))</f>
        <v/>
      </c>
      <c r="O214" s="57" t="str">
        <f>IF(Klisz_Verbräuche[[#Headers],[2024]]=$B$57,IF(COUNTIF($F214:Klisz_Verbräuche[[#This Row],[2023]],"&gt;0")&gt;0, AVERAGEIF($F214:Klisz_Verbräuche[[#This Row],[2023]],"&lt;&gt;"), ""),IF($B$57&lt;Klisz_Verbräuche[[#Headers],[2024]],IF(COUNTIF($F214:Klisz_Verbräuche[[#This Row],[2023]],"&gt;0")&gt;0,IF(COUNTIF($F214:Klisz_Verbräuche[[#This Row],[2023]],"&gt;0")&gt;0,Klisz_Verbräuche[[#This Row],[2023]]*(1-$E214)^1, ""), ""),IF($B$57&gt;Klisz_Verbräuche[[#Headers],[2024]],Refsz_Verbräuche[[#This Row],[2024]],"")))</f>
        <v/>
      </c>
      <c r="P214" s="57" t="str">
        <f>IF(Klisz_Verbräuche[[#Headers],[2025]]=$B$57,IF(COUNTIF($F214:Klisz_Verbräuche[[#This Row],[2024]],"&gt;0")&gt;0, AVERAGEIF($F214:Klisz_Verbräuche[[#This Row],[2024]],"&lt;&gt;"), ""),IF($B$57&lt;Klisz_Verbräuche[[#Headers],[2025]],IF(COUNTIF($F214:Klisz_Verbräuche[[#This Row],[2024]],"&gt;0")&gt;0,IF(COUNTIF($F214:Klisz_Verbräuche[[#This Row],[2024]],"&gt;0")&gt;0,Klisz_Verbräuche[[#This Row],[2024]]*(1-$E214)^1, ""), ""),IF($B$57&gt;Klisz_Verbräuche[[#Headers],[2025]],Refsz_Verbräuche[[#This Row],[2025]],"")))</f>
        <v/>
      </c>
      <c r="Q214" s="57" t="str">
        <f>IF(Klisz_Verbräuche[[#Headers],[2026]]=$B$57,IF(COUNTIF($F214:Klisz_Verbräuche[[#This Row],[2025]],"&gt;0")&gt;0, AVERAGEIF($F214:Klisz_Verbräuche[[#This Row],[2025]],"&lt;&gt;"), ""),IF($B$57&lt;Klisz_Verbräuche[[#Headers],[2026]],IF(COUNTIF($F214:Klisz_Verbräuche[[#This Row],[2025]],"&gt;0")&gt;0,IF(COUNTIF($F214:Klisz_Verbräuche[[#This Row],[2025]],"&gt;0")&gt;0,Klisz_Verbräuche[[#This Row],[2025]]*(1-$E214)^1, ""), ""),IF($B$57&gt;Klisz_Verbräuche[[#Headers],[2026]],Refsz_Verbräuche[[#This Row],[2026]],"")))</f>
        <v/>
      </c>
      <c r="R214" s="57" t="str">
        <f>IF(Klisz_Verbräuche[[#Headers],[2027]]=$B$57,IF(COUNTIF($F214:Klisz_Verbräuche[[#This Row],[2026]],"&gt;0")&gt;0, AVERAGEIF($F214:Klisz_Verbräuche[[#This Row],[2026]],"&lt;&gt;"), ""),IF($B$57&lt;Klisz_Verbräuche[[#Headers],[2027]],IF(COUNTIF($F214:Klisz_Verbräuche[[#This Row],[2026]],"&gt;0")&gt;0,IF(COUNTIF($F214:Klisz_Verbräuche[[#This Row],[2026]],"&gt;0")&gt;0,Klisz_Verbräuche[[#This Row],[2026]]*(1-$E214)^1, ""), ""),IF($B$57&gt;Klisz_Verbräuche[[#Headers],[2027]],Refsz_Verbräuche[[#This Row],[2027]],"")))</f>
        <v/>
      </c>
      <c r="S214" s="57" t="str">
        <f>IF(Klisz_Verbräuche[[#Headers],[2028]]=$B$57,IF(COUNTIF($F214:Klisz_Verbräuche[[#This Row],[2027]],"&gt;0")&gt;0, AVERAGEIF($F214:Klisz_Verbräuche[[#This Row],[2027]],"&lt;&gt;"), ""),IF($B$57&lt;Klisz_Verbräuche[[#Headers],[2028]],IF(COUNTIF($F214:Klisz_Verbräuche[[#This Row],[2027]],"&gt;0")&gt;0,IF(COUNTIF($F214:Klisz_Verbräuche[[#This Row],[2027]],"&gt;0")&gt;0,Klisz_Verbräuche[[#This Row],[2027]]*(1-$E214)^1, ""), ""),IF($B$57&gt;Klisz_Verbräuche[[#Headers],[2028]],Refsz_Verbräuche[[#This Row],[2028]],"")))</f>
        <v/>
      </c>
      <c r="T214" s="57" t="str">
        <f>IF(Klisz_Verbräuche[[#Headers],[2029]]=$B$57,IF(COUNTIF($F214:Klisz_Verbräuche[[#This Row],[2028]],"&gt;0")&gt;0, AVERAGEIF($F214:Klisz_Verbräuche[[#This Row],[2028]],"&lt;&gt;"), ""),IF($B$57&lt;Klisz_Verbräuche[[#Headers],[2029]],IF(COUNTIF($F214:Klisz_Verbräuche[[#This Row],[2028]],"&gt;0")&gt;0,IF(COUNTIF($F214:Klisz_Verbräuche[[#This Row],[2028]],"&gt;0")&gt;0,Klisz_Verbräuche[[#This Row],[2028]]*(1-$E214)^1, ""), ""),IF($B$57&gt;Klisz_Verbräuche[[#Headers],[2029]],Refsz_Verbräuche[[#This Row],[2029]],"")))</f>
        <v/>
      </c>
      <c r="U214" s="57" t="str">
        <f>IF(Klisz_Verbräuche[[#Headers],[2030]]=$B$57,IF(COUNTIF($F214:Klisz_Verbräuche[[#This Row],[2029]],"&gt;0")&gt;0, AVERAGEIF($F214:Klisz_Verbräuche[[#This Row],[2029]],"&lt;&gt;"), ""),IF($B$57&lt;Klisz_Verbräuche[[#Headers],[2030]],IF(COUNTIF($F214:Klisz_Verbräuche[[#This Row],[2029]],"&gt;0")&gt;0,IF(COUNTIF($F214:Klisz_Verbräuche[[#This Row],[2029]],"&gt;0")&gt;0,Klisz_Verbräuche[[#This Row],[2029]]*(1-$E214)^1, ""), ""),IF($B$57&gt;Klisz_Verbräuche[[#Headers],[2030]],Refsz_Verbräuche[[#This Row],[2030]],"")))</f>
        <v/>
      </c>
      <c r="V214" s="57" t="str">
        <f>IF(Klisz_Verbräuche[[#Headers],[2035]]=$B$57,IF(COUNTIF($F214:Klisz_Verbräuche[[#This Row],[2030]],"&gt;0")&gt;0, AVERAGEIF($F214:Klisz_Verbräuche[[#This Row],[2030]],"&lt;&gt;"), ""),IF($B$57&lt;Klisz_Verbräuche[[#Headers],[2035]],IF(COUNTIF($F214:Klisz_Verbräuche[[#This Row],[2030]],"&gt;0")&gt;0,IF(COUNTIF($F214:Klisz_Verbräuche[[#This Row],[2030]],"&gt;0")&gt;0,Klisz_Verbräuche[[#This Row],[2030]]*(1-$E214)^5, ""), ""),IF($B$57&gt;Klisz_Verbräuche[[#Headers],[2035]],Refsz_Verbräuche[[#This Row],[2035]],"")))</f>
        <v/>
      </c>
      <c r="W214" s="57" t="str">
        <f>IF(Klisz_Verbräuche[[#Headers],[2040]]=$B$57,IF(COUNTIF($F214:Klisz_Verbräuche[[#This Row],[2035]],"&gt;0")&gt;0, AVERAGEIF($F214:Klisz_Verbräuche[[#This Row],[2035]],"&lt;&gt;"), ""),IF($B$57&lt;Klisz_Verbräuche[[#Headers],[2040]],IF(COUNTIF($F214:Klisz_Verbräuche[[#This Row],[2035]],"&gt;0")&gt;0,IF(COUNTIF($F214:Klisz_Verbräuche[[#This Row],[2035]],"&gt;0")&gt;0,Klisz_Verbräuche[[#This Row],[2035]]*(1-$E214)^5, ""), ""),IF($B$57&gt;Klisz_Verbräuche[[#Headers],[2040]],Refsz_Verbräuche[[#This Row],[2040]],"")))</f>
        <v/>
      </c>
      <c r="X214" s="57" t="str">
        <f>IF(Klisz_Verbräuche[[#Headers],[2045]]=$B$57,IF(COUNTIF($F214:Klisz_Verbräuche[[#This Row],[2040]],"&gt;0")&gt;0, AVERAGEIF($F214:Klisz_Verbräuche[[#This Row],[2040]],"&lt;&gt;"), ""),IF($B$57&lt;Klisz_Verbräuche[[#Headers],[2045]],IF(COUNTIF($F214:Klisz_Verbräuche[[#This Row],[2040]],"&gt;0")&gt;0,IF(COUNTIF($F214:Klisz_Verbräuche[[#This Row],[2040]],"&gt;0")&gt;0,Klisz_Verbräuche[[#This Row],[2040]]*(1-$E214)^5, ""), ""),IF($B$57&gt;Klisz_Verbräuche[[#Headers],[2045]],Refsz_Verbräuche[[#This Row],[2045]],"")))</f>
        <v/>
      </c>
      <c r="Y214" s="57" t="str">
        <f>IF(Klisz_Verbräuche[[#Headers],[2050]]=$B$57,IF(COUNTIF($F214:Klisz_Verbräuche[[#This Row],[2045]],"&gt;0")&gt;0, AVERAGEIF($F214:Klisz_Verbräuche[[#This Row],[2045]],"&lt;&gt;"), ""),IF($B$57&lt;Klisz_Verbräuche[[#Headers],[2050]],IF(COUNTIF($F214:Klisz_Verbräuche[[#This Row],[2045]],"&gt;0")&gt;0,IF(COUNTIF($F214:Klisz_Verbräuche[[#This Row],[2045]],"&gt;0")&gt;0,Klisz_Verbräuche[[#This Row],[2045]]*(1-$E214)^5, ""), ""),IF($B$57&gt;Klisz_Verbräuche[[#Headers],[2050]],Refsz_Verbräuche[[#This Row],[2050]],"")))</f>
        <v/>
      </c>
      <c r="Z214" s="15"/>
    </row>
    <row r="215" spans="2:26" x14ac:dyDescent="0.35">
      <c r="B215" s="15">
        <v>155</v>
      </c>
      <c r="C215" s="20">
        <f>Refsz_Verbräuche[[#This Row],[Datenpunkt]]</f>
        <v>0</v>
      </c>
      <c r="D215" s="29">
        <f>Refsz_Verbräuche[[#This Row],[Einheit]]</f>
        <v>0</v>
      </c>
      <c r="E215" s="122"/>
      <c r="F215" s="15" t="str">
        <f>IF(ISBLANK(Refsz_Verbräuche[[#This Row],[2015]]),"",Refsz_Verbräuche[[#This Row],[2015]])</f>
        <v/>
      </c>
      <c r="G215" s="15" t="str">
        <f>IF(ISBLANK(Refsz_Verbräuche[[#This Row],[2016]]),"",Refsz_Verbräuche[[#This Row],[2016]])</f>
        <v/>
      </c>
      <c r="H215" s="15" t="str">
        <f>IF(ISBLANK(Refsz_Verbräuche[[#This Row],[2017]]),"",Refsz_Verbräuche[[#This Row],[2017]])</f>
        <v/>
      </c>
      <c r="I215" s="15" t="str">
        <f>IF(ISBLANK(Refsz_Verbräuche[[#This Row],[2018]]),"",Refsz_Verbräuche[[#This Row],[2018]])</f>
        <v/>
      </c>
      <c r="J215" s="15" t="str">
        <f>IF(ISBLANK(Refsz_Verbräuche[[#This Row],[2019]]),"",Refsz_Verbräuche[[#This Row],[2019]])</f>
        <v/>
      </c>
      <c r="K215" s="15" t="str">
        <f>IF(ISBLANK(Refsz_Verbräuche[[#This Row],[2020]]),"",Refsz_Verbräuche[[#This Row],[2020]])</f>
        <v/>
      </c>
      <c r="L215" s="15" t="str">
        <f>IF(ISBLANK(Refsz_Verbräuche[[#This Row],[2021]]),"",Refsz_Verbräuche[[#This Row],[2021]])</f>
        <v/>
      </c>
      <c r="M215" s="57" t="str">
        <f>IF(Klisz_Verbräuche[[#Headers],[2022]]=$B$57,IF(COUNTIF($F215:Klisz_Verbräuche[[#This Row],[2021]],"&gt;0")&gt;0, AVERAGEIF($F215:Klisz_Verbräuche[[#This Row],[2021]],"&lt;&gt;"), ""),IF($B$57&lt;Klisz_Verbräuche[[#Headers],[2022]],IF(COUNTIF($F215:Klisz_Verbräuche[[#This Row],[2021]],"&gt;0")&gt;0,IF(COUNTIF($F215:Klisz_Verbräuche[[#This Row],[2021]],"&gt;0")&gt;0,Klisz_Verbräuche[[#This Row],[2021]]*(1-$E215)^1, ""), ""),IF($B$57&gt;Klisz_Verbräuche[[#Headers],[2022]],Refsz_Verbräuche[[#This Row],[2022]],"")))</f>
        <v/>
      </c>
      <c r="N215" s="57" t="str">
        <f>IF(Klisz_Verbräuche[[#Headers],[2023]]=$B$57,IF(COUNTIF($F215:Klisz_Verbräuche[[#This Row],[2022]],"&gt;0")&gt;0, AVERAGEIF($F215:Klisz_Verbräuche[[#This Row],[2022]],"&lt;&gt;"), ""),IF($B$57&lt;Klisz_Verbräuche[[#Headers],[2023]],IF(COUNTIF($F215:Klisz_Verbräuche[[#This Row],[2022]],"&gt;0")&gt;0,IF(COUNTIF($F215:Klisz_Verbräuche[[#This Row],[2022]],"&gt;0")&gt;0,Klisz_Verbräuche[[#This Row],[2022]]*(1-$E215)^1, ""), ""),IF($B$57&gt;Klisz_Verbräuche[[#Headers],[2023]],Refsz_Verbräuche[[#This Row],[2023]],"")))</f>
        <v/>
      </c>
      <c r="O215" s="57" t="str">
        <f>IF(Klisz_Verbräuche[[#Headers],[2024]]=$B$57,IF(COUNTIF($F215:Klisz_Verbräuche[[#This Row],[2023]],"&gt;0")&gt;0, AVERAGEIF($F215:Klisz_Verbräuche[[#This Row],[2023]],"&lt;&gt;"), ""),IF($B$57&lt;Klisz_Verbräuche[[#Headers],[2024]],IF(COUNTIF($F215:Klisz_Verbräuche[[#This Row],[2023]],"&gt;0")&gt;0,IF(COUNTIF($F215:Klisz_Verbräuche[[#This Row],[2023]],"&gt;0")&gt;0,Klisz_Verbräuche[[#This Row],[2023]]*(1-$E215)^1, ""), ""),IF($B$57&gt;Klisz_Verbräuche[[#Headers],[2024]],Refsz_Verbräuche[[#This Row],[2024]],"")))</f>
        <v/>
      </c>
      <c r="P215" s="57" t="str">
        <f>IF(Klisz_Verbräuche[[#Headers],[2025]]=$B$57,IF(COUNTIF($F215:Klisz_Verbräuche[[#This Row],[2024]],"&gt;0")&gt;0, AVERAGEIF($F215:Klisz_Verbräuche[[#This Row],[2024]],"&lt;&gt;"), ""),IF($B$57&lt;Klisz_Verbräuche[[#Headers],[2025]],IF(COUNTIF($F215:Klisz_Verbräuche[[#This Row],[2024]],"&gt;0")&gt;0,IF(COUNTIF($F215:Klisz_Verbräuche[[#This Row],[2024]],"&gt;0")&gt;0,Klisz_Verbräuche[[#This Row],[2024]]*(1-$E215)^1, ""), ""),IF($B$57&gt;Klisz_Verbräuche[[#Headers],[2025]],Refsz_Verbräuche[[#This Row],[2025]],"")))</f>
        <v/>
      </c>
      <c r="Q215" s="57" t="str">
        <f>IF(Klisz_Verbräuche[[#Headers],[2026]]=$B$57,IF(COUNTIF($F215:Klisz_Verbräuche[[#This Row],[2025]],"&gt;0")&gt;0, AVERAGEIF($F215:Klisz_Verbräuche[[#This Row],[2025]],"&lt;&gt;"), ""),IF($B$57&lt;Klisz_Verbräuche[[#Headers],[2026]],IF(COUNTIF($F215:Klisz_Verbräuche[[#This Row],[2025]],"&gt;0")&gt;0,IF(COUNTIF($F215:Klisz_Verbräuche[[#This Row],[2025]],"&gt;0")&gt;0,Klisz_Verbräuche[[#This Row],[2025]]*(1-$E215)^1, ""), ""),IF($B$57&gt;Klisz_Verbräuche[[#Headers],[2026]],Refsz_Verbräuche[[#This Row],[2026]],"")))</f>
        <v/>
      </c>
      <c r="R215" s="57" t="str">
        <f>IF(Klisz_Verbräuche[[#Headers],[2027]]=$B$57,IF(COUNTIF($F215:Klisz_Verbräuche[[#This Row],[2026]],"&gt;0")&gt;0, AVERAGEIF($F215:Klisz_Verbräuche[[#This Row],[2026]],"&lt;&gt;"), ""),IF($B$57&lt;Klisz_Verbräuche[[#Headers],[2027]],IF(COUNTIF($F215:Klisz_Verbräuche[[#This Row],[2026]],"&gt;0")&gt;0,IF(COUNTIF($F215:Klisz_Verbräuche[[#This Row],[2026]],"&gt;0")&gt;0,Klisz_Verbräuche[[#This Row],[2026]]*(1-$E215)^1, ""), ""),IF($B$57&gt;Klisz_Verbräuche[[#Headers],[2027]],Refsz_Verbräuche[[#This Row],[2027]],"")))</f>
        <v/>
      </c>
      <c r="S215" s="57" t="str">
        <f>IF(Klisz_Verbräuche[[#Headers],[2028]]=$B$57,IF(COUNTIF($F215:Klisz_Verbräuche[[#This Row],[2027]],"&gt;0")&gt;0, AVERAGEIF($F215:Klisz_Verbräuche[[#This Row],[2027]],"&lt;&gt;"), ""),IF($B$57&lt;Klisz_Verbräuche[[#Headers],[2028]],IF(COUNTIF($F215:Klisz_Verbräuche[[#This Row],[2027]],"&gt;0")&gt;0,IF(COUNTIF($F215:Klisz_Verbräuche[[#This Row],[2027]],"&gt;0")&gt;0,Klisz_Verbräuche[[#This Row],[2027]]*(1-$E215)^1, ""), ""),IF($B$57&gt;Klisz_Verbräuche[[#Headers],[2028]],Refsz_Verbräuche[[#This Row],[2028]],"")))</f>
        <v/>
      </c>
      <c r="T215" s="57" t="str">
        <f>IF(Klisz_Verbräuche[[#Headers],[2029]]=$B$57,IF(COUNTIF($F215:Klisz_Verbräuche[[#This Row],[2028]],"&gt;0")&gt;0, AVERAGEIF($F215:Klisz_Verbräuche[[#This Row],[2028]],"&lt;&gt;"), ""),IF($B$57&lt;Klisz_Verbräuche[[#Headers],[2029]],IF(COUNTIF($F215:Klisz_Verbräuche[[#This Row],[2028]],"&gt;0")&gt;0,IF(COUNTIF($F215:Klisz_Verbräuche[[#This Row],[2028]],"&gt;0")&gt;0,Klisz_Verbräuche[[#This Row],[2028]]*(1-$E215)^1, ""), ""),IF($B$57&gt;Klisz_Verbräuche[[#Headers],[2029]],Refsz_Verbräuche[[#This Row],[2029]],"")))</f>
        <v/>
      </c>
      <c r="U215" s="57" t="str">
        <f>IF(Klisz_Verbräuche[[#Headers],[2030]]=$B$57,IF(COUNTIF($F215:Klisz_Verbräuche[[#This Row],[2029]],"&gt;0")&gt;0, AVERAGEIF($F215:Klisz_Verbräuche[[#This Row],[2029]],"&lt;&gt;"), ""),IF($B$57&lt;Klisz_Verbräuche[[#Headers],[2030]],IF(COUNTIF($F215:Klisz_Verbräuche[[#This Row],[2029]],"&gt;0")&gt;0,IF(COUNTIF($F215:Klisz_Verbräuche[[#This Row],[2029]],"&gt;0")&gt;0,Klisz_Verbräuche[[#This Row],[2029]]*(1-$E215)^1, ""), ""),IF($B$57&gt;Klisz_Verbräuche[[#Headers],[2030]],Refsz_Verbräuche[[#This Row],[2030]],"")))</f>
        <v/>
      </c>
      <c r="V215" s="57" t="str">
        <f>IF(Klisz_Verbräuche[[#Headers],[2035]]=$B$57,IF(COUNTIF($F215:Klisz_Verbräuche[[#This Row],[2030]],"&gt;0")&gt;0, AVERAGEIF($F215:Klisz_Verbräuche[[#This Row],[2030]],"&lt;&gt;"), ""),IF($B$57&lt;Klisz_Verbräuche[[#Headers],[2035]],IF(COUNTIF($F215:Klisz_Verbräuche[[#This Row],[2030]],"&gt;0")&gt;0,IF(COUNTIF($F215:Klisz_Verbräuche[[#This Row],[2030]],"&gt;0")&gt;0,Klisz_Verbräuche[[#This Row],[2030]]*(1-$E215)^5, ""), ""),IF($B$57&gt;Klisz_Verbräuche[[#Headers],[2035]],Refsz_Verbräuche[[#This Row],[2035]],"")))</f>
        <v/>
      </c>
      <c r="W215" s="57" t="str">
        <f>IF(Klisz_Verbräuche[[#Headers],[2040]]=$B$57,IF(COUNTIF($F215:Klisz_Verbräuche[[#This Row],[2035]],"&gt;0")&gt;0, AVERAGEIF($F215:Klisz_Verbräuche[[#This Row],[2035]],"&lt;&gt;"), ""),IF($B$57&lt;Klisz_Verbräuche[[#Headers],[2040]],IF(COUNTIF($F215:Klisz_Verbräuche[[#This Row],[2035]],"&gt;0")&gt;0,IF(COUNTIF($F215:Klisz_Verbräuche[[#This Row],[2035]],"&gt;0")&gt;0,Klisz_Verbräuche[[#This Row],[2035]]*(1-$E215)^5, ""), ""),IF($B$57&gt;Klisz_Verbräuche[[#Headers],[2040]],Refsz_Verbräuche[[#This Row],[2040]],"")))</f>
        <v/>
      </c>
      <c r="X215" s="57" t="str">
        <f>IF(Klisz_Verbräuche[[#Headers],[2045]]=$B$57,IF(COUNTIF($F215:Klisz_Verbräuche[[#This Row],[2040]],"&gt;0")&gt;0, AVERAGEIF($F215:Klisz_Verbräuche[[#This Row],[2040]],"&lt;&gt;"), ""),IF($B$57&lt;Klisz_Verbräuche[[#Headers],[2045]],IF(COUNTIF($F215:Klisz_Verbräuche[[#This Row],[2040]],"&gt;0")&gt;0,IF(COUNTIF($F215:Klisz_Verbräuche[[#This Row],[2040]],"&gt;0")&gt;0,Klisz_Verbräuche[[#This Row],[2040]]*(1-$E215)^5, ""), ""),IF($B$57&gt;Klisz_Verbräuche[[#Headers],[2045]],Refsz_Verbräuche[[#This Row],[2045]],"")))</f>
        <v/>
      </c>
      <c r="Y215" s="57" t="str">
        <f>IF(Klisz_Verbräuche[[#Headers],[2050]]=$B$57,IF(COUNTIF($F215:Klisz_Verbräuche[[#This Row],[2045]],"&gt;0")&gt;0, AVERAGEIF($F215:Klisz_Verbräuche[[#This Row],[2045]],"&lt;&gt;"), ""),IF($B$57&lt;Klisz_Verbräuche[[#Headers],[2050]],IF(COUNTIF($F215:Klisz_Verbräuche[[#This Row],[2045]],"&gt;0")&gt;0,IF(COUNTIF($F215:Klisz_Verbräuche[[#This Row],[2045]],"&gt;0")&gt;0,Klisz_Verbräuche[[#This Row],[2045]]*(1-$E215)^5, ""), ""),IF($B$57&gt;Klisz_Verbräuche[[#Headers],[2050]],Refsz_Verbräuche[[#This Row],[2050]],"")))</f>
        <v/>
      </c>
      <c r="Z215" s="15"/>
    </row>
    <row r="216" spans="2:26" x14ac:dyDescent="0.35">
      <c r="B216" s="15">
        <v>156</v>
      </c>
      <c r="C216" s="20">
        <f>Refsz_Verbräuche[[#This Row],[Datenpunkt]]</f>
        <v>0</v>
      </c>
      <c r="D216" s="29">
        <f>Refsz_Verbräuche[[#This Row],[Einheit]]</f>
        <v>0</v>
      </c>
      <c r="E216" s="122"/>
      <c r="F216" s="15" t="str">
        <f>IF(ISBLANK(Refsz_Verbräuche[[#This Row],[2015]]),"",Refsz_Verbräuche[[#This Row],[2015]])</f>
        <v/>
      </c>
      <c r="G216" s="15" t="str">
        <f>IF(ISBLANK(Refsz_Verbräuche[[#This Row],[2016]]),"",Refsz_Verbräuche[[#This Row],[2016]])</f>
        <v/>
      </c>
      <c r="H216" s="15" t="str">
        <f>IF(ISBLANK(Refsz_Verbräuche[[#This Row],[2017]]),"",Refsz_Verbräuche[[#This Row],[2017]])</f>
        <v/>
      </c>
      <c r="I216" s="15" t="str">
        <f>IF(ISBLANK(Refsz_Verbräuche[[#This Row],[2018]]),"",Refsz_Verbräuche[[#This Row],[2018]])</f>
        <v/>
      </c>
      <c r="J216" s="15" t="str">
        <f>IF(ISBLANK(Refsz_Verbräuche[[#This Row],[2019]]),"",Refsz_Verbräuche[[#This Row],[2019]])</f>
        <v/>
      </c>
      <c r="K216" s="15" t="str">
        <f>IF(ISBLANK(Refsz_Verbräuche[[#This Row],[2020]]),"",Refsz_Verbräuche[[#This Row],[2020]])</f>
        <v/>
      </c>
      <c r="L216" s="15" t="str">
        <f>IF(ISBLANK(Refsz_Verbräuche[[#This Row],[2021]]),"",Refsz_Verbräuche[[#This Row],[2021]])</f>
        <v/>
      </c>
      <c r="M216" s="57" t="str">
        <f>IF(Klisz_Verbräuche[[#Headers],[2022]]=$B$57,IF(COUNTIF($F216:Klisz_Verbräuche[[#This Row],[2021]],"&gt;0")&gt;0, AVERAGEIF($F216:Klisz_Verbräuche[[#This Row],[2021]],"&lt;&gt;"), ""),IF($B$57&lt;Klisz_Verbräuche[[#Headers],[2022]],IF(COUNTIF($F216:Klisz_Verbräuche[[#This Row],[2021]],"&gt;0")&gt;0,IF(COUNTIF($F216:Klisz_Verbräuche[[#This Row],[2021]],"&gt;0")&gt;0,Klisz_Verbräuche[[#This Row],[2021]]*(1-$E216)^1, ""), ""),IF($B$57&gt;Klisz_Verbräuche[[#Headers],[2022]],Refsz_Verbräuche[[#This Row],[2022]],"")))</f>
        <v/>
      </c>
      <c r="N216" s="57" t="str">
        <f>IF(Klisz_Verbräuche[[#Headers],[2023]]=$B$57,IF(COUNTIF($F216:Klisz_Verbräuche[[#This Row],[2022]],"&gt;0")&gt;0, AVERAGEIF($F216:Klisz_Verbräuche[[#This Row],[2022]],"&lt;&gt;"), ""),IF($B$57&lt;Klisz_Verbräuche[[#Headers],[2023]],IF(COUNTIF($F216:Klisz_Verbräuche[[#This Row],[2022]],"&gt;0")&gt;0,IF(COUNTIF($F216:Klisz_Verbräuche[[#This Row],[2022]],"&gt;0")&gt;0,Klisz_Verbräuche[[#This Row],[2022]]*(1-$E216)^1, ""), ""),IF($B$57&gt;Klisz_Verbräuche[[#Headers],[2023]],Refsz_Verbräuche[[#This Row],[2023]],"")))</f>
        <v/>
      </c>
      <c r="O216" s="57" t="str">
        <f>IF(Klisz_Verbräuche[[#Headers],[2024]]=$B$57,IF(COUNTIF($F216:Klisz_Verbräuche[[#This Row],[2023]],"&gt;0")&gt;0, AVERAGEIF($F216:Klisz_Verbräuche[[#This Row],[2023]],"&lt;&gt;"), ""),IF($B$57&lt;Klisz_Verbräuche[[#Headers],[2024]],IF(COUNTIF($F216:Klisz_Verbräuche[[#This Row],[2023]],"&gt;0")&gt;0,IF(COUNTIF($F216:Klisz_Verbräuche[[#This Row],[2023]],"&gt;0")&gt;0,Klisz_Verbräuche[[#This Row],[2023]]*(1-$E216)^1, ""), ""),IF($B$57&gt;Klisz_Verbräuche[[#Headers],[2024]],Refsz_Verbräuche[[#This Row],[2024]],"")))</f>
        <v/>
      </c>
      <c r="P216" s="57" t="str">
        <f>IF(Klisz_Verbräuche[[#Headers],[2025]]=$B$57,IF(COUNTIF($F216:Klisz_Verbräuche[[#This Row],[2024]],"&gt;0")&gt;0, AVERAGEIF($F216:Klisz_Verbräuche[[#This Row],[2024]],"&lt;&gt;"), ""),IF($B$57&lt;Klisz_Verbräuche[[#Headers],[2025]],IF(COUNTIF($F216:Klisz_Verbräuche[[#This Row],[2024]],"&gt;0")&gt;0,IF(COUNTIF($F216:Klisz_Verbräuche[[#This Row],[2024]],"&gt;0")&gt;0,Klisz_Verbräuche[[#This Row],[2024]]*(1-$E216)^1, ""), ""),IF($B$57&gt;Klisz_Verbräuche[[#Headers],[2025]],Refsz_Verbräuche[[#This Row],[2025]],"")))</f>
        <v/>
      </c>
      <c r="Q216" s="57" t="str">
        <f>IF(Klisz_Verbräuche[[#Headers],[2026]]=$B$57,IF(COUNTIF($F216:Klisz_Verbräuche[[#This Row],[2025]],"&gt;0")&gt;0, AVERAGEIF($F216:Klisz_Verbräuche[[#This Row],[2025]],"&lt;&gt;"), ""),IF($B$57&lt;Klisz_Verbräuche[[#Headers],[2026]],IF(COUNTIF($F216:Klisz_Verbräuche[[#This Row],[2025]],"&gt;0")&gt;0,IF(COUNTIF($F216:Klisz_Verbräuche[[#This Row],[2025]],"&gt;0")&gt;0,Klisz_Verbräuche[[#This Row],[2025]]*(1-$E216)^1, ""), ""),IF($B$57&gt;Klisz_Verbräuche[[#Headers],[2026]],Refsz_Verbräuche[[#This Row],[2026]],"")))</f>
        <v/>
      </c>
      <c r="R216" s="57" t="str">
        <f>IF(Klisz_Verbräuche[[#Headers],[2027]]=$B$57,IF(COUNTIF($F216:Klisz_Verbräuche[[#This Row],[2026]],"&gt;0")&gt;0, AVERAGEIF($F216:Klisz_Verbräuche[[#This Row],[2026]],"&lt;&gt;"), ""),IF($B$57&lt;Klisz_Verbräuche[[#Headers],[2027]],IF(COUNTIF($F216:Klisz_Verbräuche[[#This Row],[2026]],"&gt;0")&gt;0,IF(COUNTIF($F216:Klisz_Verbräuche[[#This Row],[2026]],"&gt;0")&gt;0,Klisz_Verbräuche[[#This Row],[2026]]*(1-$E216)^1, ""), ""),IF($B$57&gt;Klisz_Verbräuche[[#Headers],[2027]],Refsz_Verbräuche[[#This Row],[2027]],"")))</f>
        <v/>
      </c>
      <c r="S216" s="57" t="str">
        <f>IF(Klisz_Verbräuche[[#Headers],[2028]]=$B$57,IF(COUNTIF($F216:Klisz_Verbräuche[[#This Row],[2027]],"&gt;0")&gt;0, AVERAGEIF($F216:Klisz_Verbräuche[[#This Row],[2027]],"&lt;&gt;"), ""),IF($B$57&lt;Klisz_Verbräuche[[#Headers],[2028]],IF(COUNTIF($F216:Klisz_Verbräuche[[#This Row],[2027]],"&gt;0")&gt;0,IF(COUNTIF($F216:Klisz_Verbräuche[[#This Row],[2027]],"&gt;0")&gt;0,Klisz_Verbräuche[[#This Row],[2027]]*(1-$E216)^1, ""), ""),IF($B$57&gt;Klisz_Verbräuche[[#Headers],[2028]],Refsz_Verbräuche[[#This Row],[2028]],"")))</f>
        <v/>
      </c>
      <c r="T216" s="57" t="str">
        <f>IF(Klisz_Verbräuche[[#Headers],[2029]]=$B$57,IF(COUNTIF($F216:Klisz_Verbräuche[[#This Row],[2028]],"&gt;0")&gt;0, AVERAGEIF($F216:Klisz_Verbräuche[[#This Row],[2028]],"&lt;&gt;"), ""),IF($B$57&lt;Klisz_Verbräuche[[#Headers],[2029]],IF(COUNTIF($F216:Klisz_Verbräuche[[#This Row],[2028]],"&gt;0")&gt;0,IF(COUNTIF($F216:Klisz_Verbräuche[[#This Row],[2028]],"&gt;0")&gt;0,Klisz_Verbräuche[[#This Row],[2028]]*(1-$E216)^1, ""), ""),IF($B$57&gt;Klisz_Verbräuche[[#Headers],[2029]],Refsz_Verbräuche[[#This Row],[2029]],"")))</f>
        <v/>
      </c>
      <c r="U216" s="57" t="str">
        <f>IF(Klisz_Verbräuche[[#Headers],[2030]]=$B$57,IF(COUNTIF($F216:Klisz_Verbräuche[[#This Row],[2029]],"&gt;0")&gt;0, AVERAGEIF($F216:Klisz_Verbräuche[[#This Row],[2029]],"&lt;&gt;"), ""),IF($B$57&lt;Klisz_Verbräuche[[#Headers],[2030]],IF(COUNTIF($F216:Klisz_Verbräuche[[#This Row],[2029]],"&gt;0")&gt;0,IF(COUNTIF($F216:Klisz_Verbräuche[[#This Row],[2029]],"&gt;0")&gt;0,Klisz_Verbräuche[[#This Row],[2029]]*(1-$E216)^1, ""), ""),IF($B$57&gt;Klisz_Verbräuche[[#Headers],[2030]],Refsz_Verbräuche[[#This Row],[2030]],"")))</f>
        <v/>
      </c>
      <c r="V216" s="57" t="str">
        <f>IF(Klisz_Verbräuche[[#Headers],[2035]]=$B$57,IF(COUNTIF($F216:Klisz_Verbräuche[[#This Row],[2030]],"&gt;0")&gt;0, AVERAGEIF($F216:Klisz_Verbräuche[[#This Row],[2030]],"&lt;&gt;"), ""),IF($B$57&lt;Klisz_Verbräuche[[#Headers],[2035]],IF(COUNTIF($F216:Klisz_Verbräuche[[#This Row],[2030]],"&gt;0")&gt;0,IF(COUNTIF($F216:Klisz_Verbräuche[[#This Row],[2030]],"&gt;0")&gt;0,Klisz_Verbräuche[[#This Row],[2030]]*(1-$E216)^5, ""), ""),IF($B$57&gt;Klisz_Verbräuche[[#Headers],[2035]],Refsz_Verbräuche[[#This Row],[2035]],"")))</f>
        <v/>
      </c>
      <c r="W216" s="57" t="str">
        <f>IF(Klisz_Verbräuche[[#Headers],[2040]]=$B$57,IF(COUNTIF($F216:Klisz_Verbräuche[[#This Row],[2035]],"&gt;0")&gt;0, AVERAGEIF($F216:Klisz_Verbräuche[[#This Row],[2035]],"&lt;&gt;"), ""),IF($B$57&lt;Klisz_Verbräuche[[#Headers],[2040]],IF(COUNTIF($F216:Klisz_Verbräuche[[#This Row],[2035]],"&gt;0")&gt;0,IF(COUNTIF($F216:Klisz_Verbräuche[[#This Row],[2035]],"&gt;0")&gt;0,Klisz_Verbräuche[[#This Row],[2035]]*(1-$E216)^5, ""), ""),IF($B$57&gt;Klisz_Verbräuche[[#Headers],[2040]],Refsz_Verbräuche[[#This Row],[2040]],"")))</f>
        <v/>
      </c>
      <c r="X216" s="57" t="str">
        <f>IF(Klisz_Verbräuche[[#Headers],[2045]]=$B$57,IF(COUNTIF($F216:Klisz_Verbräuche[[#This Row],[2040]],"&gt;0")&gt;0, AVERAGEIF($F216:Klisz_Verbräuche[[#This Row],[2040]],"&lt;&gt;"), ""),IF($B$57&lt;Klisz_Verbräuche[[#Headers],[2045]],IF(COUNTIF($F216:Klisz_Verbräuche[[#This Row],[2040]],"&gt;0")&gt;0,IF(COUNTIF($F216:Klisz_Verbräuche[[#This Row],[2040]],"&gt;0")&gt;0,Klisz_Verbräuche[[#This Row],[2040]]*(1-$E216)^5, ""), ""),IF($B$57&gt;Klisz_Verbräuche[[#Headers],[2045]],Refsz_Verbräuche[[#This Row],[2045]],"")))</f>
        <v/>
      </c>
      <c r="Y216" s="57" t="str">
        <f>IF(Klisz_Verbräuche[[#Headers],[2050]]=$B$57,IF(COUNTIF($F216:Klisz_Verbräuche[[#This Row],[2045]],"&gt;0")&gt;0, AVERAGEIF($F216:Klisz_Verbräuche[[#This Row],[2045]],"&lt;&gt;"), ""),IF($B$57&lt;Klisz_Verbräuche[[#Headers],[2050]],IF(COUNTIF($F216:Klisz_Verbräuche[[#This Row],[2045]],"&gt;0")&gt;0,IF(COUNTIF($F216:Klisz_Verbräuche[[#This Row],[2045]],"&gt;0")&gt;0,Klisz_Verbräuche[[#This Row],[2045]]*(1-$E216)^5, ""), ""),IF($B$57&gt;Klisz_Verbräuche[[#Headers],[2050]],Refsz_Verbräuche[[#This Row],[2050]],"")))</f>
        <v/>
      </c>
      <c r="Z216" s="15"/>
    </row>
    <row r="217" spans="2:26" x14ac:dyDescent="0.35">
      <c r="B217" s="15">
        <v>157</v>
      </c>
      <c r="C217" s="20">
        <f>Refsz_Verbräuche[[#This Row],[Datenpunkt]]</f>
        <v>0</v>
      </c>
      <c r="D217" s="29">
        <f>Refsz_Verbräuche[[#This Row],[Einheit]]</f>
        <v>0</v>
      </c>
      <c r="E217" s="122"/>
      <c r="F217" s="15" t="str">
        <f>IF(ISBLANK(Refsz_Verbräuche[[#This Row],[2015]]),"",Refsz_Verbräuche[[#This Row],[2015]])</f>
        <v/>
      </c>
      <c r="G217" s="15" t="str">
        <f>IF(ISBLANK(Refsz_Verbräuche[[#This Row],[2016]]),"",Refsz_Verbräuche[[#This Row],[2016]])</f>
        <v/>
      </c>
      <c r="H217" s="15" t="str">
        <f>IF(ISBLANK(Refsz_Verbräuche[[#This Row],[2017]]),"",Refsz_Verbräuche[[#This Row],[2017]])</f>
        <v/>
      </c>
      <c r="I217" s="15" t="str">
        <f>IF(ISBLANK(Refsz_Verbräuche[[#This Row],[2018]]),"",Refsz_Verbräuche[[#This Row],[2018]])</f>
        <v/>
      </c>
      <c r="J217" s="15" t="str">
        <f>IF(ISBLANK(Refsz_Verbräuche[[#This Row],[2019]]),"",Refsz_Verbräuche[[#This Row],[2019]])</f>
        <v/>
      </c>
      <c r="K217" s="15" t="str">
        <f>IF(ISBLANK(Refsz_Verbräuche[[#This Row],[2020]]),"",Refsz_Verbräuche[[#This Row],[2020]])</f>
        <v/>
      </c>
      <c r="L217" s="15" t="str">
        <f>IF(ISBLANK(Refsz_Verbräuche[[#This Row],[2021]]),"",Refsz_Verbräuche[[#This Row],[2021]])</f>
        <v/>
      </c>
      <c r="M217" s="57" t="str">
        <f>IF(Klisz_Verbräuche[[#Headers],[2022]]=$B$57,IF(COUNTIF($F217:Klisz_Verbräuche[[#This Row],[2021]],"&gt;0")&gt;0, AVERAGEIF($F217:Klisz_Verbräuche[[#This Row],[2021]],"&lt;&gt;"), ""),IF($B$57&lt;Klisz_Verbräuche[[#Headers],[2022]],IF(COUNTIF($F217:Klisz_Verbräuche[[#This Row],[2021]],"&gt;0")&gt;0,IF(COUNTIF($F217:Klisz_Verbräuche[[#This Row],[2021]],"&gt;0")&gt;0,Klisz_Verbräuche[[#This Row],[2021]]*(1-$E217)^1, ""), ""),IF($B$57&gt;Klisz_Verbräuche[[#Headers],[2022]],Refsz_Verbräuche[[#This Row],[2022]],"")))</f>
        <v/>
      </c>
      <c r="N217" s="57" t="str">
        <f>IF(Klisz_Verbräuche[[#Headers],[2023]]=$B$57,IF(COUNTIF($F217:Klisz_Verbräuche[[#This Row],[2022]],"&gt;0")&gt;0, AVERAGEIF($F217:Klisz_Verbräuche[[#This Row],[2022]],"&lt;&gt;"), ""),IF($B$57&lt;Klisz_Verbräuche[[#Headers],[2023]],IF(COUNTIF($F217:Klisz_Verbräuche[[#This Row],[2022]],"&gt;0")&gt;0,IF(COUNTIF($F217:Klisz_Verbräuche[[#This Row],[2022]],"&gt;0")&gt;0,Klisz_Verbräuche[[#This Row],[2022]]*(1-$E217)^1, ""), ""),IF($B$57&gt;Klisz_Verbräuche[[#Headers],[2023]],Refsz_Verbräuche[[#This Row],[2023]],"")))</f>
        <v/>
      </c>
      <c r="O217" s="57" t="str">
        <f>IF(Klisz_Verbräuche[[#Headers],[2024]]=$B$57,IF(COUNTIF($F217:Klisz_Verbräuche[[#This Row],[2023]],"&gt;0")&gt;0, AVERAGEIF($F217:Klisz_Verbräuche[[#This Row],[2023]],"&lt;&gt;"), ""),IF($B$57&lt;Klisz_Verbräuche[[#Headers],[2024]],IF(COUNTIF($F217:Klisz_Verbräuche[[#This Row],[2023]],"&gt;0")&gt;0,IF(COUNTIF($F217:Klisz_Verbräuche[[#This Row],[2023]],"&gt;0")&gt;0,Klisz_Verbräuche[[#This Row],[2023]]*(1-$E217)^1, ""), ""),IF($B$57&gt;Klisz_Verbräuche[[#Headers],[2024]],Refsz_Verbräuche[[#This Row],[2024]],"")))</f>
        <v/>
      </c>
      <c r="P217" s="57" t="str">
        <f>IF(Klisz_Verbräuche[[#Headers],[2025]]=$B$57,IF(COUNTIF($F217:Klisz_Verbräuche[[#This Row],[2024]],"&gt;0")&gt;0, AVERAGEIF($F217:Klisz_Verbräuche[[#This Row],[2024]],"&lt;&gt;"), ""),IF($B$57&lt;Klisz_Verbräuche[[#Headers],[2025]],IF(COUNTIF($F217:Klisz_Verbräuche[[#This Row],[2024]],"&gt;0")&gt;0,IF(COUNTIF($F217:Klisz_Verbräuche[[#This Row],[2024]],"&gt;0")&gt;0,Klisz_Verbräuche[[#This Row],[2024]]*(1-$E217)^1, ""), ""),IF($B$57&gt;Klisz_Verbräuche[[#Headers],[2025]],Refsz_Verbräuche[[#This Row],[2025]],"")))</f>
        <v/>
      </c>
      <c r="Q217" s="57" t="str">
        <f>IF(Klisz_Verbräuche[[#Headers],[2026]]=$B$57,IF(COUNTIF($F217:Klisz_Verbräuche[[#This Row],[2025]],"&gt;0")&gt;0, AVERAGEIF($F217:Klisz_Verbräuche[[#This Row],[2025]],"&lt;&gt;"), ""),IF($B$57&lt;Klisz_Verbräuche[[#Headers],[2026]],IF(COUNTIF($F217:Klisz_Verbräuche[[#This Row],[2025]],"&gt;0")&gt;0,IF(COUNTIF($F217:Klisz_Verbräuche[[#This Row],[2025]],"&gt;0")&gt;0,Klisz_Verbräuche[[#This Row],[2025]]*(1-$E217)^1, ""), ""),IF($B$57&gt;Klisz_Verbräuche[[#Headers],[2026]],Refsz_Verbräuche[[#This Row],[2026]],"")))</f>
        <v/>
      </c>
      <c r="R217" s="57" t="str">
        <f>IF(Klisz_Verbräuche[[#Headers],[2027]]=$B$57,IF(COUNTIF($F217:Klisz_Verbräuche[[#This Row],[2026]],"&gt;0")&gt;0, AVERAGEIF($F217:Klisz_Verbräuche[[#This Row],[2026]],"&lt;&gt;"), ""),IF($B$57&lt;Klisz_Verbräuche[[#Headers],[2027]],IF(COUNTIF($F217:Klisz_Verbräuche[[#This Row],[2026]],"&gt;0")&gt;0,IF(COUNTIF($F217:Klisz_Verbräuche[[#This Row],[2026]],"&gt;0")&gt;0,Klisz_Verbräuche[[#This Row],[2026]]*(1-$E217)^1, ""), ""),IF($B$57&gt;Klisz_Verbräuche[[#Headers],[2027]],Refsz_Verbräuche[[#This Row],[2027]],"")))</f>
        <v/>
      </c>
      <c r="S217" s="57" t="str">
        <f>IF(Klisz_Verbräuche[[#Headers],[2028]]=$B$57,IF(COUNTIF($F217:Klisz_Verbräuche[[#This Row],[2027]],"&gt;0")&gt;0, AVERAGEIF($F217:Klisz_Verbräuche[[#This Row],[2027]],"&lt;&gt;"), ""),IF($B$57&lt;Klisz_Verbräuche[[#Headers],[2028]],IF(COUNTIF($F217:Klisz_Verbräuche[[#This Row],[2027]],"&gt;0")&gt;0,IF(COUNTIF($F217:Klisz_Verbräuche[[#This Row],[2027]],"&gt;0")&gt;0,Klisz_Verbräuche[[#This Row],[2027]]*(1-$E217)^1, ""), ""),IF($B$57&gt;Klisz_Verbräuche[[#Headers],[2028]],Refsz_Verbräuche[[#This Row],[2028]],"")))</f>
        <v/>
      </c>
      <c r="T217" s="57" t="str">
        <f>IF(Klisz_Verbräuche[[#Headers],[2029]]=$B$57,IF(COUNTIF($F217:Klisz_Verbräuche[[#This Row],[2028]],"&gt;0")&gt;0, AVERAGEIF($F217:Klisz_Verbräuche[[#This Row],[2028]],"&lt;&gt;"), ""),IF($B$57&lt;Klisz_Verbräuche[[#Headers],[2029]],IF(COUNTIF($F217:Klisz_Verbräuche[[#This Row],[2028]],"&gt;0")&gt;0,IF(COUNTIF($F217:Klisz_Verbräuche[[#This Row],[2028]],"&gt;0")&gt;0,Klisz_Verbräuche[[#This Row],[2028]]*(1-$E217)^1, ""), ""),IF($B$57&gt;Klisz_Verbräuche[[#Headers],[2029]],Refsz_Verbräuche[[#This Row],[2029]],"")))</f>
        <v/>
      </c>
      <c r="U217" s="57" t="str">
        <f>IF(Klisz_Verbräuche[[#Headers],[2030]]=$B$57,IF(COUNTIF($F217:Klisz_Verbräuche[[#This Row],[2029]],"&gt;0")&gt;0, AVERAGEIF($F217:Klisz_Verbräuche[[#This Row],[2029]],"&lt;&gt;"), ""),IF($B$57&lt;Klisz_Verbräuche[[#Headers],[2030]],IF(COUNTIF($F217:Klisz_Verbräuche[[#This Row],[2029]],"&gt;0")&gt;0,IF(COUNTIF($F217:Klisz_Verbräuche[[#This Row],[2029]],"&gt;0")&gt;0,Klisz_Verbräuche[[#This Row],[2029]]*(1-$E217)^1, ""), ""),IF($B$57&gt;Klisz_Verbräuche[[#Headers],[2030]],Refsz_Verbräuche[[#This Row],[2030]],"")))</f>
        <v/>
      </c>
      <c r="V217" s="57" t="str">
        <f>IF(Klisz_Verbräuche[[#Headers],[2035]]=$B$57,IF(COUNTIF($F217:Klisz_Verbräuche[[#This Row],[2030]],"&gt;0")&gt;0, AVERAGEIF($F217:Klisz_Verbräuche[[#This Row],[2030]],"&lt;&gt;"), ""),IF($B$57&lt;Klisz_Verbräuche[[#Headers],[2035]],IF(COUNTIF($F217:Klisz_Verbräuche[[#This Row],[2030]],"&gt;0")&gt;0,IF(COUNTIF($F217:Klisz_Verbräuche[[#This Row],[2030]],"&gt;0")&gt;0,Klisz_Verbräuche[[#This Row],[2030]]*(1-$E217)^5, ""), ""),IF($B$57&gt;Klisz_Verbräuche[[#Headers],[2035]],Refsz_Verbräuche[[#This Row],[2035]],"")))</f>
        <v/>
      </c>
      <c r="W217" s="57" t="str">
        <f>IF(Klisz_Verbräuche[[#Headers],[2040]]=$B$57,IF(COUNTIF($F217:Klisz_Verbräuche[[#This Row],[2035]],"&gt;0")&gt;0, AVERAGEIF($F217:Klisz_Verbräuche[[#This Row],[2035]],"&lt;&gt;"), ""),IF($B$57&lt;Klisz_Verbräuche[[#Headers],[2040]],IF(COUNTIF($F217:Klisz_Verbräuche[[#This Row],[2035]],"&gt;0")&gt;0,IF(COUNTIF($F217:Klisz_Verbräuche[[#This Row],[2035]],"&gt;0")&gt;0,Klisz_Verbräuche[[#This Row],[2035]]*(1-$E217)^5, ""), ""),IF($B$57&gt;Klisz_Verbräuche[[#Headers],[2040]],Refsz_Verbräuche[[#This Row],[2040]],"")))</f>
        <v/>
      </c>
      <c r="X217" s="57" t="str">
        <f>IF(Klisz_Verbräuche[[#Headers],[2045]]=$B$57,IF(COUNTIF($F217:Klisz_Verbräuche[[#This Row],[2040]],"&gt;0")&gt;0, AVERAGEIF($F217:Klisz_Verbräuche[[#This Row],[2040]],"&lt;&gt;"), ""),IF($B$57&lt;Klisz_Verbräuche[[#Headers],[2045]],IF(COUNTIF($F217:Klisz_Verbräuche[[#This Row],[2040]],"&gt;0")&gt;0,IF(COUNTIF($F217:Klisz_Verbräuche[[#This Row],[2040]],"&gt;0")&gt;0,Klisz_Verbräuche[[#This Row],[2040]]*(1-$E217)^5, ""), ""),IF($B$57&gt;Klisz_Verbräuche[[#Headers],[2045]],Refsz_Verbräuche[[#This Row],[2045]],"")))</f>
        <v/>
      </c>
      <c r="Y217" s="57" t="str">
        <f>IF(Klisz_Verbräuche[[#Headers],[2050]]=$B$57,IF(COUNTIF($F217:Klisz_Verbräuche[[#This Row],[2045]],"&gt;0")&gt;0, AVERAGEIF($F217:Klisz_Verbräuche[[#This Row],[2045]],"&lt;&gt;"), ""),IF($B$57&lt;Klisz_Verbräuche[[#Headers],[2050]],IF(COUNTIF($F217:Klisz_Verbräuche[[#This Row],[2045]],"&gt;0")&gt;0,IF(COUNTIF($F217:Klisz_Verbräuche[[#This Row],[2045]],"&gt;0")&gt;0,Klisz_Verbräuche[[#This Row],[2045]]*(1-$E217)^5, ""), ""),IF($B$57&gt;Klisz_Verbräuche[[#Headers],[2050]],Refsz_Verbräuche[[#This Row],[2050]],"")))</f>
        <v/>
      </c>
      <c r="Z217" s="15"/>
    </row>
    <row r="218" spans="2:26" x14ac:dyDescent="0.35">
      <c r="B218" s="15">
        <v>158</v>
      </c>
      <c r="C218" s="20">
        <f>Refsz_Verbräuche[[#This Row],[Datenpunkt]]</f>
        <v>0</v>
      </c>
      <c r="D218" s="29">
        <f>Refsz_Verbräuche[[#This Row],[Einheit]]</f>
        <v>0</v>
      </c>
      <c r="E218" s="122"/>
      <c r="F218" s="15" t="str">
        <f>IF(ISBLANK(Refsz_Verbräuche[[#This Row],[2015]]),"",Refsz_Verbräuche[[#This Row],[2015]])</f>
        <v/>
      </c>
      <c r="G218" s="15" t="str">
        <f>IF(ISBLANK(Refsz_Verbräuche[[#This Row],[2016]]),"",Refsz_Verbräuche[[#This Row],[2016]])</f>
        <v/>
      </c>
      <c r="H218" s="15" t="str">
        <f>IF(ISBLANK(Refsz_Verbräuche[[#This Row],[2017]]),"",Refsz_Verbräuche[[#This Row],[2017]])</f>
        <v/>
      </c>
      <c r="I218" s="15" t="str">
        <f>IF(ISBLANK(Refsz_Verbräuche[[#This Row],[2018]]),"",Refsz_Verbräuche[[#This Row],[2018]])</f>
        <v/>
      </c>
      <c r="J218" s="15" t="str">
        <f>IF(ISBLANK(Refsz_Verbräuche[[#This Row],[2019]]),"",Refsz_Verbräuche[[#This Row],[2019]])</f>
        <v/>
      </c>
      <c r="K218" s="15" t="str">
        <f>IF(ISBLANK(Refsz_Verbräuche[[#This Row],[2020]]),"",Refsz_Verbräuche[[#This Row],[2020]])</f>
        <v/>
      </c>
      <c r="L218" s="15" t="str">
        <f>IF(ISBLANK(Refsz_Verbräuche[[#This Row],[2021]]),"",Refsz_Verbräuche[[#This Row],[2021]])</f>
        <v/>
      </c>
      <c r="M218" s="57" t="str">
        <f>IF(Klisz_Verbräuche[[#Headers],[2022]]=$B$57,IF(COUNTIF($F218:Klisz_Verbräuche[[#This Row],[2021]],"&gt;0")&gt;0, AVERAGEIF($F218:Klisz_Verbräuche[[#This Row],[2021]],"&lt;&gt;"), ""),IF($B$57&lt;Klisz_Verbräuche[[#Headers],[2022]],IF(COUNTIF($F218:Klisz_Verbräuche[[#This Row],[2021]],"&gt;0")&gt;0,IF(COUNTIF($F218:Klisz_Verbräuche[[#This Row],[2021]],"&gt;0")&gt;0,Klisz_Verbräuche[[#This Row],[2021]]*(1-$E218)^1, ""), ""),IF($B$57&gt;Klisz_Verbräuche[[#Headers],[2022]],Refsz_Verbräuche[[#This Row],[2022]],"")))</f>
        <v/>
      </c>
      <c r="N218" s="57" t="str">
        <f>IF(Klisz_Verbräuche[[#Headers],[2023]]=$B$57,IF(COUNTIF($F218:Klisz_Verbräuche[[#This Row],[2022]],"&gt;0")&gt;0, AVERAGEIF($F218:Klisz_Verbräuche[[#This Row],[2022]],"&lt;&gt;"), ""),IF($B$57&lt;Klisz_Verbräuche[[#Headers],[2023]],IF(COUNTIF($F218:Klisz_Verbräuche[[#This Row],[2022]],"&gt;0")&gt;0,IF(COUNTIF($F218:Klisz_Verbräuche[[#This Row],[2022]],"&gt;0")&gt;0,Klisz_Verbräuche[[#This Row],[2022]]*(1-$E218)^1, ""), ""),IF($B$57&gt;Klisz_Verbräuche[[#Headers],[2023]],Refsz_Verbräuche[[#This Row],[2023]],"")))</f>
        <v/>
      </c>
      <c r="O218" s="57" t="str">
        <f>IF(Klisz_Verbräuche[[#Headers],[2024]]=$B$57,IF(COUNTIF($F218:Klisz_Verbräuche[[#This Row],[2023]],"&gt;0")&gt;0, AVERAGEIF($F218:Klisz_Verbräuche[[#This Row],[2023]],"&lt;&gt;"), ""),IF($B$57&lt;Klisz_Verbräuche[[#Headers],[2024]],IF(COUNTIF($F218:Klisz_Verbräuche[[#This Row],[2023]],"&gt;0")&gt;0,IF(COUNTIF($F218:Klisz_Verbräuche[[#This Row],[2023]],"&gt;0")&gt;0,Klisz_Verbräuche[[#This Row],[2023]]*(1-$E218)^1, ""), ""),IF($B$57&gt;Klisz_Verbräuche[[#Headers],[2024]],Refsz_Verbräuche[[#This Row],[2024]],"")))</f>
        <v/>
      </c>
      <c r="P218" s="57" t="str">
        <f>IF(Klisz_Verbräuche[[#Headers],[2025]]=$B$57,IF(COUNTIF($F218:Klisz_Verbräuche[[#This Row],[2024]],"&gt;0")&gt;0, AVERAGEIF($F218:Klisz_Verbräuche[[#This Row],[2024]],"&lt;&gt;"), ""),IF($B$57&lt;Klisz_Verbräuche[[#Headers],[2025]],IF(COUNTIF($F218:Klisz_Verbräuche[[#This Row],[2024]],"&gt;0")&gt;0,IF(COUNTIF($F218:Klisz_Verbräuche[[#This Row],[2024]],"&gt;0")&gt;0,Klisz_Verbräuche[[#This Row],[2024]]*(1-$E218)^1, ""), ""),IF($B$57&gt;Klisz_Verbräuche[[#Headers],[2025]],Refsz_Verbräuche[[#This Row],[2025]],"")))</f>
        <v/>
      </c>
      <c r="Q218" s="57" t="str">
        <f>IF(Klisz_Verbräuche[[#Headers],[2026]]=$B$57,IF(COUNTIF($F218:Klisz_Verbräuche[[#This Row],[2025]],"&gt;0")&gt;0, AVERAGEIF($F218:Klisz_Verbräuche[[#This Row],[2025]],"&lt;&gt;"), ""),IF($B$57&lt;Klisz_Verbräuche[[#Headers],[2026]],IF(COUNTIF($F218:Klisz_Verbräuche[[#This Row],[2025]],"&gt;0")&gt;0,IF(COUNTIF($F218:Klisz_Verbräuche[[#This Row],[2025]],"&gt;0")&gt;0,Klisz_Verbräuche[[#This Row],[2025]]*(1-$E218)^1, ""), ""),IF($B$57&gt;Klisz_Verbräuche[[#Headers],[2026]],Refsz_Verbräuche[[#This Row],[2026]],"")))</f>
        <v/>
      </c>
      <c r="R218" s="57" t="str">
        <f>IF(Klisz_Verbräuche[[#Headers],[2027]]=$B$57,IF(COUNTIF($F218:Klisz_Verbräuche[[#This Row],[2026]],"&gt;0")&gt;0, AVERAGEIF($F218:Klisz_Verbräuche[[#This Row],[2026]],"&lt;&gt;"), ""),IF($B$57&lt;Klisz_Verbräuche[[#Headers],[2027]],IF(COUNTIF($F218:Klisz_Verbräuche[[#This Row],[2026]],"&gt;0")&gt;0,IF(COUNTIF($F218:Klisz_Verbräuche[[#This Row],[2026]],"&gt;0")&gt;0,Klisz_Verbräuche[[#This Row],[2026]]*(1-$E218)^1, ""), ""),IF($B$57&gt;Klisz_Verbräuche[[#Headers],[2027]],Refsz_Verbräuche[[#This Row],[2027]],"")))</f>
        <v/>
      </c>
      <c r="S218" s="57" t="str">
        <f>IF(Klisz_Verbräuche[[#Headers],[2028]]=$B$57,IF(COUNTIF($F218:Klisz_Verbräuche[[#This Row],[2027]],"&gt;0")&gt;0, AVERAGEIF($F218:Klisz_Verbräuche[[#This Row],[2027]],"&lt;&gt;"), ""),IF($B$57&lt;Klisz_Verbräuche[[#Headers],[2028]],IF(COUNTIF($F218:Klisz_Verbräuche[[#This Row],[2027]],"&gt;0")&gt;0,IF(COUNTIF($F218:Klisz_Verbräuche[[#This Row],[2027]],"&gt;0")&gt;0,Klisz_Verbräuche[[#This Row],[2027]]*(1-$E218)^1, ""), ""),IF($B$57&gt;Klisz_Verbräuche[[#Headers],[2028]],Refsz_Verbräuche[[#This Row],[2028]],"")))</f>
        <v/>
      </c>
      <c r="T218" s="57" t="str">
        <f>IF(Klisz_Verbräuche[[#Headers],[2029]]=$B$57,IF(COUNTIF($F218:Klisz_Verbräuche[[#This Row],[2028]],"&gt;0")&gt;0, AVERAGEIF($F218:Klisz_Verbräuche[[#This Row],[2028]],"&lt;&gt;"), ""),IF($B$57&lt;Klisz_Verbräuche[[#Headers],[2029]],IF(COUNTIF($F218:Klisz_Verbräuche[[#This Row],[2028]],"&gt;0")&gt;0,IF(COUNTIF($F218:Klisz_Verbräuche[[#This Row],[2028]],"&gt;0")&gt;0,Klisz_Verbräuche[[#This Row],[2028]]*(1-$E218)^1, ""), ""),IF($B$57&gt;Klisz_Verbräuche[[#Headers],[2029]],Refsz_Verbräuche[[#This Row],[2029]],"")))</f>
        <v/>
      </c>
      <c r="U218" s="57" t="str">
        <f>IF(Klisz_Verbräuche[[#Headers],[2030]]=$B$57,IF(COUNTIF($F218:Klisz_Verbräuche[[#This Row],[2029]],"&gt;0")&gt;0, AVERAGEIF($F218:Klisz_Verbräuche[[#This Row],[2029]],"&lt;&gt;"), ""),IF($B$57&lt;Klisz_Verbräuche[[#Headers],[2030]],IF(COUNTIF($F218:Klisz_Verbräuche[[#This Row],[2029]],"&gt;0")&gt;0,IF(COUNTIF($F218:Klisz_Verbräuche[[#This Row],[2029]],"&gt;0")&gt;0,Klisz_Verbräuche[[#This Row],[2029]]*(1-$E218)^1, ""), ""),IF($B$57&gt;Klisz_Verbräuche[[#Headers],[2030]],Refsz_Verbräuche[[#This Row],[2030]],"")))</f>
        <v/>
      </c>
      <c r="V218" s="57" t="str">
        <f>IF(Klisz_Verbräuche[[#Headers],[2035]]=$B$57,IF(COUNTIF($F218:Klisz_Verbräuche[[#This Row],[2030]],"&gt;0")&gt;0, AVERAGEIF($F218:Klisz_Verbräuche[[#This Row],[2030]],"&lt;&gt;"), ""),IF($B$57&lt;Klisz_Verbräuche[[#Headers],[2035]],IF(COUNTIF($F218:Klisz_Verbräuche[[#This Row],[2030]],"&gt;0")&gt;0,IF(COUNTIF($F218:Klisz_Verbräuche[[#This Row],[2030]],"&gt;0")&gt;0,Klisz_Verbräuche[[#This Row],[2030]]*(1-$E218)^5, ""), ""),IF($B$57&gt;Klisz_Verbräuche[[#Headers],[2035]],Refsz_Verbräuche[[#This Row],[2035]],"")))</f>
        <v/>
      </c>
      <c r="W218" s="57" t="str">
        <f>IF(Klisz_Verbräuche[[#Headers],[2040]]=$B$57,IF(COUNTIF($F218:Klisz_Verbräuche[[#This Row],[2035]],"&gt;0")&gt;0, AVERAGEIF($F218:Klisz_Verbräuche[[#This Row],[2035]],"&lt;&gt;"), ""),IF($B$57&lt;Klisz_Verbräuche[[#Headers],[2040]],IF(COUNTIF($F218:Klisz_Verbräuche[[#This Row],[2035]],"&gt;0")&gt;0,IF(COUNTIF($F218:Klisz_Verbräuche[[#This Row],[2035]],"&gt;0")&gt;0,Klisz_Verbräuche[[#This Row],[2035]]*(1-$E218)^5, ""), ""),IF($B$57&gt;Klisz_Verbräuche[[#Headers],[2040]],Refsz_Verbräuche[[#This Row],[2040]],"")))</f>
        <v/>
      </c>
      <c r="X218" s="57" t="str">
        <f>IF(Klisz_Verbräuche[[#Headers],[2045]]=$B$57,IF(COUNTIF($F218:Klisz_Verbräuche[[#This Row],[2040]],"&gt;0")&gt;0, AVERAGEIF($F218:Klisz_Verbräuche[[#This Row],[2040]],"&lt;&gt;"), ""),IF($B$57&lt;Klisz_Verbräuche[[#Headers],[2045]],IF(COUNTIF($F218:Klisz_Verbräuche[[#This Row],[2040]],"&gt;0")&gt;0,IF(COUNTIF($F218:Klisz_Verbräuche[[#This Row],[2040]],"&gt;0")&gt;0,Klisz_Verbräuche[[#This Row],[2040]]*(1-$E218)^5, ""), ""),IF($B$57&gt;Klisz_Verbräuche[[#Headers],[2045]],Refsz_Verbräuche[[#This Row],[2045]],"")))</f>
        <v/>
      </c>
      <c r="Y218" s="57" t="str">
        <f>IF(Klisz_Verbräuche[[#Headers],[2050]]=$B$57,IF(COUNTIF($F218:Klisz_Verbräuche[[#This Row],[2045]],"&gt;0")&gt;0, AVERAGEIF($F218:Klisz_Verbräuche[[#This Row],[2045]],"&lt;&gt;"), ""),IF($B$57&lt;Klisz_Verbräuche[[#Headers],[2050]],IF(COUNTIF($F218:Klisz_Verbräuche[[#This Row],[2045]],"&gt;0")&gt;0,IF(COUNTIF($F218:Klisz_Verbräuche[[#This Row],[2045]],"&gt;0")&gt;0,Klisz_Verbräuche[[#This Row],[2045]]*(1-$E218)^5, ""), ""),IF($B$57&gt;Klisz_Verbräuche[[#Headers],[2050]],Refsz_Verbräuche[[#This Row],[2050]],"")))</f>
        <v/>
      </c>
      <c r="Z218" s="15"/>
    </row>
    <row r="219" spans="2:26" x14ac:dyDescent="0.35">
      <c r="B219" s="15">
        <v>159</v>
      </c>
      <c r="C219" s="20">
        <f>Refsz_Verbräuche[[#This Row],[Datenpunkt]]</f>
        <v>0</v>
      </c>
      <c r="D219" s="29">
        <f>Refsz_Verbräuche[[#This Row],[Einheit]]</f>
        <v>0</v>
      </c>
      <c r="E219" s="122"/>
      <c r="F219" s="15" t="str">
        <f>IF(ISBLANK(Refsz_Verbräuche[[#This Row],[2015]]),"",Refsz_Verbräuche[[#This Row],[2015]])</f>
        <v/>
      </c>
      <c r="G219" s="15" t="str">
        <f>IF(ISBLANK(Refsz_Verbräuche[[#This Row],[2016]]),"",Refsz_Verbräuche[[#This Row],[2016]])</f>
        <v/>
      </c>
      <c r="H219" s="15" t="str">
        <f>IF(ISBLANK(Refsz_Verbräuche[[#This Row],[2017]]),"",Refsz_Verbräuche[[#This Row],[2017]])</f>
        <v/>
      </c>
      <c r="I219" s="15" t="str">
        <f>IF(ISBLANK(Refsz_Verbräuche[[#This Row],[2018]]),"",Refsz_Verbräuche[[#This Row],[2018]])</f>
        <v/>
      </c>
      <c r="J219" s="15" t="str">
        <f>IF(ISBLANK(Refsz_Verbräuche[[#This Row],[2019]]),"",Refsz_Verbräuche[[#This Row],[2019]])</f>
        <v/>
      </c>
      <c r="K219" s="15" t="str">
        <f>IF(ISBLANK(Refsz_Verbräuche[[#This Row],[2020]]),"",Refsz_Verbräuche[[#This Row],[2020]])</f>
        <v/>
      </c>
      <c r="L219" s="15" t="str">
        <f>IF(ISBLANK(Refsz_Verbräuche[[#This Row],[2021]]),"",Refsz_Verbräuche[[#This Row],[2021]])</f>
        <v/>
      </c>
      <c r="M219" s="57" t="str">
        <f>IF(Klisz_Verbräuche[[#Headers],[2022]]=$B$57,IF(COUNTIF($F219:Klisz_Verbräuche[[#This Row],[2021]],"&gt;0")&gt;0, AVERAGEIF($F219:Klisz_Verbräuche[[#This Row],[2021]],"&lt;&gt;"), ""),IF($B$57&lt;Klisz_Verbräuche[[#Headers],[2022]],IF(COUNTIF($F219:Klisz_Verbräuche[[#This Row],[2021]],"&gt;0")&gt;0,IF(COUNTIF($F219:Klisz_Verbräuche[[#This Row],[2021]],"&gt;0")&gt;0,Klisz_Verbräuche[[#This Row],[2021]]*(1-$E219)^1, ""), ""),IF($B$57&gt;Klisz_Verbräuche[[#Headers],[2022]],Refsz_Verbräuche[[#This Row],[2022]],"")))</f>
        <v/>
      </c>
      <c r="N219" s="57" t="str">
        <f>IF(Klisz_Verbräuche[[#Headers],[2023]]=$B$57,IF(COUNTIF($F219:Klisz_Verbräuche[[#This Row],[2022]],"&gt;0")&gt;0, AVERAGEIF($F219:Klisz_Verbräuche[[#This Row],[2022]],"&lt;&gt;"), ""),IF($B$57&lt;Klisz_Verbräuche[[#Headers],[2023]],IF(COUNTIF($F219:Klisz_Verbräuche[[#This Row],[2022]],"&gt;0")&gt;0,IF(COUNTIF($F219:Klisz_Verbräuche[[#This Row],[2022]],"&gt;0")&gt;0,Klisz_Verbräuche[[#This Row],[2022]]*(1-$E219)^1, ""), ""),IF($B$57&gt;Klisz_Verbräuche[[#Headers],[2023]],Refsz_Verbräuche[[#This Row],[2023]],"")))</f>
        <v/>
      </c>
      <c r="O219" s="57" t="str">
        <f>IF(Klisz_Verbräuche[[#Headers],[2024]]=$B$57,IF(COUNTIF($F219:Klisz_Verbräuche[[#This Row],[2023]],"&gt;0")&gt;0, AVERAGEIF($F219:Klisz_Verbräuche[[#This Row],[2023]],"&lt;&gt;"), ""),IF($B$57&lt;Klisz_Verbräuche[[#Headers],[2024]],IF(COUNTIF($F219:Klisz_Verbräuche[[#This Row],[2023]],"&gt;0")&gt;0,IF(COUNTIF($F219:Klisz_Verbräuche[[#This Row],[2023]],"&gt;0")&gt;0,Klisz_Verbräuche[[#This Row],[2023]]*(1-$E219)^1, ""), ""),IF($B$57&gt;Klisz_Verbräuche[[#Headers],[2024]],Refsz_Verbräuche[[#This Row],[2024]],"")))</f>
        <v/>
      </c>
      <c r="P219" s="57" t="str">
        <f>IF(Klisz_Verbräuche[[#Headers],[2025]]=$B$57,IF(COUNTIF($F219:Klisz_Verbräuche[[#This Row],[2024]],"&gt;0")&gt;0, AVERAGEIF($F219:Klisz_Verbräuche[[#This Row],[2024]],"&lt;&gt;"), ""),IF($B$57&lt;Klisz_Verbräuche[[#Headers],[2025]],IF(COUNTIF($F219:Klisz_Verbräuche[[#This Row],[2024]],"&gt;0")&gt;0,IF(COUNTIF($F219:Klisz_Verbräuche[[#This Row],[2024]],"&gt;0")&gt;0,Klisz_Verbräuche[[#This Row],[2024]]*(1-$E219)^1, ""), ""),IF($B$57&gt;Klisz_Verbräuche[[#Headers],[2025]],Refsz_Verbräuche[[#This Row],[2025]],"")))</f>
        <v/>
      </c>
      <c r="Q219" s="57" t="str">
        <f>IF(Klisz_Verbräuche[[#Headers],[2026]]=$B$57,IF(COUNTIF($F219:Klisz_Verbräuche[[#This Row],[2025]],"&gt;0")&gt;0, AVERAGEIF($F219:Klisz_Verbräuche[[#This Row],[2025]],"&lt;&gt;"), ""),IF($B$57&lt;Klisz_Verbräuche[[#Headers],[2026]],IF(COUNTIF($F219:Klisz_Verbräuche[[#This Row],[2025]],"&gt;0")&gt;0,IF(COUNTIF($F219:Klisz_Verbräuche[[#This Row],[2025]],"&gt;0")&gt;0,Klisz_Verbräuche[[#This Row],[2025]]*(1-$E219)^1, ""), ""),IF($B$57&gt;Klisz_Verbräuche[[#Headers],[2026]],Refsz_Verbräuche[[#This Row],[2026]],"")))</f>
        <v/>
      </c>
      <c r="R219" s="57" t="str">
        <f>IF(Klisz_Verbräuche[[#Headers],[2027]]=$B$57,IF(COUNTIF($F219:Klisz_Verbräuche[[#This Row],[2026]],"&gt;0")&gt;0, AVERAGEIF($F219:Klisz_Verbräuche[[#This Row],[2026]],"&lt;&gt;"), ""),IF($B$57&lt;Klisz_Verbräuche[[#Headers],[2027]],IF(COUNTIF($F219:Klisz_Verbräuche[[#This Row],[2026]],"&gt;0")&gt;0,IF(COUNTIF($F219:Klisz_Verbräuche[[#This Row],[2026]],"&gt;0")&gt;0,Klisz_Verbräuche[[#This Row],[2026]]*(1-$E219)^1, ""), ""),IF($B$57&gt;Klisz_Verbräuche[[#Headers],[2027]],Refsz_Verbräuche[[#This Row],[2027]],"")))</f>
        <v/>
      </c>
      <c r="S219" s="57" t="str">
        <f>IF(Klisz_Verbräuche[[#Headers],[2028]]=$B$57,IF(COUNTIF($F219:Klisz_Verbräuche[[#This Row],[2027]],"&gt;0")&gt;0, AVERAGEIF($F219:Klisz_Verbräuche[[#This Row],[2027]],"&lt;&gt;"), ""),IF($B$57&lt;Klisz_Verbräuche[[#Headers],[2028]],IF(COUNTIF($F219:Klisz_Verbräuche[[#This Row],[2027]],"&gt;0")&gt;0,IF(COUNTIF($F219:Klisz_Verbräuche[[#This Row],[2027]],"&gt;0")&gt;0,Klisz_Verbräuche[[#This Row],[2027]]*(1-$E219)^1, ""), ""),IF($B$57&gt;Klisz_Verbräuche[[#Headers],[2028]],Refsz_Verbräuche[[#This Row],[2028]],"")))</f>
        <v/>
      </c>
      <c r="T219" s="57" t="str">
        <f>IF(Klisz_Verbräuche[[#Headers],[2029]]=$B$57,IF(COUNTIF($F219:Klisz_Verbräuche[[#This Row],[2028]],"&gt;0")&gt;0, AVERAGEIF($F219:Klisz_Verbräuche[[#This Row],[2028]],"&lt;&gt;"), ""),IF($B$57&lt;Klisz_Verbräuche[[#Headers],[2029]],IF(COUNTIF($F219:Klisz_Verbräuche[[#This Row],[2028]],"&gt;0")&gt;0,IF(COUNTIF($F219:Klisz_Verbräuche[[#This Row],[2028]],"&gt;0")&gt;0,Klisz_Verbräuche[[#This Row],[2028]]*(1-$E219)^1, ""), ""),IF($B$57&gt;Klisz_Verbräuche[[#Headers],[2029]],Refsz_Verbräuche[[#This Row],[2029]],"")))</f>
        <v/>
      </c>
      <c r="U219" s="57" t="str">
        <f>IF(Klisz_Verbräuche[[#Headers],[2030]]=$B$57,IF(COUNTIF($F219:Klisz_Verbräuche[[#This Row],[2029]],"&gt;0")&gt;0, AVERAGEIF($F219:Klisz_Verbräuche[[#This Row],[2029]],"&lt;&gt;"), ""),IF($B$57&lt;Klisz_Verbräuche[[#Headers],[2030]],IF(COUNTIF($F219:Klisz_Verbräuche[[#This Row],[2029]],"&gt;0")&gt;0,IF(COUNTIF($F219:Klisz_Verbräuche[[#This Row],[2029]],"&gt;0")&gt;0,Klisz_Verbräuche[[#This Row],[2029]]*(1-$E219)^1, ""), ""),IF($B$57&gt;Klisz_Verbräuche[[#Headers],[2030]],Refsz_Verbräuche[[#This Row],[2030]],"")))</f>
        <v/>
      </c>
      <c r="V219" s="57" t="str">
        <f>IF(Klisz_Verbräuche[[#Headers],[2035]]=$B$57,IF(COUNTIF($F219:Klisz_Verbräuche[[#This Row],[2030]],"&gt;0")&gt;0, AVERAGEIF($F219:Klisz_Verbräuche[[#This Row],[2030]],"&lt;&gt;"), ""),IF($B$57&lt;Klisz_Verbräuche[[#Headers],[2035]],IF(COUNTIF($F219:Klisz_Verbräuche[[#This Row],[2030]],"&gt;0")&gt;0,IF(COUNTIF($F219:Klisz_Verbräuche[[#This Row],[2030]],"&gt;0")&gt;0,Klisz_Verbräuche[[#This Row],[2030]]*(1-$E219)^5, ""), ""),IF($B$57&gt;Klisz_Verbräuche[[#Headers],[2035]],Refsz_Verbräuche[[#This Row],[2035]],"")))</f>
        <v/>
      </c>
      <c r="W219" s="57" t="str">
        <f>IF(Klisz_Verbräuche[[#Headers],[2040]]=$B$57,IF(COUNTIF($F219:Klisz_Verbräuche[[#This Row],[2035]],"&gt;0")&gt;0, AVERAGEIF($F219:Klisz_Verbräuche[[#This Row],[2035]],"&lt;&gt;"), ""),IF($B$57&lt;Klisz_Verbräuche[[#Headers],[2040]],IF(COUNTIF($F219:Klisz_Verbräuche[[#This Row],[2035]],"&gt;0")&gt;0,IF(COUNTIF($F219:Klisz_Verbräuche[[#This Row],[2035]],"&gt;0")&gt;0,Klisz_Verbräuche[[#This Row],[2035]]*(1-$E219)^5, ""), ""),IF($B$57&gt;Klisz_Verbräuche[[#Headers],[2040]],Refsz_Verbräuche[[#This Row],[2040]],"")))</f>
        <v/>
      </c>
      <c r="X219" s="57" t="str">
        <f>IF(Klisz_Verbräuche[[#Headers],[2045]]=$B$57,IF(COUNTIF($F219:Klisz_Verbräuche[[#This Row],[2040]],"&gt;0")&gt;0, AVERAGEIF($F219:Klisz_Verbräuche[[#This Row],[2040]],"&lt;&gt;"), ""),IF($B$57&lt;Klisz_Verbräuche[[#Headers],[2045]],IF(COUNTIF($F219:Klisz_Verbräuche[[#This Row],[2040]],"&gt;0")&gt;0,IF(COUNTIF($F219:Klisz_Verbräuche[[#This Row],[2040]],"&gt;0")&gt;0,Klisz_Verbräuche[[#This Row],[2040]]*(1-$E219)^5, ""), ""),IF($B$57&gt;Klisz_Verbräuche[[#Headers],[2045]],Refsz_Verbräuche[[#This Row],[2045]],"")))</f>
        <v/>
      </c>
      <c r="Y219" s="57" t="str">
        <f>IF(Klisz_Verbräuche[[#Headers],[2050]]=$B$57,IF(COUNTIF($F219:Klisz_Verbräuche[[#This Row],[2045]],"&gt;0")&gt;0, AVERAGEIF($F219:Klisz_Verbräuche[[#This Row],[2045]],"&lt;&gt;"), ""),IF($B$57&lt;Klisz_Verbräuche[[#Headers],[2050]],IF(COUNTIF($F219:Klisz_Verbräuche[[#This Row],[2045]],"&gt;0")&gt;0,IF(COUNTIF($F219:Klisz_Verbräuche[[#This Row],[2045]],"&gt;0")&gt;0,Klisz_Verbräuche[[#This Row],[2045]]*(1-$E219)^5, ""), ""),IF($B$57&gt;Klisz_Verbräuche[[#Headers],[2050]],Refsz_Verbräuche[[#This Row],[2050]],"")))</f>
        <v/>
      </c>
      <c r="Z219" s="15"/>
    </row>
    <row r="220" spans="2:26" x14ac:dyDescent="0.35">
      <c r="B220" s="15">
        <v>160</v>
      </c>
      <c r="C220" s="20">
        <f>Refsz_Verbräuche[[#This Row],[Datenpunkt]]</f>
        <v>0</v>
      </c>
      <c r="D220" s="29">
        <f>Refsz_Verbräuche[[#This Row],[Einheit]]</f>
        <v>0</v>
      </c>
      <c r="E220" s="122"/>
      <c r="F220" s="15" t="str">
        <f>IF(ISBLANK(Refsz_Verbräuche[[#This Row],[2015]]),"",Refsz_Verbräuche[[#This Row],[2015]])</f>
        <v/>
      </c>
      <c r="G220" s="15" t="str">
        <f>IF(ISBLANK(Refsz_Verbräuche[[#This Row],[2016]]),"",Refsz_Verbräuche[[#This Row],[2016]])</f>
        <v/>
      </c>
      <c r="H220" s="15" t="str">
        <f>IF(ISBLANK(Refsz_Verbräuche[[#This Row],[2017]]),"",Refsz_Verbräuche[[#This Row],[2017]])</f>
        <v/>
      </c>
      <c r="I220" s="15" t="str">
        <f>IF(ISBLANK(Refsz_Verbräuche[[#This Row],[2018]]),"",Refsz_Verbräuche[[#This Row],[2018]])</f>
        <v/>
      </c>
      <c r="J220" s="15" t="str">
        <f>IF(ISBLANK(Refsz_Verbräuche[[#This Row],[2019]]),"",Refsz_Verbräuche[[#This Row],[2019]])</f>
        <v/>
      </c>
      <c r="K220" s="15" t="str">
        <f>IF(ISBLANK(Refsz_Verbräuche[[#This Row],[2020]]),"",Refsz_Verbräuche[[#This Row],[2020]])</f>
        <v/>
      </c>
      <c r="L220" s="15" t="str">
        <f>IF(ISBLANK(Refsz_Verbräuche[[#This Row],[2021]]),"",Refsz_Verbräuche[[#This Row],[2021]])</f>
        <v/>
      </c>
      <c r="M220" s="57" t="str">
        <f>IF(Klisz_Verbräuche[[#Headers],[2022]]=$B$57,IF(COUNTIF($F220:Klisz_Verbräuche[[#This Row],[2021]],"&gt;0")&gt;0, AVERAGEIF($F220:Klisz_Verbräuche[[#This Row],[2021]],"&lt;&gt;"), ""),IF($B$57&lt;Klisz_Verbräuche[[#Headers],[2022]],IF(COUNTIF($F220:Klisz_Verbräuche[[#This Row],[2021]],"&gt;0")&gt;0,IF(COUNTIF($F220:Klisz_Verbräuche[[#This Row],[2021]],"&gt;0")&gt;0,Klisz_Verbräuche[[#This Row],[2021]]*(1-$E220)^1, ""), ""),IF($B$57&gt;Klisz_Verbräuche[[#Headers],[2022]],Refsz_Verbräuche[[#This Row],[2022]],"")))</f>
        <v/>
      </c>
      <c r="N220" s="57" t="str">
        <f>IF(Klisz_Verbräuche[[#Headers],[2023]]=$B$57,IF(COUNTIF($F220:Klisz_Verbräuche[[#This Row],[2022]],"&gt;0")&gt;0, AVERAGEIF($F220:Klisz_Verbräuche[[#This Row],[2022]],"&lt;&gt;"), ""),IF($B$57&lt;Klisz_Verbräuche[[#Headers],[2023]],IF(COUNTIF($F220:Klisz_Verbräuche[[#This Row],[2022]],"&gt;0")&gt;0,IF(COUNTIF($F220:Klisz_Verbräuche[[#This Row],[2022]],"&gt;0")&gt;0,Klisz_Verbräuche[[#This Row],[2022]]*(1-$E220)^1, ""), ""),IF($B$57&gt;Klisz_Verbräuche[[#Headers],[2023]],Refsz_Verbräuche[[#This Row],[2023]],"")))</f>
        <v/>
      </c>
      <c r="O220" s="57" t="str">
        <f>IF(Klisz_Verbräuche[[#Headers],[2024]]=$B$57,IF(COUNTIF($F220:Klisz_Verbräuche[[#This Row],[2023]],"&gt;0")&gt;0, AVERAGEIF($F220:Klisz_Verbräuche[[#This Row],[2023]],"&lt;&gt;"), ""),IF($B$57&lt;Klisz_Verbräuche[[#Headers],[2024]],IF(COUNTIF($F220:Klisz_Verbräuche[[#This Row],[2023]],"&gt;0")&gt;0,IF(COUNTIF($F220:Klisz_Verbräuche[[#This Row],[2023]],"&gt;0")&gt;0,Klisz_Verbräuche[[#This Row],[2023]]*(1-$E220)^1, ""), ""),IF($B$57&gt;Klisz_Verbräuche[[#Headers],[2024]],Refsz_Verbräuche[[#This Row],[2024]],"")))</f>
        <v/>
      </c>
      <c r="P220" s="57" t="str">
        <f>IF(Klisz_Verbräuche[[#Headers],[2025]]=$B$57,IF(COUNTIF($F220:Klisz_Verbräuche[[#This Row],[2024]],"&gt;0")&gt;0, AVERAGEIF($F220:Klisz_Verbräuche[[#This Row],[2024]],"&lt;&gt;"), ""),IF($B$57&lt;Klisz_Verbräuche[[#Headers],[2025]],IF(COUNTIF($F220:Klisz_Verbräuche[[#This Row],[2024]],"&gt;0")&gt;0,IF(COUNTIF($F220:Klisz_Verbräuche[[#This Row],[2024]],"&gt;0")&gt;0,Klisz_Verbräuche[[#This Row],[2024]]*(1-$E220)^1, ""), ""),IF($B$57&gt;Klisz_Verbräuche[[#Headers],[2025]],Refsz_Verbräuche[[#This Row],[2025]],"")))</f>
        <v/>
      </c>
      <c r="Q220" s="57" t="str">
        <f>IF(Klisz_Verbräuche[[#Headers],[2026]]=$B$57,IF(COUNTIF($F220:Klisz_Verbräuche[[#This Row],[2025]],"&gt;0")&gt;0, AVERAGEIF($F220:Klisz_Verbräuche[[#This Row],[2025]],"&lt;&gt;"), ""),IF($B$57&lt;Klisz_Verbräuche[[#Headers],[2026]],IF(COUNTIF($F220:Klisz_Verbräuche[[#This Row],[2025]],"&gt;0")&gt;0,IF(COUNTIF($F220:Klisz_Verbräuche[[#This Row],[2025]],"&gt;0")&gt;0,Klisz_Verbräuche[[#This Row],[2025]]*(1-$E220)^1, ""), ""),IF($B$57&gt;Klisz_Verbräuche[[#Headers],[2026]],Refsz_Verbräuche[[#This Row],[2026]],"")))</f>
        <v/>
      </c>
      <c r="R220" s="57" t="str">
        <f>IF(Klisz_Verbräuche[[#Headers],[2027]]=$B$57,IF(COUNTIF($F220:Klisz_Verbräuche[[#This Row],[2026]],"&gt;0")&gt;0, AVERAGEIF($F220:Klisz_Verbräuche[[#This Row],[2026]],"&lt;&gt;"), ""),IF($B$57&lt;Klisz_Verbräuche[[#Headers],[2027]],IF(COUNTIF($F220:Klisz_Verbräuche[[#This Row],[2026]],"&gt;0")&gt;0,IF(COUNTIF($F220:Klisz_Verbräuche[[#This Row],[2026]],"&gt;0")&gt;0,Klisz_Verbräuche[[#This Row],[2026]]*(1-$E220)^1, ""), ""),IF($B$57&gt;Klisz_Verbräuche[[#Headers],[2027]],Refsz_Verbräuche[[#This Row],[2027]],"")))</f>
        <v/>
      </c>
      <c r="S220" s="57" t="str">
        <f>IF(Klisz_Verbräuche[[#Headers],[2028]]=$B$57,IF(COUNTIF($F220:Klisz_Verbräuche[[#This Row],[2027]],"&gt;0")&gt;0, AVERAGEIF($F220:Klisz_Verbräuche[[#This Row],[2027]],"&lt;&gt;"), ""),IF($B$57&lt;Klisz_Verbräuche[[#Headers],[2028]],IF(COUNTIF($F220:Klisz_Verbräuche[[#This Row],[2027]],"&gt;0")&gt;0,IF(COUNTIF($F220:Klisz_Verbräuche[[#This Row],[2027]],"&gt;0")&gt;0,Klisz_Verbräuche[[#This Row],[2027]]*(1-$E220)^1, ""), ""),IF($B$57&gt;Klisz_Verbräuche[[#Headers],[2028]],Refsz_Verbräuche[[#This Row],[2028]],"")))</f>
        <v/>
      </c>
      <c r="T220" s="57" t="str">
        <f>IF(Klisz_Verbräuche[[#Headers],[2029]]=$B$57,IF(COUNTIF($F220:Klisz_Verbräuche[[#This Row],[2028]],"&gt;0")&gt;0, AVERAGEIF($F220:Klisz_Verbräuche[[#This Row],[2028]],"&lt;&gt;"), ""),IF($B$57&lt;Klisz_Verbräuche[[#Headers],[2029]],IF(COUNTIF($F220:Klisz_Verbräuche[[#This Row],[2028]],"&gt;0")&gt;0,IF(COUNTIF($F220:Klisz_Verbräuche[[#This Row],[2028]],"&gt;0")&gt;0,Klisz_Verbräuche[[#This Row],[2028]]*(1-$E220)^1, ""), ""),IF($B$57&gt;Klisz_Verbräuche[[#Headers],[2029]],Refsz_Verbräuche[[#This Row],[2029]],"")))</f>
        <v/>
      </c>
      <c r="U220" s="57" t="str">
        <f>IF(Klisz_Verbräuche[[#Headers],[2030]]=$B$57,IF(COUNTIF($F220:Klisz_Verbräuche[[#This Row],[2029]],"&gt;0")&gt;0, AVERAGEIF($F220:Klisz_Verbräuche[[#This Row],[2029]],"&lt;&gt;"), ""),IF($B$57&lt;Klisz_Verbräuche[[#Headers],[2030]],IF(COUNTIF($F220:Klisz_Verbräuche[[#This Row],[2029]],"&gt;0")&gt;0,IF(COUNTIF($F220:Klisz_Verbräuche[[#This Row],[2029]],"&gt;0")&gt;0,Klisz_Verbräuche[[#This Row],[2029]]*(1-$E220)^1, ""), ""),IF($B$57&gt;Klisz_Verbräuche[[#Headers],[2030]],Refsz_Verbräuche[[#This Row],[2030]],"")))</f>
        <v/>
      </c>
      <c r="V220" s="57" t="str">
        <f>IF(Klisz_Verbräuche[[#Headers],[2035]]=$B$57,IF(COUNTIF($F220:Klisz_Verbräuche[[#This Row],[2030]],"&gt;0")&gt;0, AVERAGEIF($F220:Klisz_Verbräuche[[#This Row],[2030]],"&lt;&gt;"), ""),IF($B$57&lt;Klisz_Verbräuche[[#Headers],[2035]],IF(COUNTIF($F220:Klisz_Verbräuche[[#This Row],[2030]],"&gt;0")&gt;0,IF(COUNTIF($F220:Klisz_Verbräuche[[#This Row],[2030]],"&gt;0")&gt;0,Klisz_Verbräuche[[#This Row],[2030]]*(1-$E220)^5, ""), ""),IF($B$57&gt;Klisz_Verbräuche[[#Headers],[2035]],Refsz_Verbräuche[[#This Row],[2035]],"")))</f>
        <v/>
      </c>
      <c r="W220" s="57" t="str">
        <f>IF(Klisz_Verbräuche[[#Headers],[2040]]=$B$57,IF(COUNTIF($F220:Klisz_Verbräuche[[#This Row],[2035]],"&gt;0")&gt;0, AVERAGEIF($F220:Klisz_Verbräuche[[#This Row],[2035]],"&lt;&gt;"), ""),IF($B$57&lt;Klisz_Verbräuche[[#Headers],[2040]],IF(COUNTIF($F220:Klisz_Verbräuche[[#This Row],[2035]],"&gt;0")&gt;0,IF(COUNTIF($F220:Klisz_Verbräuche[[#This Row],[2035]],"&gt;0")&gt;0,Klisz_Verbräuche[[#This Row],[2035]]*(1-$E220)^5, ""), ""),IF($B$57&gt;Klisz_Verbräuche[[#Headers],[2040]],Refsz_Verbräuche[[#This Row],[2040]],"")))</f>
        <v/>
      </c>
      <c r="X220" s="57" t="str">
        <f>IF(Klisz_Verbräuche[[#Headers],[2045]]=$B$57,IF(COUNTIF($F220:Klisz_Verbräuche[[#This Row],[2040]],"&gt;0")&gt;0, AVERAGEIF($F220:Klisz_Verbräuche[[#This Row],[2040]],"&lt;&gt;"), ""),IF($B$57&lt;Klisz_Verbräuche[[#Headers],[2045]],IF(COUNTIF($F220:Klisz_Verbräuche[[#This Row],[2040]],"&gt;0")&gt;0,IF(COUNTIF($F220:Klisz_Verbräuche[[#This Row],[2040]],"&gt;0")&gt;0,Klisz_Verbräuche[[#This Row],[2040]]*(1-$E220)^5, ""), ""),IF($B$57&gt;Klisz_Verbräuche[[#Headers],[2045]],Refsz_Verbräuche[[#This Row],[2045]],"")))</f>
        <v/>
      </c>
      <c r="Y220" s="57" t="str">
        <f>IF(Klisz_Verbräuche[[#Headers],[2050]]=$B$57,IF(COUNTIF($F220:Klisz_Verbräuche[[#This Row],[2045]],"&gt;0")&gt;0, AVERAGEIF($F220:Klisz_Verbräuche[[#This Row],[2045]],"&lt;&gt;"), ""),IF($B$57&lt;Klisz_Verbräuche[[#Headers],[2050]],IF(COUNTIF($F220:Klisz_Verbräuche[[#This Row],[2045]],"&gt;0")&gt;0,IF(COUNTIF($F220:Klisz_Verbräuche[[#This Row],[2045]],"&gt;0")&gt;0,Klisz_Verbräuche[[#This Row],[2045]]*(1-$E220)^5, ""), ""),IF($B$57&gt;Klisz_Verbräuche[[#Headers],[2050]],Refsz_Verbräuche[[#This Row],[2050]],"")))</f>
        <v/>
      </c>
      <c r="Z220" s="15"/>
    </row>
    <row r="221" spans="2:26" x14ac:dyDescent="0.35">
      <c r="B221" s="15">
        <v>161</v>
      </c>
      <c r="C221" s="20">
        <f>Refsz_Verbräuche[[#This Row],[Datenpunkt]]</f>
        <v>0</v>
      </c>
      <c r="D221" s="29">
        <f>Refsz_Verbräuche[[#This Row],[Einheit]]</f>
        <v>0</v>
      </c>
      <c r="E221" s="122"/>
      <c r="F221" s="15" t="str">
        <f>IF(ISBLANK(Refsz_Verbräuche[[#This Row],[2015]]),"",Refsz_Verbräuche[[#This Row],[2015]])</f>
        <v/>
      </c>
      <c r="G221" s="15" t="str">
        <f>IF(ISBLANK(Refsz_Verbräuche[[#This Row],[2016]]),"",Refsz_Verbräuche[[#This Row],[2016]])</f>
        <v/>
      </c>
      <c r="H221" s="15" t="str">
        <f>IF(ISBLANK(Refsz_Verbräuche[[#This Row],[2017]]),"",Refsz_Verbräuche[[#This Row],[2017]])</f>
        <v/>
      </c>
      <c r="I221" s="15" t="str">
        <f>IF(ISBLANK(Refsz_Verbräuche[[#This Row],[2018]]),"",Refsz_Verbräuche[[#This Row],[2018]])</f>
        <v/>
      </c>
      <c r="J221" s="15" t="str">
        <f>IF(ISBLANK(Refsz_Verbräuche[[#This Row],[2019]]),"",Refsz_Verbräuche[[#This Row],[2019]])</f>
        <v/>
      </c>
      <c r="K221" s="15" t="str">
        <f>IF(ISBLANK(Refsz_Verbräuche[[#This Row],[2020]]),"",Refsz_Verbräuche[[#This Row],[2020]])</f>
        <v/>
      </c>
      <c r="L221" s="15" t="str">
        <f>IF(ISBLANK(Refsz_Verbräuche[[#This Row],[2021]]),"",Refsz_Verbräuche[[#This Row],[2021]])</f>
        <v/>
      </c>
      <c r="M221" s="57" t="str">
        <f>IF(Klisz_Verbräuche[[#Headers],[2022]]=$B$57,IF(COUNTIF($F221:Klisz_Verbräuche[[#This Row],[2021]],"&gt;0")&gt;0, AVERAGEIF($F221:Klisz_Verbräuche[[#This Row],[2021]],"&lt;&gt;"), ""),IF($B$57&lt;Klisz_Verbräuche[[#Headers],[2022]],IF(COUNTIF($F221:Klisz_Verbräuche[[#This Row],[2021]],"&gt;0")&gt;0,IF(COUNTIF($F221:Klisz_Verbräuche[[#This Row],[2021]],"&gt;0")&gt;0,Klisz_Verbräuche[[#This Row],[2021]]*(1-$E221)^1, ""), ""),IF($B$57&gt;Klisz_Verbräuche[[#Headers],[2022]],Refsz_Verbräuche[[#This Row],[2022]],"")))</f>
        <v/>
      </c>
      <c r="N221" s="57" t="str">
        <f>IF(Klisz_Verbräuche[[#Headers],[2023]]=$B$57,IF(COUNTIF($F221:Klisz_Verbräuche[[#This Row],[2022]],"&gt;0")&gt;0, AVERAGEIF($F221:Klisz_Verbräuche[[#This Row],[2022]],"&lt;&gt;"), ""),IF($B$57&lt;Klisz_Verbräuche[[#Headers],[2023]],IF(COUNTIF($F221:Klisz_Verbräuche[[#This Row],[2022]],"&gt;0")&gt;0,IF(COUNTIF($F221:Klisz_Verbräuche[[#This Row],[2022]],"&gt;0")&gt;0,Klisz_Verbräuche[[#This Row],[2022]]*(1-$E221)^1, ""), ""),IF($B$57&gt;Klisz_Verbräuche[[#Headers],[2023]],Refsz_Verbräuche[[#This Row],[2023]],"")))</f>
        <v/>
      </c>
      <c r="O221" s="57" t="str">
        <f>IF(Klisz_Verbräuche[[#Headers],[2024]]=$B$57,IF(COUNTIF($F221:Klisz_Verbräuche[[#This Row],[2023]],"&gt;0")&gt;0, AVERAGEIF($F221:Klisz_Verbräuche[[#This Row],[2023]],"&lt;&gt;"), ""),IF($B$57&lt;Klisz_Verbräuche[[#Headers],[2024]],IF(COUNTIF($F221:Klisz_Verbräuche[[#This Row],[2023]],"&gt;0")&gt;0,IF(COUNTIF($F221:Klisz_Verbräuche[[#This Row],[2023]],"&gt;0")&gt;0,Klisz_Verbräuche[[#This Row],[2023]]*(1-$E221)^1, ""), ""),IF($B$57&gt;Klisz_Verbräuche[[#Headers],[2024]],Refsz_Verbräuche[[#This Row],[2024]],"")))</f>
        <v/>
      </c>
      <c r="P221" s="57" t="str">
        <f>IF(Klisz_Verbräuche[[#Headers],[2025]]=$B$57,IF(COUNTIF($F221:Klisz_Verbräuche[[#This Row],[2024]],"&gt;0")&gt;0, AVERAGEIF($F221:Klisz_Verbräuche[[#This Row],[2024]],"&lt;&gt;"), ""),IF($B$57&lt;Klisz_Verbräuche[[#Headers],[2025]],IF(COUNTIF($F221:Klisz_Verbräuche[[#This Row],[2024]],"&gt;0")&gt;0,IF(COUNTIF($F221:Klisz_Verbräuche[[#This Row],[2024]],"&gt;0")&gt;0,Klisz_Verbräuche[[#This Row],[2024]]*(1-$E221)^1, ""), ""),IF($B$57&gt;Klisz_Verbräuche[[#Headers],[2025]],Refsz_Verbräuche[[#This Row],[2025]],"")))</f>
        <v/>
      </c>
      <c r="Q221" s="57" t="str">
        <f>IF(Klisz_Verbräuche[[#Headers],[2026]]=$B$57,IF(COUNTIF($F221:Klisz_Verbräuche[[#This Row],[2025]],"&gt;0")&gt;0, AVERAGEIF($F221:Klisz_Verbräuche[[#This Row],[2025]],"&lt;&gt;"), ""),IF($B$57&lt;Klisz_Verbräuche[[#Headers],[2026]],IF(COUNTIF($F221:Klisz_Verbräuche[[#This Row],[2025]],"&gt;0")&gt;0,IF(COUNTIF($F221:Klisz_Verbräuche[[#This Row],[2025]],"&gt;0")&gt;0,Klisz_Verbräuche[[#This Row],[2025]]*(1-$E221)^1, ""), ""),IF($B$57&gt;Klisz_Verbräuche[[#Headers],[2026]],Refsz_Verbräuche[[#This Row],[2026]],"")))</f>
        <v/>
      </c>
      <c r="R221" s="57" t="str">
        <f>IF(Klisz_Verbräuche[[#Headers],[2027]]=$B$57,IF(COUNTIF($F221:Klisz_Verbräuche[[#This Row],[2026]],"&gt;0")&gt;0, AVERAGEIF($F221:Klisz_Verbräuche[[#This Row],[2026]],"&lt;&gt;"), ""),IF($B$57&lt;Klisz_Verbräuche[[#Headers],[2027]],IF(COUNTIF($F221:Klisz_Verbräuche[[#This Row],[2026]],"&gt;0")&gt;0,IF(COUNTIF($F221:Klisz_Verbräuche[[#This Row],[2026]],"&gt;0")&gt;0,Klisz_Verbräuche[[#This Row],[2026]]*(1-$E221)^1, ""), ""),IF($B$57&gt;Klisz_Verbräuche[[#Headers],[2027]],Refsz_Verbräuche[[#This Row],[2027]],"")))</f>
        <v/>
      </c>
      <c r="S221" s="57" t="str">
        <f>IF(Klisz_Verbräuche[[#Headers],[2028]]=$B$57,IF(COUNTIF($F221:Klisz_Verbräuche[[#This Row],[2027]],"&gt;0")&gt;0, AVERAGEIF($F221:Klisz_Verbräuche[[#This Row],[2027]],"&lt;&gt;"), ""),IF($B$57&lt;Klisz_Verbräuche[[#Headers],[2028]],IF(COUNTIF($F221:Klisz_Verbräuche[[#This Row],[2027]],"&gt;0")&gt;0,IF(COUNTIF($F221:Klisz_Verbräuche[[#This Row],[2027]],"&gt;0")&gt;0,Klisz_Verbräuche[[#This Row],[2027]]*(1-$E221)^1, ""), ""),IF($B$57&gt;Klisz_Verbräuche[[#Headers],[2028]],Refsz_Verbräuche[[#This Row],[2028]],"")))</f>
        <v/>
      </c>
      <c r="T221" s="57" t="str">
        <f>IF(Klisz_Verbräuche[[#Headers],[2029]]=$B$57,IF(COUNTIF($F221:Klisz_Verbräuche[[#This Row],[2028]],"&gt;0")&gt;0, AVERAGEIF($F221:Klisz_Verbräuche[[#This Row],[2028]],"&lt;&gt;"), ""),IF($B$57&lt;Klisz_Verbräuche[[#Headers],[2029]],IF(COUNTIF($F221:Klisz_Verbräuche[[#This Row],[2028]],"&gt;0")&gt;0,IF(COUNTIF($F221:Klisz_Verbräuche[[#This Row],[2028]],"&gt;0")&gt;0,Klisz_Verbräuche[[#This Row],[2028]]*(1-$E221)^1, ""), ""),IF($B$57&gt;Klisz_Verbräuche[[#Headers],[2029]],Refsz_Verbräuche[[#This Row],[2029]],"")))</f>
        <v/>
      </c>
      <c r="U221" s="57" t="str">
        <f>IF(Klisz_Verbräuche[[#Headers],[2030]]=$B$57,IF(COUNTIF($F221:Klisz_Verbräuche[[#This Row],[2029]],"&gt;0")&gt;0, AVERAGEIF($F221:Klisz_Verbräuche[[#This Row],[2029]],"&lt;&gt;"), ""),IF($B$57&lt;Klisz_Verbräuche[[#Headers],[2030]],IF(COUNTIF($F221:Klisz_Verbräuche[[#This Row],[2029]],"&gt;0")&gt;0,IF(COUNTIF($F221:Klisz_Verbräuche[[#This Row],[2029]],"&gt;0")&gt;0,Klisz_Verbräuche[[#This Row],[2029]]*(1-$E221)^1, ""), ""),IF($B$57&gt;Klisz_Verbräuche[[#Headers],[2030]],Refsz_Verbräuche[[#This Row],[2030]],"")))</f>
        <v/>
      </c>
      <c r="V221" s="57" t="str">
        <f>IF(Klisz_Verbräuche[[#Headers],[2035]]=$B$57,IF(COUNTIF($F221:Klisz_Verbräuche[[#This Row],[2030]],"&gt;0")&gt;0, AVERAGEIF($F221:Klisz_Verbräuche[[#This Row],[2030]],"&lt;&gt;"), ""),IF($B$57&lt;Klisz_Verbräuche[[#Headers],[2035]],IF(COUNTIF($F221:Klisz_Verbräuche[[#This Row],[2030]],"&gt;0")&gt;0,IF(COUNTIF($F221:Klisz_Verbräuche[[#This Row],[2030]],"&gt;0")&gt;0,Klisz_Verbräuche[[#This Row],[2030]]*(1-$E221)^5, ""), ""),IF($B$57&gt;Klisz_Verbräuche[[#Headers],[2035]],Refsz_Verbräuche[[#This Row],[2035]],"")))</f>
        <v/>
      </c>
      <c r="W221" s="57" t="str">
        <f>IF(Klisz_Verbräuche[[#Headers],[2040]]=$B$57,IF(COUNTIF($F221:Klisz_Verbräuche[[#This Row],[2035]],"&gt;0")&gt;0, AVERAGEIF($F221:Klisz_Verbräuche[[#This Row],[2035]],"&lt;&gt;"), ""),IF($B$57&lt;Klisz_Verbräuche[[#Headers],[2040]],IF(COUNTIF($F221:Klisz_Verbräuche[[#This Row],[2035]],"&gt;0")&gt;0,IF(COUNTIF($F221:Klisz_Verbräuche[[#This Row],[2035]],"&gt;0")&gt;0,Klisz_Verbräuche[[#This Row],[2035]]*(1-$E221)^5, ""), ""),IF($B$57&gt;Klisz_Verbräuche[[#Headers],[2040]],Refsz_Verbräuche[[#This Row],[2040]],"")))</f>
        <v/>
      </c>
      <c r="X221" s="57" t="str">
        <f>IF(Klisz_Verbräuche[[#Headers],[2045]]=$B$57,IF(COUNTIF($F221:Klisz_Verbräuche[[#This Row],[2040]],"&gt;0")&gt;0, AVERAGEIF($F221:Klisz_Verbräuche[[#This Row],[2040]],"&lt;&gt;"), ""),IF($B$57&lt;Klisz_Verbräuche[[#Headers],[2045]],IF(COUNTIF($F221:Klisz_Verbräuche[[#This Row],[2040]],"&gt;0")&gt;0,IF(COUNTIF($F221:Klisz_Verbräuche[[#This Row],[2040]],"&gt;0")&gt;0,Klisz_Verbräuche[[#This Row],[2040]]*(1-$E221)^5, ""), ""),IF($B$57&gt;Klisz_Verbräuche[[#Headers],[2045]],Refsz_Verbräuche[[#This Row],[2045]],"")))</f>
        <v/>
      </c>
      <c r="Y221" s="57" t="str">
        <f>IF(Klisz_Verbräuche[[#Headers],[2050]]=$B$57,IF(COUNTIF($F221:Klisz_Verbräuche[[#This Row],[2045]],"&gt;0")&gt;0, AVERAGEIF($F221:Klisz_Verbräuche[[#This Row],[2045]],"&lt;&gt;"), ""),IF($B$57&lt;Klisz_Verbräuche[[#Headers],[2050]],IF(COUNTIF($F221:Klisz_Verbräuche[[#This Row],[2045]],"&gt;0")&gt;0,IF(COUNTIF($F221:Klisz_Verbräuche[[#This Row],[2045]],"&gt;0")&gt;0,Klisz_Verbräuche[[#This Row],[2045]]*(1-$E221)^5, ""), ""),IF($B$57&gt;Klisz_Verbräuche[[#Headers],[2050]],Refsz_Verbräuche[[#This Row],[2050]],"")))</f>
        <v/>
      </c>
      <c r="Z221" s="15"/>
    </row>
  </sheetData>
  <mergeCells count="1">
    <mergeCell ref="D4:E4"/>
  </mergeCells>
  <conditionalFormatting sqref="M61:Y221">
    <cfRule type="expression" dxfId="1092" priority="23">
      <formula>M$60&gt;=$B$57</formula>
    </cfRule>
  </conditionalFormatting>
  <hyperlinks>
    <hyperlink ref="B1" location="'Refsz-Verbräuche'!B1" tooltip="Zurück zur Einleitung" display="Zur Dateneingabe der Verbräuche (Ist-Bilanz und Referenzszenario)" xr:uid="{3E772982-00D2-4668-A16D-6174BCCB8DA7}"/>
    <hyperlink ref="E1" r:id="rId1" tooltip="Kontakt zur Autorin" display="Kontakt zur Autorin" xr:uid="{78DDCA14-A0AF-4F22-B709-52E5DB06CF12}"/>
  </hyperlinks>
  <pageMargins left="0.7" right="0.7" top="0.78740157499999996" bottom="0.78740157499999996" header="0.3" footer="0.3"/>
  <pageSetup paperSize="9" orientation="portrait" r:id="rId2"/>
  <drawing r:id="rId3"/>
  <tableParts count="1">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68DD2-4759-4579-ACA4-C190BCE72303}">
  <sheetPr>
    <tabColor rgb="FF92D050"/>
  </sheetPr>
  <dimension ref="B1:V53"/>
  <sheetViews>
    <sheetView showGridLines="0" zoomScale="125" zoomScaleNormal="130" workbookViewId="0">
      <pane xSplit="2" ySplit="1" topLeftCell="C2" activePane="bottomRight" state="frozen"/>
      <selection pane="topRight" activeCell="C1" sqref="C1"/>
      <selection pane="bottomLeft" activeCell="A2" sqref="A2"/>
      <selection pane="bottomRight" activeCell="B1" sqref="B1"/>
    </sheetView>
  </sheetViews>
  <sheetFormatPr baseColWidth="10" defaultRowHeight="14.5" x14ac:dyDescent="0.35"/>
  <cols>
    <col min="1" max="1" width="3.81640625" customWidth="1"/>
    <col min="2" max="2" width="50.26953125" customWidth="1"/>
    <col min="3" max="3" width="17" customWidth="1"/>
    <col min="5" max="5" width="11.54296875" customWidth="1"/>
  </cols>
  <sheetData>
    <row r="1" spans="2:10" x14ac:dyDescent="0.35">
      <c r="B1" s="4" t="s">
        <v>553</v>
      </c>
      <c r="E1" s="3" t="s">
        <v>590</v>
      </c>
      <c r="J1" s="28"/>
    </row>
    <row r="3" spans="2:10" ht="18.5" x14ac:dyDescent="0.45">
      <c r="B3" s="26" t="s">
        <v>173</v>
      </c>
    </row>
    <row r="5" spans="2:10" ht="15.5" x14ac:dyDescent="0.35">
      <c r="B5" s="45"/>
    </row>
    <row r="9" spans="2:10" x14ac:dyDescent="0.35">
      <c r="B9" s="8"/>
    </row>
    <row r="15" spans="2:10" x14ac:dyDescent="0.35">
      <c r="B15" t="s">
        <v>173</v>
      </c>
      <c r="C15" t="s">
        <v>174</v>
      </c>
    </row>
    <row r="16" spans="2:10" x14ac:dyDescent="0.35">
      <c r="B16" t="s">
        <v>176</v>
      </c>
      <c r="C16">
        <v>1</v>
      </c>
    </row>
    <row r="17" spans="2:22" x14ac:dyDescent="0.35">
      <c r="B17" t="s">
        <v>175</v>
      </c>
      <c r="C17">
        <v>0.5</v>
      </c>
    </row>
    <row r="18" spans="2:22" x14ac:dyDescent="0.35">
      <c r="B18" t="s">
        <v>177</v>
      </c>
      <c r="C18">
        <v>0.25</v>
      </c>
      <c r="E18" s="14"/>
    </row>
    <row r="19" spans="2:22" x14ac:dyDescent="0.35">
      <c r="B19" t="s">
        <v>178</v>
      </c>
      <c r="C19">
        <v>0</v>
      </c>
    </row>
    <row r="21" spans="2:22" x14ac:dyDescent="0.35">
      <c r="B21" t="s">
        <v>512</v>
      </c>
      <c r="C21" t="s">
        <v>3</v>
      </c>
      <c r="D21" t="s">
        <v>4</v>
      </c>
      <c r="E21" t="s">
        <v>5</v>
      </c>
      <c r="F21" t="s">
        <v>6</v>
      </c>
      <c r="G21" t="s">
        <v>7</v>
      </c>
      <c r="H21" t="s">
        <v>8</v>
      </c>
      <c r="I21" t="s">
        <v>9</v>
      </c>
      <c r="J21" t="s">
        <v>10</v>
      </c>
      <c r="K21" t="s">
        <v>11</v>
      </c>
      <c r="L21" t="s">
        <v>12</v>
      </c>
      <c r="M21" t="s">
        <v>13</v>
      </c>
      <c r="N21" t="s">
        <v>14</v>
      </c>
      <c r="O21" t="s">
        <v>232</v>
      </c>
      <c r="P21" t="s">
        <v>233</v>
      </c>
      <c r="Q21" t="s">
        <v>234</v>
      </c>
      <c r="R21" t="s">
        <v>15</v>
      </c>
      <c r="S21" t="s">
        <v>16</v>
      </c>
      <c r="T21" t="s">
        <v>17</v>
      </c>
      <c r="U21" t="s">
        <v>18</v>
      </c>
      <c r="V21" t="s">
        <v>19</v>
      </c>
    </row>
    <row r="22" spans="2:22" x14ac:dyDescent="0.35">
      <c r="B22" s="49" t="str">
        <f>'Refsz-Verbräuche'!C61</f>
        <v>Elektrischer Strom (Bundesmix)</v>
      </c>
      <c r="C22" s="118"/>
      <c r="D22" s="118"/>
      <c r="E22" s="118"/>
      <c r="F22" s="118"/>
      <c r="G22" s="118"/>
      <c r="H22" s="118"/>
      <c r="I22" s="118"/>
      <c r="J22" s="118">
        <f>IF(OR((Datengüte_Eingabe[[#Headers],[2022]]&gt;'Refsz-Verbräuche'!$B$43),(Datengüte_Eingabe[[#Headers],[2022]]='Refsz-Verbräuche'!$B$43)),0.25,"")</f>
        <v>0.25</v>
      </c>
      <c r="K22" s="118">
        <f>IF(OR((Datengüte_Eingabe[[#Headers],[2023]]&gt;'Refsz-Verbräuche'!$B$43),(Datengüte_Eingabe[[#Headers],[2023]]='Refsz-Verbräuche'!$B$43)),0.25,"")</f>
        <v>0.25</v>
      </c>
      <c r="L22" s="118">
        <f>IF(OR((Datengüte_Eingabe[[#Headers],[2024]]&gt;'Refsz-Verbräuche'!$B$43),(Datengüte_Eingabe[[#Headers],[2024]]='Refsz-Verbräuche'!$B$43)),0.25,"")</f>
        <v>0.25</v>
      </c>
      <c r="M22" s="118">
        <f>IF(OR((Datengüte_Eingabe[[#Headers],[2025]]&gt;'Refsz-Verbräuche'!$B$43),(Datengüte_Eingabe[[#Headers],[2025]]='Refsz-Verbräuche'!$B$43)),0.25,"")</f>
        <v>0.25</v>
      </c>
      <c r="N22" s="118">
        <f>IF(OR((Datengüte_Eingabe[[#Headers],[2026]]&gt;'Refsz-Verbräuche'!$B$43),(Datengüte_Eingabe[[#Headers],[2026]]='Refsz-Verbräuche'!$B$43)),0.25,"")</f>
        <v>0.25</v>
      </c>
      <c r="O22" s="118">
        <f>IF(OR((Datengüte_Eingabe[[#Headers],[2027]]&gt;'Refsz-Verbräuche'!$B$43),(Datengüte_Eingabe[[#Headers],[2027]]='Refsz-Verbräuche'!$B$43)),0.25,"")</f>
        <v>0.25</v>
      </c>
      <c r="P22" s="118">
        <f>IF(OR((Datengüte_Eingabe[[#Headers],[2028]]&gt;'Refsz-Verbräuche'!$B$43),(Datengüte_Eingabe[[#Headers],[2028]]='Refsz-Verbräuche'!$B$43)),0.25,"")</f>
        <v>0.25</v>
      </c>
      <c r="Q22" s="118">
        <f>IF(OR((Datengüte_Eingabe[[#Headers],[2029]]&gt;'Refsz-Verbräuche'!$B$43),(Datengüte_Eingabe[[#Headers],[2029]]='Refsz-Verbräuche'!$B$43)),0.25,"")</f>
        <v>0.25</v>
      </c>
      <c r="R22" s="118">
        <f>IF(OR((Datengüte_Eingabe[[#Headers],[2030]]&gt;'Refsz-Verbräuche'!$B$43),(Datengüte_Eingabe[[#Headers],[2030]]='Refsz-Verbräuche'!$B$43)),0.25,"")</f>
        <v>0.25</v>
      </c>
      <c r="S22" s="118">
        <f>IF(OR((Datengüte_Eingabe[[#Headers],[2035]]&gt;'Refsz-Verbräuche'!$B$43),(Datengüte_Eingabe[[#Headers],[2035]]='Refsz-Verbräuche'!$B$43)),0.25,"")</f>
        <v>0.25</v>
      </c>
      <c r="T22" s="118">
        <f>IF(OR((Datengüte_Eingabe[[#Headers],[2040]]&gt;'Refsz-Verbräuche'!$B$43),(Datengüte_Eingabe[[#Headers],[2040]]='Refsz-Verbräuche'!$B$43)),0.25,"")</f>
        <v>0.25</v>
      </c>
      <c r="U22" s="118">
        <f>IF(OR((Datengüte_Eingabe[[#Headers],[2045]]&gt;'Refsz-Verbräuche'!$B$43),(Datengüte_Eingabe[[#Headers],[2045]]='Refsz-Verbräuche'!$B$43)),0.25,"")</f>
        <v>0.25</v>
      </c>
      <c r="V22" s="118">
        <f>IF(OR((Datengüte_Eingabe[[#Headers],[2050]]&gt;'Refsz-Verbräuche'!$B$43),(Datengüte_Eingabe[[#Headers],[2050]]='Refsz-Verbräuche'!$B$43)),0.25,"")</f>
        <v>0.25</v>
      </c>
    </row>
    <row r="23" spans="2:22" x14ac:dyDescent="0.35">
      <c r="B23" s="49" t="str">
        <f>'Refsz-Verbräuche'!C63</f>
        <v>Elektrischer Strom (individueller Strommix Einrichtung 1)</v>
      </c>
      <c r="C23" s="118"/>
      <c r="D23" s="118"/>
      <c r="E23" s="118"/>
      <c r="F23" s="118"/>
      <c r="G23" s="118"/>
      <c r="H23" s="118"/>
      <c r="I23" s="118"/>
      <c r="J23" s="118">
        <f>IF(OR((Datengüte_Eingabe[[#Headers],[2022]]&gt;'Refsz-Verbräuche'!$B$43),(Datengüte_Eingabe[[#Headers],[2022]]='Refsz-Verbräuche'!$B$43)),0.25,"")</f>
        <v>0.25</v>
      </c>
      <c r="K23" s="118">
        <f>IF(OR((Datengüte_Eingabe[[#Headers],[2023]]&gt;'Refsz-Verbräuche'!$B$43),(Datengüte_Eingabe[[#Headers],[2023]]='Refsz-Verbräuche'!$B$43)),0.25,"")</f>
        <v>0.25</v>
      </c>
      <c r="L23" s="118">
        <f>IF(OR((Datengüte_Eingabe[[#Headers],[2024]]&gt;'Refsz-Verbräuche'!$B$43),(Datengüte_Eingabe[[#Headers],[2024]]='Refsz-Verbräuche'!$B$43)),0.25,"")</f>
        <v>0.25</v>
      </c>
      <c r="M23" s="118">
        <f>IF(OR((Datengüte_Eingabe[[#Headers],[2025]]&gt;'Refsz-Verbräuche'!$B$43),(Datengüte_Eingabe[[#Headers],[2025]]='Refsz-Verbräuche'!$B$43)),0.25,"")</f>
        <v>0.25</v>
      </c>
      <c r="N23" s="118">
        <f>IF(OR((Datengüte_Eingabe[[#Headers],[2026]]&gt;'Refsz-Verbräuche'!$B$43),(Datengüte_Eingabe[[#Headers],[2026]]='Refsz-Verbräuche'!$B$43)),0.25,"")</f>
        <v>0.25</v>
      </c>
      <c r="O23" s="118">
        <f>IF(OR((Datengüte_Eingabe[[#Headers],[2027]]&gt;'Refsz-Verbräuche'!$B$43),(Datengüte_Eingabe[[#Headers],[2027]]='Refsz-Verbräuche'!$B$43)),0.25,"")</f>
        <v>0.25</v>
      </c>
      <c r="P23" s="118">
        <f>IF(OR((Datengüte_Eingabe[[#Headers],[2028]]&gt;'Refsz-Verbräuche'!$B$43),(Datengüte_Eingabe[[#Headers],[2028]]='Refsz-Verbräuche'!$B$43)),0.25,"")</f>
        <v>0.25</v>
      </c>
      <c r="Q23" s="118">
        <f>IF(OR((Datengüte_Eingabe[[#Headers],[2029]]&gt;'Refsz-Verbräuche'!$B$43),(Datengüte_Eingabe[[#Headers],[2029]]='Refsz-Verbräuche'!$B$43)),0.25,"")</f>
        <v>0.25</v>
      </c>
      <c r="R23" s="118">
        <f>IF(OR((Datengüte_Eingabe[[#Headers],[2030]]&gt;'Refsz-Verbräuche'!$B$43),(Datengüte_Eingabe[[#Headers],[2030]]='Refsz-Verbräuche'!$B$43)),0.25,"")</f>
        <v>0.25</v>
      </c>
      <c r="S23" s="118">
        <f>IF(OR((Datengüte_Eingabe[[#Headers],[2035]]&gt;'Refsz-Verbräuche'!$B$43),(Datengüte_Eingabe[[#Headers],[2035]]='Refsz-Verbräuche'!$B$43)),0.25,"")</f>
        <v>0.25</v>
      </c>
      <c r="T23" s="118">
        <f>IF(OR((Datengüte_Eingabe[[#Headers],[2040]]&gt;'Refsz-Verbräuche'!$B$43),(Datengüte_Eingabe[[#Headers],[2040]]='Refsz-Verbräuche'!$B$43)),0.25,"")</f>
        <v>0.25</v>
      </c>
      <c r="U23" s="118">
        <f>IF(OR((Datengüte_Eingabe[[#Headers],[2045]]&gt;'Refsz-Verbräuche'!$B$43),(Datengüte_Eingabe[[#Headers],[2045]]='Refsz-Verbräuche'!$B$43)),0.25,"")</f>
        <v>0.25</v>
      </c>
      <c r="V23" s="118">
        <f>IF(OR((Datengüte_Eingabe[[#Headers],[2050]]&gt;'Refsz-Verbräuche'!$B$43),(Datengüte_Eingabe[[#Headers],[2050]]='Refsz-Verbräuche'!$B$43)),0.25,"")</f>
        <v>0.25</v>
      </c>
    </row>
    <row r="24" spans="2:22" x14ac:dyDescent="0.35">
      <c r="B24" s="49" t="str">
        <f>'Refsz-Verbräuche'!C64</f>
        <v>Elektrischer Strom (individueller Strommix Einrichtung 2)</v>
      </c>
      <c r="C24" s="118"/>
      <c r="D24" s="118"/>
      <c r="E24" s="118"/>
      <c r="F24" s="118"/>
      <c r="G24" s="118"/>
      <c r="H24" s="118"/>
      <c r="I24" s="118"/>
      <c r="J24" s="118">
        <f>IF(OR((Datengüte_Eingabe[[#Headers],[2022]]&gt;'Refsz-Verbräuche'!$B$43),(Datengüte_Eingabe[[#Headers],[2022]]='Refsz-Verbräuche'!$B$43)),0.25,"")</f>
        <v>0.25</v>
      </c>
      <c r="K24" s="118">
        <f>IF(OR((Datengüte_Eingabe[[#Headers],[2023]]&gt;'Refsz-Verbräuche'!$B$43),(Datengüte_Eingabe[[#Headers],[2023]]='Refsz-Verbräuche'!$B$43)),0.25,"")</f>
        <v>0.25</v>
      </c>
      <c r="L24" s="118">
        <f>IF(OR((Datengüte_Eingabe[[#Headers],[2024]]&gt;'Refsz-Verbräuche'!$B$43),(Datengüte_Eingabe[[#Headers],[2024]]='Refsz-Verbräuche'!$B$43)),0.25,"")</f>
        <v>0.25</v>
      </c>
      <c r="M24" s="118">
        <f>IF(OR((Datengüte_Eingabe[[#Headers],[2025]]&gt;'Refsz-Verbräuche'!$B$43),(Datengüte_Eingabe[[#Headers],[2025]]='Refsz-Verbräuche'!$B$43)),0.25,"")</f>
        <v>0.25</v>
      </c>
      <c r="N24" s="118">
        <f>IF(OR((Datengüte_Eingabe[[#Headers],[2026]]&gt;'Refsz-Verbräuche'!$B$43),(Datengüte_Eingabe[[#Headers],[2026]]='Refsz-Verbräuche'!$B$43)),0.25,"")</f>
        <v>0.25</v>
      </c>
      <c r="O24" s="118">
        <f>IF(OR((Datengüte_Eingabe[[#Headers],[2027]]&gt;'Refsz-Verbräuche'!$B$43),(Datengüte_Eingabe[[#Headers],[2027]]='Refsz-Verbräuche'!$B$43)),0.25,"")</f>
        <v>0.25</v>
      </c>
      <c r="P24" s="118">
        <f>IF(OR((Datengüte_Eingabe[[#Headers],[2028]]&gt;'Refsz-Verbräuche'!$B$43),(Datengüte_Eingabe[[#Headers],[2028]]='Refsz-Verbräuche'!$B$43)),0.25,"")</f>
        <v>0.25</v>
      </c>
      <c r="Q24" s="118">
        <f>IF(OR((Datengüte_Eingabe[[#Headers],[2029]]&gt;'Refsz-Verbräuche'!$B$43),(Datengüte_Eingabe[[#Headers],[2029]]='Refsz-Verbräuche'!$B$43)),0.25,"")</f>
        <v>0.25</v>
      </c>
      <c r="R24" s="118">
        <f>IF(OR((Datengüte_Eingabe[[#Headers],[2030]]&gt;'Refsz-Verbräuche'!$B$43),(Datengüte_Eingabe[[#Headers],[2030]]='Refsz-Verbräuche'!$B$43)),0.25,"")</f>
        <v>0.25</v>
      </c>
      <c r="S24" s="118">
        <f>IF(OR((Datengüte_Eingabe[[#Headers],[2035]]&gt;'Refsz-Verbräuche'!$B$43),(Datengüte_Eingabe[[#Headers],[2035]]='Refsz-Verbräuche'!$B$43)),0.25,"")</f>
        <v>0.25</v>
      </c>
      <c r="T24" s="118">
        <f>IF(OR((Datengüte_Eingabe[[#Headers],[2040]]&gt;'Refsz-Verbräuche'!$B$43),(Datengüte_Eingabe[[#Headers],[2040]]='Refsz-Verbräuche'!$B$43)),0.25,"")</f>
        <v>0.25</v>
      </c>
      <c r="U24" s="118">
        <f>IF(OR((Datengüte_Eingabe[[#Headers],[2045]]&gt;'Refsz-Verbräuche'!$B$43),(Datengüte_Eingabe[[#Headers],[2045]]='Refsz-Verbräuche'!$B$43)),0.25,"")</f>
        <v>0.25</v>
      </c>
      <c r="V24" s="118">
        <f>IF(OR((Datengüte_Eingabe[[#Headers],[2050]]&gt;'Refsz-Verbräuche'!$B$43),(Datengüte_Eingabe[[#Headers],[2050]]='Refsz-Verbräuche'!$B$43)),0.25,"")</f>
        <v>0.25</v>
      </c>
    </row>
    <row r="25" spans="2:22" x14ac:dyDescent="0.35">
      <c r="B25" s="49" t="str">
        <f>'Refsz-Verbräuche'!C65</f>
        <v>Elektrischer Strom (individueller Strommix Einrichtung 3)</v>
      </c>
      <c r="C25" s="118"/>
      <c r="D25" s="118"/>
      <c r="E25" s="118"/>
      <c r="F25" s="118"/>
      <c r="G25" s="118"/>
      <c r="H25" s="118"/>
      <c r="I25" s="118"/>
      <c r="J25" s="118">
        <f>IF(OR((Datengüte_Eingabe[[#Headers],[2022]]&gt;'Refsz-Verbräuche'!$B$43),(Datengüte_Eingabe[[#Headers],[2022]]='Refsz-Verbräuche'!$B$43)),0.25,"")</f>
        <v>0.25</v>
      </c>
      <c r="K25" s="118">
        <f>IF(OR((Datengüte_Eingabe[[#Headers],[2023]]&gt;'Refsz-Verbräuche'!$B$43),(Datengüte_Eingabe[[#Headers],[2023]]='Refsz-Verbräuche'!$B$43)),0.25,"")</f>
        <v>0.25</v>
      </c>
      <c r="L25" s="118">
        <f>IF(OR((Datengüte_Eingabe[[#Headers],[2024]]&gt;'Refsz-Verbräuche'!$B$43),(Datengüte_Eingabe[[#Headers],[2024]]='Refsz-Verbräuche'!$B$43)),0.25,"")</f>
        <v>0.25</v>
      </c>
      <c r="M25" s="118">
        <f>IF(OR((Datengüte_Eingabe[[#Headers],[2025]]&gt;'Refsz-Verbräuche'!$B$43),(Datengüte_Eingabe[[#Headers],[2025]]='Refsz-Verbräuche'!$B$43)),0.25,"")</f>
        <v>0.25</v>
      </c>
      <c r="N25" s="118">
        <f>IF(OR((Datengüte_Eingabe[[#Headers],[2026]]&gt;'Refsz-Verbräuche'!$B$43),(Datengüte_Eingabe[[#Headers],[2026]]='Refsz-Verbräuche'!$B$43)),0.25,"")</f>
        <v>0.25</v>
      </c>
      <c r="O25" s="118">
        <f>IF(OR((Datengüte_Eingabe[[#Headers],[2027]]&gt;'Refsz-Verbräuche'!$B$43),(Datengüte_Eingabe[[#Headers],[2027]]='Refsz-Verbräuche'!$B$43)),0.25,"")</f>
        <v>0.25</v>
      </c>
      <c r="P25" s="118">
        <f>IF(OR((Datengüte_Eingabe[[#Headers],[2028]]&gt;'Refsz-Verbräuche'!$B$43),(Datengüte_Eingabe[[#Headers],[2028]]='Refsz-Verbräuche'!$B$43)),0.25,"")</f>
        <v>0.25</v>
      </c>
      <c r="Q25" s="118">
        <f>IF(OR((Datengüte_Eingabe[[#Headers],[2029]]&gt;'Refsz-Verbräuche'!$B$43),(Datengüte_Eingabe[[#Headers],[2029]]='Refsz-Verbräuche'!$B$43)),0.25,"")</f>
        <v>0.25</v>
      </c>
      <c r="R25" s="118">
        <f>IF(OR((Datengüte_Eingabe[[#Headers],[2030]]&gt;'Refsz-Verbräuche'!$B$43),(Datengüte_Eingabe[[#Headers],[2030]]='Refsz-Verbräuche'!$B$43)),0.25,"")</f>
        <v>0.25</v>
      </c>
      <c r="S25" s="118">
        <f>IF(OR((Datengüte_Eingabe[[#Headers],[2035]]&gt;'Refsz-Verbräuche'!$B$43),(Datengüte_Eingabe[[#Headers],[2035]]='Refsz-Verbräuche'!$B$43)),0.25,"")</f>
        <v>0.25</v>
      </c>
      <c r="T25" s="118">
        <f>IF(OR((Datengüte_Eingabe[[#Headers],[2040]]&gt;'Refsz-Verbräuche'!$B$43),(Datengüte_Eingabe[[#Headers],[2040]]='Refsz-Verbräuche'!$B$43)),0.25,"")</f>
        <v>0.25</v>
      </c>
      <c r="U25" s="118">
        <f>IF(OR((Datengüte_Eingabe[[#Headers],[2045]]&gt;'Refsz-Verbräuche'!$B$43),(Datengüte_Eingabe[[#Headers],[2045]]='Refsz-Verbräuche'!$B$43)),0.25,"")</f>
        <v>0.25</v>
      </c>
      <c r="V25" s="118">
        <f>IF(OR((Datengüte_Eingabe[[#Headers],[2050]]&gt;'Refsz-Verbräuche'!$B$43),(Datengüte_Eingabe[[#Headers],[2050]]='Refsz-Verbräuche'!$B$43)),0.25,"")</f>
        <v>0.25</v>
      </c>
    </row>
    <row r="26" spans="2:22" x14ac:dyDescent="0.35">
      <c r="B26" s="49" t="str">
        <f>'Refsz-Verbräuche'!C66</f>
        <v>Elektrischer Strom (individueller Strommix Einrichtung 4)</v>
      </c>
      <c r="C26" s="118"/>
      <c r="D26" s="118"/>
      <c r="E26" s="118"/>
      <c r="F26" s="118"/>
      <c r="G26" s="118"/>
      <c r="H26" s="118"/>
      <c r="I26" s="118"/>
      <c r="J26" s="118">
        <f>IF(OR((Datengüte_Eingabe[[#Headers],[2022]]&gt;'Refsz-Verbräuche'!$B$43),(Datengüte_Eingabe[[#Headers],[2022]]='Refsz-Verbräuche'!$B$43)),0.25,"")</f>
        <v>0.25</v>
      </c>
      <c r="K26" s="118">
        <f>IF(OR((Datengüte_Eingabe[[#Headers],[2023]]&gt;'Refsz-Verbräuche'!$B$43),(Datengüte_Eingabe[[#Headers],[2023]]='Refsz-Verbräuche'!$B$43)),0.25,"")</f>
        <v>0.25</v>
      </c>
      <c r="L26" s="118">
        <f>IF(OR((Datengüte_Eingabe[[#Headers],[2024]]&gt;'Refsz-Verbräuche'!$B$43),(Datengüte_Eingabe[[#Headers],[2024]]='Refsz-Verbräuche'!$B$43)),0.25,"")</f>
        <v>0.25</v>
      </c>
      <c r="M26" s="118">
        <f>IF(OR((Datengüte_Eingabe[[#Headers],[2025]]&gt;'Refsz-Verbräuche'!$B$43),(Datengüte_Eingabe[[#Headers],[2025]]='Refsz-Verbräuche'!$B$43)),0.25,"")</f>
        <v>0.25</v>
      </c>
      <c r="N26" s="118">
        <f>IF(OR((Datengüte_Eingabe[[#Headers],[2026]]&gt;'Refsz-Verbräuche'!$B$43),(Datengüte_Eingabe[[#Headers],[2026]]='Refsz-Verbräuche'!$B$43)),0.25,"")</f>
        <v>0.25</v>
      </c>
      <c r="O26" s="118">
        <f>IF(OR((Datengüte_Eingabe[[#Headers],[2027]]&gt;'Refsz-Verbräuche'!$B$43),(Datengüte_Eingabe[[#Headers],[2027]]='Refsz-Verbräuche'!$B$43)),0.25,"")</f>
        <v>0.25</v>
      </c>
      <c r="P26" s="118">
        <f>IF(OR((Datengüte_Eingabe[[#Headers],[2028]]&gt;'Refsz-Verbräuche'!$B$43),(Datengüte_Eingabe[[#Headers],[2028]]='Refsz-Verbräuche'!$B$43)),0.25,"")</f>
        <v>0.25</v>
      </c>
      <c r="Q26" s="118">
        <f>IF(OR((Datengüte_Eingabe[[#Headers],[2029]]&gt;'Refsz-Verbräuche'!$B$43),(Datengüte_Eingabe[[#Headers],[2029]]='Refsz-Verbräuche'!$B$43)),0.25,"")</f>
        <v>0.25</v>
      </c>
      <c r="R26" s="118">
        <f>IF(OR((Datengüte_Eingabe[[#Headers],[2030]]&gt;'Refsz-Verbräuche'!$B$43),(Datengüte_Eingabe[[#Headers],[2030]]='Refsz-Verbräuche'!$B$43)),0.25,"")</f>
        <v>0.25</v>
      </c>
      <c r="S26" s="118">
        <f>IF(OR((Datengüte_Eingabe[[#Headers],[2035]]&gt;'Refsz-Verbräuche'!$B$43),(Datengüte_Eingabe[[#Headers],[2035]]='Refsz-Verbräuche'!$B$43)),0.25,"")</f>
        <v>0.25</v>
      </c>
      <c r="T26" s="118">
        <f>IF(OR((Datengüte_Eingabe[[#Headers],[2040]]&gt;'Refsz-Verbräuche'!$B$43),(Datengüte_Eingabe[[#Headers],[2040]]='Refsz-Verbräuche'!$B$43)),0.25,"")</f>
        <v>0.25</v>
      </c>
      <c r="U26" s="118">
        <f>IF(OR((Datengüte_Eingabe[[#Headers],[2045]]&gt;'Refsz-Verbräuche'!$B$43),(Datengüte_Eingabe[[#Headers],[2045]]='Refsz-Verbräuche'!$B$43)),0.25,"")</f>
        <v>0.25</v>
      </c>
      <c r="V26" s="118">
        <f>IF(OR((Datengüte_Eingabe[[#Headers],[2050]]&gt;'Refsz-Verbräuche'!$B$43),(Datengüte_Eingabe[[#Headers],[2050]]='Refsz-Verbräuche'!$B$43)),0.25,"")</f>
        <v>0.25</v>
      </c>
    </row>
    <row r="27" spans="2:22" x14ac:dyDescent="0.35">
      <c r="B27" s="49" t="str">
        <f>'Refsz-Verbräuche'!C67</f>
        <v>Elektrischer Strom (individueller Strommix Einrichtung 5)</v>
      </c>
      <c r="C27" s="118"/>
      <c r="D27" s="118"/>
      <c r="E27" s="118"/>
      <c r="F27" s="118"/>
      <c r="G27" s="118"/>
      <c r="H27" s="118"/>
      <c r="I27" s="118"/>
      <c r="J27" s="118">
        <f>IF(OR((Datengüte_Eingabe[[#Headers],[2022]]&gt;'Refsz-Verbräuche'!$B$43),(Datengüte_Eingabe[[#Headers],[2022]]='Refsz-Verbräuche'!$B$43)),0.25,"")</f>
        <v>0.25</v>
      </c>
      <c r="K27" s="118">
        <f>IF(OR((Datengüte_Eingabe[[#Headers],[2023]]&gt;'Refsz-Verbräuche'!$B$43),(Datengüte_Eingabe[[#Headers],[2023]]='Refsz-Verbräuche'!$B$43)),0.25,"")</f>
        <v>0.25</v>
      </c>
      <c r="L27" s="118">
        <f>IF(OR((Datengüte_Eingabe[[#Headers],[2024]]&gt;'Refsz-Verbräuche'!$B$43),(Datengüte_Eingabe[[#Headers],[2024]]='Refsz-Verbräuche'!$B$43)),0.25,"")</f>
        <v>0.25</v>
      </c>
      <c r="M27" s="118">
        <f>IF(OR((Datengüte_Eingabe[[#Headers],[2025]]&gt;'Refsz-Verbräuche'!$B$43),(Datengüte_Eingabe[[#Headers],[2025]]='Refsz-Verbräuche'!$B$43)),0.25,"")</f>
        <v>0.25</v>
      </c>
      <c r="N27" s="118">
        <f>IF(OR((Datengüte_Eingabe[[#Headers],[2026]]&gt;'Refsz-Verbräuche'!$B$43),(Datengüte_Eingabe[[#Headers],[2026]]='Refsz-Verbräuche'!$B$43)),0.25,"")</f>
        <v>0.25</v>
      </c>
      <c r="O27" s="118">
        <f>IF(OR((Datengüte_Eingabe[[#Headers],[2027]]&gt;'Refsz-Verbräuche'!$B$43),(Datengüte_Eingabe[[#Headers],[2027]]='Refsz-Verbräuche'!$B$43)),0.25,"")</f>
        <v>0.25</v>
      </c>
      <c r="P27" s="118">
        <f>IF(OR((Datengüte_Eingabe[[#Headers],[2028]]&gt;'Refsz-Verbräuche'!$B$43),(Datengüte_Eingabe[[#Headers],[2028]]='Refsz-Verbräuche'!$B$43)),0.25,"")</f>
        <v>0.25</v>
      </c>
      <c r="Q27" s="118">
        <f>IF(OR((Datengüte_Eingabe[[#Headers],[2029]]&gt;'Refsz-Verbräuche'!$B$43),(Datengüte_Eingabe[[#Headers],[2029]]='Refsz-Verbräuche'!$B$43)),0.25,"")</f>
        <v>0.25</v>
      </c>
      <c r="R27" s="118">
        <f>IF(OR((Datengüte_Eingabe[[#Headers],[2030]]&gt;'Refsz-Verbräuche'!$B$43),(Datengüte_Eingabe[[#Headers],[2030]]='Refsz-Verbräuche'!$B$43)),0.25,"")</f>
        <v>0.25</v>
      </c>
      <c r="S27" s="118">
        <f>IF(OR((Datengüte_Eingabe[[#Headers],[2035]]&gt;'Refsz-Verbräuche'!$B$43),(Datengüte_Eingabe[[#Headers],[2035]]='Refsz-Verbräuche'!$B$43)),0.25,"")</f>
        <v>0.25</v>
      </c>
      <c r="T27" s="118">
        <f>IF(OR((Datengüte_Eingabe[[#Headers],[2040]]&gt;'Refsz-Verbräuche'!$B$43),(Datengüte_Eingabe[[#Headers],[2040]]='Refsz-Verbräuche'!$B$43)),0.25,"")</f>
        <v>0.25</v>
      </c>
      <c r="U27" s="118">
        <f>IF(OR((Datengüte_Eingabe[[#Headers],[2045]]&gt;'Refsz-Verbräuche'!$B$43),(Datengüte_Eingabe[[#Headers],[2045]]='Refsz-Verbräuche'!$B$43)),0.25,"")</f>
        <v>0.25</v>
      </c>
      <c r="V27" s="118">
        <f>IF(OR((Datengüte_Eingabe[[#Headers],[2050]]&gt;'Refsz-Verbräuche'!$B$43),(Datengüte_Eingabe[[#Headers],[2050]]='Refsz-Verbräuche'!$B$43)),0.25,"")</f>
        <v>0.25</v>
      </c>
    </row>
    <row r="28" spans="2:22" x14ac:dyDescent="0.35">
      <c r="B28" s="49" t="str">
        <f>'Refsz-Verbräuche'!C68</f>
        <v>Elektrischer Strom (individueller Strommix Einrichtung 6)</v>
      </c>
      <c r="C28" s="118"/>
      <c r="D28" s="118"/>
      <c r="E28" s="118"/>
      <c r="F28" s="118"/>
      <c r="G28" s="118"/>
      <c r="H28" s="118"/>
      <c r="I28" s="118"/>
      <c r="J28" s="118">
        <f>IF(OR((Datengüte_Eingabe[[#Headers],[2022]]&gt;'Refsz-Verbräuche'!$B$43),(Datengüte_Eingabe[[#Headers],[2022]]='Refsz-Verbräuche'!$B$43)),0.25,"")</f>
        <v>0.25</v>
      </c>
      <c r="K28" s="118">
        <f>IF(OR((Datengüte_Eingabe[[#Headers],[2023]]&gt;'Refsz-Verbräuche'!$B$43),(Datengüte_Eingabe[[#Headers],[2023]]='Refsz-Verbräuche'!$B$43)),0.25,"")</f>
        <v>0.25</v>
      </c>
      <c r="L28" s="118">
        <f>IF(OR((Datengüte_Eingabe[[#Headers],[2024]]&gt;'Refsz-Verbräuche'!$B$43),(Datengüte_Eingabe[[#Headers],[2024]]='Refsz-Verbräuche'!$B$43)),0.25,"")</f>
        <v>0.25</v>
      </c>
      <c r="M28" s="118">
        <f>IF(OR((Datengüte_Eingabe[[#Headers],[2025]]&gt;'Refsz-Verbräuche'!$B$43),(Datengüte_Eingabe[[#Headers],[2025]]='Refsz-Verbräuche'!$B$43)),0.25,"")</f>
        <v>0.25</v>
      </c>
      <c r="N28" s="118">
        <f>IF(OR((Datengüte_Eingabe[[#Headers],[2026]]&gt;'Refsz-Verbräuche'!$B$43),(Datengüte_Eingabe[[#Headers],[2026]]='Refsz-Verbräuche'!$B$43)),0.25,"")</f>
        <v>0.25</v>
      </c>
      <c r="O28" s="118">
        <f>IF(OR((Datengüte_Eingabe[[#Headers],[2027]]&gt;'Refsz-Verbräuche'!$B$43),(Datengüte_Eingabe[[#Headers],[2027]]='Refsz-Verbräuche'!$B$43)),0.25,"")</f>
        <v>0.25</v>
      </c>
      <c r="P28" s="118">
        <f>IF(OR((Datengüte_Eingabe[[#Headers],[2028]]&gt;'Refsz-Verbräuche'!$B$43),(Datengüte_Eingabe[[#Headers],[2028]]='Refsz-Verbräuche'!$B$43)),0.25,"")</f>
        <v>0.25</v>
      </c>
      <c r="Q28" s="118">
        <f>IF(OR((Datengüte_Eingabe[[#Headers],[2029]]&gt;'Refsz-Verbräuche'!$B$43),(Datengüte_Eingabe[[#Headers],[2029]]='Refsz-Verbräuche'!$B$43)),0.25,"")</f>
        <v>0.25</v>
      </c>
      <c r="R28" s="118">
        <f>IF(OR((Datengüte_Eingabe[[#Headers],[2030]]&gt;'Refsz-Verbräuche'!$B$43),(Datengüte_Eingabe[[#Headers],[2030]]='Refsz-Verbräuche'!$B$43)),0.25,"")</f>
        <v>0.25</v>
      </c>
      <c r="S28" s="118">
        <f>IF(OR((Datengüte_Eingabe[[#Headers],[2035]]&gt;'Refsz-Verbräuche'!$B$43),(Datengüte_Eingabe[[#Headers],[2035]]='Refsz-Verbräuche'!$B$43)),0.25,"")</f>
        <v>0.25</v>
      </c>
      <c r="T28" s="118">
        <f>IF(OR((Datengüte_Eingabe[[#Headers],[2040]]&gt;'Refsz-Verbräuche'!$B$43),(Datengüte_Eingabe[[#Headers],[2040]]='Refsz-Verbräuche'!$B$43)),0.25,"")</f>
        <v>0.25</v>
      </c>
      <c r="U28" s="118">
        <f>IF(OR((Datengüte_Eingabe[[#Headers],[2045]]&gt;'Refsz-Verbräuche'!$B$43),(Datengüte_Eingabe[[#Headers],[2045]]='Refsz-Verbräuche'!$B$43)),0.25,"")</f>
        <v>0.25</v>
      </c>
      <c r="V28" s="118">
        <f>IF(OR((Datengüte_Eingabe[[#Headers],[2050]]&gt;'Refsz-Verbräuche'!$B$43),(Datengüte_Eingabe[[#Headers],[2050]]='Refsz-Verbräuche'!$B$43)),0.25,"")</f>
        <v>0.25</v>
      </c>
    </row>
    <row r="29" spans="2:22" x14ac:dyDescent="0.35">
      <c r="B29" s="49" t="str">
        <f>'Refsz-Verbräuche'!C69</f>
        <v>Elektrischer Strom (BHKW)</v>
      </c>
      <c r="C29" s="118"/>
      <c r="D29" s="118"/>
      <c r="E29" s="118"/>
      <c r="F29" s="118"/>
      <c r="G29" s="118"/>
      <c r="H29" s="118"/>
      <c r="I29" s="118"/>
      <c r="J29" s="118">
        <f>IF(OR((Datengüte_Eingabe[[#Headers],[2022]]&gt;'Refsz-Verbräuche'!$B$43),(Datengüte_Eingabe[[#Headers],[2022]]='Refsz-Verbräuche'!$B$43)),0.25,"")</f>
        <v>0.25</v>
      </c>
      <c r="K29" s="118">
        <f>IF(OR((Datengüte_Eingabe[[#Headers],[2023]]&gt;'Refsz-Verbräuche'!$B$43),(Datengüte_Eingabe[[#Headers],[2023]]='Refsz-Verbräuche'!$B$43)),0.25,"")</f>
        <v>0.25</v>
      </c>
      <c r="L29" s="118">
        <f>IF(OR((Datengüte_Eingabe[[#Headers],[2024]]&gt;'Refsz-Verbräuche'!$B$43),(Datengüte_Eingabe[[#Headers],[2024]]='Refsz-Verbräuche'!$B$43)),0.25,"")</f>
        <v>0.25</v>
      </c>
      <c r="M29" s="118">
        <f>IF(OR((Datengüte_Eingabe[[#Headers],[2025]]&gt;'Refsz-Verbräuche'!$B$43),(Datengüte_Eingabe[[#Headers],[2025]]='Refsz-Verbräuche'!$B$43)),0.25,"")</f>
        <v>0.25</v>
      </c>
      <c r="N29" s="118">
        <f>IF(OR((Datengüte_Eingabe[[#Headers],[2026]]&gt;'Refsz-Verbräuche'!$B$43),(Datengüte_Eingabe[[#Headers],[2026]]='Refsz-Verbräuche'!$B$43)),0.25,"")</f>
        <v>0.25</v>
      </c>
      <c r="O29" s="118">
        <f>IF(OR((Datengüte_Eingabe[[#Headers],[2027]]&gt;'Refsz-Verbräuche'!$B$43),(Datengüte_Eingabe[[#Headers],[2027]]='Refsz-Verbräuche'!$B$43)),0.25,"")</f>
        <v>0.25</v>
      </c>
      <c r="P29" s="118">
        <f>IF(OR((Datengüte_Eingabe[[#Headers],[2028]]&gt;'Refsz-Verbräuche'!$B$43),(Datengüte_Eingabe[[#Headers],[2028]]='Refsz-Verbräuche'!$B$43)),0.25,"")</f>
        <v>0.25</v>
      </c>
      <c r="Q29" s="118">
        <f>IF(OR((Datengüte_Eingabe[[#Headers],[2029]]&gt;'Refsz-Verbräuche'!$B$43),(Datengüte_Eingabe[[#Headers],[2029]]='Refsz-Verbräuche'!$B$43)),0.25,"")</f>
        <v>0.25</v>
      </c>
      <c r="R29" s="118">
        <f>IF(OR((Datengüte_Eingabe[[#Headers],[2030]]&gt;'Refsz-Verbräuche'!$B$43),(Datengüte_Eingabe[[#Headers],[2030]]='Refsz-Verbräuche'!$B$43)),0.25,"")</f>
        <v>0.25</v>
      </c>
      <c r="S29" s="118">
        <f>IF(OR((Datengüte_Eingabe[[#Headers],[2035]]&gt;'Refsz-Verbräuche'!$B$43),(Datengüte_Eingabe[[#Headers],[2035]]='Refsz-Verbräuche'!$B$43)),0.25,"")</f>
        <v>0.25</v>
      </c>
      <c r="T29" s="118">
        <f>IF(OR((Datengüte_Eingabe[[#Headers],[2040]]&gt;'Refsz-Verbräuche'!$B$43),(Datengüte_Eingabe[[#Headers],[2040]]='Refsz-Verbräuche'!$B$43)),0.25,"")</f>
        <v>0.25</v>
      </c>
      <c r="U29" s="118">
        <f>IF(OR((Datengüte_Eingabe[[#Headers],[2045]]&gt;'Refsz-Verbräuche'!$B$43),(Datengüte_Eingabe[[#Headers],[2045]]='Refsz-Verbräuche'!$B$43)),0.25,"")</f>
        <v>0.25</v>
      </c>
      <c r="V29" s="118">
        <f>IF(OR((Datengüte_Eingabe[[#Headers],[2050]]&gt;'Refsz-Verbräuche'!$B$43),(Datengüte_Eingabe[[#Headers],[2050]]='Refsz-Verbräuche'!$B$43)),0.25,"")</f>
        <v>0.25</v>
      </c>
    </row>
    <row r="30" spans="2:22" x14ac:dyDescent="0.35">
      <c r="B30" s="49" t="str">
        <f>'Refsz-Verbräuche'!C70</f>
        <v>Elektrischer Strom (Ökostrom)</v>
      </c>
      <c r="C30" s="118"/>
      <c r="D30" s="118"/>
      <c r="E30" s="118"/>
      <c r="F30" s="118"/>
      <c r="G30" s="118"/>
      <c r="H30" s="118"/>
      <c r="I30" s="118"/>
      <c r="J30" s="118">
        <f>IF(OR((Datengüte_Eingabe[[#Headers],[2022]]&gt;'Refsz-Verbräuche'!$B$43),(Datengüte_Eingabe[[#Headers],[2022]]='Refsz-Verbräuche'!$B$43)),0.25,"")</f>
        <v>0.25</v>
      </c>
      <c r="K30" s="118">
        <f>IF(OR((Datengüte_Eingabe[[#Headers],[2023]]&gt;'Refsz-Verbräuche'!$B$43),(Datengüte_Eingabe[[#Headers],[2023]]='Refsz-Verbräuche'!$B$43)),0.25,"")</f>
        <v>0.25</v>
      </c>
      <c r="L30" s="118">
        <f>IF(OR((Datengüte_Eingabe[[#Headers],[2024]]&gt;'Refsz-Verbräuche'!$B$43),(Datengüte_Eingabe[[#Headers],[2024]]='Refsz-Verbräuche'!$B$43)),0.25,"")</f>
        <v>0.25</v>
      </c>
      <c r="M30" s="118">
        <f>IF(OR((Datengüte_Eingabe[[#Headers],[2025]]&gt;'Refsz-Verbräuche'!$B$43),(Datengüte_Eingabe[[#Headers],[2025]]='Refsz-Verbräuche'!$B$43)),0.25,"")</f>
        <v>0.25</v>
      </c>
      <c r="N30" s="118">
        <f>IF(OR((Datengüte_Eingabe[[#Headers],[2026]]&gt;'Refsz-Verbräuche'!$B$43),(Datengüte_Eingabe[[#Headers],[2026]]='Refsz-Verbräuche'!$B$43)),0.25,"")</f>
        <v>0.25</v>
      </c>
      <c r="O30" s="118">
        <f>IF(OR((Datengüte_Eingabe[[#Headers],[2027]]&gt;'Refsz-Verbräuche'!$B$43),(Datengüte_Eingabe[[#Headers],[2027]]='Refsz-Verbräuche'!$B$43)),0.25,"")</f>
        <v>0.25</v>
      </c>
      <c r="P30" s="118">
        <f>IF(OR((Datengüte_Eingabe[[#Headers],[2028]]&gt;'Refsz-Verbräuche'!$B$43),(Datengüte_Eingabe[[#Headers],[2028]]='Refsz-Verbräuche'!$B$43)),0.25,"")</f>
        <v>0.25</v>
      </c>
      <c r="Q30" s="118">
        <f>IF(OR((Datengüte_Eingabe[[#Headers],[2029]]&gt;'Refsz-Verbräuche'!$B$43),(Datengüte_Eingabe[[#Headers],[2029]]='Refsz-Verbräuche'!$B$43)),0.25,"")</f>
        <v>0.25</v>
      </c>
      <c r="R30" s="118">
        <f>IF(OR((Datengüte_Eingabe[[#Headers],[2030]]&gt;'Refsz-Verbräuche'!$B$43),(Datengüte_Eingabe[[#Headers],[2030]]='Refsz-Verbräuche'!$B$43)),0.25,"")</f>
        <v>0.25</v>
      </c>
      <c r="S30" s="118">
        <f>IF(OR((Datengüte_Eingabe[[#Headers],[2035]]&gt;'Refsz-Verbräuche'!$B$43),(Datengüte_Eingabe[[#Headers],[2035]]='Refsz-Verbräuche'!$B$43)),0.25,"")</f>
        <v>0.25</v>
      </c>
      <c r="T30" s="118">
        <f>IF(OR((Datengüte_Eingabe[[#Headers],[2040]]&gt;'Refsz-Verbräuche'!$B$43),(Datengüte_Eingabe[[#Headers],[2040]]='Refsz-Verbräuche'!$B$43)),0.25,"")</f>
        <v>0.25</v>
      </c>
      <c r="U30" s="118">
        <f>IF(OR((Datengüte_Eingabe[[#Headers],[2045]]&gt;'Refsz-Verbräuche'!$B$43),(Datengüte_Eingabe[[#Headers],[2045]]='Refsz-Verbräuche'!$B$43)),0.25,"")</f>
        <v>0.25</v>
      </c>
      <c r="V30" s="118">
        <f>IF(OR((Datengüte_Eingabe[[#Headers],[2050]]&gt;'Refsz-Verbräuche'!$B$43),(Datengüte_Eingabe[[#Headers],[2050]]='Refsz-Verbräuche'!$B$43)),0.25,"")</f>
        <v>0.25</v>
      </c>
    </row>
    <row r="31" spans="2:22" x14ac:dyDescent="0.35">
      <c r="B31" s="49" t="str">
        <f>'Refsz-Verbräuche'!C71</f>
        <v>Elektrischer Strom (PV-Eigennutzung)</v>
      </c>
      <c r="C31" s="118"/>
      <c r="D31" s="118"/>
      <c r="E31" s="118"/>
      <c r="F31" s="118"/>
      <c r="G31" s="118"/>
      <c r="H31" s="118"/>
      <c r="I31" s="118"/>
      <c r="J31" s="118">
        <f>IF(OR((Datengüte_Eingabe[[#Headers],[2022]]&gt;'Refsz-Verbräuche'!$B$43),(Datengüte_Eingabe[[#Headers],[2022]]='Refsz-Verbräuche'!$B$43)),0.25,"")</f>
        <v>0.25</v>
      </c>
      <c r="K31" s="118">
        <f>IF(OR((Datengüte_Eingabe[[#Headers],[2023]]&gt;'Refsz-Verbräuche'!$B$43),(Datengüte_Eingabe[[#Headers],[2023]]='Refsz-Verbräuche'!$B$43)),0.25,"")</f>
        <v>0.25</v>
      </c>
      <c r="L31" s="118">
        <f>IF(OR((Datengüte_Eingabe[[#Headers],[2024]]&gt;'Refsz-Verbräuche'!$B$43),(Datengüte_Eingabe[[#Headers],[2024]]='Refsz-Verbräuche'!$B$43)),0.25,"")</f>
        <v>0.25</v>
      </c>
      <c r="M31" s="118">
        <f>IF(OR((Datengüte_Eingabe[[#Headers],[2025]]&gt;'Refsz-Verbräuche'!$B$43),(Datengüte_Eingabe[[#Headers],[2025]]='Refsz-Verbräuche'!$B$43)),0.25,"")</f>
        <v>0.25</v>
      </c>
      <c r="N31" s="118">
        <f>IF(OR((Datengüte_Eingabe[[#Headers],[2026]]&gt;'Refsz-Verbräuche'!$B$43),(Datengüte_Eingabe[[#Headers],[2026]]='Refsz-Verbräuche'!$B$43)),0.25,"")</f>
        <v>0.25</v>
      </c>
      <c r="O31" s="118">
        <f>IF(OR((Datengüte_Eingabe[[#Headers],[2027]]&gt;'Refsz-Verbräuche'!$B$43),(Datengüte_Eingabe[[#Headers],[2027]]='Refsz-Verbräuche'!$B$43)),0.25,"")</f>
        <v>0.25</v>
      </c>
      <c r="P31" s="118">
        <f>IF(OR((Datengüte_Eingabe[[#Headers],[2028]]&gt;'Refsz-Verbräuche'!$B$43),(Datengüte_Eingabe[[#Headers],[2028]]='Refsz-Verbräuche'!$B$43)),0.25,"")</f>
        <v>0.25</v>
      </c>
      <c r="Q31" s="118">
        <f>IF(OR((Datengüte_Eingabe[[#Headers],[2029]]&gt;'Refsz-Verbräuche'!$B$43),(Datengüte_Eingabe[[#Headers],[2029]]='Refsz-Verbräuche'!$B$43)),0.25,"")</f>
        <v>0.25</v>
      </c>
      <c r="R31" s="118">
        <f>IF(OR((Datengüte_Eingabe[[#Headers],[2030]]&gt;'Refsz-Verbräuche'!$B$43),(Datengüte_Eingabe[[#Headers],[2030]]='Refsz-Verbräuche'!$B$43)),0.25,"")</f>
        <v>0.25</v>
      </c>
      <c r="S31" s="118">
        <f>IF(OR((Datengüte_Eingabe[[#Headers],[2035]]&gt;'Refsz-Verbräuche'!$B$43),(Datengüte_Eingabe[[#Headers],[2035]]='Refsz-Verbräuche'!$B$43)),0.25,"")</f>
        <v>0.25</v>
      </c>
      <c r="T31" s="118">
        <f>IF(OR((Datengüte_Eingabe[[#Headers],[2040]]&gt;'Refsz-Verbräuche'!$B$43),(Datengüte_Eingabe[[#Headers],[2040]]='Refsz-Verbräuche'!$B$43)),0.25,"")</f>
        <v>0.25</v>
      </c>
      <c r="U31" s="118">
        <f>IF(OR((Datengüte_Eingabe[[#Headers],[2045]]&gt;'Refsz-Verbräuche'!$B$43),(Datengüte_Eingabe[[#Headers],[2045]]='Refsz-Verbräuche'!$B$43)),0.25,"")</f>
        <v>0.25</v>
      </c>
      <c r="V31" s="118">
        <f>IF(OR((Datengüte_Eingabe[[#Headers],[2050]]&gt;'Refsz-Verbräuche'!$B$43),(Datengüte_Eingabe[[#Headers],[2050]]='Refsz-Verbräuche'!$B$43)),0.25,"")</f>
        <v>0.25</v>
      </c>
    </row>
    <row r="32" spans="2:22" x14ac:dyDescent="0.35">
      <c r="B32" s="49" t="str">
        <f>'Refsz-Verbräuche'!C72</f>
        <v>Wärme (Erdgas)</v>
      </c>
      <c r="C32" s="118"/>
      <c r="D32" s="118"/>
      <c r="E32" s="118"/>
      <c r="F32" s="118"/>
      <c r="G32" s="118"/>
      <c r="H32" s="118"/>
      <c r="I32" s="118"/>
      <c r="J32" s="118">
        <f>IF(OR((Datengüte_Eingabe[[#Headers],[2022]]&gt;'Refsz-Verbräuche'!$B$43),(Datengüte_Eingabe[[#Headers],[2022]]='Refsz-Verbräuche'!$B$43)),0.25,"")</f>
        <v>0.25</v>
      </c>
      <c r="K32" s="118">
        <f>IF(OR((Datengüte_Eingabe[[#Headers],[2023]]&gt;'Refsz-Verbräuche'!$B$43),(Datengüte_Eingabe[[#Headers],[2023]]='Refsz-Verbräuche'!$B$43)),0.25,"")</f>
        <v>0.25</v>
      </c>
      <c r="L32" s="118">
        <f>IF(OR((Datengüte_Eingabe[[#Headers],[2024]]&gt;'Refsz-Verbräuche'!$B$43),(Datengüte_Eingabe[[#Headers],[2024]]='Refsz-Verbräuche'!$B$43)),0.25,"")</f>
        <v>0.25</v>
      </c>
      <c r="M32" s="118">
        <f>IF(OR((Datengüte_Eingabe[[#Headers],[2025]]&gt;'Refsz-Verbräuche'!$B$43),(Datengüte_Eingabe[[#Headers],[2025]]='Refsz-Verbräuche'!$B$43)),0.25,"")</f>
        <v>0.25</v>
      </c>
      <c r="N32" s="118">
        <f>IF(OR((Datengüte_Eingabe[[#Headers],[2026]]&gt;'Refsz-Verbräuche'!$B$43),(Datengüte_Eingabe[[#Headers],[2026]]='Refsz-Verbräuche'!$B$43)),0.25,"")</f>
        <v>0.25</v>
      </c>
      <c r="O32" s="118">
        <f>IF(OR((Datengüte_Eingabe[[#Headers],[2027]]&gt;'Refsz-Verbräuche'!$B$43),(Datengüte_Eingabe[[#Headers],[2027]]='Refsz-Verbräuche'!$B$43)),0.25,"")</f>
        <v>0.25</v>
      </c>
      <c r="P32" s="118">
        <f>IF(OR((Datengüte_Eingabe[[#Headers],[2028]]&gt;'Refsz-Verbräuche'!$B$43),(Datengüte_Eingabe[[#Headers],[2028]]='Refsz-Verbräuche'!$B$43)),0.25,"")</f>
        <v>0.25</v>
      </c>
      <c r="Q32" s="118">
        <f>IF(OR((Datengüte_Eingabe[[#Headers],[2029]]&gt;'Refsz-Verbräuche'!$B$43),(Datengüte_Eingabe[[#Headers],[2029]]='Refsz-Verbräuche'!$B$43)),0.25,"")</f>
        <v>0.25</v>
      </c>
      <c r="R32" s="118">
        <f>IF(OR((Datengüte_Eingabe[[#Headers],[2030]]&gt;'Refsz-Verbräuche'!$B$43),(Datengüte_Eingabe[[#Headers],[2030]]='Refsz-Verbräuche'!$B$43)),0.25,"")</f>
        <v>0.25</v>
      </c>
      <c r="S32" s="118">
        <f>IF(OR((Datengüte_Eingabe[[#Headers],[2035]]&gt;'Refsz-Verbräuche'!$B$43),(Datengüte_Eingabe[[#Headers],[2035]]='Refsz-Verbräuche'!$B$43)),0.25,"")</f>
        <v>0.25</v>
      </c>
      <c r="T32" s="118">
        <f>IF(OR((Datengüte_Eingabe[[#Headers],[2040]]&gt;'Refsz-Verbräuche'!$B$43),(Datengüte_Eingabe[[#Headers],[2040]]='Refsz-Verbräuche'!$B$43)),0.25,"")</f>
        <v>0.25</v>
      </c>
      <c r="U32" s="118">
        <f>IF(OR((Datengüte_Eingabe[[#Headers],[2045]]&gt;'Refsz-Verbräuche'!$B$43),(Datengüte_Eingabe[[#Headers],[2045]]='Refsz-Verbräuche'!$B$43)),0.25,"")</f>
        <v>0.25</v>
      </c>
      <c r="V32" s="118">
        <f>IF(OR((Datengüte_Eingabe[[#Headers],[2050]]&gt;'Refsz-Verbräuche'!$B$43),(Datengüte_Eingabe[[#Headers],[2050]]='Refsz-Verbräuche'!$B$43)),0.25,"")</f>
        <v>0.25</v>
      </c>
    </row>
    <row r="33" spans="2:22" x14ac:dyDescent="0.35">
      <c r="B33" s="49" t="str">
        <f>'Refsz-Verbräuche'!C73</f>
        <v>Wärme (BHKW)</v>
      </c>
      <c r="C33" s="118"/>
      <c r="D33" s="118"/>
      <c r="E33" s="118"/>
      <c r="F33" s="118"/>
      <c r="G33" s="118"/>
      <c r="H33" s="118"/>
      <c r="I33" s="118"/>
      <c r="J33" s="118">
        <f>IF(OR((Datengüte_Eingabe[[#Headers],[2022]]&gt;'Refsz-Verbräuche'!$B$43),(Datengüte_Eingabe[[#Headers],[2022]]='Refsz-Verbräuche'!$B$43)),0.25,"")</f>
        <v>0.25</v>
      </c>
      <c r="K33" s="118">
        <f>IF(OR((Datengüte_Eingabe[[#Headers],[2023]]&gt;'Refsz-Verbräuche'!$B$43),(Datengüte_Eingabe[[#Headers],[2023]]='Refsz-Verbräuche'!$B$43)),0.25,"")</f>
        <v>0.25</v>
      </c>
      <c r="L33" s="118">
        <f>IF(OR((Datengüte_Eingabe[[#Headers],[2024]]&gt;'Refsz-Verbräuche'!$B$43),(Datengüte_Eingabe[[#Headers],[2024]]='Refsz-Verbräuche'!$B$43)),0.25,"")</f>
        <v>0.25</v>
      </c>
      <c r="M33" s="118">
        <f>IF(OR((Datengüte_Eingabe[[#Headers],[2025]]&gt;'Refsz-Verbräuche'!$B$43),(Datengüte_Eingabe[[#Headers],[2025]]='Refsz-Verbräuche'!$B$43)),0.25,"")</f>
        <v>0.25</v>
      </c>
      <c r="N33" s="118">
        <f>IF(OR((Datengüte_Eingabe[[#Headers],[2026]]&gt;'Refsz-Verbräuche'!$B$43),(Datengüte_Eingabe[[#Headers],[2026]]='Refsz-Verbräuche'!$B$43)),0.25,"")</f>
        <v>0.25</v>
      </c>
      <c r="O33" s="118">
        <f>IF(OR((Datengüte_Eingabe[[#Headers],[2027]]&gt;'Refsz-Verbräuche'!$B$43),(Datengüte_Eingabe[[#Headers],[2027]]='Refsz-Verbräuche'!$B$43)),0.25,"")</f>
        <v>0.25</v>
      </c>
      <c r="P33" s="118">
        <f>IF(OR((Datengüte_Eingabe[[#Headers],[2028]]&gt;'Refsz-Verbräuche'!$B$43),(Datengüte_Eingabe[[#Headers],[2028]]='Refsz-Verbräuche'!$B$43)),0.25,"")</f>
        <v>0.25</v>
      </c>
      <c r="Q33" s="118">
        <f>IF(OR((Datengüte_Eingabe[[#Headers],[2029]]&gt;'Refsz-Verbräuche'!$B$43),(Datengüte_Eingabe[[#Headers],[2029]]='Refsz-Verbräuche'!$B$43)),0.25,"")</f>
        <v>0.25</v>
      </c>
      <c r="R33" s="118">
        <f>IF(OR((Datengüte_Eingabe[[#Headers],[2030]]&gt;'Refsz-Verbräuche'!$B$43),(Datengüte_Eingabe[[#Headers],[2030]]='Refsz-Verbräuche'!$B$43)),0.25,"")</f>
        <v>0.25</v>
      </c>
      <c r="S33" s="118">
        <f>IF(OR((Datengüte_Eingabe[[#Headers],[2035]]&gt;'Refsz-Verbräuche'!$B$43),(Datengüte_Eingabe[[#Headers],[2035]]='Refsz-Verbräuche'!$B$43)),0.25,"")</f>
        <v>0.25</v>
      </c>
      <c r="T33" s="118">
        <f>IF(OR((Datengüte_Eingabe[[#Headers],[2040]]&gt;'Refsz-Verbräuche'!$B$43),(Datengüte_Eingabe[[#Headers],[2040]]='Refsz-Verbräuche'!$B$43)),0.25,"")</f>
        <v>0.25</v>
      </c>
      <c r="U33" s="118">
        <f>IF(OR((Datengüte_Eingabe[[#Headers],[2045]]&gt;'Refsz-Verbräuche'!$B$43),(Datengüte_Eingabe[[#Headers],[2045]]='Refsz-Verbräuche'!$B$43)),0.25,"")</f>
        <v>0.25</v>
      </c>
      <c r="V33" s="118">
        <f>IF(OR((Datengüte_Eingabe[[#Headers],[2050]]&gt;'Refsz-Verbräuche'!$B$43),(Datengüte_Eingabe[[#Headers],[2050]]='Refsz-Verbräuche'!$B$43)),0.25,"")</f>
        <v>0.25</v>
      </c>
    </row>
    <row r="34" spans="2:22" x14ac:dyDescent="0.35">
      <c r="B34" s="49" t="str">
        <f>'Refsz-Verbräuche'!C74</f>
        <v>Wärme (Biogas)</v>
      </c>
      <c r="C34" s="118"/>
      <c r="D34" s="118"/>
      <c r="E34" s="118"/>
      <c r="F34" s="118"/>
      <c r="G34" s="118"/>
      <c r="H34" s="118"/>
      <c r="I34" s="118"/>
      <c r="J34" s="118">
        <f>IF(OR((Datengüte_Eingabe[[#Headers],[2022]]&gt;'Refsz-Verbräuche'!$B$43),(Datengüte_Eingabe[[#Headers],[2022]]='Refsz-Verbräuche'!$B$43)),0.25,"")</f>
        <v>0.25</v>
      </c>
      <c r="K34" s="118">
        <f>IF(OR((Datengüte_Eingabe[[#Headers],[2023]]&gt;'Refsz-Verbräuche'!$B$43),(Datengüte_Eingabe[[#Headers],[2023]]='Refsz-Verbräuche'!$B$43)),0.25,"")</f>
        <v>0.25</v>
      </c>
      <c r="L34" s="118">
        <f>IF(OR((Datengüte_Eingabe[[#Headers],[2024]]&gt;'Refsz-Verbräuche'!$B$43),(Datengüte_Eingabe[[#Headers],[2024]]='Refsz-Verbräuche'!$B$43)),0.25,"")</f>
        <v>0.25</v>
      </c>
      <c r="M34" s="118">
        <f>IF(OR((Datengüte_Eingabe[[#Headers],[2025]]&gt;'Refsz-Verbräuche'!$B$43),(Datengüte_Eingabe[[#Headers],[2025]]='Refsz-Verbräuche'!$B$43)),0.25,"")</f>
        <v>0.25</v>
      </c>
      <c r="N34" s="118">
        <f>IF(OR((Datengüte_Eingabe[[#Headers],[2026]]&gt;'Refsz-Verbräuche'!$B$43),(Datengüte_Eingabe[[#Headers],[2026]]='Refsz-Verbräuche'!$B$43)),0.25,"")</f>
        <v>0.25</v>
      </c>
      <c r="O34" s="118">
        <f>IF(OR((Datengüte_Eingabe[[#Headers],[2027]]&gt;'Refsz-Verbräuche'!$B$43),(Datengüte_Eingabe[[#Headers],[2027]]='Refsz-Verbräuche'!$B$43)),0.25,"")</f>
        <v>0.25</v>
      </c>
      <c r="P34" s="118">
        <f>IF(OR((Datengüte_Eingabe[[#Headers],[2028]]&gt;'Refsz-Verbräuche'!$B$43),(Datengüte_Eingabe[[#Headers],[2028]]='Refsz-Verbräuche'!$B$43)),0.25,"")</f>
        <v>0.25</v>
      </c>
      <c r="Q34" s="118">
        <f>IF(OR((Datengüte_Eingabe[[#Headers],[2029]]&gt;'Refsz-Verbräuche'!$B$43),(Datengüte_Eingabe[[#Headers],[2029]]='Refsz-Verbräuche'!$B$43)),0.25,"")</f>
        <v>0.25</v>
      </c>
      <c r="R34" s="118">
        <f>IF(OR((Datengüte_Eingabe[[#Headers],[2030]]&gt;'Refsz-Verbräuche'!$B$43),(Datengüte_Eingabe[[#Headers],[2030]]='Refsz-Verbräuche'!$B$43)),0.25,"")</f>
        <v>0.25</v>
      </c>
      <c r="S34" s="118">
        <f>IF(OR((Datengüte_Eingabe[[#Headers],[2035]]&gt;'Refsz-Verbräuche'!$B$43),(Datengüte_Eingabe[[#Headers],[2035]]='Refsz-Verbräuche'!$B$43)),0.25,"")</f>
        <v>0.25</v>
      </c>
      <c r="T34" s="118">
        <f>IF(OR((Datengüte_Eingabe[[#Headers],[2040]]&gt;'Refsz-Verbräuche'!$B$43),(Datengüte_Eingabe[[#Headers],[2040]]='Refsz-Verbräuche'!$B$43)),0.25,"")</f>
        <v>0.25</v>
      </c>
      <c r="U34" s="118">
        <f>IF(OR((Datengüte_Eingabe[[#Headers],[2045]]&gt;'Refsz-Verbräuche'!$B$43),(Datengüte_Eingabe[[#Headers],[2045]]='Refsz-Verbräuche'!$B$43)),0.25,"")</f>
        <v>0.25</v>
      </c>
      <c r="V34" s="118">
        <f>IF(OR((Datengüte_Eingabe[[#Headers],[2050]]&gt;'Refsz-Verbräuche'!$B$43),(Datengüte_Eingabe[[#Headers],[2050]]='Refsz-Verbräuche'!$B$43)),0.25,"")</f>
        <v>0.25</v>
      </c>
    </row>
    <row r="35" spans="2:22" x14ac:dyDescent="0.35">
      <c r="B35" s="49" t="str">
        <f>'Refsz-Verbräuche'!C75</f>
        <v>Wärme (individueller Emissionsfaktor)</v>
      </c>
      <c r="C35" s="118"/>
      <c r="D35" s="118"/>
      <c r="E35" s="118"/>
      <c r="F35" s="118"/>
      <c r="G35" s="118"/>
      <c r="H35" s="118"/>
      <c r="I35" s="118"/>
      <c r="J35" s="118">
        <f>IF(OR((Datengüte_Eingabe[[#Headers],[2022]]&gt;'Refsz-Verbräuche'!$B$43),(Datengüte_Eingabe[[#Headers],[2022]]='Refsz-Verbräuche'!$B$43)),0.25,"")</f>
        <v>0.25</v>
      </c>
      <c r="K35" s="118">
        <f>IF(OR((Datengüte_Eingabe[[#Headers],[2023]]&gt;'Refsz-Verbräuche'!$B$43),(Datengüte_Eingabe[[#Headers],[2023]]='Refsz-Verbräuche'!$B$43)),0.25,"")</f>
        <v>0.25</v>
      </c>
      <c r="L35" s="118">
        <f>IF(OR((Datengüte_Eingabe[[#Headers],[2024]]&gt;'Refsz-Verbräuche'!$B$43),(Datengüte_Eingabe[[#Headers],[2024]]='Refsz-Verbräuche'!$B$43)),0.25,"")</f>
        <v>0.25</v>
      </c>
      <c r="M35" s="118">
        <f>IF(OR((Datengüte_Eingabe[[#Headers],[2025]]&gt;'Refsz-Verbräuche'!$B$43),(Datengüte_Eingabe[[#Headers],[2025]]='Refsz-Verbräuche'!$B$43)),0.25,"")</f>
        <v>0.25</v>
      </c>
      <c r="N35" s="118">
        <f>IF(OR((Datengüte_Eingabe[[#Headers],[2026]]&gt;'Refsz-Verbräuche'!$B$43),(Datengüte_Eingabe[[#Headers],[2026]]='Refsz-Verbräuche'!$B$43)),0.25,"")</f>
        <v>0.25</v>
      </c>
      <c r="O35" s="118">
        <f>IF(OR((Datengüte_Eingabe[[#Headers],[2027]]&gt;'Refsz-Verbräuche'!$B$43),(Datengüte_Eingabe[[#Headers],[2027]]='Refsz-Verbräuche'!$B$43)),0.25,"")</f>
        <v>0.25</v>
      </c>
      <c r="P35" s="118">
        <f>IF(OR((Datengüte_Eingabe[[#Headers],[2028]]&gt;'Refsz-Verbräuche'!$B$43),(Datengüte_Eingabe[[#Headers],[2028]]='Refsz-Verbräuche'!$B$43)),0.25,"")</f>
        <v>0.25</v>
      </c>
      <c r="Q35" s="118">
        <f>IF(OR((Datengüte_Eingabe[[#Headers],[2029]]&gt;'Refsz-Verbräuche'!$B$43),(Datengüte_Eingabe[[#Headers],[2029]]='Refsz-Verbräuche'!$B$43)),0.25,"")</f>
        <v>0.25</v>
      </c>
      <c r="R35" s="118">
        <f>IF(OR((Datengüte_Eingabe[[#Headers],[2030]]&gt;'Refsz-Verbräuche'!$B$43),(Datengüte_Eingabe[[#Headers],[2030]]='Refsz-Verbräuche'!$B$43)),0.25,"")</f>
        <v>0.25</v>
      </c>
      <c r="S35" s="118">
        <f>IF(OR((Datengüte_Eingabe[[#Headers],[2035]]&gt;'Refsz-Verbräuche'!$B$43),(Datengüte_Eingabe[[#Headers],[2035]]='Refsz-Verbräuche'!$B$43)),0.25,"")</f>
        <v>0.25</v>
      </c>
      <c r="T35" s="118">
        <f>IF(OR((Datengüte_Eingabe[[#Headers],[2040]]&gt;'Refsz-Verbräuche'!$B$43),(Datengüte_Eingabe[[#Headers],[2040]]='Refsz-Verbräuche'!$B$43)),0.25,"")</f>
        <v>0.25</v>
      </c>
      <c r="U35" s="118">
        <f>IF(OR((Datengüte_Eingabe[[#Headers],[2045]]&gt;'Refsz-Verbräuche'!$B$43),(Datengüte_Eingabe[[#Headers],[2045]]='Refsz-Verbräuche'!$B$43)),0.25,"")</f>
        <v>0.25</v>
      </c>
      <c r="V35" s="118">
        <f>IF(OR((Datengüte_Eingabe[[#Headers],[2050]]&gt;'Refsz-Verbräuche'!$B$43),(Datengüte_Eingabe[[#Headers],[2050]]='Refsz-Verbräuche'!$B$43)),0.25,"")</f>
        <v>0.25</v>
      </c>
    </row>
    <row r="36" spans="2:22" x14ac:dyDescent="0.35">
      <c r="B36" s="49" t="str">
        <f>'Refsz-Verbräuche'!C76</f>
        <v>Wärme (Holzhackschnitzel)</v>
      </c>
      <c r="C36" s="118"/>
      <c r="D36" s="118"/>
      <c r="E36" s="118"/>
      <c r="F36" s="118"/>
      <c r="G36" s="118"/>
      <c r="H36" s="118"/>
      <c r="I36" s="118"/>
      <c r="J36" s="118">
        <f>IF(OR((Datengüte_Eingabe[[#Headers],[2022]]&gt;'Refsz-Verbräuche'!$B$43),(Datengüte_Eingabe[[#Headers],[2022]]='Refsz-Verbräuche'!$B$43)),0.25,"")</f>
        <v>0.25</v>
      </c>
      <c r="K36" s="118">
        <f>IF(OR((Datengüte_Eingabe[[#Headers],[2023]]&gt;'Refsz-Verbräuche'!$B$43),(Datengüte_Eingabe[[#Headers],[2023]]='Refsz-Verbräuche'!$B$43)),0.25,"")</f>
        <v>0.25</v>
      </c>
      <c r="L36" s="118">
        <f>IF(OR((Datengüte_Eingabe[[#Headers],[2024]]&gt;'Refsz-Verbräuche'!$B$43),(Datengüte_Eingabe[[#Headers],[2024]]='Refsz-Verbräuche'!$B$43)),0.25,"")</f>
        <v>0.25</v>
      </c>
      <c r="M36" s="118">
        <f>IF(OR((Datengüte_Eingabe[[#Headers],[2025]]&gt;'Refsz-Verbräuche'!$B$43),(Datengüte_Eingabe[[#Headers],[2025]]='Refsz-Verbräuche'!$B$43)),0.25,"")</f>
        <v>0.25</v>
      </c>
      <c r="N36" s="118">
        <f>IF(OR((Datengüte_Eingabe[[#Headers],[2026]]&gt;'Refsz-Verbräuche'!$B$43),(Datengüte_Eingabe[[#Headers],[2026]]='Refsz-Verbräuche'!$B$43)),0.25,"")</f>
        <v>0.25</v>
      </c>
      <c r="O36" s="118">
        <f>IF(OR((Datengüte_Eingabe[[#Headers],[2027]]&gt;'Refsz-Verbräuche'!$B$43),(Datengüte_Eingabe[[#Headers],[2027]]='Refsz-Verbräuche'!$B$43)),0.25,"")</f>
        <v>0.25</v>
      </c>
      <c r="P36" s="118">
        <f>IF(OR((Datengüte_Eingabe[[#Headers],[2028]]&gt;'Refsz-Verbräuche'!$B$43),(Datengüte_Eingabe[[#Headers],[2028]]='Refsz-Verbräuche'!$B$43)),0.25,"")</f>
        <v>0.25</v>
      </c>
      <c r="Q36" s="118">
        <f>IF(OR((Datengüte_Eingabe[[#Headers],[2029]]&gt;'Refsz-Verbräuche'!$B$43),(Datengüte_Eingabe[[#Headers],[2029]]='Refsz-Verbräuche'!$B$43)),0.25,"")</f>
        <v>0.25</v>
      </c>
      <c r="R36" s="118">
        <f>IF(OR((Datengüte_Eingabe[[#Headers],[2030]]&gt;'Refsz-Verbräuche'!$B$43),(Datengüte_Eingabe[[#Headers],[2030]]='Refsz-Verbräuche'!$B$43)),0.25,"")</f>
        <v>0.25</v>
      </c>
      <c r="S36" s="118">
        <f>IF(OR((Datengüte_Eingabe[[#Headers],[2035]]&gt;'Refsz-Verbräuche'!$B$43),(Datengüte_Eingabe[[#Headers],[2035]]='Refsz-Verbräuche'!$B$43)),0.25,"")</f>
        <v>0.25</v>
      </c>
      <c r="T36" s="118">
        <f>IF(OR((Datengüte_Eingabe[[#Headers],[2040]]&gt;'Refsz-Verbräuche'!$B$43),(Datengüte_Eingabe[[#Headers],[2040]]='Refsz-Verbräuche'!$B$43)),0.25,"")</f>
        <v>0.25</v>
      </c>
      <c r="U36" s="118">
        <f>IF(OR((Datengüte_Eingabe[[#Headers],[2045]]&gt;'Refsz-Verbräuche'!$B$43),(Datengüte_Eingabe[[#Headers],[2045]]='Refsz-Verbräuche'!$B$43)),0.25,"")</f>
        <v>0.25</v>
      </c>
      <c r="V36" s="118">
        <f>IF(OR((Datengüte_Eingabe[[#Headers],[2050]]&gt;'Refsz-Verbräuche'!$B$43),(Datengüte_Eingabe[[#Headers],[2050]]='Refsz-Verbräuche'!$B$43)),0.25,"")</f>
        <v>0.25</v>
      </c>
    </row>
    <row r="37" spans="2:22" x14ac:dyDescent="0.35">
      <c r="B37" s="49" t="str">
        <f>'Refsz-Verbräuche'!C77</f>
        <v>Wärme (Holzpellets, 10kW/kleinere Zentralheizung)</v>
      </c>
      <c r="C37" s="118"/>
      <c r="D37" s="118"/>
      <c r="E37" s="118"/>
      <c r="F37" s="118"/>
      <c r="G37" s="118"/>
      <c r="H37" s="118"/>
      <c r="I37" s="118"/>
      <c r="J37" s="118">
        <f>IF(OR((Datengüte_Eingabe[[#Headers],[2022]]&gt;'Refsz-Verbräuche'!$B$43),(Datengüte_Eingabe[[#Headers],[2022]]='Refsz-Verbräuche'!$B$43)),0.25,"")</f>
        <v>0.25</v>
      </c>
      <c r="K37" s="118">
        <f>IF(OR((Datengüte_Eingabe[[#Headers],[2023]]&gt;'Refsz-Verbräuche'!$B$43),(Datengüte_Eingabe[[#Headers],[2023]]='Refsz-Verbräuche'!$B$43)),0.25,"")</f>
        <v>0.25</v>
      </c>
      <c r="L37" s="118">
        <f>IF(OR((Datengüte_Eingabe[[#Headers],[2024]]&gt;'Refsz-Verbräuche'!$B$43),(Datengüte_Eingabe[[#Headers],[2024]]='Refsz-Verbräuche'!$B$43)),0.25,"")</f>
        <v>0.25</v>
      </c>
      <c r="M37" s="118">
        <f>IF(OR((Datengüte_Eingabe[[#Headers],[2025]]&gt;'Refsz-Verbräuche'!$B$43),(Datengüte_Eingabe[[#Headers],[2025]]='Refsz-Verbräuche'!$B$43)),0.25,"")</f>
        <v>0.25</v>
      </c>
      <c r="N37" s="118">
        <f>IF(OR((Datengüte_Eingabe[[#Headers],[2026]]&gt;'Refsz-Verbräuche'!$B$43),(Datengüte_Eingabe[[#Headers],[2026]]='Refsz-Verbräuche'!$B$43)),0.25,"")</f>
        <v>0.25</v>
      </c>
      <c r="O37" s="118">
        <f>IF(OR((Datengüte_Eingabe[[#Headers],[2027]]&gt;'Refsz-Verbräuche'!$B$43),(Datengüte_Eingabe[[#Headers],[2027]]='Refsz-Verbräuche'!$B$43)),0.25,"")</f>
        <v>0.25</v>
      </c>
      <c r="P37" s="118">
        <f>IF(OR((Datengüte_Eingabe[[#Headers],[2028]]&gt;'Refsz-Verbräuche'!$B$43),(Datengüte_Eingabe[[#Headers],[2028]]='Refsz-Verbräuche'!$B$43)),0.25,"")</f>
        <v>0.25</v>
      </c>
      <c r="Q37" s="118">
        <f>IF(OR((Datengüte_Eingabe[[#Headers],[2029]]&gt;'Refsz-Verbräuche'!$B$43),(Datengüte_Eingabe[[#Headers],[2029]]='Refsz-Verbräuche'!$B$43)),0.25,"")</f>
        <v>0.25</v>
      </c>
      <c r="R37" s="118">
        <f>IF(OR((Datengüte_Eingabe[[#Headers],[2030]]&gt;'Refsz-Verbräuche'!$B$43),(Datengüte_Eingabe[[#Headers],[2030]]='Refsz-Verbräuche'!$B$43)),0.25,"")</f>
        <v>0.25</v>
      </c>
      <c r="S37" s="118">
        <f>IF(OR((Datengüte_Eingabe[[#Headers],[2035]]&gt;'Refsz-Verbräuche'!$B$43),(Datengüte_Eingabe[[#Headers],[2035]]='Refsz-Verbräuche'!$B$43)),0.25,"")</f>
        <v>0.25</v>
      </c>
      <c r="T37" s="118">
        <f>IF(OR((Datengüte_Eingabe[[#Headers],[2040]]&gt;'Refsz-Verbräuche'!$B$43),(Datengüte_Eingabe[[#Headers],[2040]]='Refsz-Verbräuche'!$B$43)),0.25,"")</f>
        <v>0.25</v>
      </c>
      <c r="U37" s="118">
        <f>IF(OR((Datengüte_Eingabe[[#Headers],[2045]]&gt;'Refsz-Verbräuche'!$B$43),(Datengüte_Eingabe[[#Headers],[2045]]='Refsz-Verbräuche'!$B$43)),0.25,"")</f>
        <v>0.25</v>
      </c>
      <c r="V37" s="118">
        <f>IF(OR((Datengüte_Eingabe[[#Headers],[2050]]&gt;'Refsz-Verbräuche'!$B$43),(Datengüte_Eingabe[[#Headers],[2050]]='Refsz-Verbräuche'!$B$43)),0.25,"")</f>
        <v>0.25</v>
      </c>
    </row>
    <row r="38" spans="2:22" x14ac:dyDescent="0.35">
      <c r="B38" s="49" t="str">
        <f>'Refsz-Verbräuche'!C78</f>
        <v>Wärme (Holzpellets, 50kW/größere Zentralheizung)</v>
      </c>
      <c r="C38" s="118"/>
      <c r="D38" s="118"/>
      <c r="E38" s="118"/>
      <c r="F38" s="118"/>
      <c r="G38" s="118"/>
      <c r="H38" s="118"/>
      <c r="I38" s="118"/>
      <c r="J38" s="118">
        <f>IF(OR((Datengüte_Eingabe[[#Headers],[2022]]&gt;'Refsz-Verbräuche'!$B$43),(Datengüte_Eingabe[[#Headers],[2022]]='Refsz-Verbräuche'!$B$43)),0.25,"")</f>
        <v>0.25</v>
      </c>
      <c r="K38" s="118">
        <f>IF(OR((Datengüte_Eingabe[[#Headers],[2023]]&gt;'Refsz-Verbräuche'!$B$43),(Datengüte_Eingabe[[#Headers],[2023]]='Refsz-Verbräuche'!$B$43)),0.25,"")</f>
        <v>0.25</v>
      </c>
      <c r="L38" s="118">
        <f>IF(OR((Datengüte_Eingabe[[#Headers],[2024]]&gt;'Refsz-Verbräuche'!$B$43),(Datengüte_Eingabe[[#Headers],[2024]]='Refsz-Verbräuche'!$B$43)),0.25,"")</f>
        <v>0.25</v>
      </c>
      <c r="M38" s="118">
        <f>IF(OR((Datengüte_Eingabe[[#Headers],[2025]]&gt;'Refsz-Verbräuche'!$B$43),(Datengüte_Eingabe[[#Headers],[2025]]='Refsz-Verbräuche'!$B$43)),0.25,"")</f>
        <v>0.25</v>
      </c>
      <c r="N38" s="118">
        <f>IF(OR((Datengüte_Eingabe[[#Headers],[2026]]&gt;'Refsz-Verbräuche'!$B$43),(Datengüte_Eingabe[[#Headers],[2026]]='Refsz-Verbräuche'!$B$43)),0.25,"")</f>
        <v>0.25</v>
      </c>
      <c r="O38" s="118">
        <f>IF(OR((Datengüte_Eingabe[[#Headers],[2027]]&gt;'Refsz-Verbräuche'!$B$43),(Datengüte_Eingabe[[#Headers],[2027]]='Refsz-Verbräuche'!$B$43)),0.25,"")</f>
        <v>0.25</v>
      </c>
      <c r="P38" s="118">
        <f>IF(OR((Datengüte_Eingabe[[#Headers],[2028]]&gt;'Refsz-Verbräuche'!$B$43),(Datengüte_Eingabe[[#Headers],[2028]]='Refsz-Verbräuche'!$B$43)),0.25,"")</f>
        <v>0.25</v>
      </c>
      <c r="Q38" s="118">
        <f>IF(OR((Datengüte_Eingabe[[#Headers],[2029]]&gt;'Refsz-Verbräuche'!$B$43),(Datengüte_Eingabe[[#Headers],[2029]]='Refsz-Verbräuche'!$B$43)),0.25,"")</f>
        <v>0.25</v>
      </c>
      <c r="R38" s="118">
        <f>IF(OR((Datengüte_Eingabe[[#Headers],[2030]]&gt;'Refsz-Verbräuche'!$B$43),(Datengüte_Eingabe[[#Headers],[2030]]='Refsz-Verbräuche'!$B$43)),0.25,"")</f>
        <v>0.25</v>
      </c>
      <c r="S38" s="118">
        <f>IF(OR((Datengüte_Eingabe[[#Headers],[2035]]&gt;'Refsz-Verbräuche'!$B$43),(Datengüte_Eingabe[[#Headers],[2035]]='Refsz-Verbräuche'!$B$43)),0.25,"")</f>
        <v>0.25</v>
      </c>
      <c r="T38" s="118">
        <f>IF(OR((Datengüte_Eingabe[[#Headers],[2040]]&gt;'Refsz-Verbräuche'!$B$43),(Datengüte_Eingabe[[#Headers],[2040]]='Refsz-Verbräuche'!$B$43)),0.25,"")</f>
        <v>0.25</v>
      </c>
      <c r="U38" s="118">
        <f>IF(OR((Datengüte_Eingabe[[#Headers],[2045]]&gt;'Refsz-Verbräuche'!$B$43),(Datengüte_Eingabe[[#Headers],[2045]]='Refsz-Verbräuche'!$B$43)),0.25,"")</f>
        <v>0.25</v>
      </c>
      <c r="V38" s="118">
        <f>IF(OR((Datengüte_Eingabe[[#Headers],[2050]]&gt;'Refsz-Verbräuche'!$B$43),(Datengüte_Eingabe[[#Headers],[2050]]='Refsz-Verbräuche'!$B$43)),0.25,"")</f>
        <v>0.25</v>
      </c>
    </row>
    <row r="39" spans="2:22" x14ac:dyDescent="0.35">
      <c r="B39" s="49" t="str">
        <f>'Refsz-Verbräuche'!C79</f>
        <v>Wärme (Fernwärme Mix)</v>
      </c>
      <c r="C39" s="118"/>
      <c r="D39" s="118"/>
      <c r="E39" s="118"/>
      <c r="F39" s="118"/>
      <c r="G39" s="118"/>
      <c r="H39" s="118"/>
      <c r="I39" s="118"/>
      <c r="J39" s="118">
        <f>IF(OR((Datengüte_Eingabe[[#Headers],[2022]]&gt;'Refsz-Verbräuche'!$B$43),(Datengüte_Eingabe[[#Headers],[2022]]='Refsz-Verbräuche'!$B$43)),0.25,"")</f>
        <v>0.25</v>
      </c>
      <c r="K39" s="118">
        <f>IF(OR((Datengüte_Eingabe[[#Headers],[2023]]&gt;'Refsz-Verbräuche'!$B$43),(Datengüte_Eingabe[[#Headers],[2023]]='Refsz-Verbräuche'!$B$43)),0.25,"")</f>
        <v>0.25</v>
      </c>
      <c r="L39" s="118">
        <f>IF(OR((Datengüte_Eingabe[[#Headers],[2024]]&gt;'Refsz-Verbräuche'!$B$43),(Datengüte_Eingabe[[#Headers],[2024]]='Refsz-Verbräuche'!$B$43)),0.25,"")</f>
        <v>0.25</v>
      </c>
      <c r="M39" s="118">
        <f>IF(OR((Datengüte_Eingabe[[#Headers],[2025]]&gt;'Refsz-Verbräuche'!$B$43),(Datengüte_Eingabe[[#Headers],[2025]]='Refsz-Verbräuche'!$B$43)),0.25,"")</f>
        <v>0.25</v>
      </c>
      <c r="N39" s="118">
        <f>IF(OR((Datengüte_Eingabe[[#Headers],[2026]]&gt;'Refsz-Verbräuche'!$B$43),(Datengüte_Eingabe[[#Headers],[2026]]='Refsz-Verbräuche'!$B$43)),0.25,"")</f>
        <v>0.25</v>
      </c>
      <c r="O39" s="118">
        <f>IF(OR((Datengüte_Eingabe[[#Headers],[2027]]&gt;'Refsz-Verbräuche'!$B$43),(Datengüte_Eingabe[[#Headers],[2027]]='Refsz-Verbräuche'!$B$43)),0.25,"")</f>
        <v>0.25</v>
      </c>
      <c r="P39" s="118">
        <f>IF(OR((Datengüte_Eingabe[[#Headers],[2028]]&gt;'Refsz-Verbräuche'!$B$43),(Datengüte_Eingabe[[#Headers],[2028]]='Refsz-Verbräuche'!$B$43)),0.25,"")</f>
        <v>0.25</v>
      </c>
      <c r="Q39" s="118">
        <f>IF(OR((Datengüte_Eingabe[[#Headers],[2029]]&gt;'Refsz-Verbräuche'!$B$43),(Datengüte_Eingabe[[#Headers],[2029]]='Refsz-Verbräuche'!$B$43)),0.25,"")</f>
        <v>0.25</v>
      </c>
      <c r="R39" s="118">
        <f>IF(OR((Datengüte_Eingabe[[#Headers],[2030]]&gt;'Refsz-Verbräuche'!$B$43),(Datengüte_Eingabe[[#Headers],[2030]]='Refsz-Verbräuche'!$B$43)),0.25,"")</f>
        <v>0.25</v>
      </c>
      <c r="S39" s="118">
        <f>IF(OR((Datengüte_Eingabe[[#Headers],[2035]]&gt;'Refsz-Verbräuche'!$B$43),(Datengüte_Eingabe[[#Headers],[2035]]='Refsz-Verbräuche'!$B$43)),0.25,"")</f>
        <v>0.25</v>
      </c>
      <c r="T39" s="118">
        <f>IF(OR((Datengüte_Eingabe[[#Headers],[2040]]&gt;'Refsz-Verbräuche'!$B$43),(Datengüte_Eingabe[[#Headers],[2040]]='Refsz-Verbräuche'!$B$43)),0.25,"")</f>
        <v>0.25</v>
      </c>
      <c r="U39" s="118">
        <f>IF(OR((Datengüte_Eingabe[[#Headers],[2045]]&gt;'Refsz-Verbräuche'!$B$43),(Datengüte_Eingabe[[#Headers],[2045]]='Refsz-Verbräuche'!$B$43)),0.25,"")</f>
        <v>0.25</v>
      </c>
      <c r="V39" s="118">
        <f>IF(OR((Datengüte_Eingabe[[#Headers],[2050]]&gt;'Refsz-Verbräuche'!$B$43),(Datengüte_Eingabe[[#Headers],[2050]]='Refsz-Verbräuche'!$B$43)),0.25,"")</f>
        <v>0.25</v>
      </c>
    </row>
    <row r="40" spans="2:22" x14ac:dyDescent="0.35">
      <c r="B40" s="49" t="str">
        <f>'Refsz-Verbräuche'!C80</f>
        <v>Wärme (Fernwärme Abfall)</v>
      </c>
      <c r="C40" s="118"/>
      <c r="D40" s="118"/>
      <c r="E40" s="118"/>
      <c r="F40" s="118"/>
      <c r="G40" s="118"/>
      <c r="H40" s="118"/>
      <c r="I40" s="118"/>
      <c r="J40" s="118">
        <f>IF(OR((Datengüte_Eingabe[[#Headers],[2022]]&gt;'Refsz-Verbräuche'!$B$43),(Datengüte_Eingabe[[#Headers],[2022]]='Refsz-Verbräuche'!$B$43)),0.25,"")</f>
        <v>0.25</v>
      </c>
      <c r="K40" s="118">
        <f>IF(OR((Datengüte_Eingabe[[#Headers],[2023]]&gt;'Refsz-Verbräuche'!$B$43),(Datengüte_Eingabe[[#Headers],[2023]]='Refsz-Verbräuche'!$B$43)),0.25,"")</f>
        <v>0.25</v>
      </c>
      <c r="L40" s="118">
        <f>IF(OR((Datengüte_Eingabe[[#Headers],[2024]]&gt;'Refsz-Verbräuche'!$B$43),(Datengüte_Eingabe[[#Headers],[2024]]='Refsz-Verbräuche'!$B$43)),0.25,"")</f>
        <v>0.25</v>
      </c>
      <c r="M40" s="118">
        <f>IF(OR((Datengüte_Eingabe[[#Headers],[2025]]&gt;'Refsz-Verbräuche'!$B$43),(Datengüte_Eingabe[[#Headers],[2025]]='Refsz-Verbräuche'!$B$43)),0.25,"")</f>
        <v>0.25</v>
      </c>
      <c r="N40" s="118">
        <f>IF(OR((Datengüte_Eingabe[[#Headers],[2026]]&gt;'Refsz-Verbräuche'!$B$43),(Datengüte_Eingabe[[#Headers],[2026]]='Refsz-Verbräuche'!$B$43)),0.25,"")</f>
        <v>0.25</v>
      </c>
      <c r="O40" s="118">
        <f>IF(OR((Datengüte_Eingabe[[#Headers],[2027]]&gt;'Refsz-Verbräuche'!$B$43),(Datengüte_Eingabe[[#Headers],[2027]]='Refsz-Verbräuche'!$B$43)),0.25,"")</f>
        <v>0.25</v>
      </c>
      <c r="P40" s="118">
        <f>IF(OR((Datengüte_Eingabe[[#Headers],[2028]]&gt;'Refsz-Verbräuche'!$B$43),(Datengüte_Eingabe[[#Headers],[2028]]='Refsz-Verbräuche'!$B$43)),0.25,"")</f>
        <v>0.25</v>
      </c>
      <c r="Q40" s="118">
        <f>IF(OR((Datengüte_Eingabe[[#Headers],[2029]]&gt;'Refsz-Verbräuche'!$B$43),(Datengüte_Eingabe[[#Headers],[2029]]='Refsz-Verbräuche'!$B$43)),0.25,"")</f>
        <v>0.25</v>
      </c>
      <c r="R40" s="118">
        <f>IF(OR((Datengüte_Eingabe[[#Headers],[2030]]&gt;'Refsz-Verbräuche'!$B$43),(Datengüte_Eingabe[[#Headers],[2030]]='Refsz-Verbräuche'!$B$43)),0.25,"")</f>
        <v>0.25</v>
      </c>
      <c r="S40" s="118">
        <f>IF(OR((Datengüte_Eingabe[[#Headers],[2035]]&gt;'Refsz-Verbräuche'!$B$43),(Datengüte_Eingabe[[#Headers],[2035]]='Refsz-Verbräuche'!$B$43)),0.25,"")</f>
        <v>0.25</v>
      </c>
      <c r="T40" s="118">
        <f>IF(OR((Datengüte_Eingabe[[#Headers],[2040]]&gt;'Refsz-Verbräuche'!$B$43),(Datengüte_Eingabe[[#Headers],[2040]]='Refsz-Verbräuche'!$B$43)),0.25,"")</f>
        <v>0.25</v>
      </c>
      <c r="U40" s="118">
        <f>IF(OR((Datengüte_Eingabe[[#Headers],[2045]]&gt;'Refsz-Verbräuche'!$B$43),(Datengüte_Eingabe[[#Headers],[2045]]='Refsz-Verbräuche'!$B$43)),0.25,"")</f>
        <v>0.25</v>
      </c>
      <c r="V40" s="118">
        <f>IF(OR((Datengüte_Eingabe[[#Headers],[2050]]&gt;'Refsz-Verbräuche'!$B$43),(Datengüte_Eingabe[[#Headers],[2050]]='Refsz-Verbräuche'!$B$43)),0.25,"")</f>
        <v>0.25</v>
      </c>
    </row>
    <row r="41" spans="2:22" x14ac:dyDescent="0.35">
      <c r="B41" s="49" t="str">
        <f>'Refsz-Verbräuche'!C81</f>
        <v>Wärme (Heizöl)</v>
      </c>
      <c r="C41" s="118"/>
      <c r="D41" s="118"/>
      <c r="E41" s="118"/>
      <c r="F41" s="118"/>
      <c r="G41" s="118"/>
      <c r="H41" s="118"/>
      <c r="I41" s="118"/>
      <c r="J41" s="118">
        <f>IF(OR((Datengüte_Eingabe[[#Headers],[2022]]&gt;'Refsz-Verbräuche'!$B$43),(Datengüte_Eingabe[[#Headers],[2022]]='Refsz-Verbräuche'!$B$43)),0.25,"")</f>
        <v>0.25</v>
      </c>
      <c r="K41" s="118">
        <f>IF(OR((Datengüte_Eingabe[[#Headers],[2023]]&gt;'Refsz-Verbräuche'!$B$43),(Datengüte_Eingabe[[#Headers],[2023]]='Refsz-Verbräuche'!$B$43)),0.25,"")</f>
        <v>0.25</v>
      </c>
      <c r="L41" s="118">
        <f>IF(OR((Datengüte_Eingabe[[#Headers],[2024]]&gt;'Refsz-Verbräuche'!$B$43),(Datengüte_Eingabe[[#Headers],[2024]]='Refsz-Verbräuche'!$B$43)),0.25,"")</f>
        <v>0.25</v>
      </c>
      <c r="M41" s="118">
        <f>IF(OR((Datengüte_Eingabe[[#Headers],[2025]]&gt;'Refsz-Verbräuche'!$B$43),(Datengüte_Eingabe[[#Headers],[2025]]='Refsz-Verbräuche'!$B$43)),0.25,"")</f>
        <v>0.25</v>
      </c>
      <c r="N41" s="118">
        <f>IF(OR((Datengüte_Eingabe[[#Headers],[2026]]&gt;'Refsz-Verbräuche'!$B$43),(Datengüte_Eingabe[[#Headers],[2026]]='Refsz-Verbräuche'!$B$43)),0.25,"")</f>
        <v>0.25</v>
      </c>
      <c r="O41" s="118">
        <f>IF(OR((Datengüte_Eingabe[[#Headers],[2027]]&gt;'Refsz-Verbräuche'!$B$43),(Datengüte_Eingabe[[#Headers],[2027]]='Refsz-Verbräuche'!$B$43)),0.25,"")</f>
        <v>0.25</v>
      </c>
      <c r="P41" s="118">
        <f>IF(OR((Datengüte_Eingabe[[#Headers],[2028]]&gt;'Refsz-Verbräuche'!$B$43),(Datengüte_Eingabe[[#Headers],[2028]]='Refsz-Verbräuche'!$B$43)),0.25,"")</f>
        <v>0.25</v>
      </c>
      <c r="Q41" s="118">
        <f>IF(OR((Datengüte_Eingabe[[#Headers],[2029]]&gt;'Refsz-Verbräuche'!$B$43),(Datengüte_Eingabe[[#Headers],[2029]]='Refsz-Verbräuche'!$B$43)),0.25,"")</f>
        <v>0.25</v>
      </c>
      <c r="R41" s="118">
        <f>IF(OR((Datengüte_Eingabe[[#Headers],[2030]]&gt;'Refsz-Verbräuche'!$B$43),(Datengüte_Eingabe[[#Headers],[2030]]='Refsz-Verbräuche'!$B$43)),0.25,"")</f>
        <v>0.25</v>
      </c>
      <c r="S41" s="118">
        <f>IF(OR((Datengüte_Eingabe[[#Headers],[2035]]&gt;'Refsz-Verbräuche'!$B$43),(Datengüte_Eingabe[[#Headers],[2035]]='Refsz-Verbräuche'!$B$43)),0.25,"")</f>
        <v>0.25</v>
      </c>
      <c r="T41" s="118">
        <f>IF(OR((Datengüte_Eingabe[[#Headers],[2040]]&gt;'Refsz-Verbräuche'!$B$43),(Datengüte_Eingabe[[#Headers],[2040]]='Refsz-Verbräuche'!$B$43)),0.25,"")</f>
        <v>0.25</v>
      </c>
      <c r="U41" s="118">
        <f>IF(OR((Datengüte_Eingabe[[#Headers],[2045]]&gt;'Refsz-Verbräuche'!$B$43),(Datengüte_Eingabe[[#Headers],[2045]]='Refsz-Verbräuche'!$B$43)),0.25,"")</f>
        <v>0.25</v>
      </c>
      <c r="V41" s="118">
        <f>IF(OR((Datengüte_Eingabe[[#Headers],[2050]]&gt;'Refsz-Verbräuche'!$B$43),(Datengüte_Eingabe[[#Headers],[2050]]='Refsz-Verbräuche'!$B$43)),0.25,"")</f>
        <v>0.25</v>
      </c>
    </row>
    <row r="42" spans="2:22" x14ac:dyDescent="0.35">
      <c r="B42" s="49" t="str">
        <f>'Refsz-Verbräuche'!C82</f>
        <v>Wärme (Solarthermie)</v>
      </c>
      <c r="C42" s="118"/>
      <c r="D42" s="118"/>
      <c r="E42" s="118"/>
      <c r="F42" s="118"/>
      <c r="G42" s="118"/>
      <c r="H42" s="118"/>
      <c r="I42" s="118"/>
      <c r="J42" s="118">
        <f>IF(OR((Datengüte_Eingabe[[#Headers],[2022]]&gt;'Refsz-Verbräuche'!$B$43),(Datengüte_Eingabe[[#Headers],[2022]]='Refsz-Verbräuche'!$B$43)),0.25,"")</f>
        <v>0.25</v>
      </c>
      <c r="K42" s="118">
        <f>IF(OR((Datengüte_Eingabe[[#Headers],[2023]]&gt;'Refsz-Verbräuche'!$B$43),(Datengüte_Eingabe[[#Headers],[2023]]='Refsz-Verbräuche'!$B$43)),0.25,"")</f>
        <v>0.25</v>
      </c>
      <c r="L42" s="118">
        <f>IF(OR((Datengüte_Eingabe[[#Headers],[2024]]&gt;'Refsz-Verbräuche'!$B$43),(Datengüte_Eingabe[[#Headers],[2024]]='Refsz-Verbräuche'!$B$43)),0.25,"")</f>
        <v>0.25</v>
      </c>
      <c r="M42" s="118">
        <f>IF(OR((Datengüte_Eingabe[[#Headers],[2025]]&gt;'Refsz-Verbräuche'!$B$43),(Datengüte_Eingabe[[#Headers],[2025]]='Refsz-Verbräuche'!$B$43)),0.25,"")</f>
        <v>0.25</v>
      </c>
      <c r="N42" s="118">
        <f>IF(OR((Datengüte_Eingabe[[#Headers],[2026]]&gt;'Refsz-Verbräuche'!$B$43),(Datengüte_Eingabe[[#Headers],[2026]]='Refsz-Verbräuche'!$B$43)),0.25,"")</f>
        <v>0.25</v>
      </c>
      <c r="O42" s="118">
        <f>IF(OR((Datengüte_Eingabe[[#Headers],[2027]]&gt;'Refsz-Verbräuche'!$B$43),(Datengüte_Eingabe[[#Headers],[2027]]='Refsz-Verbräuche'!$B$43)),0.25,"")</f>
        <v>0.25</v>
      </c>
      <c r="P42" s="118">
        <f>IF(OR((Datengüte_Eingabe[[#Headers],[2028]]&gt;'Refsz-Verbräuche'!$B$43),(Datengüte_Eingabe[[#Headers],[2028]]='Refsz-Verbräuche'!$B$43)),0.25,"")</f>
        <v>0.25</v>
      </c>
      <c r="Q42" s="118">
        <f>IF(OR((Datengüte_Eingabe[[#Headers],[2029]]&gt;'Refsz-Verbräuche'!$B$43),(Datengüte_Eingabe[[#Headers],[2029]]='Refsz-Verbräuche'!$B$43)),0.25,"")</f>
        <v>0.25</v>
      </c>
      <c r="R42" s="118">
        <f>IF(OR((Datengüte_Eingabe[[#Headers],[2030]]&gt;'Refsz-Verbräuche'!$B$43),(Datengüte_Eingabe[[#Headers],[2030]]='Refsz-Verbräuche'!$B$43)),0.25,"")</f>
        <v>0.25</v>
      </c>
      <c r="S42" s="118">
        <f>IF(OR((Datengüte_Eingabe[[#Headers],[2035]]&gt;'Refsz-Verbräuche'!$B$43),(Datengüte_Eingabe[[#Headers],[2035]]='Refsz-Verbräuche'!$B$43)),0.25,"")</f>
        <v>0.25</v>
      </c>
      <c r="T42" s="118">
        <f>IF(OR((Datengüte_Eingabe[[#Headers],[2040]]&gt;'Refsz-Verbräuche'!$B$43),(Datengüte_Eingabe[[#Headers],[2040]]='Refsz-Verbräuche'!$B$43)),0.25,"")</f>
        <v>0.25</v>
      </c>
      <c r="U42" s="118">
        <f>IF(OR((Datengüte_Eingabe[[#Headers],[2045]]&gt;'Refsz-Verbräuche'!$B$43),(Datengüte_Eingabe[[#Headers],[2045]]='Refsz-Verbräuche'!$B$43)),0.25,"")</f>
        <v>0.25</v>
      </c>
      <c r="V42" s="118">
        <f>IF(OR((Datengüte_Eingabe[[#Headers],[2050]]&gt;'Refsz-Verbräuche'!$B$43),(Datengüte_Eingabe[[#Headers],[2050]]='Refsz-Verbräuche'!$B$43)),0.25,"")</f>
        <v>0.25</v>
      </c>
    </row>
    <row r="43" spans="2:22" x14ac:dyDescent="0.35">
      <c r="B43" s="49" t="str">
        <f>'Refsz-Verbräuche'!C83</f>
        <v>Wärme (Sole-Wasser-Wärmepumpe; Bundesstrommix)</v>
      </c>
      <c r="C43" s="118"/>
      <c r="D43" s="118"/>
      <c r="E43" s="118"/>
      <c r="F43" s="118"/>
      <c r="G43" s="118"/>
      <c r="H43" s="118"/>
      <c r="I43" s="118"/>
      <c r="J43" s="118">
        <f>IF(OR((Datengüte_Eingabe[[#Headers],[2022]]&gt;'Refsz-Verbräuche'!$B$43),(Datengüte_Eingabe[[#Headers],[2022]]='Refsz-Verbräuche'!$B$43)),0.25,"")</f>
        <v>0.25</v>
      </c>
      <c r="K43" s="118">
        <f>IF(OR((Datengüte_Eingabe[[#Headers],[2023]]&gt;'Refsz-Verbräuche'!$B$43),(Datengüte_Eingabe[[#Headers],[2023]]='Refsz-Verbräuche'!$B$43)),0.25,"")</f>
        <v>0.25</v>
      </c>
      <c r="L43" s="118">
        <f>IF(OR((Datengüte_Eingabe[[#Headers],[2024]]&gt;'Refsz-Verbräuche'!$B$43),(Datengüte_Eingabe[[#Headers],[2024]]='Refsz-Verbräuche'!$B$43)),0.25,"")</f>
        <v>0.25</v>
      </c>
      <c r="M43" s="118">
        <f>IF(OR((Datengüte_Eingabe[[#Headers],[2025]]&gt;'Refsz-Verbräuche'!$B$43),(Datengüte_Eingabe[[#Headers],[2025]]='Refsz-Verbräuche'!$B$43)),0.25,"")</f>
        <v>0.25</v>
      </c>
      <c r="N43" s="118">
        <f>IF(OR((Datengüte_Eingabe[[#Headers],[2026]]&gt;'Refsz-Verbräuche'!$B$43),(Datengüte_Eingabe[[#Headers],[2026]]='Refsz-Verbräuche'!$B$43)),0.25,"")</f>
        <v>0.25</v>
      </c>
      <c r="O43" s="118">
        <f>IF(OR((Datengüte_Eingabe[[#Headers],[2027]]&gt;'Refsz-Verbräuche'!$B$43),(Datengüte_Eingabe[[#Headers],[2027]]='Refsz-Verbräuche'!$B$43)),0.25,"")</f>
        <v>0.25</v>
      </c>
      <c r="P43" s="118">
        <f>IF(OR((Datengüte_Eingabe[[#Headers],[2028]]&gt;'Refsz-Verbräuche'!$B$43),(Datengüte_Eingabe[[#Headers],[2028]]='Refsz-Verbräuche'!$B$43)),0.25,"")</f>
        <v>0.25</v>
      </c>
      <c r="Q43" s="118">
        <f>IF(OR((Datengüte_Eingabe[[#Headers],[2029]]&gt;'Refsz-Verbräuche'!$B$43),(Datengüte_Eingabe[[#Headers],[2029]]='Refsz-Verbräuche'!$B$43)),0.25,"")</f>
        <v>0.25</v>
      </c>
      <c r="R43" s="118">
        <f>IF(OR((Datengüte_Eingabe[[#Headers],[2030]]&gt;'Refsz-Verbräuche'!$B$43),(Datengüte_Eingabe[[#Headers],[2030]]='Refsz-Verbräuche'!$B$43)),0.25,"")</f>
        <v>0.25</v>
      </c>
      <c r="S43" s="118">
        <f>IF(OR((Datengüte_Eingabe[[#Headers],[2035]]&gt;'Refsz-Verbräuche'!$B$43),(Datengüte_Eingabe[[#Headers],[2035]]='Refsz-Verbräuche'!$B$43)),0.25,"")</f>
        <v>0.25</v>
      </c>
      <c r="T43" s="118">
        <f>IF(OR((Datengüte_Eingabe[[#Headers],[2040]]&gt;'Refsz-Verbräuche'!$B$43),(Datengüte_Eingabe[[#Headers],[2040]]='Refsz-Verbräuche'!$B$43)),0.25,"")</f>
        <v>0.25</v>
      </c>
      <c r="U43" s="118">
        <f>IF(OR((Datengüte_Eingabe[[#Headers],[2045]]&gt;'Refsz-Verbräuche'!$B$43),(Datengüte_Eingabe[[#Headers],[2045]]='Refsz-Verbräuche'!$B$43)),0.25,"")</f>
        <v>0.25</v>
      </c>
      <c r="V43" s="118">
        <f>IF(OR((Datengüte_Eingabe[[#Headers],[2050]]&gt;'Refsz-Verbräuche'!$B$43),(Datengüte_Eingabe[[#Headers],[2050]]='Refsz-Verbräuche'!$B$43)),0.25,"")</f>
        <v>0.25</v>
      </c>
    </row>
    <row r="44" spans="2:22" x14ac:dyDescent="0.35">
      <c r="B44" s="49" t="str">
        <f>'Refsz-Verbräuche'!C84</f>
        <v>Wärme (Sole-Wasser-Wärmepumpe; Ökostrom)</v>
      </c>
      <c r="C44" s="118"/>
      <c r="D44" s="118"/>
      <c r="E44" s="118"/>
      <c r="F44" s="118"/>
      <c r="G44" s="118"/>
      <c r="H44" s="118"/>
      <c r="I44" s="118"/>
      <c r="J44" s="118">
        <f>IF(OR((Datengüte_Eingabe[[#Headers],[2022]]&gt;'Refsz-Verbräuche'!$B$43),(Datengüte_Eingabe[[#Headers],[2022]]='Refsz-Verbräuche'!$B$43)),0.25,"")</f>
        <v>0.25</v>
      </c>
      <c r="K44" s="118">
        <f>IF(OR((Datengüte_Eingabe[[#Headers],[2023]]&gt;'Refsz-Verbräuche'!$B$43),(Datengüte_Eingabe[[#Headers],[2023]]='Refsz-Verbräuche'!$B$43)),0.25,"")</f>
        <v>0.25</v>
      </c>
      <c r="L44" s="118">
        <f>IF(OR((Datengüte_Eingabe[[#Headers],[2024]]&gt;'Refsz-Verbräuche'!$B$43),(Datengüte_Eingabe[[#Headers],[2024]]='Refsz-Verbräuche'!$B$43)),0.25,"")</f>
        <v>0.25</v>
      </c>
      <c r="M44" s="118">
        <f>IF(OR((Datengüte_Eingabe[[#Headers],[2025]]&gt;'Refsz-Verbräuche'!$B$43),(Datengüte_Eingabe[[#Headers],[2025]]='Refsz-Verbräuche'!$B$43)),0.25,"")</f>
        <v>0.25</v>
      </c>
      <c r="N44" s="118">
        <f>IF(OR((Datengüte_Eingabe[[#Headers],[2026]]&gt;'Refsz-Verbräuche'!$B$43),(Datengüte_Eingabe[[#Headers],[2026]]='Refsz-Verbräuche'!$B$43)),0.25,"")</f>
        <v>0.25</v>
      </c>
      <c r="O44" s="118">
        <f>IF(OR((Datengüte_Eingabe[[#Headers],[2027]]&gt;'Refsz-Verbräuche'!$B$43),(Datengüte_Eingabe[[#Headers],[2027]]='Refsz-Verbräuche'!$B$43)),0.25,"")</f>
        <v>0.25</v>
      </c>
      <c r="P44" s="118">
        <f>IF(OR((Datengüte_Eingabe[[#Headers],[2028]]&gt;'Refsz-Verbräuche'!$B$43),(Datengüte_Eingabe[[#Headers],[2028]]='Refsz-Verbräuche'!$B$43)),0.25,"")</f>
        <v>0.25</v>
      </c>
      <c r="Q44" s="118">
        <f>IF(OR((Datengüte_Eingabe[[#Headers],[2029]]&gt;'Refsz-Verbräuche'!$B$43),(Datengüte_Eingabe[[#Headers],[2029]]='Refsz-Verbräuche'!$B$43)),0.25,"")</f>
        <v>0.25</v>
      </c>
      <c r="R44" s="118">
        <f>IF(OR((Datengüte_Eingabe[[#Headers],[2030]]&gt;'Refsz-Verbräuche'!$B$43),(Datengüte_Eingabe[[#Headers],[2030]]='Refsz-Verbräuche'!$B$43)),0.25,"")</f>
        <v>0.25</v>
      </c>
      <c r="S44" s="118">
        <f>IF(OR((Datengüte_Eingabe[[#Headers],[2035]]&gt;'Refsz-Verbräuche'!$B$43),(Datengüte_Eingabe[[#Headers],[2035]]='Refsz-Verbräuche'!$B$43)),0.25,"")</f>
        <v>0.25</v>
      </c>
      <c r="T44" s="118">
        <f>IF(OR((Datengüte_Eingabe[[#Headers],[2040]]&gt;'Refsz-Verbräuche'!$B$43),(Datengüte_Eingabe[[#Headers],[2040]]='Refsz-Verbräuche'!$B$43)),0.25,"")</f>
        <v>0.25</v>
      </c>
      <c r="U44" s="118">
        <f>IF(OR((Datengüte_Eingabe[[#Headers],[2045]]&gt;'Refsz-Verbräuche'!$B$43),(Datengüte_Eingabe[[#Headers],[2045]]='Refsz-Verbräuche'!$B$43)),0.25,"")</f>
        <v>0.25</v>
      </c>
      <c r="V44" s="118">
        <f>IF(OR((Datengüte_Eingabe[[#Headers],[2050]]&gt;'Refsz-Verbräuche'!$B$43),(Datengüte_Eingabe[[#Headers],[2050]]='Refsz-Verbräuche'!$B$43)),0.25,"")</f>
        <v>0.25</v>
      </c>
    </row>
    <row r="45" spans="2:22" x14ac:dyDescent="0.35">
      <c r="B45" s="49" t="str">
        <f>'Refsz-Verbräuche'!C85</f>
        <v>Wärme (individuelle Wärmepumpe)</v>
      </c>
      <c r="C45" s="118"/>
      <c r="D45" s="118"/>
      <c r="E45" s="118"/>
      <c r="F45" s="118"/>
      <c r="G45" s="118"/>
      <c r="H45" s="118"/>
      <c r="I45" s="118"/>
      <c r="J45" s="118">
        <f>IF(OR((Datengüte_Eingabe[[#Headers],[2022]]&gt;'Refsz-Verbräuche'!$B$43),(Datengüte_Eingabe[[#Headers],[2022]]='Refsz-Verbräuche'!$B$43)),0.25,"")</f>
        <v>0.25</v>
      </c>
      <c r="K45" s="118">
        <f>IF(OR((Datengüte_Eingabe[[#Headers],[2023]]&gt;'Refsz-Verbräuche'!$B$43),(Datengüte_Eingabe[[#Headers],[2023]]='Refsz-Verbräuche'!$B$43)),0.25,"")</f>
        <v>0.25</v>
      </c>
      <c r="L45" s="118">
        <f>IF(OR((Datengüte_Eingabe[[#Headers],[2024]]&gt;'Refsz-Verbräuche'!$B$43),(Datengüte_Eingabe[[#Headers],[2024]]='Refsz-Verbräuche'!$B$43)),0.25,"")</f>
        <v>0.25</v>
      </c>
      <c r="M45" s="118">
        <f>IF(OR((Datengüte_Eingabe[[#Headers],[2025]]&gt;'Refsz-Verbräuche'!$B$43),(Datengüte_Eingabe[[#Headers],[2025]]='Refsz-Verbräuche'!$B$43)),0.25,"")</f>
        <v>0.25</v>
      </c>
      <c r="N45" s="118">
        <f>IF(OR((Datengüte_Eingabe[[#Headers],[2026]]&gt;'Refsz-Verbräuche'!$B$43),(Datengüte_Eingabe[[#Headers],[2026]]='Refsz-Verbräuche'!$B$43)),0.25,"")</f>
        <v>0.25</v>
      </c>
      <c r="O45" s="118">
        <f>IF(OR((Datengüte_Eingabe[[#Headers],[2027]]&gt;'Refsz-Verbräuche'!$B$43),(Datengüte_Eingabe[[#Headers],[2027]]='Refsz-Verbräuche'!$B$43)),0.25,"")</f>
        <v>0.25</v>
      </c>
      <c r="P45" s="118">
        <f>IF(OR((Datengüte_Eingabe[[#Headers],[2028]]&gt;'Refsz-Verbräuche'!$B$43),(Datengüte_Eingabe[[#Headers],[2028]]='Refsz-Verbräuche'!$B$43)),0.25,"")</f>
        <v>0.25</v>
      </c>
      <c r="Q45" s="118">
        <f>IF(OR((Datengüte_Eingabe[[#Headers],[2029]]&gt;'Refsz-Verbräuche'!$B$43),(Datengüte_Eingabe[[#Headers],[2029]]='Refsz-Verbräuche'!$B$43)),0.25,"")</f>
        <v>0.25</v>
      </c>
      <c r="R45" s="118">
        <f>IF(OR((Datengüte_Eingabe[[#Headers],[2030]]&gt;'Refsz-Verbräuche'!$B$43),(Datengüte_Eingabe[[#Headers],[2030]]='Refsz-Verbräuche'!$B$43)),0.25,"")</f>
        <v>0.25</v>
      </c>
      <c r="S45" s="118">
        <f>IF(OR((Datengüte_Eingabe[[#Headers],[2035]]&gt;'Refsz-Verbräuche'!$B$43),(Datengüte_Eingabe[[#Headers],[2035]]='Refsz-Verbräuche'!$B$43)),0.25,"")</f>
        <v>0.25</v>
      </c>
      <c r="T45" s="118">
        <f>IF(OR((Datengüte_Eingabe[[#Headers],[2040]]&gt;'Refsz-Verbräuche'!$B$43),(Datengüte_Eingabe[[#Headers],[2040]]='Refsz-Verbräuche'!$B$43)),0.25,"")</f>
        <v>0.25</v>
      </c>
      <c r="U45" s="118">
        <f>IF(OR((Datengüte_Eingabe[[#Headers],[2045]]&gt;'Refsz-Verbräuche'!$B$43),(Datengüte_Eingabe[[#Headers],[2045]]='Refsz-Verbräuche'!$B$43)),0.25,"")</f>
        <v>0.25</v>
      </c>
      <c r="V45" s="118">
        <f>IF(OR((Datengüte_Eingabe[[#Headers],[2050]]&gt;'Refsz-Verbräuche'!$B$43),(Datengüte_Eingabe[[#Headers],[2050]]='Refsz-Verbräuche'!$B$43)),0.25,"")</f>
        <v>0.25</v>
      </c>
    </row>
    <row r="46" spans="2:22" x14ac:dyDescent="0.35">
      <c r="B46" s="113" t="s">
        <v>271</v>
      </c>
      <c r="C46" s="1" t="str">
        <f>IFERROR(
  (
    IF(ISNUMBER('Refsz-Verbräuche'!E61), 'Refsz-Verbräuche'!E61*Datengüte!C22, 0) +
    IF(ISNUMBER('Refsz-Verbräuche'!E63), 'Refsz-Verbräuche'!E63*Datengüte!C23, 0) +
    IF(ISNUMBER('Refsz-Verbräuche'!E64), 'Refsz-Verbräuche'!E64*Datengüte!C24, 0) +
    IF(ISNUMBER('Refsz-Verbräuche'!E65), 'Refsz-Verbräuche'!E65*Datengüte!C25, 0) +
    IF(ISNUMBER('Refsz-Verbräuche'!E66), 'Refsz-Verbräuche'!E66*Datengüte!C26, 0) +
    IF(ISNUMBER('Refsz-Verbräuche'!E67), 'Refsz-Verbräuche'!E67*Datengüte!C27, 0) +
    IF(ISNUMBER('Refsz-Verbräuche'!E68), 'Refsz-Verbräuche'!E68*Datengüte!C28, 0) +
    IF(ISNUMBER('Refsz-Verbräuche'!E69), 'Refsz-Verbräuche'!E69*Datengüte!C29, 0) +
    IF(ISNUMBER('Refsz-Verbräuche'!E70), 'Refsz-Verbräuche'!E70*Datengüte!C30, 0) +
    IF(ISNUMBER('Refsz-Verbräuche'!E71), 'Refsz-Verbräuche'!E71*Datengüte!C31, 0) +
    IF(ISNUMBER('Refsz-Verbräuche'!E72), 'Refsz-Verbräuche'!E72*Datengüte!C32, 0) +
    IF(ISNUMBER('Refsz-Verbräuche'!E73), 'Refsz-Verbräuche'!E73*Datengüte!C33, 0) +
    IF(ISNUMBER('Refsz-Verbräuche'!E74), 'Refsz-Verbräuche'!E74*Datengüte!C34, 0) +
    IF(ISNUMBER('Refsz-Verbräuche'!E75), 'Refsz-Verbräuche'!E75*Datengüte!C35, 0) +
    IF(ISNUMBER('Refsz-Verbräuche'!E76), 'Refsz-Verbräuche'!E76*Datengüte!C36, 0) +
    IF(ISNUMBER('Refsz-Verbräuche'!E77), 'Refsz-Verbräuche'!E77*Datengüte!C37, 0) +
    IF(ISNUMBER('Refsz-Verbräuche'!E78), 'Refsz-Verbräuche'!E78*Datengüte!C38, 0) +
    IF(ISNUMBER('Refsz-Verbräuche'!E79), 'Refsz-Verbräuche'!E79*Datengüte!C39, 0) +
    IF(ISNUMBER('Refsz-Verbräuche'!E80), 'Refsz-Verbräuche'!E80*Datengüte!C40, 0) +
    IF(ISNUMBER('Refsz-Verbräuche'!E81), 'Refsz-Verbräuche'!E81*Datengüte!C41, 0) +
    IF(ISNUMBER('Refsz-Verbräuche'!E82), 'Refsz-Verbräuche'!E82*Datengüte!C42, 0) +
    IF(ISNUMBER('Refsz-Verbräuche'!E83), 'Refsz-Verbräuche'!E83*Datengüte!C43, 0) +
    IF(ISNUMBER('Refsz-Verbräuche'!E84), 'Refsz-Verbräuche'!E84*Datengüte!C44, 0) +
    IF(ISNUMBER('Refsz-Verbräuche'!E85), 'Refsz-Verbräuche'!E85*Datengüte!C45, 0)
  ) / SUM('Refsz-Verbräuche'!E61:E85),
  "Verbrauchsdaten fehlen"
)</f>
        <v>Verbrauchsdaten fehlen</v>
      </c>
      <c r="D46" s="1" t="str">
        <f>IFERROR(
  (
    IF(ISNUMBER('Refsz-Verbräuche'!F61), 'Refsz-Verbräuche'!F61*Datengüte!D22, 0) +
    IF(ISNUMBER('Refsz-Verbräuche'!F63), 'Refsz-Verbräuche'!F63*Datengüte!D23, 0) +
    IF(ISNUMBER('Refsz-Verbräuche'!F64), 'Refsz-Verbräuche'!F64*Datengüte!D24, 0) +
    IF(ISNUMBER('Refsz-Verbräuche'!F65), 'Refsz-Verbräuche'!F65*Datengüte!D25, 0) +
    IF(ISNUMBER('Refsz-Verbräuche'!F66), 'Refsz-Verbräuche'!F66*Datengüte!D26, 0) +
    IF(ISNUMBER('Refsz-Verbräuche'!F67), 'Refsz-Verbräuche'!F67*Datengüte!D27, 0) +
    IF(ISNUMBER('Refsz-Verbräuche'!F68), 'Refsz-Verbräuche'!F68*Datengüte!D28, 0) +
    IF(ISNUMBER('Refsz-Verbräuche'!F69), 'Refsz-Verbräuche'!F69*Datengüte!D29, 0) +
    IF(ISNUMBER('Refsz-Verbräuche'!F70), 'Refsz-Verbräuche'!F70*Datengüte!D30, 0) +
    IF(ISNUMBER('Refsz-Verbräuche'!F71), 'Refsz-Verbräuche'!F71*Datengüte!D31, 0) +
    IF(ISNUMBER('Refsz-Verbräuche'!F72), 'Refsz-Verbräuche'!F72*Datengüte!D32, 0) +
    IF(ISNUMBER('Refsz-Verbräuche'!F73), 'Refsz-Verbräuche'!F73*Datengüte!D33, 0) +
    IF(ISNUMBER('Refsz-Verbräuche'!F74), 'Refsz-Verbräuche'!F74*Datengüte!D34, 0) +
    IF(ISNUMBER('Refsz-Verbräuche'!F75), 'Refsz-Verbräuche'!F75*Datengüte!D35, 0) +
    IF(ISNUMBER('Refsz-Verbräuche'!F76), 'Refsz-Verbräuche'!F76*Datengüte!D36, 0) +
    IF(ISNUMBER('Refsz-Verbräuche'!F77), 'Refsz-Verbräuche'!F77*Datengüte!D37, 0) +
    IF(ISNUMBER('Refsz-Verbräuche'!F78), 'Refsz-Verbräuche'!F78*Datengüte!D38, 0) +
    IF(ISNUMBER('Refsz-Verbräuche'!F79), 'Refsz-Verbräuche'!F79*Datengüte!D39, 0) +
    IF(ISNUMBER('Refsz-Verbräuche'!F80), 'Refsz-Verbräuche'!F80*Datengüte!D40, 0) +
    IF(ISNUMBER('Refsz-Verbräuche'!F81), 'Refsz-Verbräuche'!F81*Datengüte!D41, 0) +
    IF(ISNUMBER('Refsz-Verbräuche'!F82), 'Refsz-Verbräuche'!F82*Datengüte!D42, 0) +
    IF(ISNUMBER('Refsz-Verbräuche'!F83), 'Refsz-Verbräuche'!F83*Datengüte!D43, 0) +
    IF(ISNUMBER('Refsz-Verbräuche'!F84), 'Refsz-Verbräuche'!F84*Datengüte!D44, 0) +
    IF(ISNUMBER('Refsz-Verbräuche'!F85), 'Refsz-Verbräuche'!F85*Datengüte!D45, 0)
  ) / SUM('Refsz-Verbräuche'!F61:F85),
  "Verbrauchsdaten fehlen"
)</f>
        <v>Verbrauchsdaten fehlen</v>
      </c>
      <c r="E46" s="1" t="str">
        <f>IFERROR(
  (
    IF(ISNUMBER('Refsz-Verbräuche'!G61), 'Refsz-Verbräuche'!G61*Datengüte!E22, 0) +
    IF(ISNUMBER('Refsz-Verbräuche'!G63), 'Refsz-Verbräuche'!G63*Datengüte!E23, 0) +
    IF(ISNUMBER('Refsz-Verbräuche'!G64), 'Refsz-Verbräuche'!G64*Datengüte!E24, 0) +
    IF(ISNUMBER('Refsz-Verbräuche'!G65), 'Refsz-Verbräuche'!G65*Datengüte!E25, 0) +
    IF(ISNUMBER('Refsz-Verbräuche'!G66), 'Refsz-Verbräuche'!G66*Datengüte!E26, 0) +
    IF(ISNUMBER('Refsz-Verbräuche'!G67), 'Refsz-Verbräuche'!G67*Datengüte!E27, 0) +
    IF(ISNUMBER('Refsz-Verbräuche'!G68), 'Refsz-Verbräuche'!G68*Datengüte!E28, 0) +
    IF(ISNUMBER('Refsz-Verbräuche'!G69), 'Refsz-Verbräuche'!G69*Datengüte!E29, 0) +
    IF(ISNUMBER('Refsz-Verbräuche'!G70), 'Refsz-Verbräuche'!G70*Datengüte!E30, 0) +
    IF(ISNUMBER('Refsz-Verbräuche'!G71), 'Refsz-Verbräuche'!G71*Datengüte!E31, 0) +
    IF(ISNUMBER('Refsz-Verbräuche'!G72), 'Refsz-Verbräuche'!G72*Datengüte!E32, 0) +
    IF(ISNUMBER('Refsz-Verbräuche'!G73), 'Refsz-Verbräuche'!G73*Datengüte!E33, 0) +
    IF(ISNUMBER('Refsz-Verbräuche'!G74), 'Refsz-Verbräuche'!G74*Datengüte!E34, 0) +
    IF(ISNUMBER('Refsz-Verbräuche'!G75), 'Refsz-Verbräuche'!G75*Datengüte!E35, 0) +
    IF(ISNUMBER('Refsz-Verbräuche'!G76), 'Refsz-Verbräuche'!G76*Datengüte!E36, 0) +
    IF(ISNUMBER('Refsz-Verbräuche'!G77), 'Refsz-Verbräuche'!G77*Datengüte!E37, 0) +
    IF(ISNUMBER('Refsz-Verbräuche'!G78), 'Refsz-Verbräuche'!G78*Datengüte!E38, 0) +
    IF(ISNUMBER('Refsz-Verbräuche'!G79), 'Refsz-Verbräuche'!G79*Datengüte!E39, 0) +
    IF(ISNUMBER('Refsz-Verbräuche'!G80), 'Refsz-Verbräuche'!G80*Datengüte!E40, 0) +
    IF(ISNUMBER('Refsz-Verbräuche'!G81), 'Refsz-Verbräuche'!G81*Datengüte!E41, 0) +
    IF(ISNUMBER('Refsz-Verbräuche'!G82), 'Refsz-Verbräuche'!G82*Datengüte!E42, 0) +
    IF(ISNUMBER('Refsz-Verbräuche'!G83), 'Refsz-Verbräuche'!G83*Datengüte!E43, 0) +
    IF(ISNUMBER('Refsz-Verbräuche'!G84), 'Refsz-Verbräuche'!G84*Datengüte!E44, 0) +
    IF(ISNUMBER('Refsz-Verbräuche'!G85), 'Refsz-Verbräuche'!G85*Datengüte!E45, 0)
  ) / SUM('Refsz-Verbräuche'!G61:G85),
  "Verbrauchsdaten fehlen"
)</f>
        <v>Verbrauchsdaten fehlen</v>
      </c>
      <c r="F46" s="1" t="str">
        <f>IFERROR(
  (
    IF(ISNUMBER('Refsz-Verbräuche'!H61), 'Refsz-Verbräuche'!H61*Datengüte!F22, 0) +
    IF(ISNUMBER('Refsz-Verbräuche'!H63), 'Refsz-Verbräuche'!H63*Datengüte!F23, 0) +
    IF(ISNUMBER('Refsz-Verbräuche'!H64), 'Refsz-Verbräuche'!H64*Datengüte!F24, 0) +
    IF(ISNUMBER('Refsz-Verbräuche'!H65), 'Refsz-Verbräuche'!H65*Datengüte!F25, 0) +
    IF(ISNUMBER('Refsz-Verbräuche'!H66), 'Refsz-Verbräuche'!H66*Datengüte!F26, 0) +
    IF(ISNUMBER('Refsz-Verbräuche'!H67), 'Refsz-Verbräuche'!H67*Datengüte!F27, 0) +
    IF(ISNUMBER('Refsz-Verbräuche'!H68), 'Refsz-Verbräuche'!H68*Datengüte!F28, 0) +
    IF(ISNUMBER('Refsz-Verbräuche'!H69), 'Refsz-Verbräuche'!H69*Datengüte!F29, 0) +
    IF(ISNUMBER('Refsz-Verbräuche'!H70), 'Refsz-Verbräuche'!H70*Datengüte!F30, 0) +
    IF(ISNUMBER('Refsz-Verbräuche'!H71), 'Refsz-Verbräuche'!H71*Datengüte!F31, 0) +
    IF(ISNUMBER('Refsz-Verbräuche'!H72), 'Refsz-Verbräuche'!H72*Datengüte!F32, 0) +
    IF(ISNUMBER('Refsz-Verbräuche'!H73), 'Refsz-Verbräuche'!H73*Datengüte!F33, 0) +
    IF(ISNUMBER('Refsz-Verbräuche'!H74), 'Refsz-Verbräuche'!H74*Datengüte!F34, 0) +
    IF(ISNUMBER('Refsz-Verbräuche'!H75), 'Refsz-Verbräuche'!H75*Datengüte!F35, 0) +
    IF(ISNUMBER('Refsz-Verbräuche'!H76), 'Refsz-Verbräuche'!H76*Datengüte!F36, 0) +
    IF(ISNUMBER('Refsz-Verbräuche'!H77), 'Refsz-Verbräuche'!H77*Datengüte!F37, 0) +
    IF(ISNUMBER('Refsz-Verbräuche'!H78), 'Refsz-Verbräuche'!H78*Datengüte!F38, 0) +
    IF(ISNUMBER('Refsz-Verbräuche'!H79), 'Refsz-Verbräuche'!H79*Datengüte!F39, 0) +
    IF(ISNUMBER('Refsz-Verbräuche'!H80), 'Refsz-Verbräuche'!H80*Datengüte!F40, 0) +
    IF(ISNUMBER('Refsz-Verbräuche'!H81), 'Refsz-Verbräuche'!H81*Datengüte!F41, 0) +
    IF(ISNUMBER('Refsz-Verbräuche'!H82), 'Refsz-Verbräuche'!H82*Datengüte!F42, 0) +
    IF(ISNUMBER('Refsz-Verbräuche'!H83), 'Refsz-Verbräuche'!H83*Datengüte!F43, 0) +
    IF(ISNUMBER('Refsz-Verbräuche'!H84), 'Refsz-Verbräuche'!H84*Datengüte!F44, 0) +
    IF(ISNUMBER('Refsz-Verbräuche'!H85), 'Refsz-Verbräuche'!H85*Datengüte!F45, 0)
  ) / SUM('Refsz-Verbräuche'!H61:H85),
  "Verbrauchsdaten fehlen"
)</f>
        <v>Verbrauchsdaten fehlen</v>
      </c>
      <c r="G46" s="1" t="str">
        <f>IFERROR(
  (
    IF(ISNUMBER('Refsz-Verbräuche'!I61), 'Refsz-Verbräuche'!I61*Datengüte!G22, 0) +
    IF(ISNUMBER('Refsz-Verbräuche'!I63), 'Refsz-Verbräuche'!I63*Datengüte!G23, 0) +
    IF(ISNUMBER('Refsz-Verbräuche'!I64), 'Refsz-Verbräuche'!I64*Datengüte!G24, 0) +
    IF(ISNUMBER('Refsz-Verbräuche'!I65), 'Refsz-Verbräuche'!I65*Datengüte!G25, 0) +
    IF(ISNUMBER('Refsz-Verbräuche'!I66), 'Refsz-Verbräuche'!I66*Datengüte!G26, 0) +
    IF(ISNUMBER('Refsz-Verbräuche'!I67), 'Refsz-Verbräuche'!I67*Datengüte!G27, 0) +
    IF(ISNUMBER('Refsz-Verbräuche'!I68), 'Refsz-Verbräuche'!I68*Datengüte!G28, 0) +
    IF(ISNUMBER('Refsz-Verbräuche'!I69), 'Refsz-Verbräuche'!I69*Datengüte!G29, 0) +
    IF(ISNUMBER('Refsz-Verbräuche'!I70), 'Refsz-Verbräuche'!I70*Datengüte!G30, 0) +
    IF(ISNUMBER('Refsz-Verbräuche'!I71), 'Refsz-Verbräuche'!I71*Datengüte!G31, 0) +
    IF(ISNUMBER('Refsz-Verbräuche'!I72), 'Refsz-Verbräuche'!I72*Datengüte!G32, 0) +
    IF(ISNUMBER('Refsz-Verbräuche'!I73), 'Refsz-Verbräuche'!I73*Datengüte!G33, 0) +
    IF(ISNUMBER('Refsz-Verbräuche'!I74), 'Refsz-Verbräuche'!I74*Datengüte!G34, 0) +
    IF(ISNUMBER('Refsz-Verbräuche'!I75), 'Refsz-Verbräuche'!I75*Datengüte!G35, 0) +
    IF(ISNUMBER('Refsz-Verbräuche'!I76), 'Refsz-Verbräuche'!I76*Datengüte!G36, 0) +
    IF(ISNUMBER('Refsz-Verbräuche'!I77), 'Refsz-Verbräuche'!I77*Datengüte!G37, 0) +
    IF(ISNUMBER('Refsz-Verbräuche'!I78), 'Refsz-Verbräuche'!I78*Datengüte!G38, 0) +
    IF(ISNUMBER('Refsz-Verbräuche'!I79), 'Refsz-Verbräuche'!I79*Datengüte!G39, 0) +
    IF(ISNUMBER('Refsz-Verbräuche'!I80), 'Refsz-Verbräuche'!I80*Datengüte!G40, 0) +
    IF(ISNUMBER('Refsz-Verbräuche'!I81), 'Refsz-Verbräuche'!I81*Datengüte!G41, 0) +
    IF(ISNUMBER('Refsz-Verbräuche'!I82), 'Refsz-Verbräuche'!I82*Datengüte!G42, 0) +
    IF(ISNUMBER('Refsz-Verbräuche'!I83), 'Refsz-Verbräuche'!I83*Datengüte!G43, 0) +
    IF(ISNUMBER('Refsz-Verbräuche'!I84), 'Refsz-Verbräuche'!I84*Datengüte!G44, 0) +
    IF(ISNUMBER('Refsz-Verbräuche'!I85), 'Refsz-Verbräuche'!I85*Datengüte!G45, 0)
  ) / SUM('Refsz-Verbräuche'!I61:I85),
  "Verbrauchsdaten fehlen"
)</f>
        <v>Verbrauchsdaten fehlen</v>
      </c>
      <c r="H46" s="1" t="str">
        <f>IFERROR(
  (
    IF(ISNUMBER('Refsz-Verbräuche'!J61), 'Refsz-Verbräuche'!J61*Datengüte!H22, 0) +
    IF(ISNUMBER('Refsz-Verbräuche'!J63), 'Refsz-Verbräuche'!J63*Datengüte!H23, 0) +
    IF(ISNUMBER('Refsz-Verbräuche'!J64), 'Refsz-Verbräuche'!J64*Datengüte!H24, 0) +
    IF(ISNUMBER('Refsz-Verbräuche'!J65), 'Refsz-Verbräuche'!J65*Datengüte!H25, 0) +
    IF(ISNUMBER('Refsz-Verbräuche'!J66), 'Refsz-Verbräuche'!J66*Datengüte!H26, 0) +
    IF(ISNUMBER('Refsz-Verbräuche'!J67), 'Refsz-Verbräuche'!J67*Datengüte!H27, 0) +
    IF(ISNUMBER('Refsz-Verbräuche'!J68), 'Refsz-Verbräuche'!J68*Datengüte!H28, 0) +
    IF(ISNUMBER('Refsz-Verbräuche'!J69), 'Refsz-Verbräuche'!J69*Datengüte!H29, 0) +
    IF(ISNUMBER('Refsz-Verbräuche'!J70), 'Refsz-Verbräuche'!J70*Datengüte!H30, 0) +
    IF(ISNUMBER('Refsz-Verbräuche'!J71), 'Refsz-Verbräuche'!J71*Datengüte!H31, 0) +
    IF(ISNUMBER('Refsz-Verbräuche'!J72), 'Refsz-Verbräuche'!J72*Datengüte!H32, 0) +
    IF(ISNUMBER('Refsz-Verbräuche'!J73), 'Refsz-Verbräuche'!J73*Datengüte!H33, 0) +
    IF(ISNUMBER('Refsz-Verbräuche'!J74), 'Refsz-Verbräuche'!J74*Datengüte!H34, 0) +
    IF(ISNUMBER('Refsz-Verbräuche'!J75), 'Refsz-Verbräuche'!J75*Datengüte!H35, 0) +
    IF(ISNUMBER('Refsz-Verbräuche'!J76), 'Refsz-Verbräuche'!J76*Datengüte!H36, 0) +
    IF(ISNUMBER('Refsz-Verbräuche'!J77), 'Refsz-Verbräuche'!J77*Datengüte!H37, 0) +
    IF(ISNUMBER('Refsz-Verbräuche'!J78), 'Refsz-Verbräuche'!J78*Datengüte!H38, 0) +
    IF(ISNUMBER('Refsz-Verbräuche'!J79), 'Refsz-Verbräuche'!J79*Datengüte!H39, 0) +
    IF(ISNUMBER('Refsz-Verbräuche'!J80), 'Refsz-Verbräuche'!J80*Datengüte!H40, 0) +
    IF(ISNUMBER('Refsz-Verbräuche'!J81), 'Refsz-Verbräuche'!J81*Datengüte!H41, 0) +
    IF(ISNUMBER('Refsz-Verbräuche'!J82), 'Refsz-Verbräuche'!J82*Datengüte!H42, 0) +
    IF(ISNUMBER('Refsz-Verbräuche'!J83), 'Refsz-Verbräuche'!J83*Datengüte!H43, 0) +
    IF(ISNUMBER('Refsz-Verbräuche'!J84), 'Refsz-Verbräuche'!J84*Datengüte!H44, 0) +
    IF(ISNUMBER('Refsz-Verbräuche'!J85), 'Refsz-Verbräuche'!J85*Datengüte!H45, 0)
  ) / SUM('Refsz-Verbräuche'!J61:J85),
  "Verbrauchsdaten fehlen"
)</f>
        <v>Verbrauchsdaten fehlen</v>
      </c>
      <c r="I46" s="1" t="str">
        <f>IFERROR(
  (
    IF(ISNUMBER('Refsz-Verbräuche'!K61), 'Refsz-Verbräuche'!K61*Datengüte!I22, 0) +
    IF(ISNUMBER('Refsz-Verbräuche'!K63), 'Refsz-Verbräuche'!K63*Datengüte!I23, 0) +
    IF(ISNUMBER('Refsz-Verbräuche'!K64), 'Refsz-Verbräuche'!K64*Datengüte!I24, 0) +
    IF(ISNUMBER('Refsz-Verbräuche'!K65), 'Refsz-Verbräuche'!K65*Datengüte!I25, 0) +
    IF(ISNUMBER('Refsz-Verbräuche'!K66), 'Refsz-Verbräuche'!K66*Datengüte!I26, 0) +
    IF(ISNUMBER('Refsz-Verbräuche'!K67), 'Refsz-Verbräuche'!K67*Datengüte!I27, 0) +
    IF(ISNUMBER('Refsz-Verbräuche'!K68), 'Refsz-Verbräuche'!K68*Datengüte!I28, 0) +
    IF(ISNUMBER('Refsz-Verbräuche'!K69), 'Refsz-Verbräuche'!K69*Datengüte!I29, 0) +
    IF(ISNUMBER('Refsz-Verbräuche'!K70), 'Refsz-Verbräuche'!K70*Datengüte!I30, 0) +
    IF(ISNUMBER('Refsz-Verbräuche'!K71), 'Refsz-Verbräuche'!K71*Datengüte!I31, 0) +
    IF(ISNUMBER('Refsz-Verbräuche'!K72), 'Refsz-Verbräuche'!K72*Datengüte!I32, 0) +
    IF(ISNUMBER('Refsz-Verbräuche'!K73), 'Refsz-Verbräuche'!K73*Datengüte!I33, 0) +
    IF(ISNUMBER('Refsz-Verbräuche'!K74), 'Refsz-Verbräuche'!K74*Datengüte!I34, 0) +
    IF(ISNUMBER('Refsz-Verbräuche'!K75), 'Refsz-Verbräuche'!K75*Datengüte!I35, 0) +
    IF(ISNUMBER('Refsz-Verbräuche'!K76), 'Refsz-Verbräuche'!K76*Datengüte!I36, 0) +
    IF(ISNUMBER('Refsz-Verbräuche'!K77), 'Refsz-Verbräuche'!K77*Datengüte!I37, 0) +
    IF(ISNUMBER('Refsz-Verbräuche'!K78), 'Refsz-Verbräuche'!K78*Datengüte!I38, 0) +
    IF(ISNUMBER('Refsz-Verbräuche'!K79), 'Refsz-Verbräuche'!K79*Datengüte!I39, 0) +
    IF(ISNUMBER('Refsz-Verbräuche'!K80), 'Refsz-Verbräuche'!K80*Datengüte!I40, 0) +
    IF(ISNUMBER('Refsz-Verbräuche'!K81), 'Refsz-Verbräuche'!K81*Datengüte!I41, 0) +
    IF(ISNUMBER('Refsz-Verbräuche'!K82), 'Refsz-Verbräuche'!K82*Datengüte!I42, 0) +
    IF(ISNUMBER('Refsz-Verbräuche'!K83), 'Refsz-Verbräuche'!K83*Datengüte!I43, 0) +
    IF(ISNUMBER('Refsz-Verbräuche'!K84), 'Refsz-Verbräuche'!K84*Datengüte!I44, 0) +
    IF(ISNUMBER('Refsz-Verbräuche'!K85), 'Refsz-Verbräuche'!K85*Datengüte!I45, 0)
  ) / SUM('Refsz-Verbräuche'!K61:K85),
  "Verbrauchsdaten fehlen"
)</f>
        <v>Verbrauchsdaten fehlen</v>
      </c>
      <c r="J46" s="1" t="str">
        <f>IFERROR(
  (
    IF(ISNUMBER('Refsz-Verbräuche'!L61), 'Refsz-Verbräuche'!L61*Datengüte!J22, 0) +
    IF(ISNUMBER('Refsz-Verbräuche'!L63), 'Refsz-Verbräuche'!L63*Datengüte!J23, 0) +
    IF(ISNUMBER('Refsz-Verbräuche'!L64), 'Refsz-Verbräuche'!L64*Datengüte!J24, 0) +
    IF(ISNUMBER('Refsz-Verbräuche'!L65), 'Refsz-Verbräuche'!L65*Datengüte!J25, 0) +
    IF(ISNUMBER('Refsz-Verbräuche'!L66), 'Refsz-Verbräuche'!L66*Datengüte!J26, 0) +
    IF(ISNUMBER('Refsz-Verbräuche'!L67), 'Refsz-Verbräuche'!L67*Datengüte!J27, 0) +
    IF(ISNUMBER('Refsz-Verbräuche'!L68), 'Refsz-Verbräuche'!L68*Datengüte!J28, 0) +
    IF(ISNUMBER('Refsz-Verbräuche'!L69), 'Refsz-Verbräuche'!L69*Datengüte!J29, 0) +
    IF(ISNUMBER('Refsz-Verbräuche'!L70), 'Refsz-Verbräuche'!L70*Datengüte!J30, 0) +
    IF(ISNUMBER('Refsz-Verbräuche'!L71), 'Refsz-Verbräuche'!L71*Datengüte!J31, 0) +
    IF(ISNUMBER('Refsz-Verbräuche'!L72), 'Refsz-Verbräuche'!L72*Datengüte!J32, 0) +
    IF(ISNUMBER('Refsz-Verbräuche'!L73), 'Refsz-Verbräuche'!L73*Datengüte!J33, 0) +
    IF(ISNUMBER('Refsz-Verbräuche'!L74), 'Refsz-Verbräuche'!L74*Datengüte!J34, 0) +
    IF(ISNUMBER('Refsz-Verbräuche'!L75), 'Refsz-Verbräuche'!L75*Datengüte!J35, 0) +
    IF(ISNUMBER('Refsz-Verbräuche'!L76), 'Refsz-Verbräuche'!L76*Datengüte!J36, 0) +
    IF(ISNUMBER('Refsz-Verbräuche'!L77), 'Refsz-Verbräuche'!L77*Datengüte!J37, 0) +
    IF(ISNUMBER('Refsz-Verbräuche'!L78), 'Refsz-Verbräuche'!L78*Datengüte!J38, 0) +
    IF(ISNUMBER('Refsz-Verbräuche'!L79), 'Refsz-Verbräuche'!L79*Datengüte!J39, 0) +
    IF(ISNUMBER('Refsz-Verbräuche'!L80), 'Refsz-Verbräuche'!L80*Datengüte!J40, 0) +
    IF(ISNUMBER('Refsz-Verbräuche'!L81), 'Refsz-Verbräuche'!L81*Datengüte!J41, 0) +
    IF(ISNUMBER('Refsz-Verbräuche'!L82), 'Refsz-Verbräuche'!L82*Datengüte!J42, 0) +
    IF(ISNUMBER('Refsz-Verbräuche'!L83), 'Refsz-Verbräuche'!L83*Datengüte!J43, 0) +
    IF(ISNUMBER('Refsz-Verbräuche'!L84), 'Refsz-Verbräuche'!L84*Datengüte!J44, 0) +
    IF(ISNUMBER('Refsz-Verbräuche'!L85), 'Refsz-Verbräuche'!L85*Datengüte!J45, 0)
  ) / SUM('Refsz-Verbräuche'!L61:L85),
  "Verbrauchsdaten fehlen"
)</f>
        <v>Verbrauchsdaten fehlen</v>
      </c>
      <c r="K46" s="1" t="str">
        <f>IFERROR(
  (
    IF(ISNUMBER('Refsz-Verbräuche'!M61), 'Refsz-Verbräuche'!M61*Datengüte!K22, 0) +
    IF(ISNUMBER('Refsz-Verbräuche'!M63), 'Refsz-Verbräuche'!M63*Datengüte!K23, 0) +
    IF(ISNUMBER('Refsz-Verbräuche'!M64), 'Refsz-Verbräuche'!M64*Datengüte!K24, 0) +
    IF(ISNUMBER('Refsz-Verbräuche'!M65), 'Refsz-Verbräuche'!M65*Datengüte!K25, 0) +
    IF(ISNUMBER('Refsz-Verbräuche'!M66), 'Refsz-Verbräuche'!M66*Datengüte!K26, 0) +
    IF(ISNUMBER('Refsz-Verbräuche'!M67), 'Refsz-Verbräuche'!M67*Datengüte!K27, 0) +
    IF(ISNUMBER('Refsz-Verbräuche'!M68), 'Refsz-Verbräuche'!M68*Datengüte!K28, 0) +
    IF(ISNUMBER('Refsz-Verbräuche'!M69), 'Refsz-Verbräuche'!M69*Datengüte!K29, 0) +
    IF(ISNUMBER('Refsz-Verbräuche'!M70), 'Refsz-Verbräuche'!M70*Datengüte!K30, 0) +
    IF(ISNUMBER('Refsz-Verbräuche'!M71), 'Refsz-Verbräuche'!M71*Datengüte!K31, 0) +
    IF(ISNUMBER('Refsz-Verbräuche'!M72), 'Refsz-Verbräuche'!M72*Datengüte!K32, 0) +
    IF(ISNUMBER('Refsz-Verbräuche'!M73), 'Refsz-Verbräuche'!M73*Datengüte!K33, 0) +
    IF(ISNUMBER('Refsz-Verbräuche'!M74), 'Refsz-Verbräuche'!M74*Datengüte!K34, 0) +
    IF(ISNUMBER('Refsz-Verbräuche'!M75), 'Refsz-Verbräuche'!M75*Datengüte!K35, 0) +
    IF(ISNUMBER('Refsz-Verbräuche'!M76), 'Refsz-Verbräuche'!M76*Datengüte!K36, 0) +
    IF(ISNUMBER('Refsz-Verbräuche'!M77), 'Refsz-Verbräuche'!M77*Datengüte!K37, 0) +
    IF(ISNUMBER('Refsz-Verbräuche'!M78), 'Refsz-Verbräuche'!M78*Datengüte!K38, 0) +
    IF(ISNUMBER('Refsz-Verbräuche'!M79), 'Refsz-Verbräuche'!M79*Datengüte!K39, 0) +
    IF(ISNUMBER('Refsz-Verbräuche'!M80), 'Refsz-Verbräuche'!M80*Datengüte!K40, 0) +
    IF(ISNUMBER('Refsz-Verbräuche'!M81), 'Refsz-Verbräuche'!M81*Datengüte!K41, 0) +
    IF(ISNUMBER('Refsz-Verbräuche'!M82), 'Refsz-Verbräuche'!M82*Datengüte!K42, 0) +
    IF(ISNUMBER('Refsz-Verbräuche'!M83), 'Refsz-Verbräuche'!M83*Datengüte!K43, 0) +
    IF(ISNUMBER('Refsz-Verbräuche'!M84), 'Refsz-Verbräuche'!M84*Datengüte!K44, 0) +
    IF(ISNUMBER('Refsz-Verbräuche'!M85), 'Refsz-Verbräuche'!M85*Datengüte!K45, 0)
  ) / SUM('Refsz-Verbräuche'!M61:M85),
  "Verbrauchsdaten fehlen"
)</f>
        <v>Verbrauchsdaten fehlen</v>
      </c>
      <c r="L46" s="1" t="str">
        <f>IFERROR(
  (
    IF(ISNUMBER('Refsz-Verbräuche'!N61), 'Refsz-Verbräuche'!N61*Datengüte!L22, 0) +
    IF(ISNUMBER('Refsz-Verbräuche'!N63), 'Refsz-Verbräuche'!N63*Datengüte!L23, 0) +
    IF(ISNUMBER('Refsz-Verbräuche'!N64), 'Refsz-Verbräuche'!N64*Datengüte!L24, 0) +
    IF(ISNUMBER('Refsz-Verbräuche'!N65), 'Refsz-Verbräuche'!N65*Datengüte!L25, 0) +
    IF(ISNUMBER('Refsz-Verbräuche'!N66), 'Refsz-Verbräuche'!N66*Datengüte!L26, 0) +
    IF(ISNUMBER('Refsz-Verbräuche'!N67), 'Refsz-Verbräuche'!N67*Datengüte!L27, 0) +
    IF(ISNUMBER('Refsz-Verbräuche'!N68), 'Refsz-Verbräuche'!N68*Datengüte!L28, 0) +
    IF(ISNUMBER('Refsz-Verbräuche'!N69), 'Refsz-Verbräuche'!N69*Datengüte!L29, 0) +
    IF(ISNUMBER('Refsz-Verbräuche'!N70), 'Refsz-Verbräuche'!N70*Datengüte!L30, 0) +
    IF(ISNUMBER('Refsz-Verbräuche'!N71), 'Refsz-Verbräuche'!N71*Datengüte!L31, 0) +
    IF(ISNUMBER('Refsz-Verbräuche'!N72), 'Refsz-Verbräuche'!N72*Datengüte!L32, 0) +
    IF(ISNUMBER('Refsz-Verbräuche'!N73), 'Refsz-Verbräuche'!N73*Datengüte!L33, 0) +
    IF(ISNUMBER('Refsz-Verbräuche'!N74), 'Refsz-Verbräuche'!N74*Datengüte!L34, 0) +
    IF(ISNUMBER('Refsz-Verbräuche'!N75), 'Refsz-Verbräuche'!N75*Datengüte!L35, 0) +
    IF(ISNUMBER('Refsz-Verbräuche'!N76), 'Refsz-Verbräuche'!N76*Datengüte!L36, 0) +
    IF(ISNUMBER('Refsz-Verbräuche'!N77), 'Refsz-Verbräuche'!N77*Datengüte!L37, 0) +
    IF(ISNUMBER('Refsz-Verbräuche'!N78), 'Refsz-Verbräuche'!N78*Datengüte!L38, 0) +
    IF(ISNUMBER('Refsz-Verbräuche'!N79), 'Refsz-Verbräuche'!N79*Datengüte!L39, 0) +
    IF(ISNUMBER('Refsz-Verbräuche'!N80), 'Refsz-Verbräuche'!N80*Datengüte!L40, 0) +
    IF(ISNUMBER('Refsz-Verbräuche'!N81), 'Refsz-Verbräuche'!N81*Datengüte!L41, 0) +
    IF(ISNUMBER('Refsz-Verbräuche'!N82), 'Refsz-Verbräuche'!N82*Datengüte!L42, 0) +
    IF(ISNUMBER('Refsz-Verbräuche'!N83), 'Refsz-Verbräuche'!N83*Datengüte!L43, 0) +
    IF(ISNUMBER('Refsz-Verbräuche'!N84), 'Refsz-Verbräuche'!N84*Datengüte!L44, 0) +
    IF(ISNUMBER('Refsz-Verbräuche'!N85), 'Refsz-Verbräuche'!N85*Datengüte!L45, 0)
  ) / SUM('Refsz-Verbräuche'!N61:N85),
  "Verbrauchsdaten fehlen"
)</f>
        <v>Verbrauchsdaten fehlen</v>
      </c>
      <c r="M46" s="1" t="str">
        <f>IFERROR(
  (
    IF(ISNUMBER('Refsz-Verbräuche'!O61), 'Refsz-Verbräuche'!O61*Datengüte!M22, 0) +
    IF(ISNUMBER('Refsz-Verbräuche'!O63), 'Refsz-Verbräuche'!O63*Datengüte!M23, 0) +
    IF(ISNUMBER('Refsz-Verbräuche'!O64), 'Refsz-Verbräuche'!O64*Datengüte!M24, 0) +
    IF(ISNUMBER('Refsz-Verbräuche'!O65), 'Refsz-Verbräuche'!O65*Datengüte!M25, 0) +
    IF(ISNUMBER('Refsz-Verbräuche'!O66), 'Refsz-Verbräuche'!O66*Datengüte!M26, 0) +
    IF(ISNUMBER('Refsz-Verbräuche'!O67), 'Refsz-Verbräuche'!O67*Datengüte!M27, 0) +
    IF(ISNUMBER('Refsz-Verbräuche'!O68), 'Refsz-Verbräuche'!O68*Datengüte!M28, 0) +
    IF(ISNUMBER('Refsz-Verbräuche'!O69), 'Refsz-Verbräuche'!O69*Datengüte!M29, 0) +
    IF(ISNUMBER('Refsz-Verbräuche'!O70), 'Refsz-Verbräuche'!O70*Datengüte!M30, 0) +
    IF(ISNUMBER('Refsz-Verbräuche'!O71), 'Refsz-Verbräuche'!O71*Datengüte!M31, 0) +
    IF(ISNUMBER('Refsz-Verbräuche'!O72), 'Refsz-Verbräuche'!O72*Datengüte!M32, 0) +
    IF(ISNUMBER('Refsz-Verbräuche'!O73), 'Refsz-Verbräuche'!O73*Datengüte!M33, 0) +
    IF(ISNUMBER('Refsz-Verbräuche'!O74), 'Refsz-Verbräuche'!O74*Datengüte!M34, 0) +
    IF(ISNUMBER('Refsz-Verbräuche'!O75), 'Refsz-Verbräuche'!O75*Datengüte!M35, 0) +
    IF(ISNUMBER('Refsz-Verbräuche'!O76), 'Refsz-Verbräuche'!O76*Datengüte!M36, 0) +
    IF(ISNUMBER('Refsz-Verbräuche'!O77), 'Refsz-Verbräuche'!O77*Datengüte!M37, 0) +
    IF(ISNUMBER('Refsz-Verbräuche'!O78), 'Refsz-Verbräuche'!O78*Datengüte!M38, 0) +
    IF(ISNUMBER('Refsz-Verbräuche'!O79), 'Refsz-Verbräuche'!O79*Datengüte!M39, 0) +
    IF(ISNUMBER('Refsz-Verbräuche'!O80), 'Refsz-Verbräuche'!O80*Datengüte!M40, 0) +
    IF(ISNUMBER('Refsz-Verbräuche'!O81), 'Refsz-Verbräuche'!O81*Datengüte!M41, 0) +
    IF(ISNUMBER('Refsz-Verbräuche'!O82), 'Refsz-Verbräuche'!O82*Datengüte!M42, 0) +
    IF(ISNUMBER('Refsz-Verbräuche'!O83), 'Refsz-Verbräuche'!O83*Datengüte!M43, 0) +
    IF(ISNUMBER('Refsz-Verbräuche'!O84), 'Refsz-Verbräuche'!O84*Datengüte!M44, 0) +
    IF(ISNUMBER('Refsz-Verbräuche'!O85), 'Refsz-Verbräuche'!O85*Datengüte!M45, 0)
  ) / SUM('Refsz-Verbräuche'!O61:O85),
  "Verbrauchsdaten fehlen"
)</f>
        <v>Verbrauchsdaten fehlen</v>
      </c>
      <c r="N46" s="1" t="str">
        <f>IFERROR(
  (
    IF(ISNUMBER('Refsz-Verbräuche'!P61), 'Refsz-Verbräuche'!P61*Datengüte!N22, 0) +
    IF(ISNUMBER('Refsz-Verbräuche'!P63), 'Refsz-Verbräuche'!P63*Datengüte!N23, 0) +
    IF(ISNUMBER('Refsz-Verbräuche'!P64), 'Refsz-Verbräuche'!P64*Datengüte!N24, 0) +
    IF(ISNUMBER('Refsz-Verbräuche'!P65), 'Refsz-Verbräuche'!P65*Datengüte!N25, 0) +
    IF(ISNUMBER('Refsz-Verbräuche'!P66), 'Refsz-Verbräuche'!P66*Datengüte!N26, 0) +
    IF(ISNUMBER('Refsz-Verbräuche'!P67), 'Refsz-Verbräuche'!P67*Datengüte!N27, 0) +
    IF(ISNUMBER('Refsz-Verbräuche'!P68), 'Refsz-Verbräuche'!P68*Datengüte!N28, 0) +
    IF(ISNUMBER('Refsz-Verbräuche'!P69), 'Refsz-Verbräuche'!P69*Datengüte!N29, 0) +
    IF(ISNUMBER('Refsz-Verbräuche'!P70), 'Refsz-Verbräuche'!P70*Datengüte!N30, 0) +
    IF(ISNUMBER('Refsz-Verbräuche'!P71), 'Refsz-Verbräuche'!P71*Datengüte!N31, 0) +
    IF(ISNUMBER('Refsz-Verbräuche'!P72), 'Refsz-Verbräuche'!P72*Datengüte!N32, 0) +
    IF(ISNUMBER('Refsz-Verbräuche'!P73), 'Refsz-Verbräuche'!P73*Datengüte!N33, 0) +
    IF(ISNUMBER('Refsz-Verbräuche'!P74), 'Refsz-Verbräuche'!P74*Datengüte!N34, 0) +
    IF(ISNUMBER('Refsz-Verbräuche'!P75), 'Refsz-Verbräuche'!P75*Datengüte!N35, 0) +
    IF(ISNUMBER('Refsz-Verbräuche'!P76), 'Refsz-Verbräuche'!P76*Datengüte!N36, 0) +
    IF(ISNUMBER('Refsz-Verbräuche'!P77), 'Refsz-Verbräuche'!P77*Datengüte!N37, 0) +
    IF(ISNUMBER('Refsz-Verbräuche'!P78), 'Refsz-Verbräuche'!P78*Datengüte!N38, 0) +
    IF(ISNUMBER('Refsz-Verbräuche'!P79), 'Refsz-Verbräuche'!P79*Datengüte!N39, 0) +
    IF(ISNUMBER('Refsz-Verbräuche'!P80), 'Refsz-Verbräuche'!P80*Datengüte!N40, 0) +
    IF(ISNUMBER('Refsz-Verbräuche'!P81), 'Refsz-Verbräuche'!P81*Datengüte!N41, 0) +
    IF(ISNUMBER('Refsz-Verbräuche'!P82), 'Refsz-Verbräuche'!P82*Datengüte!N42, 0) +
    IF(ISNUMBER('Refsz-Verbräuche'!P83), 'Refsz-Verbräuche'!P83*Datengüte!N43, 0) +
    IF(ISNUMBER('Refsz-Verbräuche'!P84), 'Refsz-Verbräuche'!P84*Datengüte!N44, 0) +
    IF(ISNUMBER('Refsz-Verbräuche'!P85), 'Refsz-Verbräuche'!P85*Datengüte!N45, 0)
  ) / SUM('Refsz-Verbräuche'!P61:P85),
  "Verbrauchsdaten fehlen"
)</f>
        <v>Verbrauchsdaten fehlen</v>
      </c>
      <c r="O46" s="1" t="str">
        <f>IFERROR(
  (
    IF(ISNUMBER('Refsz-Verbräuche'!Q61), 'Refsz-Verbräuche'!Q61*Datengüte!O22, 0) +
    IF(ISNUMBER('Refsz-Verbräuche'!Q63), 'Refsz-Verbräuche'!Q63*Datengüte!O23, 0) +
    IF(ISNUMBER('Refsz-Verbräuche'!Q64), 'Refsz-Verbräuche'!Q64*Datengüte!O24, 0) +
    IF(ISNUMBER('Refsz-Verbräuche'!Q65), 'Refsz-Verbräuche'!Q65*Datengüte!O25, 0) +
    IF(ISNUMBER('Refsz-Verbräuche'!Q66), 'Refsz-Verbräuche'!Q66*Datengüte!O26, 0) +
    IF(ISNUMBER('Refsz-Verbräuche'!Q67), 'Refsz-Verbräuche'!Q67*Datengüte!O27, 0) +
    IF(ISNUMBER('Refsz-Verbräuche'!Q68), 'Refsz-Verbräuche'!Q68*Datengüte!O28, 0) +
    IF(ISNUMBER('Refsz-Verbräuche'!Q69), 'Refsz-Verbräuche'!Q69*Datengüte!O29, 0) +
    IF(ISNUMBER('Refsz-Verbräuche'!Q70), 'Refsz-Verbräuche'!Q70*Datengüte!O30, 0) +
    IF(ISNUMBER('Refsz-Verbräuche'!Q71), 'Refsz-Verbräuche'!Q71*Datengüte!O31, 0) +
    IF(ISNUMBER('Refsz-Verbräuche'!Q72), 'Refsz-Verbräuche'!Q72*Datengüte!O32, 0) +
    IF(ISNUMBER('Refsz-Verbräuche'!Q73), 'Refsz-Verbräuche'!Q73*Datengüte!O33, 0) +
    IF(ISNUMBER('Refsz-Verbräuche'!Q74), 'Refsz-Verbräuche'!Q74*Datengüte!O34, 0) +
    IF(ISNUMBER('Refsz-Verbräuche'!Q75), 'Refsz-Verbräuche'!Q75*Datengüte!O35, 0) +
    IF(ISNUMBER('Refsz-Verbräuche'!Q76), 'Refsz-Verbräuche'!Q76*Datengüte!O36, 0) +
    IF(ISNUMBER('Refsz-Verbräuche'!Q77), 'Refsz-Verbräuche'!Q77*Datengüte!O37, 0) +
    IF(ISNUMBER('Refsz-Verbräuche'!Q78), 'Refsz-Verbräuche'!Q78*Datengüte!O38, 0) +
    IF(ISNUMBER('Refsz-Verbräuche'!Q79), 'Refsz-Verbräuche'!Q79*Datengüte!O39, 0) +
    IF(ISNUMBER('Refsz-Verbräuche'!Q80), 'Refsz-Verbräuche'!Q80*Datengüte!O40, 0) +
    IF(ISNUMBER('Refsz-Verbräuche'!Q81), 'Refsz-Verbräuche'!Q81*Datengüte!O41, 0) +
    IF(ISNUMBER('Refsz-Verbräuche'!Q82), 'Refsz-Verbräuche'!Q82*Datengüte!O42, 0) +
    IF(ISNUMBER('Refsz-Verbräuche'!Q83), 'Refsz-Verbräuche'!Q83*Datengüte!O43, 0) +
    IF(ISNUMBER('Refsz-Verbräuche'!Q84), 'Refsz-Verbräuche'!Q84*Datengüte!O44, 0) +
    IF(ISNUMBER('Refsz-Verbräuche'!Q85), 'Refsz-Verbräuche'!Q85*Datengüte!O45, 0)
  ) / SUM('Refsz-Verbräuche'!Q61:Q85),
  "Verbrauchsdaten fehlen"
)</f>
        <v>Verbrauchsdaten fehlen</v>
      </c>
      <c r="P46" s="1" t="str">
        <f>IFERROR(
  (
    IF(ISNUMBER('Refsz-Verbräuche'!R61), 'Refsz-Verbräuche'!R61*Datengüte!P22, 0) +
    IF(ISNUMBER('Refsz-Verbräuche'!R63), 'Refsz-Verbräuche'!R63*Datengüte!P23, 0) +
    IF(ISNUMBER('Refsz-Verbräuche'!R64), 'Refsz-Verbräuche'!R64*Datengüte!P24, 0) +
    IF(ISNUMBER('Refsz-Verbräuche'!R65), 'Refsz-Verbräuche'!R65*Datengüte!P25, 0) +
    IF(ISNUMBER('Refsz-Verbräuche'!R66), 'Refsz-Verbräuche'!R66*Datengüte!P26, 0) +
    IF(ISNUMBER('Refsz-Verbräuche'!R67), 'Refsz-Verbräuche'!R67*Datengüte!P27, 0) +
    IF(ISNUMBER('Refsz-Verbräuche'!R68), 'Refsz-Verbräuche'!R68*Datengüte!P28, 0) +
    IF(ISNUMBER('Refsz-Verbräuche'!R69), 'Refsz-Verbräuche'!R69*Datengüte!P29, 0) +
    IF(ISNUMBER('Refsz-Verbräuche'!R70), 'Refsz-Verbräuche'!R70*Datengüte!P30, 0) +
    IF(ISNUMBER('Refsz-Verbräuche'!R71), 'Refsz-Verbräuche'!R71*Datengüte!P31, 0) +
    IF(ISNUMBER('Refsz-Verbräuche'!R72), 'Refsz-Verbräuche'!R72*Datengüte!P32, 0) +
    IF(ISNUMBER('Refsz-Verbräuche'!R73), 'Refsz-Verbräuche'!R73*Datengüte!P33, 0) +
    IF(ISNUMBER('Refsz-Verbräuche'!R74), 'Refsz-Verbräuche'!R74*Datengüte!P34, 0) +
    IF(ISNUMBER('Refsz-Verbräuche'!R75), 'Refsz-Verbräuche'!R75*Datengüte!P35, 0) +
    IF(ISNUMBER('Refsz-Verbräuche'!R76), 'Refsz-Verbräuche'!R76*Datengüte!P36, 0) +
    IF(ISNUMBER('Refsz-Verbräuche'!R77), 'Refsz-Verbräuche'!R77*Datengüte!P37, 0) +
    IF(ISNUMBER('Refsz-Verbräuche'!R78), 'Refsz-Verbräuche'!R78*Datengüte!P38, 0) +
    IF(ISNUMBER('Refsz-Verbräuche'!R79), 'Refsz-Verbräuche'!R79*Datengüte!P39, 0) +
    IF(ISNUMBER('Refsz-Verbräuche'!R80), 'Refsz-Verbräuche'!R80*Datengüte!P40, 0) +
    IF(ISNUMBER('Refsz-Verbräuche'!R81), 'Refsz-Verbräuche'!R81*Datengüte!P41, 0) +
    IF(ISNUMBER('Refsz-Verbräuche'!R82), 'Refsz-Verbräuche'!R82*Datengüte!P42, 0) +
    IF(ISNUMBER('Refsz-Verbräuche'!R83), 'Refsz-Verbräuche'!R83*Datengüte!P43, 0) +
    IF(ISNUMBER('Refsz-Verbräuche'!R84), 'Refsz-Verbräuche'!R84*Datengüte!P44, 0) +
    IF(ISNUMBER('Refsz-Verbräuche'!R85), 'Refsz-Verbräuche'!R85*Datengüte!P45, 0)
  ) / SUM('Refsz-Verbräuche'!R61:R85),
  "Verbrauchsdaten fehlen"
)</f>
        <v>Verbrauchsdaten fehlen</v>
      </c>
      <c r="Q46" s="1" t="str">
        <f>IFERROR(
  (
    IF(ISNUMBER('Refsz-Verbräuche'!S61), 'Refsz-Verbräuche'!S61*Datengüte!Q22, 0) +
    IF(ISNUMBER('Refsz-Verbräuche'!S63), 'Refsz-Verbräuche'!S63*Datengüte!Q23, 0) +
    IF(ISNUMBER('Refsz-Verbräuche'!S64), 'Refsz-Verbräuche'!S64*Datengüte!Q24, 0) +
    IF(ISNUMBER('Refsz-Verbräuche'!S65), 'Refsz-Verbräuche'!S65*Datengüte!Q25, 0) +
    IF(ISNUMBER('Refsz-Verbräuche'!S66), 'Refsz-Verbräuche'!S66*Datengüte!Q26, 0) +
    IF(ISNUMBER('Refsz-Verbräuche'!S67), 'Refsz-Verbräuche'!S67*Datengüte!Q27, 0) +
    IF(ISNUMBER('Refsz-Verbräuche'!S68), 'Refsz-Verbräuche'!S68*Datengüte!Q28, 0) +
    IF(ISNUMBER('Refsz-Verbräuche'!S69), 'Refsz-Verbräuche'!S69*Datengüte!Q29, 0) +
    IF(ISNUMBER('Refsz-Verbräuche'!S70), 'Refsz-Verbräuche'!S70*Datengüte!Q30, 0) +
    IF(ISNUMBER('Refsz-Verbräuche'!S71), 'Refsz-Verbräuche'!S71*Datengüte!Q31, 0) +
    IF(ISNUMBER('Refsz-Verbräuche'!S72), 'Refsz-Verbräuche'!S72*Datengüte!Q32, 0) +
    IF(ISNUMBER('Refsz-Verbräuche'!S73), 'Refsz-Verbräuche'!S73*Datengüte!Q33, 0) +
    IF(ISNUMBER('Refsz-Verbräuche'!S74), 'Refsz-Verbräuche'!S74*Datengüte!Q34, 0) +
    IF(ISNUMBER('Refsz-Verbräuche'!S75), 'Refsz-Verbräuche'!S75*Datengüte!Q35, 0) +
    IF(ISNUMBER('Refsz-Verbräuche'!S76), 'Refsz-Verbräuche'!S76*Datengüte!Q36, 0) +
    IF(ISNUMBER('Refsz-Verbräuche'!S77), 'Refsz-Verbräuche'!S77*Datengüte!Q37, 0) +
    IF(ISNUMBER('Refsz-Verbräuche'!S78), 'Refsz-Verbräuche'!S78*Datengüte!Q38, 0) +
    IF(ISNUMBER('Refsz-Verbräuche'!S79), 'Refsz-Verbräuche'!S79*Datengüte!Q39, 0) +
    IF(ISNUMBER('Refsz-Verbräuche'!S80), 'Refsz-Verbräuche'!S80*Datengüte!Q40, 0) +
    IF(ISNUMBER('Refsz-Verbräuche'!S81), 'Refsz-Verbräuche'!S81*Datengüte!Q41, 0) +
    IF(ISNUMBER('Refsz-Verbräuche'!S82), 'Refsz-Verbräuche'!S82*Datengüte!Q42, 0) +
    IF(ISNUMBER('Refsz-Verbräuche'!S83), 'Refsz-Verbräuche'!S83*Datengüte!Q43, 0) +
    IF(ISNUMBER('Refsz-Verbräuche'!S84), 'Refsz-Verbräuche'!S84*Datengüte!Q44, 0) +
    IF(ISNUMBER('Refsz-Verbräuche'!S85), 'Refsz-Verbräuche'!S85*Datengüte!Q45, 0)
  ) / SUM('Refsz-Verbräuche'!S61:S85),
  "Verbrauchsdaten fehlen"
)</f>
        <v>Verbrauchsdaten fehlen</v>
      </c>
      <c r="R46" s="1" t="str">
        <f>IFERROR(
  (
    IF(ISNUMBER('Refsz-Verbräuche'!T61), 'Refsz-Verbräuche'!T61*Datengüte!R22, 0) +
    IF(ISNUMBER('Refsz-Verbräuche'!T63), 'Refsz-Verbräuche'!T63*Datengüte!R23, 0) +
    IF(ISNUMBER('Refsz-Verbräuche'!T64), 'Refsz-Verbräuche'!T64*Datengüte!R24, 0) +
    IF(ISNUMBER('Refsz-Verbräuche'!T65), 'Refsz-Verbräuche'!T65*Datengüte!R25, 0) +
    IF(ISNUMBER('Refsz-Verbräuche'!T66), 'Refsz-Verbräuche'!T66*Datengüte!R26, 0) +
    IF(ISNUMBER('Refsz-Verbräuche'!T67), 'Refsz-Verbräuche'!T67*Datengüte!R27, 0) +
    IF(ISNUMBER('Refsz-Verbräuche'!T68), 'Refsz-Verbräuche'!T68*Datengüte!R28, 0) +
    IF(ISNUMBER('Refsz-Verbräuche'!T69), 'Refsz-Verbräuche'!T69*Datengüte!R29, 0) +
    IF(ISNUMBER('Refsz-Verbräuche'!T70), 'Refsz-Verbräuche'!T70*Datengüte!R30, 0) +
    IF(ISNUMBER('Refsz-Verbräuche'!T71), 'Refsz-Verbräuche'!T71*Datengüte!R31, 0) +
    IF(ISNUMBER('Refsz-Verbräuche'!T72), 'Refsz-Verbräuche'!T72*Datengüte!R32, 0) +
    IF(ISNUMBER('Refsz-Verbräuche'!T73), 'Refsz-Verbräuche'!T73*Datengüte!R33, 0) +
    IF(ISNUMBER('Refsz-Verbräuche'!T74), 'Refsz-Verbräuche'!T74*Datengüte!R34, 0) +
    IF(ISNUMBER('Refsz-Verbräuche'!T75), 'Refsz-Verbräuche'!T75*Datengüte!R35, 0) +
    IF(ISNUMBER('Refsz-Verbräuche'!T76), 'Refsz-Verbräuche'!T76*Datengüte!R36, 0) +
    IF(ISNUMBER('Refsz-Verbräuche'!T77), 'Refsz-Verbräuche'!T77*Datengüte!R37, 0) +
    IF(ISNUMBER('Refsz-Verbräuche'!T78), 'Refsz-Verbräuche'!T78*Datengüte!R38, 0) +
    IF(ISNUMBER('Refsz-Verbräuche'!T79), 'Refsz-Verbräuche'!T79*Datengüte!R39, 0) +
    IF(ISNUMBER('Refsz-Verbräuche'!T80), 'Refsz-Verbräuche'!T80*Datengüte!R40, 0) +
    IF(ISNUMBER('Refsz-Verbräuche'!T81), 'Refsz-Verbräuche'!T81*Datengüte!R41, 0) +
    IF(ISNUMBER('Refsz-Verbräuche'!T82), 'Refsz-Verbräuche'!T82*Datengüte!R42, 0) +
    IF(ISNUMBER('Refsz-Verbräuche'!T83), 'Refsz-Verbräuche'!T83*Datengüte!R43, 0) +
    IF(ISNUMBER('Refsz-Verbräuche'!T84), 'Refsz-Verbräuche'!T84*Datengüte!R44, 0) +
    IF(ISNUMBER('Refsz-Verbräuche'!T85), 'Refsz-Verbräuche'!T85*Datengüte!R45, 0)
  ) / SUM('Refsz-Verbräuche'!T61:T85),
  "Verbrauchsdaten fehlen"
)</f>
        <v>Verbrauchsdaten fehlen</v>
      </c>
      <c r="S46" s="1" t="str">
        <f>IFERROR(
  (
    IF(ISNUMBER('Refsz-Verbräuche'!U61), 'Refsz-Verbräuche'!U61*Datengüte!S22, 0) +
    IF(ISNUMBER('Refsz-Verbräuche'!U63), 'Refsz-Verbräuche'!U63*Datengüte!S23, 0) +
    IF(ISNUMBER('Refsz-Verbräuche'!U64), 'Refsz-Verbräuche'!U64*Datengüte!S24, 0) +
    IF(ISNUMBER('Refsz-Verbräuche'!U65), 'Refsz-Verbräuche'!U65*Datengüte!S25, 0) +
    IF(ISNUMBER('Refsz-Verbräuche'!U66), 'Refsz-Verbräuche'!U66*Datengüte!S26, 0) +
    IF(ISNUMBER('Refsz-Verbräuche'!U67), 'Refsz-Verbräuche'!U67*Datengüte!S27, 0) +
    IF(ISNUMBER('Refsz-Verbräuche'!U68), 'Refsz-Verbräuche'!U68*Datengüte!S28, 0) +
    IF(ISNUMBER('Refsz-Verbräuche'!U69), 'Refsz-Verbräuche'!U69*Datengüte!S29, 0) +
    IF(ISNUMBER('Refsz-Verbräuche'!U70), 'Refsz-Verbräuche'!U70*Datengüte!S30, 0) +
    IF(ISNUMBER('Refsz-Verbräuche'!U71), 'Refsz-Verbräuche'!U71*Datengüte!S31, 0) +
    IF(ISNUMBER('Refsz-Verbräuche'!U72), 'Refsz-Verbräuche'!U72*Datengüte!S32, 0) +
    IF(ISNUMBER('Refsz-Verbräuche'!U73), 'Refsz-Verbräuche'!U73*Datengüte!S33, 0) +
    IF(ISNUMBER('Refsz-Verbräuche'!U74), 'Refsz-Verbräuche'!U74*Datengüte!S34, 0) +
    IF(ISNUMBER('Refsz-Verbräuche'!U75), 'Refsz-Verbräuche'!U75*Datengüte!S35, 0) +
    IF(ISNUMBER('Refsz-Verbräuche'!U76), 'Refsz-Verbräuche'!U76*Datengüte!S36, 0) +
    IF(ISNUMBER('Refsz-Verbräuche'!U77), 'Refsz-Verbräuche'!U77*Datengüte!S37, 0) +
    IF(ISNUMBER('Refsz-Verbräuche'!U78), 'Refsz-Verbräuche'!U78*Datengüte!S38, 0) +
    IF(ISNUMBER('Refsz-Verbräuche'!U79), 'Refsz-Verbräuche'!U79*Datengüte!S39, 0) +
    IF(ISNUMBER('Refsz-Verbräuche'!U80), 'Refsz-Verbräuche'!U80*Datengüte!S40, 0) +
    IF(ISNUMBER('Refsz-Verbräuche'!U81), 'Refsz-Verbräuche'!U81*Datengüte!S41, 0) +
    IF(ISNUMBER('Refsz-Verbräuche'!U82), 'Refsz-Verbräuche'!U82*Datengüte!S42, 0) +
    IF(ISNUMBER('Refsz-Verbräuche'!U83), 'Refsz-Verbräuche'!U83*Datengüte!S43, 0) +
    IF(ISNUMBER('Refsz-Verbräuche'!U84), 'Refsz-Verbräuche'!U84*Datengüte!S44, 0) +
    IF(ISNUMBER('Refsz-Verbräuche'!U85), 'Refsz-Verbräuche'!U85*Datengüte!S45, 0)
  ) / SUM('Refsz-Verbräuche'!U61:U85),
  "Verbrauchsdaten fehlen"
)</f>
        <v>Verbrauchsdaten fehlen</v>
      </c>
      <c r="T46" s="1" t="str">
        <f>IFERROR(
  (
    IF(ISNUMBER('Refsz-Verbräuche'!V61), 'Refsz-Verbräuche'!V61*Datengüte!T22, 0) +
    IF(ISNUMBER('Refsz-Verbräuche'!V63), 'Refsz-Verbräuche'!V63*Datengüte!T23, 0) +
    IF(ISNUMBER('Refsz-Verbräuche'!V64), 'Refsz-Verbräuche'!V64*Datengüte!T24, 0) +
    IF(ISNUMBER('Refsz-Verbräuche'!V65), 'Refsz-Verbräuche'!V65*Datengüte!T25, 0) +
    IF(ISNUMBER('Refsz-Verbräuche'!V66), 'Refsz-Verbräuche'!V66*Datengüte!T26, 0) +
    IF(ISNUMBER('Refsz-Verbräuche'!V67), 'Refsz-Verbräuche'!V67*Datengüte!T27, 0) +
    IF(ISNUMBER('Refsz-Verbräuche'!V68), 'Refsz-Verbräuche'!V68*Datengüte!T28, 0) +
    IF(ISNUMBER('Refsz-Verbräuche'!V69), 'Refsz-Verbräuche'!V69*Datengüte!T29, 0) +
    IF(ISNUMBER('Refsz-Verbräuche'!V70), 'Refsz-Verbräuche'!V70*Datengüte!T30, 0) +
    IF(ISNUMBER('Refsz-Verbräuche'!V71), 'Refsz-Verbräuche'!V71*Datengüte!T31, 0) +
    IF(ISNUMBER('Refsz-Verbräuche'!V72), 'Refsz-Verbräuche'!V72*Datengüte!T32, 0) +
    IF(ISNUMBER('Refsz-Verbräuche'!V73), 'Refsz-Verbräuche'!V73*Datengüte!T33, 0) +
    IF(ISNUMBER('Refsz-Verbräuche'!V74), 'Refsz-Verbräuche'!V74*Datengüte!T34, 0) +
    IF(ISNUMBER('Refsz-Verbräuche'!V75), 'Refsz-Verbräuche'!V75*Datengüte!T35, 0) +
    IF(ISNUMBER('Refsz-Verbräuche'!V76), 'Refsz-Verbräuche'!V76*Datengüte!T36, 0) +
    IF(ISNUMBER('Refsz-Verbräuche'!V77), 'Refsz-Verbräuche'!V77*Datengüte!T37, 0) +
    IF(ISNUMBER('Refsz-Verbräuche'!V78), 'Refsz-Verbräuche'!V78*Datengüte!T38, 0) +
    IF(ISNUMBER('Refsz-Verbräuche'!V79), 'Refsz-Verbräuche'!V79*Datengüte!T39, 0) +
    IF(ISNUMBER('Refsz-Verbräuche'!V80), 'Refsz-Verbräuche'!V80*Datengüte!T40, 0) +
    IF(ISNUMBER('Refsz-Verbräuche'!V81), 'Refsz-Verbräuche'!V81*Datengüte!T41, 0) +
    IF(ISNUMBER('Refsz-Verbräuche'!V82), 'Refsz-Verbräuche'!V82*Datengüte!T42, 0) +
    IF(ISNUMBER('Refsz-Verbräuche'!V83), 'Refsz-Verbräuche'!V83*Datengüte!T43, 0) +
    IF(ISNUMBER('Refsz-Verbräuche'!V84), 'Refsz-Verbräuche'!V84*Datengüte!T44, 0) +
    IF(ISNUMBER('Refsz-Verbräuche'!V85), 'Refsz-Verbräuche'!V85*Datengüte!T45, 0)
  ) / SUM('Refsz-Verbräuche'!V61:V85),
  "Verbrauchsdaten fehlen"
)</f>
        <v>Verbrauchsdaten fehlen</v>
      </c>
      <c r="U46" s="1" t="str">
        <f>IFERROR(
  (
    IF(ISNUMBER('Refsz-Verbräuche'!W61), 'Refsz-Verbräuche'!W61*Datengüte!U22, 0) +
    IF(ISNUMBER('Refsz-Verbräuche'!W63), 'Refsz-Verbräuche'!W63*Datengüte!U23, 0) +
    IF(ISNUMBER('Refsz-Verbräuche'!W64), 'Refsz-Verbräuche'!W64*Datengüte!U24, 0) +
    IF(ISNUMBER('Refsz-Verbräuche'!W65), 'Refsz-Verbräuche'!W65*Datengüte!U25, 0) +
    IF(ISNUMBER('Refsz-Verbräuche'!W66), 'Refsz-Verbräuche'!W66*Datengüte!U26, 0) +
    IF(ISNUMBER('Refsz-Verbräuche'!W67), 'Refsz-Verbräuche'!W67*Datengüte!U27, 0) +
    IF(ISNUMBER('Refsz-Verbräuche'!W68), 'Refsz-Verbräuche'!W68*Datengüte!U28, 0) +
    IF(ISNUMBER('Refsz-Verbräuche'!W69), 'Refsz-Verbräuche'!W69*Datengüte!U29, 0) +
    IF(ISNUMBER('Refsz-Verbräuche'!W70), 'Refsz-Verbräuche'!W70*Datengüte!U30, 0) +
    IF(ISNUMBER('Refsz-Verbräuche'!W71), 'Refsz-Verbräuche'!W71*Datengüte!U31, 0) +
    IF(ISNUMBER('Refsz-Verbräuche'!W72), 'Refsz-Verbräuche'!W72*Datengüte!U32, 0) +
    IF(ISNUMBER('Refsz-Verbräuche'!W73), 'Refsz-Verbräuche'!W73*Datengüte!U33, 0) +
    IF(ISNUMBER('Refsz-Verbräuche'!W74), 'Refsz-Verbräuche'!W74*Datengüte!U34, 0) +
    IF(ISNUMBER('Refsz-Verbräuche'!W75), 'Refsz-Verbräuche'!W75*Datengüte!U35, 0) +
    IF(ISNUMBER('Refsz-Verbräuche'!W76), 'Refsz-Verbräuche'!W76*Datengüte!U36, 0) +
    IF(ISNUMBER('Refsz-Verbräuche'!W77), 'Refsz-Verbräuche'!W77*Datengüte!U37, 0) +
    IF(ISNUMBER('Refsz-Verbräuche'!W78), 'Refsz-Verbräuche'!W78*Datengüte!U38, 0) +
    IF(ISNUMBER('Refsz-Verbräuche'!W79), 'Refsz-Verbräuche'!W79*Datengüte!U39, 0) +
    IF(ISNUMBER('Refsz-Verbräuche'!W80), 'Refsz-Verbräuche'!W80*Datengüte!U40, 0) +
    IF(ISNUMBER('Refsz-Verbräuche'!W81), 'Refsz-Verbräuche'!W81*Datengüte!U41, 0) +
    IF(ISNUMBER('Refsz-Verbräuche'!W82), 'Refsz-Verbräuche'!W82*Datengüte!U42, 0) +
    IF(ISNUMBER('Refsz-Verbräuche'!W83), 'Refsz-Verbräuche'!W83*Datengüte!U43, 0) +
    IF(ISNUMBER('Refsz-Verbräuche'!W84), 'Refsz-Verbräuche'!W84*Datengüte!U44, 0) +
    IF(ISNUMBER('Refsz-Verbräuche'!W85), 'Refsz-Verbräuche'!W85*Datengüte!U45, 0)
  ) / SUM('Refsz-Verbräuche'!W61:W85),
  "Verbrauchsdaten fehlen"
)</f>
        <v>Verbrauchsdaten fehlen</v>
      </c>
      <c r="V46" s="1" t="str">
        <f>IFERROR(
  (
    IF(ISNUMBER('Refsz-Verbräuche'!X61), 'Refsz-Verbräuche'!X61*Datengüte!V22, 0) +
    IF(ISNUMBER('Refsz-Verbräuche'!X63), 'Refsz-Verbräuche'!X63*Datengüte!V23, 0) +
    IF(ISNUMBER('Refsz-Verbräuche'!X64), 'Refsz-Verbräuche'!X64*Datengüte!V24, 0) +
    IF(ISNUMBER('Refsz-Verbräuche'!X65), 'Refsz-Verbräuche'!X65*Datengüte!V25, 0) +
    IF(ISNUMBER('Refsz-Verbräuche'!X66), 'Refsz-Verbräuche'!X66*Datengüte!V26, 0) +
    IF(ISNUMBER('Refsz-Verbräuche'!X67), 'Refsz-Verbräuche'!X67*Datengüte!V27, 0) +
    IF(ISNUMBER('Refsz-Verbräuche'!X68), 'Refsz-Verbräuche'!X68*Datengüte!V28, 0) +
    IF(ISNUMBER('Refsz-Verbräuche'!X69), 'Refsz-Verbräuche'!X69*Datengüte!V29, 0) +
    IF(ISNUMBER('Refsz-Verbräuche'!X70), 'Refsz-Verbräuche'!X70*Datengüte!V30, 0) +
    IF(ISNUMBER('Refsz-Verbräuche'!X71), 'Refsz-Verbräuche'!X71*Datengüte!V31, 0) +
    IF(ISNUMBER('Refsz-Verbräuche'!X72), 'Refsz-Verbräuche'!X72*Datengüte!V32, 0) +
    IF(ISNUMBER('Refsz-Verbräuche'!X73), 'Refsz-Verbräuche'!X73*Datengüte!V33, 0) +
    IF(ISNUMBER('Refsz-Verbräuche'!X74), 'Refsz-Verbräuche'!X74*Datengüte!V34, 0) +
    IF(ISNUMBER('Refsz-Verbräuche'!X75), 'Refsz-Verbräuche'!X75*Datengüte!V35, 0) +
    IF(ISNUMBER('Refsz-Verbräuche'!X76), 'Refsz-Verbräuche'!X76*Datengüte!V36, 0) +
    IF(ISNUMBER('Refsz-Verbräuche'!X77), 'Refsz-Verbräuche'!X77*Datengüte!V37, 0) +
    IF(ISNUMBER('Refsz-Verbräuche'!X78), 'Refsz-Verbräuche'!X78*Datengüte!V38, 0) +
    IF(ISNUMBER('Refsz-Verbräuche'!X79), 'Refsz-Verbräuche'!X79*Datengüte!V39, 0) +
    IF(ISNUMBER('Refsz-Verbräuche'!X80), 'Refsz-Verbräuche'!X80*Datengüte!V40, 0) +
    IF(ISNUMBER('Refsz-Verbräuche'!X81), 'Refsz-Verbräuche'!X81*Datengüte!V41, 0) +
    IF(ISNUMBER('Refsz-Verbräuche'!X82), 'Refsz-Verbräuche'!X82*Datengüte!V42, 0) +
    IF(ISNUMBER('Refsz-Verbräuche'!X83), 'Refsz-Verbräuche'!X83*Datengüte!V43, 0) +
    IF(ISNUMBER('Refsz-Verbräuche'!X84), 'Refsz-Verbräuche'!X84*Datengüte!V44, 0) +
    IF(ISNUMBER('Refsz-Verbräuche'!X85), 'Refsz-Verbräuche'!X85*Datengüte!V45, 0)
  ) / SUM('Refsz-Verbräuche'!X61:X85),
  "Verbrauchsdaten fehlen"
)</f>
        <v>Verbrauchsdaten fehlen</v>
      </c>
    </row>
    <row r="47" spans="2:22" x14ac:dyDescent="0.35">
      <c r="B47" s="56" t="s">
        <v>270</v>
      </c>
      <c r="C47" s="30" t="str">
        <f>IF(AND(C46 &lt;= 0.5), "D",
     IF(AND(C46 &gt; 0.5, C46 &lt;= 0.65), "C",
          IF(AND(C46 &gt; 0.65, C46 &lt;= 0.8), "B",
               IF(AND(C46 &gt; 0.8, C46 &lt;= 1), "A", "Daten fehlen")
          )
     )
)</f>
        <v>Daten fehlen</v>
      </c>
      <c r="D47" s="30" t="str">
        <f>IF(AND(D46 &lt;= 0.5), "D",
     IF(AND(D46 &gt; 0.5, D46 &lt;= 0.65), "C",
          IF(AND(D46 &gt; 0.65, D46 &lt;= 0.8), "B",
               IF(AND(D46 &gt; 0.8, D46 &lt;= 1), "A", "Daten fehlen")
          )
     )
)</f>
        <v>Daten fehlen</v>
      </c>
      <c r="E47" s="30" t="str">
        <f t="shared" ref="E47:V47" si="0">IF(AND(E46 &lt;= 0.5), "D",
     IF(AND(E46 &gt; 0.5, E46 &lt;= 0.65), "C",
          IF(AND(E46 &gt; 0.65, E46 &lt;= 0.8), "B",
               IF(AND(E46 &gt; 0.8, E46 &lt;= 1), "A", "Daten fehlen")
          )
     )
)</f>
        <v>Daten fehlen</v>
      </c>
      <c r="F47" s="30" t="str">
        <f t="shared" si="0"/>
        <v>Daten fehlen</v>
      </c>
      <c r="G47" s="30" t="str">
        <f t="shared" si="0"/>
        <v>Daten fehlen</v>
      </c>
      <c r="H47" s="30" t="str">
        <f t="shared" si="0"/>
        <v>Daten fehlen</v>
      </c>
      <c r="I47" s="30" t="str">
        <f t="shared" si="0"/>
        <v>Daten fehlen</v>
      </c>
      <c r="J47" s="30" t="str">
        <f t="shared" si="0"/>
        <v>Daten fehlen</v>
      </c>
      <c r="K47" s="30" t="str">
        <f t="shared" si="0"/>
        <v>Daten fehlen</v>
      </c>
      <c r="L47" s="30" t="str">
        <f t="shared" si="0"/>
        <v>Daten fehlen</v>
      </c>
      <c r="M47" s="30" t="str">
        <f t="shared" si="0"/>
        <v>Daten fehlen</v>
      </c>
      <c r="N47" s="30" t="str">
        <f t="shared" si="0"/>
        <v>Daten fehlen</v>
      </c>
      <c r="O47" s="30" t="str">
        <f t="shared" si="0"/>
        <v>Daten fehlen</v>
      </c>
      <c r="P47" s="30" t="str">
        <f t="shared" si="0"/>
        <v>Daten fehlen</v>
      </c>
      <c r="Q47" s="30" t="str">
        <f t="shared" si="0"/>
        <v>Daten fehlen</v>
      </c>
      <c r="R47" s="30" t="str">
        <f t="shared" si="0"/>
        <v>Daten fehlen</v>
      </c>
      <c r="S47" s="30" t="str">
        <f t="shared" si="0"/>
        <v>Daten fehlen</v>
      </c>
      <c r="T47" s="30" t="str">
        <f t="shared" si="0"/>
        <v>Daten fehlen</v>
      </c>
      <c r="U47" s="30" t="str">
        <f t="shared" si="0"/>
        <v>Daten fehlen</v>
      </c>
      <c r="V47" s="30" t="str">
        <f t="shared" si="0"/>
        <v>Daten fehlen</v>
      </c>
    </row>
    <row r="49" spans="2:3" ht="29.5" customHeight="1" x14ac:dyDescent="0.35">
      <c r="B49" t="s">
        <v>187</v>
      </c>
      <c r="C49" s="7" t="s">
        <v>188</v>
      </c>
    </row>
    <row r="50" spans="2:3" x14ac:dyDescent="0.35">
      <c r="B50" t="s">
        <v>179</v>
      </c>
      <c r="C50" t="s">
        <v>183</v>
      </c>
    </row>
    <row r="51" spans="2:3" x14ac:dyDescent="0.35">
      <c r="B51" t="s">
        <v>180</v>
      </c>
      <c r="C51" t="s">
        <v>184</v>
      </c>
    </row>
    <row r="52" spans="2:3" x14ac:dyDescent="0.35">
      <c r="B52" t="s">
        <v>181</v>
      </c>
      <c r="C52" t="s">
        <v>185</v>
      </c>
    </row>
    <row r="53" spans="2:3" x14ac:dyDescent="0.35">
      <c r="B53" t="s">
        <v>182</v>
      </c>
      <c r="C53" t="s">
        <v>186</v>
      </c>
    </row>
  </sheetData>
  <hyperlinks>
    <hyperlink ref="B1" location="Startseite!B1" tooltip="Zurück zur Einleitung" display="Zur Startseite" xr:uid="{8912E2EF-F3D7-4C87-B3CE-94B73512DAAA}"/>
    <hyperlink ref="E1" r:id="rId1" tooltip="Kontakt zur Autorin" display="Kontakt zur Autorin" xr:uid="{E9BC03E8-D296-4A07-80CD-B9B30BE13DA7}"/>
  </hyperlinks>
  <pageMargins left="0.7" right="0.7" top="0.78740157499999996" bottom="0.78740157499999996" header="0.3" footer="0.3"/>
  <pageSetup paperSize="9" orientation="portrait" r:id="rId2"/>
  <drawing r:id="rId3"/>
  <tableParts count="3">
    <tablePart r:id="rId4"/>
    <tablePart r:id="rId5"/>
    <tablePart r:id="rId6"/>
  </tableParts>
  <extLst>
    <ext xmlns:x14="http://schemas.microsoft.com/office/spreadsheetml/2009/9/main" uri="{78C0D931-6437-407d-A8EE-F0AAD7539E65}">
      <x14:conditionalFormattings>
        <x14:conditionalFormatting xmlns:xm="http://schemas.microsoft.com/office/excel/2006/main">
          <x14:cfRule type="expression" priority="46" id="{6D90F27B-210A-4FA4-BF4F-2C976BA578FB}">
            <xm:f>J$21&gt;='Refsz-Verbräuche'!$B$43</xm:f>
            <x14:dxf>
              <fill>
                <patternFill>
                  <bgColor rgb="FFFFC000"/>
                </patternFill>
              </fill>
            </x14:dxf>
          </x14:cfRule>
          <xm:sqref>J22:V45</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9FBD1-24BD-4F66-813B-0D05D38DCDC2}">
  <sheetPr>
    <tabColor theme="4"/>
  </sheetPr>
  <dimension ref="B1:W258"/>
  <sheetViews>
    <sheetView showGridLines="0" zoomScaleNormal="100" workbookViewId="0">
      <pane ySplit="1" topLeftCell="A2" activePane="bottomLeft" state="frozen"/>
      <selection pane="bottomLeft" activeCell="B1" sqref="B1"/>
    </sheetView>
  </sheetViews>
  <sheetFormatPr baseColWidth="10" defaultRowHeight="14.5" x14ac:dyDescent="0.35"/>
  <cols>
    <col min="1" max="1" width="2.26953125" customWidth="1"/>
    <col min="2" max="2" width="72.453125" customWidth="1"/>
    <col min="3" max="3" width="16" customWidth="1"/>
    <col min="5" max="5" width="10.81640625" customWidth="1"/>
  </cols>
  <sheetData>
    <row r="1" spans="2:23" x14ac:dyDescent="0.35">
      <c r="B1" s="4" t="s">
        <v>553</v>
      </c>
      <c r="E1" s="3" t="s">
        <v>590</v>
      </c>
      <c r="J1" s="28"/>
    </row>
    <row r="3" spans="2:23" ht="18.5" x14ac:dyDescent="0.45">
      <c r="B3" s="26" t="s">
        <v>261</v>
      </c>
    </row>
    <row r="5" spans="2:23" ht="15.5" x14ac:dyDescent="0.35">
      <c r="B5" s="6" t="s">
        <v>0</v>
      </c>
    </row>
    <row r="6" spans="2:23" x14ac:dyDescent="0.35">
      <c r="B6" s="28" t="s">
        <v>596</v>
      </c>
    </row>
    <row r="7" spans="2:23" x14ac:dyDescent="0.35">
      <c r="B7" s="28" t="s">
        <v>554</v>
      </c>
    </row>
    <row r="8" spans="2:23" x14ac:dyDescent="0.35">
      <c r="B8" s="28" t="s">
        <v>519</v>
      </c>
      <c r="C8" s="14"/>
    </row>
    <row r="9" spans="2:23" x14ac:dyDescent="0.35">
      <c r="B9" s="28" t="s">
        <v>555</v>
      </c>
    </row>
    <row r="10" spans="2:23" x14ac:dyDescent="0.35">
      <c r="B10" s="28" t="s">
        <v>556</v>
      </c>
    </row>
    <row r="11" spans="2:23" x14ac:dyDescent="0.35">
      <c r="B11" s="28" t="s">
        <v>557</v>
      </c>
    </row>
    <row r="13" spans="2:23" ht="15.5" x14ac:dyDescent="0.35">
      <c r="B13" s="6" t="s">
        <v>235</v>
      </c>
    </row>
    <row r="14" spans="2:23" x14ac:dyDescent="0.35">
      <c r="B14" s="2" t="s">
        <v>558</v>
      </c>
      <c r="C14" t="str">
        <f>'Refsz-Verbräuche'!B41</f>
        <v>2019</v>
      </c>
      <c r="D14" s="42"/>
    </row>
    <row r="15" spans="2:23" x14ac:dyDescent="0.35">
      <c r="B15" s="2" t="s">
        <v>559</v>
      </c>
      <c r="C15" t="str">
        <f>'Refsz-Verbräuche'!B43</f>
        <v>2022</v>
      </c>
    </row>
    <row r="16" spans="2:23" x14ac:dyDescent="0.35">
      <c r="B16" t="s">
        <v>411</v>
      </c>
      <c r="C16" t="s">
        <v>2</v>
      </c>
      <c r="D16" t="s">
        <v>3</v>
      </c>
      <c r="E16" t="s">
        <v>4</v>
      </c>
      <c r="F16" t="s">
        <v>5</v>
      </c>
      <c r="G16" t="s">
        <v>6</v>
      </c>
      <c r="H16" t="s">
        <v>7</v>
      </c>
      <c r="I16" t="s">
        <v>8</v>
      </c>
      <c r="J16" t="s">
        <v>9</v>
      </c>
      <c r="K16" t="s">
        <v>10</v>
      </c>
      <c r="L16" t="s">
        <v>11</v>
      </c>
      <c r="M16" t="s">
        <v>12</v>
      </c>
      <c r="N16" t="s">
        <v>13</v>
      </c>
      <c r="O16" t="s">
        <v>14</v>
      </c>
      <c r="P16" t="s">
        <v>232</v>
      </c>
      <c r="Q16" t="s">
        <v>233</v>
      </c>
      <c r="R16" t="s">
        <v>234</v>
      </c>
      <c r="S16" t="s">
        <v>15</v>
      </c>
      <c r="T16" t="s">
        <v>16</v>
      </c>
      <c r="U16" t="s">
        <v>17</v>
      </c>
      <c r="V16" t="s">
        <v>18</v>
      </c>
      <c r="W16" t="s">
        <v>19</v>
      </c>
    </row>
    <row r="17" spans="2:23" x14ac:dyDescent="0.35">
      <c r="B17" t="s">
        <v>465</v>
      </c>
      <c r="C17" t="s">
        <v>195</v>
      </c>
      <c r="D17" s="124"/>
      <c r="E17" s="124"/>
      <c r="F17" s="124"/>
      <c r="G17" s="124"/>
      <c r="H17" s="124"/>
      <c r="I17" s="124"/>
      <c r="J17" s="124"/>
      <c r="K17" s="124" t="str">
        <f>IF(Refsz_Verbräuche[[#Headers],[2022]]=$C$15,IF(OR(SUMIF($D17:Kennwerte[[#This Row],[2021]],"&gt;0")&gt;0,), AVERAGEIF($D17:Kennwerte[[#This Row],[2021]],"&lt;&gt;"""), ""),IF($C$15=(Refsz_Verbräuche[[#Headers],[2022]]-1),Kennwerte[[#This Row],[2021]],IF($C$15&lt;Refsz_Verbräuche[[#Headers],[2022]],Kennwerte[[#This Row],[2021]],"")))</f>
        <v/>
      </c>
      <c r="L17" s="124" t="str">
        <f>IF(Refsz_Verbräuche[[#Headers],[2023]]=$C$15,IF(OR(SUMIF($D17:Kennwerte[[#This Row],[2022]],"&gt;0")&gt;0,), AVERAGEIF($D17:Kennwerte[[#This Row],[2022]],"&lt;&gt;"""), ""),IF($C$15=(Refsz_Verbräuche[[#Headers],[2023]]-1),Kennwerte[[#This Row],[2022]],IF($C$15&lt;Refsz_Verbräuche[[#Headers],[2023]],Kennwerte[[#This Row],[2022]],"")))</f>
        <v/>
      </c>
      <c r="M17" s="124" t="str">
        <f>IF(Refsz_Verbräuche[[#Headers],[2024]]=$C$15,IF(OR(SUMIF($D17:Kennwerte[[#This Row],[2023]],"&gt;0")&gt;0,), AVERAGEIF($D17:Kennwerte[[#This Row],[2023]],"&lt;&gt;"""), ""),IF($C$15=(Refsz_Verbräuche[[#Headers],[2024]]-1),Kennwerte[[#This Row],[2023]],IF($C$15&lt;Refsz_Verbräuche[[#Headers],[2024]],Kennwerte[[#This Row],[2023]],"")))</f>
        <v/>
      </c>
      <c r="N17" s="124" t="str">
        <f>IF(Refsz_Verbräuche[[#Headers],[2025]]=$C$15,IF(OR(SUMIF($D17:Kennwerte[[#This Row],[2024]],"&gt;0")&gt;0,), AVERAGEIF($D17:Kennwerte[[#This Row],[2024]],"&lt;&gt;"""), ""),IF($C$15=(Refsz_Verbräuche[[#Headers],[2025]]-1),Kennwerte[[#This Row],[2024]],IF($C$15&lt;Refsz_Verbräuche[[#Headers],[2025]],Kennwerte[[#This Row],[2024]],"")))</f>
        <v/>
      </c>
      <c r="O17" s="124" t="str">
        <f>IF(Refsz_Verbräuche[[#Headers],[2026]]=$C$15,IF(OR(SUMIF($D17:Kennwerte[[#This Row],[2025]],"&gt;0")&gt;0,), AVERAGEIF($D17:Kennwerte[[#This Row],[2025]],"&lt;&gt;"""), ""),IF($C$15=(Refsz_Verbräuche[[#Headers],[2026]]-1),Kennwerte[[#This Row],[2025]],IF($C$15&lt;Refsz_Verbräuche[[#Headers],[2026]],Kennwerte[[#This Row],[2025]],"")))</f>
        <v/>
      </c>
      <c r="P17" s="124" t="str">
        <f>IF(Refsz_Verbräuche[[#Headers],[2027]]=$C$15,IF(OR(SUMIF($D17:Kennwerte[[#This Row],[2026]],"&gt;0")&gt;0,), AVERAGEIF($D17:Kennwerte[[#This Row],[2026]],"&lt;&gt;"""), ""),IF($C$15=(Refsz_Verbräuche[[#Headers],[2027]]-1),Kennwerte[[#This Row],[2026]],IF($C$15&lt;Refsz_Verbräuche[[#Headers],[2027]],Kennwerte[[#This Row],[2026]],"")))</f>
        <v/>
      </c>
      <c r="Q17" s="124" t="str">
        <f>IF(Refsz_Verbräuche[[#Headers],[2028]]=$C$15,IF(OR(SUMIF($D17:Kennwerte[[#This Row],[2027]],"&gt;0")&gt;0,), AVERAGEIF($D17:Kennwerte[[#This Row],[2027]],"&lt;&gt;"""), ""),IF($C$15=(Refsz_Verbräuche[[#Headers],[2028]]-1),Kennwerte[[#This Row],[2027]],IF($C$15&lt;Refsz_Verbräuche[[#Headers],[2028]],Kennwerte[[#This Row],[2027]],"")))</f>
        <v/>
      </c>
      <c r="R17" s="124" t="str">
        <f>IF(Refsz_Verbräuche[[#Headers],[2029]]=$C$15,IF(OR(SUMIF($D17:Kennwerte[[#This Row],[2028]],"&gt;0")&gt;0,), AVERAGEIF($D17:Kennwerte[[#This Row],[2028]],"&lt;&gt;"""), ""),IF($C$15=(Refsz_Verbräuche[[#Headers],[2029]]-1),Kennwerte[[#This Row],[2028]],IF($C$15&lt;Refsz_Verbräuche[[#Headers],[2029]],Kennwerte[[#This Row],[2028]],"")))</f>
        <v/>
      </c>
      <c r="S17" s="124" t="str">
        <f>IF(Refsz_Verbräuche[[#Headers],[2030]]=$C$15,IF(OR(SUMIF($D17:Kennwerte[[#This Row],[2029]],"&gt;0")&gt;0,), AVERAGEIF($D17:Kennwerte[[#This Row],[2029]],"&lt;&gt;"""), ""),IF($C$15=(Refsz_Verbräuche[[#Headers],[2030]]-1),Kennwerte[[#This Row],[2029]],IF($C$15&lt;Refsz_Verbräuche[[#Headers],[2030]],Kennwerte[[#This Row],[2029]],"")))</f>
        <v/>
      </c>
      <c r="T17" s="124" t="str">
        <f>IF(Refsz_Verbräuche[[#Headers],[2035]]=$C$15,IF(OR(SUMIF($D17:Kennwerte[[#This Row],[2030]],"&gt;0")&gt;0,), AVERAGEIF($D17:Kennwerte[[#This Row],[2030]],"&lt;&gt;"""), ""),IF($C$15=(Refsz_Verbräuche[[#Headers],[2035]]-1),Kennwerte[[#This Row],[2030]],IF($C$15&lt;Refsz_Verbräuche[[#Headers],[2035]],Kennwerte[[#This Row],[2030]],"")))</f>
        <v/>
      </c>
      <c r="U17" s="124" t="str">
        <f>IF(Refsz_Verbräuche[[#Headers],[2040]]=$C$15,IF(OR(SUMIF($D17:Kennwerte[[#This Row],[2035]],"&gt;0")&gt;0,), AVERAGEIF($D17:Kennwerte[[#This Row],[2035]],"&lt;&gt;"""), ""),IF($C$15=(Refsz_Verbräuche[[#Headers],[2040]]-1),Kennwerte[[#This Row],[2035]],IF($C$15&lt;Refsz_Verbräuche[[#Headers],[2040]],Kennwerte[[#This Row],[2035]],"")))</f>
        <v/>
      </c>
      <c r="V17" s="124" t="str">
        <f>IF(Refsz_Verbräuche[[#Headers],[2045]]=$C$15,IF(OR(SUMIF($D17:Kennwerte[[#This Row],[2040]],"&gt;0")&gt;0,), AVERAGEIF($D17:Kennwerte[[#This Row],[2040]],"&lt;&gt;"""), ""),IF($C$15=(Refsz_Verbräuche[[#Headers],[2045]]-1),Kennwerte[[#This Row],[2040]],IF($C$15&lt;Refsz_Verbräuche[[#Headers],[2045]],Kennwerte[[#This Row],[2040]],"")))</f>
        <v/>
      </c>
      <c r="W17" s="124" t="str">
        <f>IF(Refsz_Verbräuche[[#Headers],[2050]]=$C$15,IF(OR(SUMIF($D17:Kennwerte[[#This Row],[2045]],"&gt;0")&gt;0,), AVERAGEIF($D17:Kennwerte[[#This Row],[2045]],"&lt;&gt;"""), ""),IF($C$15=(Refsz_Verbräuche[[#Headers],[2050]]-1),Kennwerte[[#This Row],[2045]],IF($C$15&lt;Refsz_Verbräuche[[#Headers],[2050]],Kennwerte[[#This Row],[2045]],"")))</f>
        <v/>
      </c>
    </row>
    <row r="18" spans="2:23" x14ac:dyDescent="0.35">
      <c r="B18" s="124" t="s">
        <v>466</v>
      </c>
      <c r="C18" t="s">
        <v>226</v>
      </c>
      <c r="D18" s="124"/>
      <c r="E18" s="124"/>
      <c r="F18" s="124"/>
      <c r="G18" s="124"/>
      <c r="H18" s="124"/>
      <c r="I18" s="124"/>
      <c r="J18" s="124"/>
      <c r="K18" s="124" t="str">
        <f>IF(Refsz_Verbräuche[[#Headers],[2022]]=$C$15,IF(OR(SUMIF($D18:Kennwerte[[#This Row],[2021]],"&gt;0")&gt;0,), AVERAGEIF($D18:Kennwerte[[#This Row],[2021]],"&lt;&gt;"""), ""),IF($C$15=(Refsz_Verbräuche[[#Headers],[2022]]-1),Kennwerte[[#This Row],[2021]],IF($C$15&lt;Refsz_Verbräuche[[#Headers],[2022]],Kennwerte[[#This Row],[2021]],"")))</f>
        <v/>
      </c>
      <c r="L18" s="124" t="str">
        <f>IF(Refsz_Verbräuche[[#Headers],[2023]]=$C$15,IF(OR(SUMIF($D18:Kennwerte[[#This Row],[2022]],"&gt;0")&gt;0,), AVERAGEIF($D18:Kennwerte[[#This Row],[2022]],"&lt;&gt;"""), ""),IF($C$15=(Refsz_Verbräuche[[#Headers],[2023]]-1),Kennwerte[[#This Row],[2022]],IF($C$15&lt;Refsz_Verbräuche[[#Headers],[2023]],Kennwerte[[#This Row],[2022]],"")))</f>
        <v/>
      </c>
      <c r="M18" s="124" t="str">
        <f>IF(Refsz_Verbräuche[[#Headers],[2024]]=$C$15,IF(OR(SUMIF($D18:Kennwerte[[#This Row],[2023]],"&gt;0")&gt;0,), AVERAGEIF($D18:Kennwerte[[#This Row],[2023]],"&lt;&gt;"""), ""),IF($C$15=(Refsz_Verbräuche[[#Headers],[2024]]-1),Kennwerte[[#This Row],[2023]],IF($C$15&lt;Refsz_Verbräuche[[#Headers],[2024]],Kennwerte[[#This Row],[2023]],"")))</f>
        <v/>
      </c>
      <c r="N18" s="124" t="str">
        <f>IF(Refsz_Verbräuche[[#Headers],[2025]]=$C$15,IF(OR(SUMIF($D18:Kennwerte[[#This Row],[2024]],"&gt;0")&gt;0,), AVERAGEIF($D18:Kennwerte[[#This Row],[2024]],"&lt;&gt;"""), ""),IF($C$15=(Refsz_Verbräuche[[#Headers],[2025]]-1),Kennwerte[[#This Row],[2024]],IF($C$15&lt;Refsz_Verbräuche[[#Headers],[2025]],Kennwerte[[#This Row],[2024]],"")))</f>
        <v/>
      </c>
      <c r="O18" s="124" t="str">
        <f>IF(Refsz_Verbräuche[[#Headers],[2026]]=$C$15,IF(OR(SUMIF($D18:Kennwerte[[#This Row],[2025]],"&gt;0")&gt;0,), AVERAGEIF($D18:Kennwerte[[#This Row],[2025]],"&lt;&gt;"""), ""),IF($C$15=(Refsz_Verbräuche[[#Headers],[2026]]-1),Kennwerte[[#This Row],[2025]],IF($C$15&lt;Refsz_Verbräuche[[#Headers],[2026]],Kennwerte[[#This Row],[2025]],"")))</f>
        <v/>
      </c>
      <c r="P18" s="124" t="str">
        <f>IF(Refsz_Verbräuche[[#Headers],[2027]]=$C$15,IF(OR(SUMIF($D18:Kennwerte[[#This Row],[2026]],"&gt;0")&gt;0,), AVERAGEIF($D18:Kennwerte[[#This Row],[2026]],"&lt;&gt;"""), ""),IF($C$15=(Refsz_Verbräuche[[#Headers],[2027]]-1),Kennwerte[[#This Row],[2026]],IF($C$15&lt;Refsz_Verbräuche[[#Headers],[2027]],Kennwerte[[#This Row],[2026]],"")))</f>
        <v/>
      </c>
      <c r="Q18" s="124" t="str">
        <f>IF(Refsz_Verbräuche[[#Headers],[2028]]=$C$15,IF(OR(SUMIF($D18:Kennwerte[[#This Row],[2027]],"&gt;0")&gt;0,), AVERAGEIF($D18:Kennwerte[[#This Row],[2027]],"&lt;&gt;"""), ""),IF($C$15=(Refsz_Verbräuche[[#Headers],[2028]]-1),Kennwerte[[#This Row],[2027]],IF($C$15&lt;Refsz_Verbräuche[[#Headers],[2028]],Kennwerte[[#This Row],[2027]],"")))</f>
        <v/>
      </c>
      <c r="R18" s="124" t="str">
        <f>IF(Refsz_Verbräuche[[#Headers],[2029]]=$C$15,IF(OR(SUMIF($D18:Kennwerte[[#This Row],[2028]],"&gt;0")&gt;0,), AVERAGEIF($D18:Kennwerte[[#This Row],[2028]],"&lt;&gt;"""), ""),IF($C$15=(Refsz_Verbräuche[[#Headers],[2029]]-1),Kennwerte[[#This Row],[2028]],IF($C$15&lt;Refsz_Verbräuche[[#Headers],[2029]],Kennwerte[[#This Row],[2028]],"")))</f>
        <v/>
      </c>
      <c r="S18" s="124" t="str">
        <f>IF(Refsz_Verbräuche[[#Headers],[2030]]=$C$15,IF(OR(SUMIF($D18:Kennwerte[[#This Row],[2029]],"&gt;0")&gt;0,), AVERAGEIF($D18:Kennwerte[[#This Row],[2029]],"&lt;&gt;"""), ""),IF($C$15=(Refsz_Verbräuche[[#Headers],[2030]]-1),Kennwerte[[#This Row],[2029]],IF($C$15&lt;Refsz_Verbräuche[[#Headers],[2030]],Kennwerte[[#This Row],[2029]],"")))</f>
        <v/>
      </c>
      <c r="T18" s="124" t="str">
        <f>IF(Refsz_Verbräuche[[#Headers],[2035]]=$C$15,IF(OR(SUMIF($D18:Kennwerte[[#This Row],[2030]],"&gt;0")&gt;0,), AVERAGEIF($D18:Kennwerte[[#This Row],[2030]],"&lt;&gt;"""), ""),IF($C$15=(Refsz_Verbräuche[[#Headers],[2035]]-1),Kennwerte[[#This Row],[2030]],IF($C$15&lt;Refsz_Verbräuche[[#Headers],[2035]],Kennwerte[[#This Row],[2030]],"")))</f>
        <v/>
      </c>
      <c r="U18" s="124" t="str">
        <f>IF(Refsz_Verbräuche[[#Headers],[2040]]=$C$15,IF(OR(SUMIF($D18:Kennwerte[[#This Row],[2035]],"&gt;0")&gt;0,), AVERAGEIF($D18:Kennwerte[[#This Row],[2035]],"&lt;&gt;"""), ""),IF($C$15=(Refsz_Verbräuche[[#Headers],[2040]]-1),Kennwerte[[#This Row],[2035]],IF($C$15&lt;Refsz_Verbräuche[[#Headers],[2040]],Kennwerte[[#This Row],[2035]],"")))</f>
        <v/>
      </c>
      <c r="V18" s="124" t="str">
        <f>IF(Refsz_Verbräuche[[#Headers],[2045]]=$C$15,IF(OR(SUMIF($D18:Kennwerte[[#This Row],[2040]],"&gt;0")&gt;0,), AVERAGEIF($D18:Kennwerte[[#This Row],[2040]],"&lt;&gt;"""), ""),IF($C$15=(Refsz_Verbräuche[[#Headers],[2045]]-1),Kennwerte[[#This Row],[2040]],IF($C$15&lt;Refsz_Verbräuche[[#Headers],[2045]],Kennwerte[[#This Row],[2040]],"")))</f>
        <v/>
      </c>
      <c r="W18" s="124" t="str">
        <f>IF(Refsz_Verbräuche[[#Headers],[2050]]=$C$15,IF(OR(SUMIF($D18:Kennwerte[[#This Row],[2045]],"&gt;0")&gt;0,), AVERAGEIF($D18:Kennwerte[[#This Row],[2045]],"&lt;&gt;"""), ""),IF($C$15=(Refsz_Verbräuche[[#Headers],[2050]]-1),Kennwerte[[#This Row],[2045]],IF($C$15&lt;Refsz_Verbräuche[[#Headers],[2050]],Kennwerte[[#This Row],[2045]],"")))</f>
        <v/>
      </c>
    </row>
    <row r="19" spans="2:23" x14ac:dyDescent="0.35">
      <c r="B19" s="124" t="s">
        <v>595</v>
      </c>
      <c r="C19" t="s">
        <v>226</v>
      </c>
      <c r="D19" s="124"/>
      <c r="E19" s="124"/>
      <c r="F19" s="124"/>
      <c r="G19" s="124"/>
      <c r="H19" s="124"/>
      <c r="I19" s="124"/>
      <c r="J19" s="124"/>
      <c r="K19" s="124" t="str">
        <f>IF(Refsz_Verbräuche[[#Headers],[2022]]=$C$15,IF(OR(SUMIF($D19:Kennwerte[[#This Row],[2021]],"&gt;0")&gt;0,), AVERAGEIF($D19:Kennwerte[[#This Row],[2021]],"&lt;&gt;"""), ""),IF($C$15=(Refsz_Verbräuche[[#Headers],[2022]]-1),Kennwerte[[#This Row],[2021]],IF($C$15&lt;Refsz_Verbräuche[[#Headers],[2022]],Kennwerte[[#This Row],[2021]],"")))</f>
        <v/>
      </c>
      <c r="L19" s="124" t="str">
        <f>IF(Refsz_Verbräuche[[#Headers],[2023]]=$C$15,IF(OR(SUMIF($D19:Kennwerte[[#This Row],[2022]],"&gt;0")&gt;0,), AVERAGEIF($D19:Kennwerte[[#This Row],[2022]],"&lt;&gt;"""), ""),IF($C$15=(Refsz_Verbräuche[[#Headers],[2023]]-1),Kennwerte[[#This Row],[2022]],IF($C$15&lt;Refsz_Verbräuche[[#Headers],[2023]],Kennwerte[[#This Row],[2022]],"")))</f>
        <v/>
      </c>
      <c r="M19" s="124" t="str">
        <f>IF(Refsz_Verbräuche[[#Headers],[2024]]=$C$15,IF(OR(SUMIF($D19:Kennwerte[[#This Row],[2023]],"&gt;0")&gt;0,), AVERAGEIF($D19:Kennwerte[[#This Row],[2023]],"&lt;&gt;"""), ""),IF($C$15=(Refsz_Verbräuche[[#Headers],[2024]]-1),Kennwerte[[#This Row],[2023]],IF($C$15&lt;Refsz_Verbräuche[[#Headers],[2024]],Kennwerte[[#This Row],[2023]],"")))</f>
        <v/>
      </c>
      <c r="N19" s="124" t="str">
        <f>IF(Refsz_Verbräuche[[#Headers],[2025]]=$C$15,IF(OR(SUMIF($D19:Kennwerte[[#This Row],[2024]],"&gt;0")&gt;0,), AVERAGEIF($D19:Kennwerte[[#This Row],[2024]],"&lt;&gt;"""), ""),IF($C$15=(Refsz_Verbräuche[[#Headers],[2025]]-1),Kennwerte[[#This Row],[2024]],IF($C$15&lt;Refsz_Verbräuche[[#Headers],[2025]],Kennwerte[[#This Row],[2024]],"")))</f>
        <v/>
      </c>
      <c r="O19" s="124" t="str">
        <f>IF(Refsz_Verbräuche[[#Headers],[2026]]=$C$15,IF(OR(SUMIF($D19:Kennwerte[[#This Row],[2025]],"&gt;0")&gt;0,), AVERAGEIF($D19:Kennwerte[[#This Row],[2025]],"&lt;&gt;"""), ""),IF($C$15=(Refsz_Verbräuche[[#Headers],[2026]]-1),Kennwerte[[#This Row],[2025]],IF($C$15&lt;Refsz_Verbräuche[[#Headers],[2026]],Kennwerte[[#This Row],[2025]],"")))</f>
        <v/>
      </c>
      <c r="P19" s="124" t="str">
        <f>IF(Refsz_Verbräuche[[#Headers],[2027]]=$C$15,IF(OR(SUMIF($D19:Kennwerte[[#This Row],[2026]],"&gt;0")&gt;0,), AVERAGEIF($D19:Kennwerte[[#This Row],[2026]],"&lt;&gt;"""), ""),IF($C$15=(Refsz_Verbräuche[[#Headers],[2027]]-1),Kennwerte[[#This Row],[2026]],IF($C$15&lt;Refsz_Verbräuche[[#Headers],[2027]],Kennwerte[[#This Row],[2026]],"")))</f>
        <v/>
      </c>
      <c r="Q19" s="124" t="str">
        <f>IF(Refsz_Verbräuche[[#Headers],[2028]]=$C$15,IF(OR(SUMIF($D19:Kennwerte[[#This Row],[2027]],"&gt;0")&gt;0,), AVERAGEIF($D19:Kennwerte[[#This Row],[2027]],"&lt;&gt;"""), ""),IF($C$15=(Refsz_Verbräuche[[#Headers],[2028]]-1),Kennwerte[[#This Row],[2027]],IF($C$15&lt;Refsz_Verbräuche[[#Headers],[2028]],Kennwerte[[#This Row],[2027]],"")))</f>
        <v/>
      </c>
      <c r="R19" s="124" t="str">
        <f>IF(Refsz_Verbräuche[[#Headers],[2029]]=$C$15,IF(OR(SUMIF($D19:Kennwerte[[#This Row],[2028]],"&gt;0")&gt;0,), AVERAGEIF($D19:Kennwerte[[#This Row],[2028]],"&lt;&gt;"""), ""),IF($C$15=(Refsz_Verbräuche[[#Headers],[2029]]-1),Kennwerte[[#This Row],[2028]],IF($C$15&lt;Refsz_Verbräuche[[#Headers],[2029]],Kennwerte[[#This Row],[2028]],"")))</f>
        <v/>
      </c>
      <c r="S19" s="124" t="str">
        <f>IF(Refsz_Verbräuche[[#Headers],[2030]]=$C$15,IF(OR(SUMIF($D19:Kennwerte[[#This Row],[2029]],"&gt;0")&gt;0,), AVERAGEIF($D19:Kennwerte[[#This Row],[2029]],"&lt;&gt;"""), ""),IF($C$15=(Refsz_Verbräuche[[#Headers],[2030]]-1),Kennwerte[[#This Row],[2029]],IF($C$15&lt;Refsz_Verbräuche[[#Headers],[2030]],Kennwerte[[#This Row],[2029]],"")))</f>
        <v/>
      </c>
      <c r="T19" s="124" t="str">
        <f>IF(Refsz_Verbräuche[[#Headers],[2035]]=$C$15,IF(OR(SUMIF($D19:Kennwerte[[#This Row],[2030]],"&gt;0")&gt;0,), AVERAGEIF($D19:Kennwerte[[#This Row],[2030]],"&lt;&gt;"""), ""),IF($C$15=(Refsz_Verbräuche[[#Headers],[2035]]-1),Kennwerte[[#This Row],[2030]],IF($C$15&lt;Refsz_Verbräuche[[#Headers],[2035]],Kennwerte[[#This Row],[2030]],"")))</f>
        <v/>
      </c>
      <c r="U19" s="124" t="str">
        <f>IF(Refsz_Verbräuche[[#Headers],[2040]]=$C$15,IF(OR(SUMIF($D19:Kennwerte[[#This Row],[2035]],"&gt;0")&gt;0,), AVERAGEIF($D19:Kennwerte[[#This Row],[2035]],"&lt;&gt;"""), ""),IF($C$15=(Refsz_Verbräuche[[#Headers],[2040]]-1),Kennwerte[[#This Row],[2035]],IF($C$15&lt;Refsz_Verbräuche[[#Headers],[2040]],Kennwerte[[#This Row],[2035]],"")))</f>
        <v/>
      </c>
      <c r="V19" s="124" t="str">
        <f>IF(Refsz_Verbräuche[[#Headers],[2045]]=$C$15,IF(OR(SUMIF($D19:Kennwerte[[#This Row],[2040]],"&gt;0")&gt;0,), AVERAGEIF($D19:Kennwerte[[#This Row],[2040]],"&lt;&gt;"""), ""),IF($C$15=(Refsz_Verbräuche[[#Headers],[2045]]-1),Kennwerte[[#This Row],[2040]],IF($C$15&lt;Refsz_Verbräuche[[#Headers],[2045]],Kennwerte[[#This Row],[2040]],"")))</f>
        <v/>
      </c>
      <c r="W19" s="124" t="str">
        <f>IF(Refsz_Verbräuche[[#Headers],[2050]]=$C$15,IF(OR(SUMIF($D19:Kennwerte[[#This Row],[2045]],"&gt;0")&gt;0,), AVERAGEIF($D19:Kennwerte[[#This Row],[2045]],"&lt;&gt;"""), ""),IF($C$15=(Refsz_Verbräuche[[#Headers],[2050]]-1),Kennwerte[[#This Row],[2045]],IF($C$15&lt;Refsz_Verbräuche[[#Headers],[2050]],Kennwerte[[#This Row],[2045]],"")))</f>
        <v/>
      </c>
    </row>
    <row r="20" spans="2:23" x14ac:dyDescent="0.35">
      <c r="B20" s="1" t="s">
        <v>464</v>
      </c>
      <c r="C20" t="s">
        <v>226</v>
      </c>
      <c r="D20" s="15">
        <f>IF(ISERROR(D18+D19),"",D18+D19)</f>
        <v>0</v>
      </c>
      <c r="E20" s="15">
        <f t="shared" ref="E20:I20" si="0">IF(ISERROR(E18+E19),"",E18+E19)</f>
        <v>0</v>
      </c>
      <c r="F20" s="15">
        <f t="shared" si="0"/>
        <v>0</v>
      </c>
      <c r="G20" s="15">
        <f t="shared" si="0"/>
        <v>0</v>
      </c>
      <c r="H20" s="15">
        <f t="shared" si="0"/>
        <v>0</v>
      </c>
      <c r="I20" s="15">
        <f t="shared" si="0"/>
        <v>0</v>
      </c>
      <c r="J20" s="15">
        <f>IF(ISERROR(J18+J19),0,J18+J19)</f>
        <v>0</v>
      </c>
      <c r="K20" s="15">
        <f t="shared" ref="K20:W20" si="1">IF(ISERROR(K18+K19),0,K18+K19)</f>
        <v>0</v>
      </c>
      <c r="L20" s="15">
        <f t="shared" si="1"/>
        <v>0</v>
      </c>
      <c r="M20" s="15">
        <f t="shared" si="1"/>
        <v>0</v>
      </c>
      <c r="N20" s="15">
        <f t="shared" si="1"/>
        <v>0</v>
      </c>
      <c r="O20" s="15">
        <f t="shared" si="1"/>
        <v>0</v>
      </c>
      <c r="P20" s="15">
        <f t="shared" si="1"/>
        <v>0</v>
      </c>
      <c r="Q20" s="15">
        <f t="shared" si="1"/>
        <v>0</v>
      </c>
      <c r="R20" s="15">
        <f t="shared" si="1"/>
        <v>0</v>
      </c>
      <c r="S20" s="15">
        <f t="shared" si="1"/>
        <v>0</v>
      </c>
      <c r="T20" s="15">
        <f t="shared" si="1"/>
        <v>0</v>
      </c>
      <c r="U20" s="15">
        <f t="shared" si="1"/>
        <v>0</v>
      </c>
      <c r="V20" s="15">
        <f t="shared" si="1"/>
        <v>0</v>
      </c>
      <c r="W20" s="15">
        <f t="shared" si="1"/>
        <v>0</v>
      </c>
    </row>
    <row r="23" spans="2:23" ht="15.5" x14ac:dyDescent="0.35">
      <c r="B23" s="6" t="s">
        <v>538</v>
      </c>
    </row>
    <row r="25" spans="2:23" ht="15.5" x14ac:dyDescent="0.35">
      <c r="B25" s="6"/>
    </row>
    <row r="32" spans="2:23" x14ac:dyDescent="0.35">
      <c r="B32" s="2"/>
      <c r="C32" s="11"/>
    </row>
    <row r="33" spans="2:18" x14ac:dyDescent="0.35">
      <c r="B33" s="1" t="s">
        <v>437</v>
      </c>
      <c r="D33" s="2"/>
    </row>
    <row r="34" spans="2:18" ht="15.5" x14ac:dyDescent="0.35">
      <c r="B34" s="1" t="s">
        <v>432</v>
      </c>
      <c r="C34" s="1" t="s">
        <v>2</v>
      </c>
      <c r="D34" s="1" t="str">
        <f>C14</f>
        <v>2019</v>
      </c>
      <c r="E34" s="125" t="s">
        <v>15</v>
      </c>
      <c r="F34" s="125" t="s">
        <v>19</v>
      </c>
      <c r="G34" s="1" t="s">
        <v>442</v>
      </c>
      <c r="K34" s="166" t="str">
        <f>_xlfn.CONCAT("Ohne Klimaschutz wird Ihre Institution ",F34," circa ",FIXED(F35,2)," t CO2-Äq. austoßen.")</f>
        <v>Ohne Klimaschutz wird Ihre Institution 2050 circa 0,00 t CO2-Äq. austoßen.</v>
      </c>
      <c r="L34" s="165"/>
      <c r="M34" s="165"/>
      <c r="N34" s="165"/>
      <c r="O34" s="165"/>
      <c r="P34" s="165"/>
      <c r="Q34" s="165"/>
      <c r="R34" s="165"/>
    </row>
    <row r="35" spans="2:18" ht="16.5" x14ac:dyDescent="0.45">
      <c r="B35" t="s">
        <v>448</v>
      </c>
      <c r="C35" t="s">
        <v>208</v>
      </c>
      <c r="D35">
        <f>INDEX(Refsz_Bundesmix_Handlungsfelder[[#Data],[#Totals]],MATCH(Refsz_Bundesmix_Handlungsfelder[[#Totals],[Handlungsfeld]],Refsz_Bundesmix_Handlungsfelder[[#Data],[#Totals],[Handlungsfeld]],0),MATCH(D34,Refsz_Bundesmix_Handlungsfelder[#Headers],0))</f>
        <v>0</v>
      </c>
      <c r="E35">
        <f>INDEX(Refsz_Bundesmix_Handlungsfelder[[#Data],[#Totals]],MATCH(Refsz_Bundesmix_Handlungsfelder[[#Totals],[Handlungsfeld]],Refsz_Bundesmix_Handlungsfelder[[#Data],[#Totals],[Handlungsfeld]],0),MATCH(E34,Refsz_Bundesmix_Handlungsfelder[#Headers],0))</f>
        <v>0</v>
      </c>
      <c r="F35">
        <f>INDEX(Refsz_Bundesmix_Handlungsfelder[[#Data],[#Totals]],MATCH(Refsz_Bundesmix_Handlungsfelder[[#Totals],[Handlungsfeld]],Refsz_Bundesmix_Handlungsfelder[[#Data],[#Totals],[Handlungsfeld]],0),MATCH(F34,Refsz_Bundesmix_Handlungsfelder[#Headers],0))</f>
        <v>0</v>
      </c>
      <c r="G35" t="s">
        <v>471</v>
      </c>
    </row>
    <row r="36" spans="2:18" ht="16.5" x14ac:dyDescent="0.45">
      <c r="B36" t="s">
        <v>447</v>
      </c>
      <c r="C36" t="s">
        <v>208</v>
      </c>
      <c r="D36">
        <f>INDEX(Refsz_Regiomix_Handlungsfelder[[#Data],[#Totals]],MATCH('Refsz-Emissionen'!C434,Refsz_Regiomix_Handlungsfelder[[#Data],[#Totals],[Handlungsfeld]],0),MATCH(D34,Refsz_Regiomix_Handlungsfelder[#Headers],0))</f>
        <v>0</v>
      </c>
      <c r="E36">
        <f>INDEX(Refsz_Regiomix_Handlungsfelder[[#Data],[#Totals]],MATCH('Refsz-Emissionen'!C434,Refsz_Regiomix_Handlungsfelder[[#Data],[#Totals],[Handlungsfeld]],0),MATCH(E34,Refsz_Regiomix_Handlungsfelder[#Headers],0))</f>
        <v>0</v>
      </c>
      <c r="F36">
        <f>INDEX(Refsz_Regiomix_Handlungsfelder[[#Data],[#Totals]],MATCH('Refsz-Emissionen'!C434,Refsz_Regiomix_Handlungsfelder[[#Data],[#Totals],[Handlungsfeld]],0),MATCH(F34,Refsz_Regiomix_Handlungsfelder[#Headers],0))</f>
        <v>0</v>
      </c>
      <c r="G36" t="s">
        <v>471</v>
      </c>
    </row>
    <row r="37" spans="2:18" ht="16.5" x14ac:dyDescent="0.45">
      <c r="B37" t="s">
        <v>467</v>
      </c>
      <c r="C37" t="s">
        <v>208</v>
      </c>
      <c r="D37" t="str">
        <f>IF((INDEX(Kennwerte[],MATCH(B20,Kennwerte[Kennwerte],0),MATCH(D34,Kennwerte[#Headers],0))),D35/(INDEX(Kennwerte[],MATCH(B20,Kennwerte[Kennwerte],0),MATCH(D34,Kennwerte[#Headers],0))),"Personenanzahl fehlt")</f>
        <v>Personenanzahl fehlt</v>
      </c>
      <c r="E37" t="str">
        <f>IF((INDEX(Kennwerte[],MATCH(B20,Kennwerte[Kennwerte],0),MATCH(E34,Kennwerte[#Headers],0))),E35/(INDEX(Kennwerte[],MATCH(B20,Kennwerte[Kennwerte],0),MATCH(E34,Kennwerte[#Headers],0))),"Personenanzahl fehlt")</f>
        <v>Personenanzahl fehlt</v>
      </c>
      <c r="F37" t="str">
        <f>IF((INDEX(Kennwerte[],MATCH(B20,Kennwerte[Kennwerte],0),MATCH(F34,Kennwerte[#Headers],0))),F35/(INDEX(Kennwerte[],MATCH(B20,Kennwerte[Kennwerte],0),MATCH(F34,Kennwerte[#Headers],0))),"Personenanzahl fehlt")</f>
        <v>Personenanzahl fehlt</v>
      </c>
      <c r="G37" t="s">
        <v>471</v>
      </c>
    </row>
    <row r="38" spans="2:18" ht="16.5" x14ac:dyDescent="0.45">
      <c r="B38" t="s">
        <v>468</v>
      </c>
      <c r="C38" t="s">
        <v>208</v>
      </c>
      <c r="D38" t="str">
        <f>IF((INDEX(Kennwerte[],MATCH(B20,Kennwerte[Kennwerte],0),MATCH(D34,Kennwerte[#Headers],0))),D36/(INDEX(Kennwerte[],MATCH(B20,Kennwerte[Kennwerte],0),MATCH(D34,Kennwerte[#Headers],0))),"Personenanzahl fehlt")</f>
        <v>Personenanzahl fehlt</v>
      </c>
      <c r="E38" t="str">
        <f>IF((INDEX(Kennwerte[],MATCH(B20,Kennwerte[Kennwerte],0),MATCH(E34,Kennwerte[#Headers],0))),E36/(INDEX(Kennwerte[],MATCH(B20,Kennwerte[Kennwerte],0),MATCH(E34,Kennwerte[#Headers],0))),"Personenanzahl fehlt")</f>
        <v>Personenanzahl fehlt</v>
      </c>
      <c r="F38" t="str">
        <f>IF((INDEX(Kennwerte[],MATCH(B20,Kennwerte[Kennwerte],0),MATCH(F34,Kennwerte[#Headers],0))),F36/(INDEX(Kennwerte[],MATCH(B20,Kennwerte[Kennwerte],0),MATCH(F34,Kennwerte[#Headers],0))),"Personenanzahl fehlt")</f>
        <v>Personenanzahl fehlt</v>
      </c>
      <c r="G38" t="s">
        <v>471</v>
      </c>
    </row>
    <row r="39" spans="2:18" ht="16.5" x14ac:dyDescent="0.45">
      <c r="B39" t="s">
        <v>469</v>
      </c>
      <c r="C39" t="s">
        <v>208</v>
      </c>
      <c r="D39" t="str">
        <f>IFERROR(IF(ISERROR(INDEX(Kennwerte[],MATCH(B17,Kennwerte[Kennwerte],0),MATCH(D34,Kennwerte[#Headers],0))), "Fläche fehlt", D35 / INDEX(Kennwerte[], MATCH(B17, Kennwerte[Kennwerte], 0), MATCH(D34, Kennwerte[#Headers], 0))), "Fläche fehlt")</f>
        <v>Fläche fehlt</v>
      </c>
      <c r="E39" t="str">
        <f>IFERROR(IF(ISERROR(INDEX(Kennwerte[],MATCH(B17,Kennwerte[Kennwerte],0),MATCH(E34,Kennwerte[#Headers],0))), "Fläche fehlt", E35 / INDEX(Kennwerte[], MATCH(B17, Kennwerte[Kennwerte], 0), MATCH(E34, Kennwerte[#Headers], 0))), "Fläche fehlt")</f>
        <v>Fläche fehlt</v>
      </c>
      <c r="F39" t="str">
        <f>IFERROR(IF(ISERROR(INDEX(Kennwerte[],MATCH(B17,Kennwerte[Kennwerte],0),MATCH(F34,Kennwerte[#Headers],0))), "Fläche fehlt", F35 / INDEX(Kennwerte[], MATCH(B17, Kennwerte[Kennwerte], 0), MATCH(F34, Kennwerte[#Headers], 0))), "Fläche fehlt")</f>
        <v>Fläche fehlt</v>
      </c>
      <c r="G39" t="s">
        <v>471</v>
      </c>
    </row>
    <row r="40" spans="2:18" ht="16.5" x14ac:dyDescent="0.45">
      <c r="B40" t="s">
        <v>470</v>
      </c>
      <c r="C40" t="s">
        <v>208</v>
      </c>
      <c r="D40" t="str">
        <f>IFERROR(IF(ISERROR(INDEX(Kennwerte[],MATCH(B17,Kennwerte[Kennwerte],0),MATCH(D34,Kennwerte[#Headers],0))), "Fläche fehlt", D36 / INDEX(Kennwerte[], MATCH(B17, Kennwerte[Kennwerte], 0), MATCH(D34, Kennwerte[#Headers], 0))), "Fläche fehlt")</f>
        <v>Fläche fehlt</v>
      </c>
      <c r="E40" t="str">
        <f>IFERROR(IF(ISERROR(INDEX(Kennwerte[],MATCH(B17,Kennwerte[Kennwerte],0),MATCH(E34,Kennwerte[#Headers],0))), "Fläche fehlt", E36 / INDEX(Kennwerte[], MATCH(B17, Kennwerte[Kennwerte], 0), MATCH(E34, Kennwerte[#Headers], 0))), "Fläche fehlt")</f>
        <v>Fläche fehlt</v>
      </c>
      <c r="F40" t="str">
        <f>IFERROR(IF(ISERROR(INDEX(Kennwerte[],MATCH(B17,Kennwerte[Kennwerte],0),MATCH(F34,Kennwerte[#Headers],0))), "Fläche fehlt", F36 / INDEX(Kennwerte[], MATCH(B17, Kennwerte[Kennwerte], 0), MATCH(F34, Kennwerte[#Headers], 0))), "Fläche fehlt")</f>
        <v>Fläche fehlt</v>
      </c>
      <c r="G40" t="s">
        <v>471</v>
      </c>
    </row>
    <row r="41" spans="2:18" ht="16.5" x14ac:dyDescent="0.45">
      <c r="B41" t="s">
        <v>435</v>
      </c>
      <c r="C41" t="s">
        <v>208</v>
      </c>
      <c r="D41">
        <f>INDEX(Refsz_Bundesmix_Handlungsfelder[[Handlungsfeld]:[2050]],MATCH('Refsz-Emissionen'!C402,Refsz_Bundesmix_Handlungsfelder[Handlungsfeld],0),MATCH(D34,Refsz_Bundesmix_Handlungsfelder[#Headers],0))+
INDEX(Refsz_Bundesmix_Handlungsfelder[[Handlungsfeld]:[2050]],MATCH('Refsz-Emissionen'!C403,Refsz_Bundesmix_Handlungsfelder[Handlungsfeld],0),MATCH(D34,Refsz_Bundesmix_Handlungsfelder[#Headers],0))+
INDEX(Refsz_Bundesmix_Handlungsfelder[[Handlungsfeld]:[2050]],MATCH('Refsz-Emissionen'!C404,Refsz_Bundesmix_Handlungsfelder[Handlungsfeld],0),MATCH(D34,Refsz_Bundesmix_Handlungsfelder[#Headers],0))+
INDEX(Refsz_Bundesmix_Handlungsfelder[[Handlungsfeld]:[2050]],MATCH('Refsz-Emissionen'!C405,Refsz_Bundesmix_Handlungsfelder[Handlungsfeld],0),MATCH(D34,Refsz_Bundesmix_Handlungsfelder[#Headers],0))</f>
        <v>0</v>
      </c>
      <c r="E41">
        <f>INDEX(Refsz_Bundesmix_Handlungsfelder[[Handlungsfeld]:[2050]],MATCH('Refsz-Emissionen'!C402,Refsz_Bundesmix_Handlungsfelder[Handlungsfeld],0),MATCH(E34,Refsz_Bundesmix_Handlungsfelder[#Headers],0))+
INDEX(Refsz_Bundesmix_Handlungsfelder[[Handlungsfeld]:[2050]],MATCH('Refsz-Emissionen'!C403,Refsz_Bundesmix_Handlungsfelder[Handlungsfeld],0),MATCH(E34,Refsz_Bundesmix_Handlungsfelder[#Headers],0))+
INDEX(Refsz_Bundesmix_Handlungsfelder[[Handlungsfeld]:[2050]],MATCH('Refsz-Emissionen'!C404,Refsz_Bundesmix_Handlungsfelder[Handlungsfeld],0),MATCH(E34,Refsz_Bundesmix_Handlungsfelder[#Headers],0))+
INDEX(Refsz_Bundesmix_Handlungsfelder[[Handlungsfeld]:[2050]],MATCH('Refsz-Emissionen'!C405,Refsz_Bundesmix_Handlungsfelder[Handlungsfeld],0),MATCH(E34,Refsz_Bundesmix_Handlungsfelder[#Headers],0))</f>
        <v>0</v>
      </c>
      <c r="F41">
        <f>INDEX(Refsz_Bundesmix_Handlungsfelder[[Handlungsfeld]:[2050]],MATCH('Refsz-Emissionen'!C402,Refsz_Bundesmix_Handlungsfelder[Handlungsfeld],0),MATCH(F34,Refsz_Bundesmix_Handlungsfelder[#Headers],0))+
INDEX(Refsz_Bundesmix_Handlungsfelder[[Handlungsfeld]:[2050]],MATCH('Refsz-Emissionen'!C403,Refsz_Bundesmix_Handlungsfelder[Handlungsfeld],0),MATCH(F34,Refsz_Bundesmix_Handlungsfelder[#Headers],0))+
INDEX(Refsz_Bundesmix_Handlungsfelder[[Handlungsfeld]:[2050]],MATCH('Refsz-Emissionen'!C404,Refsz_Bundesmix_Handlungsfelder[Handlungsfeld],0),MATCH(F34,Refsz_Bundesmix_Handlungsfelder[#Headers],0))+
INDEX(Refsz_Bundesmix_Handlungsfelder[[Handlungsfeld]:[2050]],MATCH('Refsz-Emissionen'!C405,Refsz_Bundesmix_Handlungsfelder[Handlungsfeld],0),MATCH(F34,Refsz_Bundesmix_Handlungsfelder[#Headers],0))</f>
        <v>0</v>
      </c>
      <c r="G41" t="str">
        <f>_xlfn.CONCAT(" Energie, Kälte, ",'Refsz-Verbräuche'!C46,", ",'Refsz-Verbräuche'!C47,", ",'Refsz-Verbräuche'!C48,", ",'Refsz-Verbräuche'!C49)</f>
        <v xml:space="preserve"> Energie, Kälte, Fuhrpark, DR, Studierendenreisen (Outgoing), Exkursionen</v>
      </c>
    </row>
    <row r="42" spans="2:18" ht="16.5" x14ac:dyDescent="0.45">
      <c r="B42" t="s">
        <v>436</v>
      </c>
      <c r="C42" t="s">
        <v>208</v>
      </c>
      <c r="D42">
        <f>INDEX(Refsz_Regiomix_Handlungsfelder[[Handlungsfeld]:[2050]],MATCH('Refsz-Emissionen'!C423,Refsz_Regiomix_Handlungsfelder[Handlungsfeld],0),MATCH(D34,Refsz_Regiomix_Handlungsfelder[#Headers],0))+INDEX(Refsz_Regiomix_Handlungsfelder[[Handlungsfeld]:[2050]],MATCH('Refsz-Emissionen'!C424,Refsz_Regiomix_Handlungsfelder[Handlungsfeld],0),MATCH(D34,Refsz_Regiomix_Handlungsfelder[#Headers],0))+INDEX(Refsz_Regiomix_Handlungsfelder[[Handlungsfeld]:[2050]],MATCH('Refsz-Emissionen'!C425,Refsz_Regiomix_Handlungsfelder[Handlungsfeld],0),MATCH(D34,Refsz_Regiomix_Handlungsfelder[#Headers],0))+INDEX(Refsz_Regiomix_Handlungsfelder[[Handlungsfeld]:[2050]],MATCH('Refsz-Emissionen'!C426,Refsz_Regiomix_Handlungsfelder[Handlungsfeld],0),MATCH(D34,Refsz_Regiomix_Handlungsfelder[#Headers],0))</f>
        <v>0</v>
      </c>
      <c r="E42">
        <f>INDEX(Refsz_Regiomix_Handlungsfelder[[Handlungsfeld]:[2050]],MATCH('Refsz-Emissionen'!C423,Refsz_Regiomix_Handlungsfelder[Handlungsfeld],0),MATCH(E34,Refsz_Regiomix_Handlungsfelder[#Headers],0))+INDEX(Refsz_Regiomix_Handlungsfelder[[Handlungsfeld]:[2050]],MATCH('Refsz-Emissionen'!C424,Refsz_Regiomix_Handlungsfelder[Handlungsfeld],0),MATCH(E34,Refsz_Regiomix_Handlungsfelder[#Headers],0))+INDEX(Refsz_Regiomix_Handlungsfelder[[Handlungsfeld]:[2050]],MATCH('Refsz-Emissionen'!C425,Refsz_Regiomix_Handlungsfelder[Handlungsfeld],0),MATCH(E34,Refsz_Regiomix_Handlungsfelder[#Headers],0))+INDEX(Refsz_Regiomix_Handlungsfelder[[Handlungsfeld]:[2050]],MATCH('Refsz-Emissionen'!C426,Refsz_Regiomix_Handlungsfelder[Handlungsfeld],0),MATCH(E34,Refsz_Regiomix_Handlungsfelder[#Headers],0))</f>
        <v>0</v>
      </c>
      <c r="F42">
        <f>INDEX(Refsz_Regiomix_Handlungsfelder[[Handlungsfeld]:[2050]],MATCH('Refsz-Emissionen'!C423,Refsz_Regiomix_Handlungsfelder[Handlungsfeld],0),MATCH(F34,Refsz_Regiomix_Handlungsfelder[#Headers],0))+INDEX(Refsz_Regiomix_Handlungsfelder[[Handlungsfeld]:[2050]],MATCH('Refsz-Emissionen'!C424,Refsz_Regiomix_Handlungsfelder[Handlungsfeld],0),MATCH(F34,Refsz_Regiomix_Handlungsfelder[#Headers],0))+INDEX(Refsz_Regiomix_Handlungsfelder[[Handlungsfeld]:[2050]],MATCH('Refsz-Emissionen'!C425,Refsz_Regiomix_Handlungsfelder[Handlungsfeld],0),MATCH(F34,Refsz_Regiomix_Handlungsfelder[#Headers],0))+INDEX(Refsz_Regiomix_Handlungsfelder[[Handlungsfeld]:[2050]],MATCH('Refsz-Emissionen'!C426,Refsz_Regiomix_Handlungsfelder[Handlungsfeld],0),MATCH(F34,Refsz_Regiomix_Handlungsfelder[#Headers],0))</f>
        <v>0</v>
      </c>
      <c r="G42" t="str">
        <f>_xlfn.CONCAT(" Energie, Kälte, ",'Refsz-Verbräuche'!C46,", ",'Refsz-Verbräuche'!C47,", ",'Refsz-Verbräuche'!C48,", ",'Refsz-Verbräuche'!C49)</f>
        <v xml:space="preserve"> Energie, Kälte, Fuhrpark, DR, Studierendenreisen (Outgoing), Exkursionen</v>
      </c>
    </row>
    <row r="43" spans="2:18" ht="16.5" x14ac:dyDescent="0.45">
      <c r="B43" t="s">
        <v>438</v>
      </c>
      <c r="C43" t="s">
        <v>208</v>
      </c>
      <c r="D43">
        <f>INDEX(Refsz_Bundesmix_Handlungsfelder[[Handlungsfeld]:[2050]],MATCH('Refsz-Emissionen'!C402,Refsz_Bundesmix_Handlungsfelder[Handlungsfeld],0),MATCH(D34,Refsz_Bundesmix_Handlungsfelder[#Headers],0))+
INDEX(Refsz_Bundesmix_Handlungsfelder[[Handlungsfeld]:[2050]],MATCH('Refsz-Emissionen'!C403,Refsz_Bundesmix_Handlungsfelder[Handlungsfeld],0),MATCH(D34,Refsz_Bundesmix_Handlungsfelder[#Headers],0))+
INDEX(Refsz_Bundesmix_Handlungsfelder[[Handlungsfeld]:[2050]],MATCH('Refsz-Emissionen'!C404,Refsz_Bundesmix_Handlungsfelder[Handlungsfeld],0),MATCH(D34,Refsz_Bundesmix_Handlungsfelder[#Headers],0))+
INDEX(Refsz_Emissionen_Bundesmix[[Handlungsfeld]:[2050]],MATCH('Refsz-Emissionen'!C91,Refsz_Emissionen_Bundesmix[Handlungsfeld],0),MATCH(D34,Refsz_Emissionen_Bundesmix[[#Headers],[Handlungsfeld]:[2050]],0))+
INDEX(Refsz_Emissionen_Bundesmix[[Handlungsfeld]:[2050]],MATCH('Refsz-Emissionen'!C92,Refsz_Emissionen_Bundesmix[Handlungsfeld],0),MATCH(D34,Refsz_Emissionen_Bundesmix[[#Headers],[Handlungsfeld]:[2050]],0))+
INDEX(Refsz_Emissionen_Bundesmix[[Handlungsfeld]:[2050]],MATCH('Refsz-Emissionen'!C93,Refsz_Emissionen_Bundesmix[Handlungsfeld],0),MATCH(D34,Refsz_Emissionen_Bundesmix[[#Headers],[Handlungsfeld]:[2050]],0))+
INDEX(Refsz_Emissionen_Bundesmix[[Handlungsfeld]:[2050]],MATCH('Refsz-Emissionen'!C94,Refsz_Emissionen_Bundesmix[Handlungsfeld],0),MATCH(D34,Refsz_Emissionen_Bundesmix[[#Headers],[Handlungsfeld]:[2050]],0))+
INDEX(Refsz_Emissionen_Bundesmix[[Handlungsfeld]:[2050]],MATCH('Refsz-Emissionen'!C95,Refsz_Emissionen_Bundesmix[Handlungsfeld],0),MATCH(D34,Refsz_Emissionen_Bundesmix[[#Headers],[Handlungsfeld]:[2050]],0))</f>
        <v>0</v>
      </c>
      <c r="E43">
        <f>INDEX(Refsz_Bundesmix_Handlungsfelder[[Handlungsfeld]:[2050]],MATCH('Refsz-Emissionen'!C402,Refsz_Bundesmix_Handlungsfelder[Handlungsfeld],0),MATCH(E34,Refsz_Bundesmix_Handlungsfelder[#Headers],0))+
INDEX(Refsz_Bundesmix_Handlungsfelder[[Handlungsfeld]:[2050]],MATCH('Refsz-Emissionen'!C403,Refsz_Bundesmix_Handlungsfelder[Handlungsfeld],0),MATCH(E34,Refsz_Bundesmix_Handlungsfelder[#Headers],0))+
INDEX(Refsz_Bundesmix_Handlungsfelder[[Handlungsfeld]:[2050]],MATCH('Refsz-Emissionen'!C404,Refsz_Bundesmix_Handlungsfelder[Handlungsfeld],0),MATCH(E34,Refsz_Bundesmix_Handlungsfelder[#Headers],0))+
INDEX(Refsz_Emissionen_Bundesmix[[Handlungsfeld]:[2050]],MATCH('Refsz-Emissionen'!C91,Refsz_Emissionen_Bundesmix[Handlungsfeld],0),MATCH(E34,Refsz_Emissionen_Bundesmix[[#Headers],[Handlungsfeld]:[2050]],0))+
INDEX(Refsz_Emissionen_Bundesmix[[Handlungsfeld]:[2050]],MATCH('Refsz-Emissionen'!C92,Refsz_Emissionen_Bundesmix[Handlungsfeld],0),MATCH(E34,Refsz_Emissionen_Bundesmix[[#Headers],[Handlungsfeld]:[2050]],0))+
INDEX(Refsz_Emissionen_Bundesmix[[Handlungsfeld]:[2050]],MATCH('Refsz-Emissionen'!C93,Refsz_Emissionen_Bundesmix[Handlungsfeld],0),MATCH(E34,Refsz_Emissionen_Bundesmix[[#Headers],[Handlungsfeld]:[2050]],0))+
INDEX(Refsz_Emissionen_Bundesmix[[Handlungsfeld]:[2050]],MATCH('Refsz-Emissionen'!C94,Refsz_Emissionen_Bundesmix[Handlungsfeld],0),MATCH(E34,Refsz_Emissionen_Bundesmix[[#Headers],[Handlungsfeld]:[2050]],0))+
INDEX(Refsz_Emissionen_Bundesmix[[Handlungsfeld]:[2050]],MATCH('Refsz-Emissionen'!C95,Refsz_Emissionen_Bundesmix[Handlungsfeld],0),MATCH(E34,Refsz_Emissionen_Bundesmix[[#Headers],[Handlungsfeld]:[2050]],0))</f>
        <v>0</v>
      </c>
      <c r="F43">
        <f>INDEX(Refsz_Bundesmix_Handlungsfelder[[Handlungsfeld]:[2050]],MATCH('Refsz-Emissionen'!C402,Refsz_Bundesmix_Handlungsfelder[Handlungsfeld],0),MATCH(F34,Refsz_Bundesmix_Handlungsfelder[#Headers],0))+
INDEX(Refsz_Bundesmix_Handlungsfelder[[Handlungsfeld]:[2050]],MATCH('Refsz-Emissionen'!C403,Refsz_Bundesmix_Handlungsfelder[Handlungsfeld],0),MATCH(F34,Refsz_Bundesmix_Handlungsfelder[#Headers],0))+
INDEX(Refsz_Bundesmix_Handlungsfelder[[Handlungsfeld]:[2050]],MATCH('Refsz-Emissionen'!C404,Refsz_Bundesmix_Handlungsfelder[Handlungsfeld],0),MATCH(F34,Refsz_Bundesmix_Handlungsfelder[#Headers],0))+
INDEX(Refsz_Emissionen_Bundesmix[[Handlungsfeld]:[2050]],MATCH('Refsz-Emissionen'!C91,Refsz_Emissionen_Bundesmix[Handlungsfeld],0),MATCH(F34,Refsz_Emissionen_Bundesmix[[#Headers],[Handlungsfeld]:[2050]],0))+
INDEX(Refsz_Emissionen_Bundesmix[[Handlungsfeld]:[2050]],MATCH('Refsz-Emissionen'!C92,Refsz_Emissionen_Bundesmix[Handlungsfeld],0),MATCH(F34,Refsz_Emissionen_Bundesmix[[#Headers],[Handlungsfeld]:[2050]],0))+
INDEX(Refsz_Emissionen_Bundesmix[[Handlungsfeld]:[2050]],MATCH('Refsz-Emissionen'!C93,Refsz_Emissionen_Bundesmix[Handlungsfeld],0),MATCH(F34,Refsz_Emissionen_Bundesmix[[#Headers],[Handlungsfeld]:[2050]],0))+
INDEX(Refsz_Emissionen_Bundesmix[[Handlungsfeld]:[2050]],MATCH('Refsz-Emissionen'!C94,Refsz_Emissionen_Bundesmix[Handlungsfeld],0),MATCH(F34,Refsz_Emissionen_Bundesmix[[#Headers],[Handlungsfeld]:[2050]],0))+
INDEX(Refsz_Emissionen_Bundesmix[[Handlungsfeld]:[2050]],MATCH('Refsz-Emissionen'!C95,Refsz_Emissionen_Bundesmix[Handlungsfeld],0),MATCH(F34,Refsz_Emissionen_Bundesmix[[#Headers],[Handlungsfeld]:[2050]],0))</f>
        <v>0</v>
      </c>
      <c r="G43" t="s">
        <v>446</v>
      </c>
    </row>
    <row r="44" spans="2:18" ht="16.5" x14ac:dyDescent="0.45">
      <c r="B44" t="s">
        <v>441</v>
      </c>
      <c r="C44" t="s">
        <v>208</v>
      </c>
      <c r="D44">
        <f>INDEX(Refsz_Regiomix_Handlungsfelder[[Handlungsfeld]:[2050]],MATCH('Refsz-Emissionen'!C423,Refsz_Regiomix_Handlungsfelder[Handlungsfeld],0),MATCH(D34,Refsz_Regiomix_Handlungsfelder[#Headers],0))+INDEX(Refsz_Regiomix_Handlungsfelder[[Handlungsfeld]:[2050]],MATCH('Refsz-Emissionen'!C424,Refsz_Regiomix_Handlungsfelder[Handlungsfeld],0),MATCH(D34,Refsz_Regiomix_Handlungsfelder[#Headers],0))+INDEX(Refsz_Regiomix_Handlungsfelder[[Handlungsfeld]:[2050]],MATCH('Refsz-Emissionen'!C425,Refsz_Regiomix_Handlungsfelder[Handlungsfeld],0),MATCH(D34,Refsz_Regiomix_Handlungsfelder[#Headers],0))+ INDEX(Refsz_Emissionen_Regiomix[[Handlungsfeld]:[2050]],MATCH('Refsz-Emissionen'!C256,Refsz_Emissionen_Regiomix[Handlungsfeld],0),MATCH(D34,Refsz_Emissionen_Regiomix[[#Headers],[Handlungsfeld]:[2050]],0))+
INDEX(Refsz_Emissionen_Regiomix[[Handlungsfeld]:[2050]],MATCH('Refsz-Emissionen'!C257,Refsz_Emissionen_Regiomix[Handlungsfeld],0),MATCH(D34,Refsz_Emissionen_Regiomix[[#Headers],[Handlungsfeld]:[2050]],0))+
INDEX(Refsz_Emissionen_Regiomix[[Handlungsfeld]:[2050]],MATCH('Refsz-Emissionen'!C258,Refsz_Emissionen_Regiomix[Handlungsfeld],0),MATCH(D34,Refsz_Emissionen_Regiomix[[#Headers],[Handlungsfeld]:[2050]],0))+
INDEX(Refsz_Emissionen_Regiomix[[Handlungsfeld]:[2050]],MATCH('Refsz-Emissionen'!C259,Refsz_Emissionen_Regiomix[Handlungsfeld],0),MATCH(D34,Refsz_Emissionen_Regiomix[[#Headers],[Handlungsfeld]:[2050]],0))+
INDEX(Refsz_Emissionen_Regiomix[[Handlungsfeld]:[2050]],MATCH('Refsz-Emissionen'!C260,Refsz_Emissionen_Regiomix[Handlungsfeld],0),MATCH(D34,Refsz_Emissionen_Regiomix[[#Headers],[Handlungsfeld]:[2050]],0))</f>
        <v>0</v>
      </c>
      <c r="E44">
        <f>INDEX(Refsz_Regiomix_Handlungsfelder[[Handlungsfeld]:[2050]],MATCH('Refsz-Emissionen'!C423,Refsz_Regiomix_Handlungsfelder[Handlungsfeld],0),MATCH(E34,Refsz_Regiomix_Handlungsfelder[#Headers],0))+INDEX(Refsz_Regiomix_Handlungsfelder[[Handlungsfeld]:[2050]],MATCH('Refsz-Emissionen'!C424,Refsz_Regiomix_Handlungsfelder[Handlungsfeld],0),MATCH(E34,Refsz_Regiomix_Handlungsfelder[#Headers],0))+INDEX(Refsz_Regiomix_Handlungsfelder[[Handlungsfeld]:[2050]],MATCH('Refsz-Emissionen'!C425,Refsz_Regiomix_Handlungsfelder[Handlungsfeld],0),MATCH(E34,Refsz_Regiomix_Handlungsfelder[#Headers],0))+
INDEX(Refsz_Emissionen_Regiomix[[Handlungsfeld]:[2050]],MATCH('Refsz-Emissionen'!C256,Refsz_Emissionen_Regiomix[Handlungsfeld],0),MATCH(E34,Refsz_Emissionen_Regiomix[[#Headers],[Handlungsfeld]:[2050]],0))+
INDEX(Refsz_Emissionen_Regiomix[[Handlungsfeld]:[2050]],MATCH('Refsz-Emissionen'!C257,Refsz_Emissionen_Regiomix[Handlungsfeld],0),MATCH(E34,Refsz_Emissionen_Regiomix[[#Headers],[Handlungsfeld]:[2050]],0))+
INDEX(Refsz_Emissionen_Regiomix[[Handlungsfeld]:[2050]],MATCH('Refsz-Emissionen'!C258,Refsz_Emissionen_Regiomix[Handlungsfeld],0),MATCH(E34,Refsz_Emissionen_Regiomix[[#Headers],[Handlungsfeld]:[2050]],0))+
INDEX(Refsz_Emissionen_Regiomix[[Handlungsfeld]:[2050]],MATCH('Refsz-Emissionen'!C259,Refsz_Emissionen_Regiomix[Handlungsfeld],0),MATCH(E34,Refsz_Emissionen_Regiomix[[#Headers],[Handlungsfeld]:[2050]],0))+
INDEX(Refsz_Emissionen_Regiomix[[Handlungsfeld]:[2050]],MATCH('Refsz-Emissionen'!C260,Refsz_Emissionen_Regiomix[Handlungsfeld],0),MATCH(E34,Refsz_Emissionen_Regiomix[[#Headers],[Handlungsfeld]:[2050]],0))</f>
        <v>0</v>
      </c>
      <c r="F44">
        <f>INDEX(Refsz_Regiomix_Handlungsfelder[[Handlungsfeld]:[2050]],MATCH('Refsz-Emissionen'!C423,Refsz_Regiomix_Handlungsfelder[Handlungsfeld],0),MATCH(F34,Refsz_Regiomix_Handlungsfelder[#Headers],0))+INDEX(Refsz_Regiomix_Handlungsfelder[[Handlungsfeld]:[2050]],MATCH('Refsz-Emissionen'!C424,Refsz_Regiomix_Handlungsfelder[Handlungsfeld],0),MATCH(F34,Refsz_Regiomix_Handlungsfelder[#Headers],0))+INDEX(Refsz_Regiomix_Handlungsfelder[[Handlungsfeld]:[2050]],MATCH('Refsz-Emissionen'!C425,Refsz_Regiomix_Handlungsfelder[Handlungsfeld],0),MATCH(F34,Refsz_Regiomix_Handlungsfelder[#Headers],0))+
INDEX(Refsz_Emissionen_Regiomix[[Handlungsfeld]:[2050]],MATCH('Refsz-Emissionen'!C256,Refsz_Emissionen_Regiomix[Handlungsfeld],0),MATCH(F34,Refsz_Emissionen_Regiomix[[#Headers],[Handlungsfeld]:[2050]],0))+
INDEX(Refsz_Emissionen_Regiomix[[Handlungsfeld]:[2050]],MATCH('Refsz-Emissionen'!C257,Refsz_Emissionen_Regiomix[Handlungsfeld],0),MATCH(F34,Refsz_Emissionen_Regiomix[[#Headers],[Handlungsfeld]:[2050]],0))+
INDEX(Refsz_Emissionen_Regiomix[[Handlungsfeld]:[2050]],MATCH('Refsz-Emissionen'!C258,Refsz_Emissionen_Regiomix[Handlungsfeld],0),MATCH(F34,Refsz_Emissionen_Regiomix[[#Headers],[Handlungsfeld]:[2050]],0))+
INDEX(Refsz_Emissionen_Regiomix[[Handlungsfeld]:[2050]],MATCH('Refsz-Emissionen'!C259,Refsz_Emissionen_Regiomix[Handlungsfeld],0),MATCH(F34,Refsz_Emissionen_Regiomix[[#Headers],[Handlungsfeld]:[2050]],0))+
INDEX(Refsz_Emissionen_Regiomix[[Handlungsfeld]:[2050]],MATCH('Refsz-Emissionen'!C260,Refsz_Emissionen_Regiomix[Handlungsfeld],0),MATCH(F34,Refsz_Emissionen_Regiomix[[#Headers],[Handlungsfeld]:[2050]],0))</f>
        <v>0</v>
      </c>
      <c r="G44" t="s">
        <v>446</v>
      </c>
    </row>
    <row r="45" spans="2:18" x14ac:dyDescent="0.35">
      <c r="B45" t="s">
        <v>458</v>
      </c>
      <c r="D45" s="30" t="str">
        <f>INDEX(Datengüte_Eingabe[[Datenpunkt der Endenergie]:[2050]],MATCH(Datengüte!B47,Datengüte_Eingabe[Datenpunkt der Endenergie],0),MATCH('KliMax-Auswertung'!D34,Datengüte_Eingabe[#Headers],0))</f>
        <v>Daten fehlen</v>
      </c>
      <c r="E45" s="30" t="str">
        <f>INDEX(Datengüte_Eingabe[[Datenpunkt der Endenergie]:[2050]],MATCH(Datengüte!B47,Datengüte_Eingabe[Datenpunkt der Endenergie],0),MATCH('KliMax-Auswertung'!E34,Datengüte_Eingabe[#Headers],0))</f>
        <v>Daten fehlen</v>
      </c>
      <c r="F45" s="30" t="str">
        <f>INDEX(Datengüte_Eingabe[[Datenpunkt der Endenergie]:[2050]],MATCH(Datengüte!B47,Datengüte_Eingabe[Datenpunkt der Endenergie],0),MATCH('KliMax-Auswertung'!F34,Datengüte_Eingabe[#Headers],0))</f>
        <v>Daten fehlen</v>
      </c>
    </row>
    <row r="46" spans="2:18" ht="15.5" x14ac:dyDescent="0.35">
      <c r="K46" s="166" t="str">
        <f>_xlfn.CONCAT("Ihre Institution spart ",E48," circa ",FIXED(D35-E49,2)," t CO2-Äq. im Vergleich zu ",D34," ein.")</f>
        <v>Ihre Institution spart 2030 circa 0,00 t CO2-Äq. im Vergleich zu 2019 ein.</v>
      </c>
      <c r="L46" s="165"/>
      <c r="M46" s="165"/>
      <c r="N46" s="165"/>
      <c r="O46" s="165"/>
      <c r="P46" s="165"/>
      <c r="Q46" s="165"/>
    </row>
    <row r="47" spans="2:18" x14ac:dyDescent="0.35">
      <c r="B47" s="1" t="s">
        <v>434</v>
      </c>
      <c r="C47" s="30"/>
      <c r="D47" s="1"/>
      <c r="E47" s="1"/>
    </row>
    <row r="48" spans="2:18" ht="15.5" x14ac:dyDescent="0.35">
      <c r="B48" s="1" t="s">
        <v>432</v>
      </c>
      <c r="C48" s="1" t="s">
        <v>2</v>
      </c>
      <c r="E48" s="125" t="s">
        <v>15</v>
      </c>
      <c r="F48" s="125" t="s">
        <v>19</v>
      </c>
      <c r="G48" s="1" t="s">
        <v>442</v>
      </c>
      <c r="L48" s="166" t="str">
        <f>_xlfn.CONCAT(E48," hätte Ihre Institution ohne Klimaschutz ca. ", FIXED(E35,2)," t CO2-Äq. erzeugt.")</f>
        <v>2030 hätte Ihre Institution ohne Klimaschutz ca. 0,00 t CO2-Äq. erzeugt.</v>
      </c>
      <c r="M48" s="165"/>
      <c r="N48" s="165"/>
      <c r="O48" s="165"/>
      <c r="P48" s="165"/>
      <c r="Q48" s="165"/>
      <c r="R48" s="165"/>
    </row>
    <row r="49" spans="2:17" ht="16.5" x14ac:dyDescent="0.45">
      <c r="B49" s="14" t="s">
        <v>448</v>
      </c>
      <c r="C49" t="s">
        <v>208</v>
      </c>
      <c r="E49">
        <f>INDEX(Klisz_Bundesmix_Handlungsfelder[[#Data],[#Totals]],MATCH('Klisz-Emissionen'!C760,Klisz_Bundesmix_Handlungsfelder[[#Data],[#Totals],[Handlungsfeld]],0),MATCH(E48,Klisz_Bundesmix_Handlungsfelder[#Headers],0))</f>
        <v>0</v>
      </c>
      <c r="F49">
        <f>INDEX(Klisz_Bundesmix_Handlungsfelder[[#Data],[#Totals]],MATCH('Klisz-Emissionen'!C760,Klisz_Bundesmix_Handlungsfelder[[#Data],[#Totals],[Handlungsfeld]],0),MATCH(F48,Klisz_Bundesmix_Handlungsfelder[#Headers],0))</f>
        <v>0</v>
      </c>
      <c r="G49" t="s">
        <v>471</v>
      </c>
      <c r="L49" s="166" t="str">
        <f>_xlfn.CONCAT("Doch mit Klimaschutz wäre sie 2030 bei ca. ", FIXED(E49,2), " t CO2-Äq.!")</f>
        <v>Doch mit Klimaschutz wäre sie 2030 bei ca. 0,00 t CO2-Äq.!</v>
      </c>
      <c r="M49" s="165"/>
      <c r="N49" s="165"/>
      <c r="O49" s="165"/>
      <c r="P49" s="165"/>
      <c r="Q49" s="165"/>
    </row>
    <row r="50" spans="2:17" ht="16.5" x14ac:dyDescent="0.45">
      <c r="B50" s="14" t="s">
        <v>449</v>
      </c>
      <c r="C50" t="s">
        <v>208</v>
      </c>
      <c r="E50">
        <f>INDEX(Klisz_Bundesmix_KS80_Handlungsfelder[[#Data],[#Totals]],MATCH('Klisz-Emissionen'!C781,Klisz_Bundesmix_KS80_Handlungsfelder[[#Data],[#Totals],[Handlungsfeld]],0),MATCH(E48,Klisz_Bundesmix_KS80_Handlungsfelder[#Headers],0))</f>
        <v>0</v>
      </c>
      <c r="F50">
        <f>INDEX(Klisz_Bundesmix_KS80_Handlungsfelder[[#Data],[#Totals]],MATCH('Klisz-Emissionen'!C781,Klisz_Bundesmix_KS80_Handlungsfelder[[#Data],[#Totals],[Handlungsfeld]],0),MATCH(F48,Klisz_Bundesmix_KS80_Handlungsfelder[#Headers],0))</f>
        <v>0</v>
      </c>
      <c r="G50" t="s">
        <v>471</v>
      </c>
    </row>
    <row r="51" spans="2:17" ht="16.5" x14ac:dyDescent="0.45">
      <c r="B51" s="14" t="s">
        <v>447</v>
      </c>
      <c r="C51" t="s">
        <v>208</v>
      </c>
      <c r="E51">
        <f>INDEX(Klisz_Regiomix_Handlungsfelder[[#Data],[#Totals]],MATCH('Klisz-Emissionen'!C802,Klisz_Regiomix_Handlungsfelder[[#Data],[#Totals],[Handlungsfeld]],0),MATCH(E48,Klisz_Regiomix_Handlungsfelder[#Headers],0))</f>
        <v>0</v>
      </c>
      <c r="F51">
        <f>INDEX(Klisz_Regiomix_Handlungsfelder[[#Data],[#Totals]],MATCH('Klisz-Emissionen'!C802,Klisz_Regiomix_Handlungsfelder[[#Data],[#Totals],[Handlungsfeld]],0),MATCH(F48,Klisz_Regiomix_Handlungsfelder[#Headers],0))</f>
        <v>0</v>
      </c>
      <c r="G51" t="s">
        <v>471</v>
      </c>
    </row>
    <row r="52" spans="2:17" ht="16.5" x14ac:dyDescent="0.45">
      <c r="B52" s="14" t="str">
        <f>_xlfn.CONCAT("Gesamt (",'Klisz-Emissionen'!D810,")")</f>
        <v>Gesamt (Beispiel: Umstellung der Landesliegenschaften auf Windkraft)</v>
      </c>
      <c r="C52" t="s">
        <v>208</v>
      </c>
      <c r="E52">
        <f>INDEX(Klisz_Eigenes_Klimaschutzszenario_Handlungsfelder[[#Data],[#Totals]],MATCH('Klisz-Emissionen'!C823,Klisz_Eigenes_Klimaschutzszenario_Handlungsfelder[[#Data],[#Totals],[Handlungsfeld]],0),MATCH(E48,Klisz_Eigenes_Klimaschutzszenario_Handlungsfelder[#Headers],0))</f>
        <v>0</v>
      </c>
      <c r="F52">
        <f>INDEX(Klisz_Eigenes_Klimaschutzszenario_Handlungsfelder[[#Data],[#Totals]],MATCH('Klisz-Emissionen'!C823,Klisz_Eigenes_Klimaschutzszenario_Handlungsfelder[[#Data],[#Totals],[Handlungsfeld]],0),MATCH(F48,Klisz_Eigenes_Klimaschutzszenario_Handlungsfelder[#Headers],0))</f>
        <v>0</v>
      </c>
      <c r="G52" t="s">
        <v>471</v>
      </c>
    </row>
    <row r="53" spans="2:17" ht="16.5" x14ac:dyDescent="0.45">
      <c r="B53" s="14" t="s">
        <v>467</v>
      </c>
      <c r="C53" t="s">
        <v>208</v>
      </c>
      <c r="E53" t="str">
        <f>IF((INDEX(Kennwerte[],MATCH(B20,Kennwerte[Kennwerte],0),MATCH(E48,Kennwerte[#Headers],0))),E49/(INDEX(Kennwerte[],MATCH(B20,Kennwerte[Kennwerte],0),MATCH(E48,Kennwerte[#Headers],0))),"Personenanzahl fehlt")</f>
        <v>Personenanzahl fehlt</v>
      </c>
      <c r="F53" t="str">
        <f>IF((INDEX(Kennwerte[],MATCH(B20,Kennwerte[Kennwerte],0),MATCH(F48,Kennwerte[#Headers],0))),F49/(INDEX(Kennwerte[],MATCH(B20,Kennwerte[Kennwerte],0),MATCH(F48,Kennwerte[#Headers],0))),"Personenanzahl fehlt")</f>
        <v>Personenanzahl fehlt</v>
      </c>
      <c r="G53" t="s">
        <v>471</v>
      </c>
    </row>
    <row r="54" spans="2:17" ht="16.5" x14ac:dyDescent="0.45">
      <c r="B54" t="s">
        <v>468</v>
      </c>
      <c r="C54" t="s">
        <v>208</v>
      </c>
      <c r="E54" t="str">
        <f>IF((INDEX(Kennwerte[],MATCH(B20,Kennwerte[Kennwerte],0),MATCH(E48,Kennwerte[#Headers],0))),E50/(INDEX(Kennwerte[],MATCH(B20,Kennwerte[Kennwerte],0),MATCH(E48,Kennwerte[#Headers],0))),"Personenanzahl fehlt")</f>
        <v>Personenanzahl fehlt</v>
      </c>
      <c r="F54" t="str">
        <f>IF((INDEX(Kennwerte[],MATCH(B20,Kennwerte[Kennwerte],0),MATCH(F48,Kennwerte[#Headers],0))),F51/(INDEX(Kennwerte[],MATCH(B20,Kennwerte[Kennwerte],0),MATCH(F48,Kennwerte[#Headers],0))),"Personenanzahl fehlt")</f>
        <v>Personenanzahl fehlt</v>
      </c>
      <c r="G54" t="s">
        <v>471</v>
      </c>
    </row>
    <row r="55" spans="2:17" ht="16.5" x14ac:dyDescent="0.45">
      <c r="B55" t="s">
        <v>443</v>
      </c>
      <c r="C55" t="s">
        <v>208</v>
      </c>
      <c r="E55">
        <f>INDEX(Klisz_Bundesmix_Handlungsfelder[[Handlungsfeld]:[2050]],MATCH('Klisz-Emissionen'!C749,Klisz_Bundesmix_Handlungsfelder[Handlungsfeld],0),MATCH(E48,Klisz_Bundesmix_Handlungsfelder[#Headers],0))+
INDEX(Klisz_Bundesmix_Handlungsfelder[[Handlungsfeld]:[2050]],MATCH('Klisz-Emissionen'!C750,Klisz_Bundesmix_Handlungsfelder[Handlungsfeld],0),MATCH(E48,Klisz_Bundesmix_Handlungsfelder[#Headers],0))+
INDEX(Klisz_Bundesmix_Handlungsfelder[[Handlungsfeld]:[2050]],MATCH('Klisz-Emissionen'!C751,Klisz_Bundesmix_Handlungsfelder[Handlungsfeld],0),MATCH(E48,Klisz_Bundesmix_Handlungsfelder[#Headers],0))+
INDEX(Klisz_Bundesmix_Handlungsfelder[[Handlungsfeld]:[2050]],MATCH('Klisz-Emissionen'!C752,Klisz_Bundesmix_Handlungsfelder[Handlungsfeld],0),MATCH(E48,Klisz_Bundesmix_Handlungsfelder[#Headers],0))</f>
        <v>0</v>
      </c>
      <c r="F55">
        <f>INDEX(Klisz_Bundesmix_Handlungsfelder[[Handlungsfeld]:[2050]],MATCH('Klisz-Emissionen'!C749,Klisz_Bundesmix_Handlungsfelder[Handlungsfeld],0),MATCH(F48,Klisz_Bundesmix_Handlungsfelder[#Headers],0))+
INDEX(Klisz_Bundesmix_Handlungsfelder[[Handlungsfeld]:[2050]],MATCH('Klisz-Emissionen'!C750,Klisz_Bundesmix_Handlungsfelder[Handlungsfeld],0),MATCH(F48,Klisz_Bundesmix_Handlungsfelder[#Headers],0))+
INDEX(Klisz_Bundesmix_Handlungsfelder[[Handlungsfeld]:[2050]],MATCH('Klisz-Emissionen'!C751,Klisz_Bundesmix_Handlungsfelder[Handlungsfeld],0),MATCH(F48,Klisz_Bundesmix_Handlungsfelder[#Headers],0))+
INDEX(Klisz_Bundesmix_Handlungsfelder[[Handlungsfeld]:[2050]],MATCH('Klisz-Emissionen'!C752,Klisz_Bundesmix_Handlungsfelder[Handlungsfeld],0),MATCH(F48,Klisz_Bundesmix_Handlungsfelder[#Headers],0))</f>
        <v>0</v>
      </c>
      <c r="G55" s="14" t="str">
        <f>_xlfn.CONCAT(" Energie, Kälte, ",'Refsz-Verbräuche'!C46,", ",'Refsz-Verbräuche'!C47,", ",'Refsz-Verbräuche'!C48,", ",'Refsz-Verbräuche'!C49)</f>
        <v xml:space="preserve"> Energie, Kälte, Fuhrpark, DR, Studierendenreisen (Outgoing), Exkursionen</v>
      </c>
    </row>
    <row r="56" spans="2:17" ht="16.5" x14ac:dyDescent="0.45">
      <c r="B56" t="s">
        <v>444</v>
      </c>
      <c r="C56" t="s">
        <v>208</v>
      </c>
      <c r="E56">
        <f>INDEX(Klisz_Bundesmix_KS80_Handlungsfelder[[Handlungsfeld]:[2050]],MATCH('Klisz-Emissionen'!C770,Klisz_Bundesmix_KS80_Handlungsfelder[Handlungsfeld],0),MATCH(E48,Klisz_Bundesmix_KS80_Handlungsfelder[#Headers],0))+
INDEX(Klisz_Bundesmix_KS80_Handlungsfelder[[Handlungsfeld]:[2050]],MATCH('Klisz-Emissionen'!C771,Klisz_Bundesmix_KS80_Handlungsfelder[Handlungsfeld],0),MATCH(E48,Klisz_Regiomix_Handlungsfelder[#Headers],0))+
INDEX(Klisz_Bundesmix_KS80_Handlungsfelder[[Handlungsfeld]:[2050]],MATCH('Klisz-Emissionen'!C772,Klisz_Bundesmix_KS80_Handlungsfelder[Handlungsfeld],0),MATCH(E48,Klisz_Regiomix_Handlungsfelder[#Headers],0))+
INDEX(Klisz_Bundesmix_KS80_Handlungsfelder[[Handlungsfeld]:[2050]],MATCH('Klisz-Emissionen'!C773,Klisz_Bundesmix_KS80_Handlungsfelder[Handlungsfeld],0),MATCH(E48,Klisz_Regiomix_Handlungsfelder[#Headers],0))</f>
        <v>0</v>
      </c>
      <c r="F56">
        <f>INDEX(Klisz_Bundesmix_KS80_Handlungsfelder[[Handlungsfeld]:[2050]],MATCH('Klisz-Emissionen'!C770,Klisz_Bundesmix_KS80_Handlungsfelder[Handlungsfeld],0),MATCH(F48,Klisz_Bundesmix_KS80_Handlungsfelder[#Headers],0))+
INDEX(Klisz_Bundesmix_KS80_Handlungsfelder[[Handlungsfeld]:[2050]],MATCH('Klisz-Emissionen'!C771,Klisz_Bundesmix_KS80_Handlungsfelder[Handlungsfeld],0),MATCH(F48,Klisz_Regiomix_Handlungsfelder[#Headers],0))+
INDEX(Klisz_Bundesmix_KS80_Handlungsfelder[[Handlungsfeld]:[2050]],MATCH('Klisz-Emissionen'!C772,Klisz_Bundesmix_KS80_Handlungsfelder[Handlungsfeld],0),MATCH(F48,Klisz_Regiomix_Handlungsfelder[#Headers],0))+
INDEX(Klisz_Bundesmix_KS80_Handlungsfelder[[Handlungsfeld]:[2050]],MATCH('Klisz-Emissionen'!C773,Klisz_Bundesmix_KS80_Handlungsfelder[Handlungsfeld],0),MATCH(F48,Klisz_Regiomix_Handlungsfelder[#Headers],0))</f>
        <v>0</v>
      </c>
      <c r="G56" s="14" t="str">
        <f>_xlfn.CONCAT(" Energie, Kälte, ",'Refsz-Verbräuche'!C46,", ",'Refsz-Verbräuche'!C47,", ",'Refsz-Verbräuche'!C48,", ",'Refsz-Verbräuche'!C49)</f>
        <v xml:space="preserve"> Energie, Kälte, Fuhrpark, DR, Studierendenreisen (Outgoing), Exkursionen</v>
      </c>
    </row>
    <row r="57" spans="2:17" ht="16.5" x14ac:dyDescent="0.45">
      <c r="B57" s="14" t="s">
        <v>445</v>
      </c>
      <c r="C57" t="s">
        <v>208</v>
      </c>
      <c r="E57">
        <f>INDEX(Klisz_Regiomix_Handlungsfelder[[Handlungsfeld]:[2050]],MATCH('Klisz-Emissionen'!C791,Klisz_Regiomix_Handlungsfelder[Handlungsfeld],0),MATCH(E48,Klisz_Regiomix_Handlungsfelder[#Headers],0))+
INDEX(Klisz_Regiomix_Handlungsfelder[[Handlungsfeld]:[2050]],MATCH('Klisz-Emissionen'!C792,Klisz_Regiomix_Handlungsfelder[Handlungsfeld],0),MATCH(E48,Klisz_Regiomix_Handlungsfelder[#Headers],0))+
INDEX(Klisz_Regiomix_Handlungsfelder[[Handlungsfeld]:[2050]],MATCH('Klisz-Emissionen'!C793,Klisz_Regiomix_Handlungsfelder[Handlungsfeld],0),MATCH(E48,Klisz_Regiomix_Handlungsfelder[#Headers],0))+
INDEX(Klisz_Regiomix_Handlungsfelder[[Handlungsfeld]:[2050]],MATCH('Klisz-Emissionen'!C794,Klisz_Regiomix_Handlungsfelder[Handlungsfeld],0),MATCH(E48,Klisz_Regiomix_Handlungsfelder[#Headers],0))</f>
        <v>0</v>
      </c>
      <c r="F57">
        <f>INDEX(Klisz_Regiomix_Handlungsfelder[[Handlungsfeld]:[2050]],MATCH('Klisz-Emissionen'!C791,Klisz_Regiomix_Handlungsfelder[Handlungsfeld],0),MATCH(F48,Klisz_Regiomix_Handlungsfelder[#Headers],0))+
INDEX(Klisz_Regiomix_Handlungsfelder[[Handlungsfeld]:[2050]],MATCH('Klisz-Emissionen'!C792,Klisz_Regiomix_Handlungsfelder[Handlungsfeld],0),MATCH(F48,Klisz_Regiomix_Handlungsfelder[#Headers],0))+
INDEX(Klisz_Regiomix_Handlungsfelder[[Handlungsfeld]:[2050]],MATCH('Klisz-Emissionen'!C793,Klisz_Regiomix_Handlungsfelder[Handlungsfeld],0),MATCH(F48,Klisz_Regiomix_Handlungsfelder[#Headers],0))+
INDEX(Klisz_Regiomix_Handlungsfelder[[Handlungsfeld]:[2050]],MATCH('Klisz-Emissionen'!C794,Klisz_Regiomix_Handlungsfelder[Handlungsfeld],0),MATCH(F48,Klisz_Regiomix_Handlungsfelder[#Headers],0))</f>
        <v>0</v>
      </c>
      <c r="G57" s="14" t="str">
        <f>_xlfn.CONCAT(" Energie, Kälte, ",'Refsz-Verbräuche'!C46,", ",'Refsz-Verbräuche'!C47,", ",'Refsz-Verbräuche'!C48,", ",'Refsz-Verbräuche'!C49)</f>
        <v xml:space="preserve"> Energie, Kälte, Fuhrpark, DR, Studierendenreisen (Outgoing), Exkursionen</v>
      </c>
    </row>
    <row r="58" spans="2:17" ht="16.5" x14ac:dyDescent="0.45">
      <c r="B58" s="14" t="str">
        <f>_xlfn.CONCAT("Energie, Kälte und Mobilität der Institution (",'Klisz-Emissionen'!D810,")")</f>
        <v>Energie, Kälte und Mobilität der Institution (Beispiel: Umstellung der Landesliegenschaften auf Windkraft)</v>
      </c>
      <c r="C58" t="s">
        <v>208</v>
      </c>
      <c r="E58">
        <f>INDEX(Klisz_Eigenes_Klimaschutzszenario_Handlungsfelder[[Handlungsfeld]:[2050]],MATCH('Klisz-Emissionen'!C812,Klisz_Eigenes_Klimaschutzszenario_Handlungsfelder[Handlungsfeld],0),MATCH(E48,Klisz_Eigenes_Klimaschutzszenario_Handlungsfelder[#Headers],0))+
INDEX(Klisz_Eigenes_Klimaschutzszenario_Handlungsfelder[[Handlungsfeld]:[2050]],MATCH('Klisz-Emissionen'!C813,Klisz_Eigenes_Klimaschutzszenario_Handlungsfelder[Handlungsfeld],0),MATCH(E48,Klisz_Eigenes_Klimaschutzszenario_Handlungsfelder[#Headers],0))+
INDEX(Klisz_Eigenes_Klimaschutzszenario_Handlungsfelder[[Handlungsfeld]:[2050]],MATCH('Klisz-Emissionen'!C814,Klisz_Eigenes_Klimaschutzszenario_Handlungsfelder[Handlungsfeld],0),MATCH(E48,Klisz_Eigenes_Klimaschutzszenario_Handlungsfelder[#Headers],0))+
INDEX(Klisz_Eigenes_Klimaschutzszenario_Handlungsfelder[[Handlungsfeld]:[2050]],MATCH('Klisz-Emissionen'!C815,Klisz_Eigenes_Klimaschutzszenario_Handlungsfelder[Handlungsfeld],0),MATCH(E48,Klisz_Eigenes_Klimaschutzszenario_Handlungsfelder[#Headers],0))</f>
        <v>0</v>
      </c>
      <c r="F58">
        <f>INDEX(Klisz_Eigenes_Klimaschutzszenario_Handlungsfelder[[Handlungsfeld]:[2050]],MATCH('Klisz-Emissionen'!C812,Klisz_Eigenes_Klimaschutzszenario_Handlungsfelder[Handlungsfeld],0),MATCH(F48,Klisz_Eigenes_Klimaschutzszenario_Handlungsfelder[#Headers],0))+
INDEX(Klisz_Eigenes_Klimaschutzszenario_Handlungsfelder[[Handlungsfeld]:[2050]],MATCH('Klisz-Emissionen'!C813,Klisz_Eigenes_Klimaschutzszenario_Handlungsfelder[Handlungsfeld],0),MATCH(F48,Klisz_Eigenes_Klimaschutzszenario_Handlungsfelder[#Headers],0))+
INDEX(Klisz_Eigenes_Klimaschutzszenario_Handlungsfelder[[Handlungsfeld]:[2050]],MATCH('Klisz-Emissionen'!C814,Klisz_Eigenes_Klimaschutzszenario_Handlungsfelder[Handlungsfeld],0),MATCH(F48,Klisz_Eigenes_Klimaschutzszenario_Handlungsfelder[#Headers],0))+
INDEX(Klisz_Eigenes_Klimaschutzszenario_Handlungsfelder[[Handlungsfeld]:[2050]],MATCH('Klisz-Emissionen'!C815,Klisz_Eigenes_Klimaschutzszenario_Handlungsfelder[Handlungsfeld],0),MATCH(F48,Klisz_Eigenes_Klimaschutzszenario_Handlungsfelder[#Headers],0))</f>
        <v>0</v>
      </c>
      <c r="G58" s="14" t="str">
        <f>_xlfn.CONCAT(" Energie, Kälte, ",'Refsz-Verbräuche'!C46,", ",'Refsz-Verbräuche'!C47,", ",'Refsz-Verbräuche'!C48,", ",'Refsz-Verbräuche'!C49)</f>
        <v xml:space="preserve"> Energie, Kälte, Fuhrpark, DR, Studierendenreisen (Outgoing), Exkursionen</v>
      </c>
    </row>
    <row r="59" spans="2:17" ht="16.5" x14ac:dyDescent="0.45">
      <c r="B59" t="s">
        <v>438</v>
      </c>
      <c r="C59" t="s">
        <v>208</v>
      </c>
      <c r="E59">
        <f>INDEX(Klisz_Bundesmix_Handlungsfelder[[Handlungsfeld]:[2050]],MATCH('Klisz-Emissionen'!C749,Klisz_Bundesmix_Handlungsfelder[Handlungsfeld],0),MATCH(E48,Klisz_Bundesmix_Handlungsfelder[#Headers],0))+
INDEX(Klisz_Bundesmix_Handlungsfelder[[Handlungsfeld]:[2050]],MATCH('Klisz-Emissionen'!C750,Klisz_Bundesmix_Handlungsfelder[Handlungsfeld],0),MATCH(E48,Klisz_Bundesmix_Handlungsfelder[#Headers],0))+
INDEX(Klisz_Bundesmix_Handlungsfelder[[Handlungsfeld]:[2050]],MATCH('Klisz-Emissionen'!C751,Klisz_Bundesmix_Handlungsfelder[Handlungsfeld],0),MATCH(E48,Klisz_Bundesmix_Handlungsfelder[#Headers],0))+
INDEX(Klisz_Emissionen_Bundesmix[[Handlungsfeld]:[2050]],MATCH('Klisz-Emissionen'!C91,Klisz_Emissionen_Bundesmix[Handlungsfeld],0),MATCH(E48,Klisz_Emissionen_Bundesmix[[#Headers],[Handlungsfeld]:[2050]],0))+
INDEX(Klisz_Emissionen_Bundesmix[[Handlungsfeld]:[2050]],MATCH('Klisz-Emissionen'!C92,Klisz_Emissionen_Bundesmix[Handlungsfeld],0),MATCH(E48,Klisz_Emissionen_Bundesmix[[#Headers],[Handlungsfeld]:[2050]],0))+
INDEX(Klisz_Emissionen_Bundesmix[[Handlungsfeld]:[2050]],MATCH('Klisz-Emissionen'!C93,Klisz_Emissionen_Bundesmix[Handlungsfeld],0),MATCH(E48,Klisz_Emissionen_Bundesmix[[#Headers],[Handlungsfeld]:[2050]],0))+
INDEX(Klisz_Emissionen_Bundesmix[[Handlungsfeld]:[2050]],MATCH('Klisz-Emissionen'!C94,Klisz_Emissionen_Bundesmix[Handlungsfeld],0),MATCH(E48,Klisz_Emissionen_Bundesmix[[#Headers],[Handlungsfeld]:[2050]],0))+
INDEX(Klisz_Emissionen_Bundesmix[[Handlungsfeld]:[2050]],MATCH('Klisz-Emissionen'!C95,Klisz_Emissionen_Bundesmix[Handlungsfeld],0),MATCH(E48,Klisz_Emissionen_Bundesmix[[#Headers],[Handlungsfeld]:[2050]],0))</f>
        <v>0</v>
      </c>
      <c r="F59">
        <f>INDEX(Klisz_Bundesmix_Handlungsfelder[[Handlungsfeld]:[2050]],MATCH('Klisz-Emissionen'!C749,Klisz_Bundesmix_Handlungsfelder[Handlungsfeld],0),MATCH(F48,Klisz_Bundesmix_Handlungsfelder[#Headers],0))+
INDEX(Klisz_Bundesmix_Handlungsfelder[[Handlungsfeld]:[2050]],MATCH('Klisz-Emissionen'!C750,Klisz_Bundesmix_Handlungsfelder[Handlungsfeld],0),MATCH(F48,Klisz_Bundesmix_Handlungsfelder[#Headers],0))+
INDEX(Klisz_Bundesmix_Handlungsfelder[[Handlungsfeld]:[2050]],MATCH('Klisz-Emissionen'!C751,Klisz_Bundesmix_Handlungsfelder[Handlungsfeld],0),MATCH(F48,Klisz_Bundesmix_Handlungsfelder[#Headers],0))+
INDEX(Klisz_Emissionen_Bundesmix[[Handlungsfeld]:[2050]],MATCH('Klisz-Emissionen'!C91,Klisz_Emissionen_Bundesmix[Handlungsfeld],0),MATCH(F48,Klisz_Emissionen_Bundesmix[[#Headers],[Handlungsfeld]:[2050]],0))+
INDEX(Klisz_Emissionen_Bundesmix[[Handlungsfeld]:[2050]],MATCH('Klisz-Emissionen'!C92,Klisz_Emissionen_Bundesmix[Handlungsfeld],0),MATCH(F48,Klisz_Emissionen_Bundesmix[[#Headers],[Handlungsfeld]:[2050]],0))+
INDEX(Klisz_Emissionen_Bundesmix[[Handlungsfeld]:[2050]],MATCH('Klisz-Emissionen'!C93,Klisz_Emissionen_Bundesmix[Handlungsfeld],0),MATCH(F48,Klisz_Emissionen_Bundesmix[[#Headers],[Handlungsfeld]:[2050]],0))+
INDEX(Klisz_Emissionen_Bundesmix[[Handlungsfeld]:[2050]],MATCH('Klisz-Emissionen'!C94,Klisz_Emissionen_Bundesmix[Handlungsfeld],0),MATCH(F48,Klisz_Emissionen_Bundesmix[[#Headers],[Handlungsfeld]:[2050]],0))+
INDEX(Klisz_Emissionen_Bundesmix[[Handlungsfeld]:[2050]],MATCH('Klisz-Emissionen'!C95,Klisz_Emissionen_Bundesmix[Handlungsfeld],0),MATCH(F48,Klisz_Emissionen_Bundesmix[[#Headers],[Handlungsfeld]:[2050]],0))</f>
        <v>0</v>
      </c>
      <c r="G59" t="s">
        <v>446</v>
      </c>
    </row>
    <row r="60" spans="2:17" ht="16.5" x14ac:dyDescent="0.45">
      <c r="B60" t="s">
        <v>439</v>
      </c>
      <c r="C60" t="s">
        <v>208</v>
      </c>
      <c r="E60">
        <f>INDEX(Klisz_Bundesmix_KS80_Handlungsfelder[[Handlungsfeld]:[2050]],MATCH('Klisz-Emissionen'!C770,Klisz_Bundesmix_KS80_Handlungsfelder[Handlungsfeld],0),MATCH(E48,Klisz_Bundesmix_KS80_Handlungsfelder[#Headers],0))+
INDEX(Klisz_Bundesmix_KS80_Handlungsfelder[[Handlungsfeld]:[2050]],MATCH('Klisz-Emissionen'!C771,Klisz_Bundesmix_KS80_Handlungsfelder[Handlungsfeld],0),MATCH(E48,Klisz_Regiomix_Handlungsfelder[#Headers],0))+
INDEX(Klisz_Bundesmix_KS80_Handlungsfelder[[Handlungsfeld]:[2050]],MATCH('Klisz-Emissionen'!C772,Klisz_Bundesmix_KS80_Handlungsfelder[Handlungsfeld],0),MATCH(E48,Klisz_Regiomix_Handlungsfelder[#Headers],0))+
INDEX(Klisz_Emissionen_BundesmixKS80[[Handlungsfeld]:[2050]],MATCH('Klisz-Emissionen'!C256,Klisz_Emissionen_BundesmixKS80[Handlungsfeld],0),MATCH(E48,Klisz_Emissionen_BundesmixKS80[[#Headers],[Handlungsfeld]:[2050]],0))+
INDEX(Klisz_Emissionen_BundesmixKS80[[Handlungsfeld]:[2050]],MATCH('Klisz-Emissionen'!C257,Klisz_Emissionen_BundesmixKS80[Handlungsfeld],0),MATCH(E48,Klisz_Emissionen_BundesmixKS80[[#Headers],[Handlungsfeld]:[2050]],0))+
INDEX(Klisz_Emissionen_BundesmixKS80[[Handlungsfeld]:[2050]],MATCH('Klisz-Emissionen'!C258,Klisz_Emissionen_BundesmixKS80[Handlungsfeld],0),MATCH(E48,Klisz_Emissionen_BundesmixKS80[[#Headers],[Handlungsfeld]:[2050]],0))+
INDEX(Klisz_Emissionen_BundesmixKS80[[Handlungsfeld]:[2050]],MATCH('Klisz-Emissionen'!C259,Klisz_Emissionen_BundesmixKS80[Handlungsfeld],0),MATCH(E48,Klisz_Emissionen_BundesmixKS80[[#Headers],[Handlungsfeld]:[2050]],0))+
INDEX(Klisz_Emissionen_BundesmixKS80[[Handlungsfeld]:[2050]],MATCH('Klisz-Emissionen'!C260,Klisz_Emissionen_BundesmixKS80[Handlungsfeld],0),MATCH(E48,Klisz_Emissionen_BundesmixKS80[[#Headers],[Handlungsfeld]:[2050]],0))</f>
        <v>0</v>
      </c>
      <c r="F60">
        <f>INDEX(Klisz_Bundesmix_KS80_Handlungsfelder[[Handlungsfeld]:[2050]],MATCH('Klisz-Emissionen'!C770,Klisz_Bundesmix_KS80_Handlungsfelder[Handlungsfeld],0),MATCH(F48,Klisz_Bundesmix_KS80_Handlungsfelder[#Headers],0))+
INDEX(Klisz_Bundesmix_KS80_Handlungsfelder[[Handlungsfeld]:[2050]],MATCH('Klisz-Emissionen'!C771,Klisz_Bundesmix_KS80_Handlungsfelder[Handlungsfeld],0),MATCH(F48,Klisz_Regiomix_Handlungsfelder[#Headers],0))+
INDEX(Klisz_Bundesmix_KS80_Handlungsfelder[[Handlungsfeld]:[2050]],MATCH('Klisz-Emissionen'!C772,Klisz_Bundesmix_KS80_Handlungsfelder[Handlungsfeld],0),MATCH(F48,Klisz_Regiomix_Handlungsfelder[#Headers],0))+
INDEX(Klisz_Emissionen_BundesmixKS80[[Handlungsfeld]:[2050]],MATCH('Klisz-Emissionen'!C256,Klisz_Emissionen_BundesmixKS80[Handlungsfeld],0),MATCH(F48,Klisz_Emissionen_BundesmixKS80[[#Headers],[Handlungsfeld]:[2050]],0))+
INDEX(Klisz_Emissionen_BundesmixKS80[[Handlungsfeld]:[2050]],MATCH('Klisz-Emissionen'!C257,Klisz_Emissionen_BundesmixKS80[Handlungsfeld],0),MATCH(F48,Klisz_Emissionen_BundesmixKS80[[#Headers],[Handlungsfeld]:[2050]],0))+
INDEX(Klisz_Emissionen_BundesmixKS80[[Handlungsfeld]:[2050]],MATCH('Klisz-Emissionen'!C258,Klisz_Emissionen_BundesmixKS80[Handlungsfeld],0),MATCH(F48,Klisz_Emissionen_BundesmixKS80[[#Headers],[Handlungsfeld]:[2050]],0))+
INDEX(Klisz_Emissionen_BundesmixKS80[[Handlungsfeld]:[2050]],MATCH('Klisz-Emissionen'!C259,Klisz_Emissionen_BundesmixKS80[Handlungsfeld],0),MATCH(F48,Klisz_Emissionen_BundesmixKS80[[#Headers],[Handlungsfeld]:[2050]],0))+
INDEX(Klisz_Emissionen_BundesmixKS80[[Handlungsfeld]:[2050]],MATCH('Klisz-Emissionen'!C260,Klisz_Emissionen_BundesmixKS80[Handlungsfeld],0),MATCH(F48,Klisz_Emissionen_BundesmixKS80[[#Headers],[Handlungsfeld]:[2050]],0))</f>
        <v>0</v>
      </c>
      <c r="G60" t="s">
        <v>446</v>
      </c>
    </row>
    <row r="61" spans="2:17" ht="16.5" x14ac:dyDescent="0.45">
      <c r="B61" s="14" t="s">
        <v>440</v>
      </c>
      <c r="C61" t="s">
        <v>208</v>
      </c>
      <c r="E61">
        <f>INDEX(Klisz_Regiomix_Handlungsfelder[[Handlungsfeld]:[2050]],MATCH('Klisz-Emissionen'!C791,Klisz_Regiomix_Handlungsfelder[Handlungsfeld],0),MATCH(E48,Klisz_Regiomix_Handlungsfelder[#Headers],0))+
INDEX(Klisz_Regiomix_Handlungsfelder[[Handlungsfeld]:[2050]],MATCH('Klisz-Emissionen'!C792,Klisz_Regiomix_Handlungsfelder[Handlungsfeld],0),MATCH(E48,Klisz_Regiomix_Handlungsfelder[#Headers],0))+
INDEX(Klisz_Regiomix_Handlungsfelder[[Handlungsfeld]:[2050]],MATCH('Klisz-Emissionen'!C793,Klisz_Regiomix_Handlungsfelder[Handlungsfeld],0),MATCH(E48,Klisz_Regiomix_Handlungsfelder[#Headers],0))+
INDEX(Klisz_Emissionen_Regiomix[[Handlungsfeld]:[2050]],MATCH('Klisz-Emissionen'!C421,Klisz_Emissionen_Regiomix[Handlungsfeld],0),MATCH(E48,Klisz_Emissionen_Regiomix[[#Headers],[Handlungsfeld]:[2050]],0))+
INDEX(Klisz_Emissionen_Regiomix[[Handlungsfeld]:[2050]],MATCH('Klisz-Emissionen'!C422,Klisz_Emissionen_Regiomix[Handlungsfeld],0),MATCH(E48,Klisz_Emissionen_Regiomix[[#Headers],[Handlungsfeld]:[2050]],0))+
INDEX(Klisz_Emissionen_Regiomix[[Handlungsfeld]:[2050]],MATCH('Klisz-Emissionen'!C423,Klisz_Emissionen_Regiomix[Handlungsfeld],0),MATCH(E48,Klisz_Emissionen_Regiomix[[#Headers],[Handlungsfeld]:[2050]],0))+
INDEX(Klisz_Emissionen_Regiomix[[Handlungsfeld]:[2050]],MATCH('Klisz-Emissionen'!C424,Klisz_Emissionen_Regiomix[Handlungsfeld],0),MATCH(E48,Klisz_Emissionen_Regiomix[[#Headers],[Handlungsfeld]:[2050]],0))+
INDEX(Klisz_Emissionen_Regiomix[[Handlungsfeld]:[2050]],MATCH('Klisz-Emissionen'!C425,Klisz_Emissionen_Regiomix[Handlungsfeld],0),MATCH(E48,Klisz_Emissionen_Regiomix[[#Headers],[Handlungsfeld]:[2050]],0))</f>
        <v>0</v>
      </c>
      <c r="F61">
        <f>INDEX(Klisz_Regiomix_Handlungsfelder[[Handlungsfeld]:[2050]],MATCH('Klisz-Emissionen'!C791,Klisz_Regiomix_Handlungsfelder[Handlungsfeld],0),MATCH(F48,Klisz_Regiomix_Handlungsfelder[#Headers],0))+
INDEX(Klisz_Regiomix_Handlungsfelder[[Handlungsfeld]:[2050]],MATCH('Klisz-Emissionen'!C792,Klisz_Regiomix_Handlungsfelder[Handlungsfeld],0),MATCH(F48,Klisz_Regiomix_Handlungsfelder[#Headers],0))+
INDEX(Klisz_Regiomix_Handlungsfelder[[Handlungsfeld]:[2050]],MATCH('Klisz-Emissionen'!C793,Klisz_Regiomix_Handlungsfelder[Handlungsfeld],0),MATCH(F48,Klisz_Regiomix_Handlungsfelder[#Headers],0))+
INDEX(Klisz_Emissionen_Regiomix[[Handlungsfeld]:[2050]],MATCH('Klisz-Emissionen'!C421,Klisz_Emissionen_Regiomix[Handlungsfeld],0),MATCH(F48,Klisz_Emissionen_Regiomix[[#Headers],[Handlungsfeld]:[2050]],0))+
INDEX(Klisz_Emissionen_Regiomix[[Handlungsfeld]:[2050]],MATCH('Klisz-Emissionen'!C422,Klisz_Emissionen_Regiomix[Handlungsfeld],0),MATCH(F48,Klisz_Emissionen_Regiomix[[#Headers],[Handlungsfeld]:[2050]],0))+
INDEX(Klisz_Emissionen_Regiomix[[Handlungsfeld]:[2050]],MATCH('Klisz-Emissionen'!C423,Klisz_Emissionen_Regiomix[Handlungsfeld],0),MATCH(F48,Klisz_Emissionen_Regiomix[[#Headers],[Handlungsfeld]:[2050]],0))+
INDEX(Klisz_Emissionen_Regiomix[[Handlungsfeld]:[2050]],MATCH('Klisz-Emissionen'!C424,Klisz_Emissionen_Regiomix[Handlungsfeld],0),MATCH(F48,Klisz_Emissionen_Regiomix[[#Headers],[Handlungsfeld]:[2050]],0))+
INDEX(Klisz_Emissionen_Regiomix[[Handlungsfeld]:[2050]],MATCH('Klisz-Emissionen'!C425,Klisz_Emissionen_Regiomix[Handlungsfeld],0),MATCH(F48,Klisz_Emissionen_Regiomix[[#Headers],[Handlungsfeld]:[2050]],0))</f>
        <v>0</v>
      </c>
      <c r="G61" t="s">
        <v>446</v>
      </c>
    </row>
    <row r="62" spans="2:17" ht="16.5" x14ac:dyDescent="0.45">
      <c r="B62" s="14" t="str">
        <f>_xlfn.CONCAT("Scope 1 und 2 (",'Klisz-Emissionen'!D810,")")</f>
        <v>Scope 1 und 2 (Beispiel: Umstellung der Landesliegenschaften auf Windkraft)</v>
      </c>
      <c r="C62" t="s">
        <v>208</v>
      </c>
      <c r="E62">
        <f>INDEX(Klisz_Eigenes_Klimaschutzszenario_Handlungsfelder[[Handlungsfeld]:[2050]],MATCH('Klisz-Emissionen'!C812,Klisz_Eigenes_Klimaschutzszenario_Handlungsfelder[Handlungsfeld],0),MATCH(E48,Klisz_Eigenes_Klimaschutzszenario_Handlungsfelder[#Headers],0))+
INDEX(Klisz_Eigenes_Klimaschutzszenario_Handlungsfelder[[Handlungsfeld]:[2050]],MATCH('Klisz-Emissionen'!C813,Klisz_Eigenes_Klimaschutzszenario_Handlungsfelder[Handlungsfeld],0),MATCH(E48,Klisz_Eigenes_Klimaschutzszenario_Handlungsfelder[#Headers],0))+
INDEX(Klisz_Eigenes_Klimaschutzszenario_Handlungsfelder[[Handlungsfeld]:[2050]],MATCH('Klisz-Emissionen'!C814,Klisz_Eigenes_Klimaschutzszenario_Handlungsfelder[Handlungsfeld],0),MATCH(E48,Klisz_Eigenes_Klimaschutzszenario_Handlungsfelder[#Headers],0))+
INDEX(Klisz_Emissionen_Eigenes_Klimaschutzszenario[[Handlungsfeld]:[2050]],MATCH('Klisz-Emissionen'!C601,Klisz_Emissionen_Eigenes_Klimaschutzszenario[Handlungsfeld],0),MATCH(E48,Klisz_Emissionen_Eigenes_Klimaschutzszenario[[#Headers],[Handlungsfeld]:[2050]],0))+
INDEX(Klisz_Emissionen_Eigenes_Klimaschutzszenario[[Handlungsfeld]:[2050]],MATCH('Klisz-Emissionen'!C602,Klisz_Emissionen_Eigenes_Klimaschutzszenario[Handlungsfeld],0),MATCH(E48,Klisz_Emissionen_Eigenes_Klimaschutzszenario[[#Headers],[Handlungsfeld]:[2050]],0))+
INDEX(Klisz_Emissionen_Eigenes_Klimaschutzszenario[[Handlungsfeld]:[2050]],MATCH('Klisz-Emissionen'!C603,Klisz_Emissionen_Eigenes_Klimaschutzszenario[Handlungsfeld],0),MATCH(E48,Klisz_Emissionen_Eigenes_Klimaschutzszenario[[#Headers],[Handlungsfeld]:[2050]],0))+
INDEX(Klisz_Emissionen_Eigenes_Klimaschutzszenario[[Handlungsfeld]:[2050]],MATCH('Klisz-Emissionen'!C604,Klisz_Emissionen_Eigenes_Klimaschutzszenario[Handlungsfeld],0),MATCH(E48,Klisz_Emissionen_Eigenes_Klimaschutzszenario[[#Headers],[Handlungsfeld]:[2050]],0))+
INDEX(Klisz_Emissionen_Eigenes_Klimaschutzszenario[[Handlungsfeld]:[2050]],MATCH('Klisz-Emissionen'!C605,Klisz_Emissionen_Eigenes_Klimaschutzszenario[Handlungsfeld],0),MATCH(E48,Klisz_Emissionen_Eigenes_Klimaschutzszenario[[#Headers],[Handlungsfeld]:[2050]],0))</f>
        <v>0</v>
      </c>
      <c r="F62">
        <f>INDEX(Klisz_Eigenes_Klimaschutzszenario_Handlungsfelder[[Handlungsfeld]:[2050]],MATCH('Klisz-Emissionen'!C812,Klisz_Eigenes_Klimaschutzszenario_Handlungsfelder[Handlungsfeld],0),MATCH(F48,Klisz_Eigenes_Klimaschutzszenario_Handlungsfelder[#Headers],0))+
INDEX(Klisz_Eigenes_Klimaschutzszenario_Handlungsfelder[[Handlungsfeld]:[2050]],MATCH('Klisz-Emissionen'!C813,Klisz_Eigenes_Klimaschutzszenario_Handlungsfelder[Handlungsfeld],0),MATCH(F48,Klisz_Eigenes_Klimaschutzszenario_Handlungsfelder[#Headers],0))+
INDEX(Klisz_Eigenes_Klimaschutzszenario_Handlungsfelder[[Handlungsfeld]:[2050]],MATCH('Klisz-Emissionen'!C814,Klisz_Eigenes_Klimaschutzszenario_Handlungsfelder[Handlungsfeld],0),MATCH(F48,Klisz_Eigenes_Klimaschutzszenario_Handlungsfelder[#Headers],0))+
INDEX(Klisz_Emissionen_Eigenes_Klimaschutzszenario[[Handlungsfeld]:[2050]],MATCH('Klisz-Emissionen'!C601,Klisz_Emissionen_Eigenes_Klimaschutzszenario[Handlungsfeld],0),MATCH(F48,Klisz_Emissionen_Eigenes_Klimaschutzszenario[[#Headers],[Handlungsfeld]:[2050]],0))+
INDEX(Klisz_Emissionen_Eigenes_Klimaschutzszenario[[Handlungsfeld]:[2050]],MATCH('Klisz-Emissionen'!C602,Klisz_Emissionen_Eigenes_Klimaschutzszenario[Handlungsfeld],0),MATCH(F48,Klisz_Emissionen_Eigenes_Klimaschutzszenario[[#Headers],[Handlungsfeld]:[2050]],0))+
INDEX(Klisz_Emissionen_Eigenes_Klimaschutzszenario[[Handlungsfeld]:[2050]],MATCH('Klisz-Emissionen'!C603,Klisz_Emissionen_Eigenes_Klimaschutzszenario[Handlungsfeld],0),MATCH(F48,Klisz_Emissionen_Eigenes_Klimaschutzszenario[[#Headers],[Handlungsfeld]:[2050]],0))+
INDEX(Klisz_Emissionen_Eigenes_Klimaschutzszenario[[Handlungsfeld]:[2050]],MATCH('Klisz-Emissionen'!C604,Klisz_Emissionen_Eigenes_Klimaschutzszenario[Handlungsfeld],0),MATCH(F48,Klisz_Emissionen_Eigenes_Klimaschutzszenario[[#Headers],[Handlungsfeld]:[2050]],0))+
INDEX(Klisz_Emissionen_Eigenes_Klimaschutzszenario[[Handlungsfeld]:[2050]],MATCH('Klisz-Emissionen'!C605,Klisz_Emissionen_Eigenes_Klimaschutzszenario[Handlungsfeld],0),MATCH(F48,Klisz_Emissionen_Eigenes_Klimaschutzszenario[[#Headers],[Handlungsfeld]:[2050]],0))</f>
        <v>0</v>
      </c>
      <c r="G62" t="s">
        <v>446</v>
      </c>
    </row>
    <row r="63" spans="2:17" x14ac:dyDescent="0.35">
      <c r="B63" t="s">
        <v>458</v>
      </c>
      <c r="E63" s="30" t="str">
        <f>INDEX(Datengüte_Eingabe[[Datenpunkt der Endenergie]:[2050]],MATCH(Datengüte!B47,Datengüte_Eingabe[Datenpunkt der Endenergie],0),MATCH('KliMax-Auswertung'!E48,Datengüte_Eingabe[#Headers],0))</f>
        <v>Daten fehlen</v>
      </c>
      <c r="F63" s="30" t="str">
        <f>INDEX(Datengüte_Eingabe[[Datenpunkt der Endenergie]:[2050]],MATCH(Datengüte!B47,Datengüte_Eingabe[Datenpunkt der Endenergie],0),MATCH('KliMax-Auswertung'!F48,Datengüte_Eingabe[#Headers],0))</f>
        <v>Daten fehlen</v>
      </c>
    </row>
    <row r="65" spans="2:6" x14ac:dyDescent="0.35">
      <c r="B65" s="2"/>
    </row>
    <row r="66" spans="2:6" x14ac:dyDescent="0.35">
      <c r="B66" s="2"/>
    </row>
    <row r="67" spans="2:6" x14ac:dyDescent="0.35">
      <c r="B67" s="2"/>
    </row>
    <row r="68" spans="2:6" x14ac:dyDescent="0.35">
      <c r="B68" s="1"/>
      <c r="F68" s="1"/>
    </row>
    <row r="74" spans="2:6" x14ac:dyDescent="0.35">
      <c r="B74" s="14"/>
    </row>
    <row r="93" spans="2:6" ht="15.5" x14ac:dyDescent="0.35">
      <c r="B93" s="6"/>
    </row>
    <row r="94" spans="2:6" x14ac:dyDescent="0.35">
      <c r="B94" s="1"/>
    </row>
    <row r="95" spans="2:6" x14ac:dyDescent="0.35">
      <c r="B95" s="1"/>
      <c r="F95" s="1"/>
    </row>
    <row r="118" spans="2:17" ht="15.5" x14ac:dyDescent="0.35">
      <c r="B118" s="6" t="s">
        <v>535</v>
      </c>
    </row>
    <row r="119" spans="2:17" ht="15.5" x14ac:dyDescent="0.35">
      <c r="B119" s="6" t="s">
        <v>534</v>
      </c>
    </row>
    <row r="120" spans="2:17" ht="15.5" x14ac:dyDescent="0.35">
      <c r="B120" s="1"/>
      <c r="L120" s="166" t="str">
        <f>IF(ISNUMBER(C123),_xlfn.CONCAT("Der Mobilitätssekotr macht im Referenzjahr ",C122," ca. ",FIXED(C123*100,0)," % aus."),"Daten fehlen")</f>
        <v>Daten fehlen</v>
      </c>
      <c r="M120" s="165"/>
      <c r="N120" s="165"/>
      <c r="O120" s="165"/>
      <c r="P120" s="165"/>
      <c r="Q120" s="165"/>
    </row>
    <row r="121" spans="2:17" x14ac:dyDescent="0.35">
      <c r="B121" s="1" t="s">
        <v>437</v>
      </c>
    </row>
    <row r="122" spans="2:17" x14ac:dyDescent="0.35">
      <c r="B122" s="1" t="s">
        <v>432</v>
      </c>
      <c r="C122" s="1" t="str">
        <f>C14</f>
        <v>2019</v>
      </c>
      <c r="D122" s="125" t="s">
        <v>15</v>
      </c>
      <c r="E122" s="125" t="s">
        <v>19</v>
      </c>
      <c r="F122" s="1" t="s">
        <v>442</v>
      </c>
    </row>
    <row r="123" spans="2:17" x14ac:dyDescent="0.35">
      <c r="B123" s="11" t="s">
        <v>459</v>
      </c>
      <c r="C123" s="58" t="str">
        <f>IFERROR((INDEX(Modal_Split_Gruppen52[[#Data],[#Totals]],MATCH(Modal_Split_Gruppen52[[#Totals],[Zusammenfassung der Gruppen]],Modal_Split_Gruppen52[[#Data],[#Totals],[Zusammenfassung der Gruppen]],0),MATCH(C122,Modal_Split_Gruppen52[#Headers],0)))/INDEX(Refsz_Bundesmix_Handlungsfelder[[#Data],[#Totals]],MATCH(Refsz_Bundesmix_Handlungsfelder[[#Totals],[Handlungsfeld]],Refsz_Bundesmix_Handlungsfelder[[#Data],[#Totals],[Handlungsfeld]],0),MATCH(C122,Refsz_Bundesmix_Handlungsfelder[#Headers],0)),"")</f>
        <v/>
      </c>
      <c r="D123" s="58" t="str">
        <f>IFERROR((INDEX(Modal_Split_Gruppen52[[#Data],[#Totals]],MATCH(Modal_Split_Gruppen52[[#Totals],[Zusammenfassung der Gruppen]],Modal_Split_Gruppen52[[#Data],[#Totals],[Zusammenfassung der Gruppen]],0),MATCH(D122,Modal_Split_Gruppen52[#Headers],0)))/INDEX(Refsz_Bundesmix_Handlungsfelder[[#Data],[#Totals]],MATCH(Refsz_Bundesmix_Handlungsfelder[[#Totals],[Handlungsfeld]],Refsz_Bundesmix_Handlungsfelder[[#Data],[#Totals],[Handlungsfeld]],0),MATCH(D122,Refsz_Bundesmix_Handlungsfelder[#Headers],0)),"")</f>
        <v/>
      </c>
      <c r="E123" s="58" t="str">
        <f>IFERROR((INDEX(Modal_Split_Gruppen52[[#Data],[#Totals]],MATCH(Modal_Split_Gruppen52[[#Totals],[Zusammenfassung der Gruppen]],Modal_Split_Gruppen52[[#Data],[#Totals],[Zusammenfassung der Gruppen]],0),MATCH(E122,Modal_Split_Gruppen52[#Headers],0)))/INDEX(Refsz_Bundesmix_Handlungsfelder[[#Data],[#Totals]],MATCH(Refsz_Bundesmix_Handlungsfelder[[#Totals],[Handlungsfeld]],Refsz_Bundesmix_Handlungsfelder[[#Data],[#Totals],[Handlungsfeld]],0),MATCH(E122,Refsz_Bundesmix_Handlungsfelder[#Headers],0)),"")</f>
        <v/>
      </c>
      <c r="F123" t="s">
        <v>460</v>
      </c>
    </row>
    <row r="124" spans="2:17" x14ac:dyDescent="0.35">
      <c r="B124" s="11" t="s">
        <v>461</v>
      </c>
      <c r="C124" s="58" t="str">
        <f>IFERROR(INDEX(Refsz_Bundesmix_Handlungsfelder[[#Data],[#Totals]],MATCH('Refsz-Emissionen'!C405,'Refsz-Emissionen'!C402:C414,0),MATCH(C122,Refsz_Bundesmix_Handlungsfelder[#Headers],0))/INDEX(Refsz_Bundesmix_Handlungsfelder[[#Data],[#Totals]],MATCH(Refsz_Bundesmix_Handlungsfelder[[#Totals],[Handlungsfeld]],Refsz_Bundesmix_Handlungsfelder[[#Data],[#Totals],[Handlungsfeld]],0),MATCH(C122,Refsz_Bundesmix_Handlungsfelder[#Headers],0)),"")</f>
        <v/>
      </c>
      <c r="D124" s="58" t="str">
        <f>IFERROR(INDEX(Refsz_Bundesmix_Handlungsfelder[[#Data],[#Totals]],MATCH('Refsz-Emissionen'!C405,'Refsz-Emissionen'!C402:C414,0),MATCH(D122,Refsz_Bundesmix_Handlungsfelder[#Headers],0))/INDEX(Refsz_Bundesmix_Handlungsfelder[[#Data],[#Totals]],MATCH(Refsz_Bundesmix_Handlungsfelder[[#Totals],[Handlungsfeld]],Refsz_Bundesmix_Handlungsfelder[[#Data],[#Totals],[Handlungsfeld]],0),MATCH(D122,Refsz_Bundesmix_Handlungsfelder[#Headers],0)),"")</f>
        <v/>
      </c>
      <c r="E124" s="58" t="str">
        <f>IFERROR(INDEX(Refsz_Bundesmix_Handlungsfelder[[#Data],[#Totals]],MATCH('Refsz-Emissionen'!C405,'Refsz-Emissionen'!C402:C414,0),MATCH(E122,Refsz_Bundesmix_Handlungsfelder[#Headers],0))/INDEX(Refsz_Bundesmix_Handlungsfelder[[#Data],[#Totals]],MATCH(Refsz_Bundesmix_Handlungsfelder[[#Totals],[Handlungsfeld]],Refsz_Bundesmix_Handlungsfelder[[#Data],[#Totals],[Handlungsfeld]],0),MATCH(E122,Refsz_Bundesmix_Handlungsfelder[#Headers],0)),"")</f>
        <v/>
      </c>
      <c r="F124" t="str">
        <f>_xlfn.CONCAT('Refsz-Verbräuche'!C46,", ",'Refsz-Verbräuche'!C47,", ",'Refsz-Verbräuche'!C48,", ",'Refsz-Verbräuche'!C49)</f>
        <v>Fuhrpark, DR, Studierendenreisen (Outgoing), Exkursionen</v>
      </c>
    </row>
    <row r="125" spans="2:17" x14ac:dyDescent="0.35">
      <c r="B125" s="11" t="s">
        <v>462</v>
      </c>
      <c r="C125" s="58" t="str">
        <f>IFERROR((INDEX(Refsz_Regiomix_Handlungsfelder[[#Data],[#Totals]],MATCH('Refsz-Emissionen'!C426,Refsz_Regiomix_Handlungsfelder[[#Data],[#Totals],[Handlungsfeld]],0),MATCH(C122,Refsz_Regiomix_Handlungsfelder[#Headers],0))+INDEX(Refsz_Regiomix_Handlungsfelder[[#Data],[#Totals]],MATCH('Refsz-Emissionen'!C427,Refsz_Regiomix_Handlungsfelder[[#Data],[#Totals],[Handlungsfeld]],0),MATCH(C122,Refsz_Regiomix_Handlungsfelder[#Headers],0)))/INDEX(Refsz_Regiomix_Handlungsfelder[[#Data],[#Totals]],MATCH(Refsz_Regiomix_Handlungsfelder[[#Totals],[Handlungsfeld]],Refsz_Regiomix_Handlungsfelder[[#Data],[#Totals],[Handlungsfeld]],0),MATCH(C122,Refsz_Regiomix_Handlungsfelder[#Headers],0)),"")</f>
        <v/>
      </c>
      <c r="D125" s="58" t="str">
        <f>IFERROR((INDEX(Refsz_Regiomix_Handlungsfelder[[#Data],[#Totals]],MATCH('Refsz-Emissionen'!C426,Refsz_Regiomix_Handlungsfelder[[#Data],[#Totals],[Handlungsfeld]],0),MATCH(D122,Refsz_Regiomix_Handlungsfelder[#Headers],0))+INDEX(Refsz_Regiomix_Handlungsfelder[[#Data],[#Totals]],MATCH('Refsz-Emissionen'!C427,Refsz_Regiomix_Handlungsfelder[[#Data],[#Totals],[Handlungsfeld]],0),MATCH(D122,Refsz_Regiomix_Handlungsfelder[#Headers],0)))/INDEX(Refsz_Regiomix_Handlungsfelder[[#Data],[#Totals]],MATCH(Refsz_Regiomix_Handlungsfelder[[#Totals],[Handlungsfeld]],Refsz_Regiomix_Handlungsfelder[[#Data],[#Totals],[Handlungsfeld]],0),MATCH(D122,Refsz_Regiomix_Handlungsfelder[#Headers],0)),"")</f>
        <v/>
      </c>
      <c r="E125" s="58" t="str">
        <f>IFERROR((INDEX(Refsz_Regiomix_Handlungsfelder[[#Data],[#Totals]],MATCH('Refsz-Emissionen'!C426,Refsz_Regiomix_Handlungsfelder[[#Data],[#Totals],[Handlungsfeld]],0),MATCH(E122,Refsz_Regiomix_Handlungsfelder[#Headers],0))+INDEX(Refsz_Regiomix_Handlungsfelder[[#Data],[#Totals]],MATCH('Refsz-Emissionen'!C427,Refsz_Regiomix_Handlungsfelder[[#Data],[#Totals],[Handlungsfeld]],0),MATCH(E122,Refsz_Regiomix_Handlungsfelder[#Headers],0)))/INDEX(Refsz_Regiomix_Handlungsfelder[[#Data],[#Totals]],MATCH(Refsz_Regiomix_Handlungsfelder[[#Totals],[Handlungsfeld]],Refsz_Regiomix_Handlungsfelder[[#Data],[#Totals],[Handlungsfeld]],0),MATCH(E122,Refsz_Regiomix_Handlungsfelder[#Headers],0)),"")</f>
        <v/>
      </c>
      <c r="F125" t="s">
        <v>460</v>
      </c>
    </row>
    <row r="126" spans="2:17" x14ac:dyDescent="0.35">
      <c r="B126" s="11" t="s">
        <v>463</v>
      </c>
      <c r="C126" s="58" t="str">
        <f>IFERROR(INDEX(Refsz_Regiomix_Handlungsfelder[[#Data],[#Totals]],MATCH('Refsz-Emissionen'!C426,'Refsz-Emissionen'!C402:C414,0),MATCH(C122,Refsz_Regiomix_Handlungsfelder[#Headers],0))/INDEX(Refsz_Regiomix_Handlungsfelder[[#Data],[#Totals]],MATCH(Refsz_Regiomix_Handlungsfelder[[#Totals],[Handlungsfeld]],Refsz_Regiomix_Handlungsfelder[[#Data],[#Totals],[Handlungsfeld]],0),MATCH(C122,Refsz_Regiomix_Handlungsfelder[#Headers],0)),"")</f>
        <v/>
      </c>
      <c r="D126" s="58" t="str">
        <f>IFERROR(INDEX(Refsz_Regiomix_Handlungsfelder[[#Data],[#Totals]],MATCH('Refsz-Emissionen'!C426,'Refsz-Emissionen'!C402:C414,0),MATCH(D122,Refsz_Regiomix_Handlungsfelder[#Headers],0))/INDEX(Refsz_Regiomix_Handlungsfelder[[#Data],[#Totals]],MATCH(Refsz_Regiomix_Handlungsfelder[[#Totals],[Handlungsfeld]],Refsz_Regiomix_Handlungsfelder[[#Data],[#Totals],[Handlungsfeld]],0),MATCH(D122,Refsz_Regiomix_Handlungsfelder[#Headers],0)),"")</f>
        <v/>
      </c>
      <c r="E126" s="58" t="str">
        <f>IFERROR(INDEX(Refsz_Regiomix_Handlungsfelder[[#Data],[#Totals]],MATCH('Refsz-Emissionen'!C426,'Refsz-Emissionen'!C402:C414,0),MATCH(E122,Refsz_Regiomix_Handlungsfelder[#Headers],0))/INDEX(Refsz_Regiomix_Handlungsfelder[[#Data],[#Totals]],MATCH(Refsz_Regiomix_Handlungsfelder[[#Totals],[Handlungsfeld]],Refsz_Regiomix_Handlungsfelder[[#Data],[#Totals],[Handlungsfeld]],0),MATCH(E122,Refsz_Regiomix_Handlungsfelder[#Headers],0)),"")</f>
        <v/>
      </c>
      <c r="F126" t="str">
        <f>_xlfn.CONCAT('Refsz-Verbräuche'!C46,", ",'Refsz-Verbräuche'!C47,", ",'Refsz-Verbräuche'!C48,", ",'Refsz-Verbräuche'!C49)</f>
        <v>Fuhrpark, DR, Studierendenreisen (Outgoing), Exkursionen</v>
      </c>
    </row>
    <row r="127" spans="2:17" x14ac:dyDescent="0.35">
      <c r="B127" s="11"/>
      <c r="C127" s="58"/>
      <c r="D127" s="58"/>
      <c r="E127" s="58"/>
    </row>
    <row r="128" spans="2:17" x14ac:dyDescent="0.35">
      <c r="B128" s="115" t="s">
        <v>434</v>
      </c>
    </row>
    <row r="129" spans="2:23" x14ac:dyDescent="0.35">
      <c r="B129" s="115" t="s">
        <v>432</v>
      </c>
      <c r="C129" s="1" t="str">
        <f>C14</f>
        <v>2019</v>
      </c>
      <c r="D129" s="125" t="s">
        <v>15</v>
      </c>
      <c r="E129" s="125" t="s">
        <v>19</v>
      </c>
      <c r="F129" s="1" t="s">
        <v>442</v>
      </c>
    </row>
    <row r="130" spans="2:23" x14ac:dyDescent="0.35">
      <c r="B130" s="11" t="s">
        <v>459</v>
      </c>
      <c r="C130" s="58" t="str">
        <f>IFERROR(((INDEX(Klisz_Bundesmix_Handlungsfelder[[#Data],[#Totals]],MATCH('Klisz-Emissionen'!C752,Klisz_Bundesmix_Handlungsfelder[[#Data],[#Totals],[Handlungsfeld]],0),MATCH(C129,Klisz_Bundesmix_Handlungsfelder[#Headers],0)))+(INDEX(Klisz_Bundesmix_Handlungsfelder[[#Data],[#Totals]],MATCH('Klisz-Emissionen'!C753,Klisz_Bundesmix_Handlungsfelder[[#Data],[#Totals],[Handlungsfeld]],0),MATCH(C129,Klisz_Bundesmix_Handlungsfelder[#Headers],0))))/INDEX(Klisz_Bundesmix_Handlungsfelder[[#Data],[#Totals]],MATCH(Klisz_Bundesmix_Handlungsfelder[[#Totals],[Handlungsfeld]],Klisz_Bundesmix_Handlungsfelder[[#Data],[#Totals],[Handlungsfeld]],0),MATCH(C129,Klisz_Bundesmix_Handlungsfelder[#Headers],0)),"")</f>
        <v/>
      </c>
      <c r="D130" s="58" t="str">
        <f>IFERROR(((INDEX(Klisz_Bundesmix_Handlungsfelder[[#Data],[#Totals]],MATCH('Klisz-Emissionen'!C752,Klisz_Bundesmix_Handlungsfelder[[#Data],[#Totals],[Handlungsfeld]],0),MATCH(D129,Klisz_Bundesmix_Handlungsfelder[#Headers],0)))+(INDEX(Klisz_Bundesmix_Handlungsfelder[[#Data],[#Totals]],MATCH('Klisz-Emissionen'!C753,Klisz_Bundesmix_Handlungsfelder[[#Data],[#Totals],[Handlungsfeld]],0),MATCH(D129,Klisz_Bundesmix_Handlungsfelder[#Headers],0))))/INDEX(Klisz_Bundesmix_Handlungsfelder[[#Data],[#Totals]],MATCH(Klisz_Bundesmix_Handlungsfelder[[#Totals],[Handlungsfeld]],Klisz_Bundesmix_Handlungsfelder[[#Data],[#Totals],[Handlungsfeld]],0),MATCH(D129,Klisz_Bundesmix_Handlungsfelder[#Headers],0)),"")</f>
        <v/>
      </c>
      <c r="E130" s="58" t="str">
        <f>IFERROR(((INDEX(Klisz_Bundesmix_Handlungsfelder[[#Data],[#Totals]],MATCH('Klisz-Emissionen'!C752,Klisz_Bundesmix_Handlungsfelder[[#Data],[#Totals],[Handlungsfeld]],0),MATCH(E129,Klisz_Bundesmix_Handlungsfelder[#Headers],0)))+(INDEX(Klisz_Bundesmix_Handlungsfelder[[#Data],[#Totals]],MATCH('Klisz-Emissionen'!C753,Klisz_Bundesmix_Handlungsfelder[[#Data],[#Totals],[Handlungsfeld]],0),MATCH(E129,Klisz_Bundesmix_Handlungsfelder[#Headers],0))))/INDEX(Klisz_Bundesmix_Handlungsfelder[[#Data],[#Totals]],MATCH(Klisz_Bundesmix_Handlungsfelder[[#Totals],[Handlungsfeld]],Klisz_Bundesmix_Handlungsfelder[[#Data],[#Totals],[Handlungsfeld]],0),MATCH(E129,Klisz_Bundesmix_Handlungsfelder[#Headers],0)),"")</f>
        <v/>
      </c>
      <c r="F130" t="s">
        <v>460</v>
      </c>
    </row>
    <row r="131" spans="2:23" x14ac:dyDescent="0.35">
      <c r="B131" s="11" t="s">
        <v>461</v>
      </c>
      <c r="C131" s="58" t="str">
        <f>IFERROR(INDEX(Klisz_Bundesmix_Handlungsfelder[[#Data],[#Totals]],MATCH('Klisz-Emissionen'!C412,'Klisz-Emissionen'!C409:C421,0),MATCH(C129,Klisz_Bundesmix_Handlungsfelder[#Headers],0))/INDEX(Klisz_Bundesmix_Handlungsfelder[[#Data],[#Totals]],MATCH(Klisz_Bundesmix_Handlungsfelder[[#Totals],[Handlungsfeld]],Klisz_Bundesmix_Handlungsfelder[[#Data],[#Totals],[Handlungsfeld]],0),MATCH(C129,Klisz_Bundesmix_Handlungsfelder[#Headers],0)),"")</f>
        <v/>
      </c>
      <c r="D131" s="58" t="str">
        <f>IFERROR(INDEX(Klisz_Bundesmix_Handlungsfelder[[#Data],[#Totals]],MATCH('Klisz-Emissionen'!C412,'Klisz-Emissionen'!C409:C421,0),MATCH(D129,Klisz_Bundesmix_Handlungsfelder[#Headers],0))/INDEX(Klisz_Bundesmix_Handlungsfelder[[#Data],[#Totals]],MATCH(Klisz_Bundesmix_Handlungsfelder[[#Totals],[Handlungsfeld]],Klisz_Bundesmix_Handlungsfelder[[#Data],[#Totals],[Handlungsfeld]],0),MATCH(D129,Klisz_Bundesmix_Handlungsfelder[#Headers],0)),"")</f>
        <v/>
      </c>
      <c r="E131" s="58" t="str">
        <f>IFERROR(INDEX(Klisz_Bundesmix_Handlungsfelder[[#Data],[#Totals]],MATCH('Klisz-Emissionen'!C412,'Klisz-Emissionen'!C409:C421,0),MATCH(E129,Klisz_Bundesmix_Handlungsfelder[#Headers],0))/INDEX(Klisz_Bundesmix_Handlungsfelder[[#Data],[#Totals]],MATCH(Klisz_Bundesmix_Handlungsfelder[[#Totals],[Handlungsfeld]],Klisz_Bundesmix_Handlungsfelder[[#Data],[#Totals],[Handlungsfeld]],0),MATCH(E129,Klisz_Bundesmix_Handlungsfelder[#Headers],0)),"")</f>
        <v/>
      </c>
      <c r="F131" t="str">
        <f>_xlfn.CONCAT('Refsz-Verbräuche'!C46,", ",'Refsz-Verbräuche'!C47,", ",'Refsz-Verbräuche'!C48,", ",'Refsz-Verbräuche'!C49)</f>
        <v>Fuhrpark, DR, Studierendenreisen (Outgoing), Exkursionen</v>
      </c>
    </row>
    <row r="132" spans="2:23" x14ac:dyDescent="0.35">
      <c r="B132" s="11" t="s">
        <v>462</v>
      </c>
      <c r="C132" s="58" t="str">
        <f>IFERROR(((INDEX(Klisz_Regiomix_Handlungsfelder[[#Data],[#Totals]],MATCH('Klisz-Emissionen'!C794,Klisz_Regiomix_Handlungsfelder[[#Data],[#Totals],[Handlungsfeld]],0),MATCH(C129,Klisz_Regiomix_Handlungsfelder[#Headers],0)))+(INDEX(Klisz_Regiomix_Handlungsfelder[[#Data],[#Totals]],MATCH('Klisz-Emissionen'!C795,Klisz_Regiomix_Handlungsfelder[[#Data],[#Totals],[Handlungsfeld]],0),MATCH(C129,Klisz_Regiomix_Handlungsfelder[#Headers],0))))/INDEX(Klisz_Regiomix_Handlungsfelder[[#Data],[#Totals]],MATCH(Klisz_Regiomix_Handlungsfelder[[#Totals],[Handlungsfeld]],Klisz_Regiomix_Handlungsfelder[[#Data],[#Totals],[Handlungsfeld]],0),MATCH(C129,Klisz_Regiomix_Handlungsfelder[#Headers],0)),"")</f>
        <v/>
      </c>
      <c r="D132" s="58" t="str">
        <f>IFERROR(((INDEX(Klisz_Regiomix_Handlungsfelder[[#Data],[#Totals]],MATCH('Klisz-Emissionen'!C794,Klisz_Regiomix_Handlungsfelder[[#Data],[#Totals],[Handlungsfeld]],0),MATCH(D129,Klisz_Regiomix_Handlungsfelder[#Headers],0)))+(INDEX(Klisz_Regiomix_Handlungsfelder[[#Data],[#Totals]],MATCH('Klisz-Emissionen'!C795,Klisz_Regiomix_Handlungsfelder[[#Data],[#Totals],[Handlungsfeld]],0),MATCH(D129,Klisz_Regiomix_Handlungsfelder[#Headers],0))))/INDEX(Klisz_Regiomix_Handlungsfelder[[#Data],[#Totals]],MATCH(Klisz_Regiomix_Handlungsfelder[[#Totals],[Handlungsfeld]],Klisz_Regiomix_Handlungsfelder[[#Data],[#Totals],[Handlungsfeld]],0),MATCH(D129,Klisz_Regiomix_Handlungsfelder[#Headers],0)),"")</f>
        <v/>
      </c>
      <c r="E132" s="58" t="str">
        <f>IFERROR(((INDEX(Klisz_Regiomix_Handlungsfelder[[#Data],[#Totals]],MATCH('Klisz-Emissionen'!C794,Klisz_Regiomix_Handlungsfelder[[#Data],[#Totals],[Handlungsfeld]],0),MATCH(E129,Klisz_Regiomix_Handlungsfelder[#Headers],0)))+(INDEX(Klisz_Regiomix_Handlungsfelder[[#Data],[#Totals]],MATCH('Klisz-Emissionen'!C795,Klisz_Regiomix_Handlungsfelder[[#Data],[#Totals],[Handlungsfeld]],0),MATCH(E129,Klisz_Regiomix_Handlungsfelder[#Headers],0))))/INDEX(Klisz_Regiomix_Handlungsfelder[[#Data],[#Totals]],MATCH(Klisz_Regiomix_Handlungsfelder[[#Totals],[Handlungsfeld]],Klisz_Regiomix_Handlungsfelder[[#Data],[#Totals],[Handlungsfeld]],0),MATCH(E129,Klisz_Regiomix_Handlungsfelder[#Headers],0)),"")</f>
        <v/>
      </c>
      <c r="F132" t="s">
        <v>460</v>
      </c>
    </row>
    <row r="133" spans="2:23" x14ac:dyDescent="0.35">
      <c r="B133" s="11" t="s">
        <v>463</v>
      </c>
      <c r="C133" s="58" t="str">
        <f>IFERROR(INDEX(Klisz_Regiomix_Handlungsfelder[[#Data],[#Totals]],MATCH('Klisz-Emissionen'!C794,Klisz_Regiomix_Handlungsfelder[[#Data],[#Totals],[Handlungsfeld]],0),MATCH(C129,Klisz_Regiomix_Handlungsfelder[#Headers],0))/INDEX(Klisz_Regiomix_Handlungsfelder[[#Data],[#Totals]],MATCH(Klisz_Regiomix_Handlungsfelder[[#Totals],[Handlungsfeld]],Klisz_Regiomix_Handlungsfelder[[#Data],[#Totals],[Handlungsfeld]],0),MATCH(C129,Klisz_Regiomix_Handlungsfelder[#Headers],0)),"")</f>
        <v/>
      </c>
      <c r="D133" s="58" t="str">
        <f>IFERROR(INDEX(Klisz_Regiomix_Handlungsfelder[[#Data],[#Totals]],MATCH('Klisz-Emissionen'!C794,Klisz_Regiomix_Handlungsfelder[[#Data],[#Totals],[Handlungsfeld]],0),MATCH(D129,Klisz_Regiomix_Handlungsfelder[#Headers],0))/INDEX(Klisz_Regiomix_Handlungsfelder[[#Data],[#Totals]],MATCH(Klisz_Regiomix_Handlungsfelder[[#Totals],[Handlungsfeld]],Klisz_Regiomix_Handlungsfelder[[#Data],[#Totals],[Handlungsfeld]],0),MATCH(D129,Klisz_Regiomix_Handlungsfelder[#Headers],0)),"")</f>
        <v/>
      </c>
      <c r="E133" s="58" t="str">
        <f>IFERROR(INDEX(Klisz_Regiomix_Handlungsfelder[[#Data],[#Totals]],MATCH('Klisz-Emissionen'!C794,Klisz_Regiomix_Handlungsfelder[[#Data],[#Totals],[Handlungsfeld]],0),MATCH(E129,Klisz_Regiomix_Handlungsfelder[#Headers],0))/INDEX(Klisz_Regiomix_Handlungsfelder[[#Data],[#Totals]],MATCH(Klisz_Regiomix_Handlungsfelder[[#Totals],[Handlungsfeld]],Klisz_Regiomix_Handlungsfelder[[#Data],[#Totals],[Handlungsfeld]],0),MATCH(E129,Klisz_Regiomix_Handlungsfelder[#Headers],0)),"")</f>
        <v/>
      </c>
      <c r="F133" t="str">
        <f>_xlfn.CONCAT('Refsz-Verbräuche'!C46,", ",'Refsz-Verbräuche'!C47,", ",'Refsz-Verbräuche'!C48,", ",'Refsz-Verbräuche'!C49)</f>
        <v>Fuhrpark, DR, Studierendenreisen (Outgoing), Exkursionen</v>
      </c>
    </row>
    <row r="134" spans="2:23" ht="15.5" x14ac:dyDescent="0.35">
      <c r="B134" s="6"/>
    </row>
    <row r="135" spans="2:23" ht="15.5" x14ac:dyDescent="0.35">
      <c r="B135" s="6"/>
    </row>
    <row r="136" spans="2:23" ht="15.5" x14ac:dyDescent="0.35">
      <c r="B136" s="6"/>
    </row>
    <row r="137" spans="2:23" ht="15.5" x14ac:dyDescent="0.35">
      <c r="B137" s="6" t="s">
        <v>537</v>
      </c>
    </row>
    <row r="139" spans="2:23" ht="15.5" x14ac:dyDescent="0.35">
      <c r="B139" s="111" t="s">
        <v>539</v>
      </c>
    </row>
    <row r="140" spans="2:23" ht="15.5" hidden="1" x14ac:dyDescent="0.35">
      <c r="B140" s="6" t="s">
        <v>530</v>
      </c>
    </row>
    <row r="141" spans="2:23" hidden="1" x14ac:dyDescent="0.35">
      <c r="B141" t="s">
        <v>264</v>
      </c>
      <c r="C141" t="s">
        <v>2</v>
      </c>
      <c r="D141" t="s">
        <v>3</v>
      </c>
      <c r="E141" t="s">
        <v>4</v>
      </c>
      <c r="F141" t="s">
        <v>5</v>
      </c>
      <c r="G141" t="s">
        <v>6</v>
      </c>
      <c r="H141" t="s">
        <v>7</v>
      </c>
      <c r="I141" t="s">
        <v>8</v>
      </c>
      <c r="J141" t="s">
        <v>9</v>
      </c>
      <c r="K141" t="s">
        <v>10</v>
      </c>
      <c r="L141" t="s">
        <v>11</v>
      </c>
      <c r="M141" t="s">
        <v>12</v>
      </c>
      <c r="N141" t="s">
        <v>13</v>
      </c>
      <c r="O141" t="s">
        <v>14</v>
      </c>
      <c r="P141" t="s">
        <v>232</v>
      </c>
      <c r="Q141" t="s">
        <v>233</v>
      </c>
      <c r="R141" t="s">
        <v>234</v>
      </c>
      <c r="S141" t="s">
        <v>15</v>
      </c>
      <c r="T141" t="s">
        <v>16</v>
      </c>
      <c r="U141" t="s">
        <v>17</v>
      </c>
      <c r="V141" t="s">
        <v>18</v>
      </c>
      <c r="W141" t="s">
        <v>19</v>
      </c>
    </row>
    <row r="142" spans="2:23" hidden="1" x14ac:dyDescent="0.35">
      <c r="B142" t="str">
        <f>'Refsz-Verbräuche'!C91</f>
        <v>Fuhrpark (Diesel)</v>
      </c>
      <c r="C142" t="str">
        <f>'Refsz-Verbräuche'!D91</f>
        <v>Fkm</v>
      </c>
      <c r="D142" s="15" t="str">
        <f>IF(ISBLANK('Refsz-Verbräuche'!E91), "", 'Refsz-Verbräuche'!E91)</f>
        <v/>
      </c>
      <c r="E142" s="15" t="str">
        <f>IF(ISBLANK('Refsz-Verbräuche'!F91), "", 'Refsz-Verbräuche'!F91)</f>
        <v/>
      </c>
      <c r="F142" s="15" t="str">
        <f>IF(ISBLANK('Refsz-Verbräuche'!G91), "", 'Refsz-Verbräuche'!G91)</f>
        <v/>
      </c>
      <c r="G142" s="15" t="str">
        <f>IF(ISBLANK('Refsz-Verbräuche'!H91), "", 'Refsz-Verbräuche'!H91)</f>
        <v/>
      </c>
      <c r="H142" s="15" t="str">
        <f>IF(ISBLANK('Refsz-Verbräuche'!I91), "", 'Refsz-Verbräuche'!I91)</f>
        <v/>
      </c>
      <c r="I142" s="15" t="str">
        <f>IF(ISBLANK('Refsz-Verbräuche'!J91), "", 'Refsz-Verbräuche'!J91)</f>
        <v/>
      </c>
      <c r="J142" s="15" t="str">
        <f>IF(ISBLANK('Refsz-Verbräuche'!K91), "", 'Refsz-Verbräuche'!K91)</f>
        <v/>
      </c>
      <c r="K142" s="15" t="str">
        <f>IF(ISBLANK('Refsz-Verbräuche'!L91), "", 'Refsz-Verbräuche'!L91)</f>
        <v/>
      </c>
      <c r="L142" s="15" t="str">
        <f>IF(ISBLANK('Refsz-Verbräuche'!M91), "", 'Refsz-Verbräuche'!M91)</f>
        <v/>
      </c>
      <c r="M142" s="15" t="str">
        <f>IF(ISBLANK('Refsz-Verbräuche'!N91), "", 'Refsz-Verbräuche'!N91)</f>
        <v/>
      </c>
      <c r="N142" s="15" t="str">
        <f>IF(ISBLANK('Refsz-Verbräuche'!O91), "", 'Refsz-Verbräuche'!O91)</f>
        <v/>
      </c>
      <c r="O142" s="15" t="str">
        <f>IF(ISBLANK('Refsz-Verbräuche'!P91), "", 'Refsz-Verbräuche'!P91)</f>
        <v/>
      </c>
      <c r="P142" s="15" t="str">
        <f>IF(ISBLANK('Refsz-Verbräuche'!Q91), "", 'Refsz-Verbräuche'!Q91)</f>
        <v/>
      </c>
      <c r="Q142" s="15" t="str">
        <f>IF(ISBLANK('Refsz-Verbräuche'!R91), "", 'Refsz-Verbräuche'!R91)</f>
        <v/>
      </c>
      <c r="R142" s="15" t="str">
        <f>IF(ISBLANK('Refsz-Verbräuche'!S91), "", 'Refsz-Verbräuche'!S91)</f>
        <v/>
      </c>
      <c r="S142" s="15" t="str">
        <f>IF(ISBLANK('Refsz-Verbräuche'!T91), "", 'Refsz-Verbräuche'!T91)</f>
        <v/>
      </c>
      <c r="T142" s="15" t="str">
        <f>IF(ISBLANK('Refsz-Verbräuche'!U91), "", 'Refsz-Verbräuche'!U91)</f>
        <v/>
      </c>
      <c r="U142" s="15" t="str">
        <f>IF(ISBLANK('Refsz-Verbräuche'!V91), "", 'Refsz-Verbräuche'!V91)</f>
        <v/>
      </c>
      <c r="V142" s="15" t="str">
        <f>IF(ISBLANK('Refsz-Verbräuche'!W91), "", 'Refsz-Verbräuche'!W91)</f>
        <v/>
      </c>
      <c r="W142" s="15" t="str">
        <f>IF(ISBLANK('Refsz-Verbräuche'!X91), "", 'Refsz-Verbräuche'!X91)</f>
        <v/>
      </c>
    </row>
    <row r="143" spans="2:23" hidden="1" x14ac:dyDescent="0.35">
      <c r="B143" t="str">
        <f>'Refsz-Verbräuche'!C92</f>
        <v>Fuhrpark (Benzin)</v>
      </c>
      <c r="C143" t="str">
        <f>'Refsz-Verbräuche'!D92</f>
        <v>Fkm</v>
      </c>
      <c r="D143" s="15" t="str">
        <f>IF(ISBLANK('Refsz-Verbräuche'!E92), "", 'Refsz-Verbräuche'!E92)</f>
        <v/>
      </c>
      <c r="E143" s="15" t="str">
        <f>IF(ISBLANK('Refsz-Verbräuche'!F92), "", 'Refsz-Verbräuche'!F92)</f>
        <v/>
      </c>
      <c r="F143" s="15" t="str">
        <f>IF(ISBLANK('Refsz-Verbräuche'!G92), "", 'Refsz-Verbräuche'!G92)</f>
        <v/>
      </c>
      <c r="G143" s="15" t="str">
        <f>IF(ISBLANK('Refsz-Verbräuche'!H92), "", 'Refsz-Verbräuche'!H92)</f>
        <v/>
      </c>
      <c r="H143" s="15" t="str">
        <f>IF(ISBLANK('Refsz-Verbräuche'!I92), "", 'Refsz-Verbräuche'!I92)</f>
        <v/>
      </c>
      <c r="I143" s="15" t="str">
        <f>IF(ISBLANK('Refsz-Verbräuche'!J92), "", 'Refsz-Verbräuche'!J92)</f>
        <v/>
      </c>
      <c r="J143" s="15" t="str">
        <f>IF(ISBLANK('Refsz-Verbräuche'!K92), "", 'Refsz-Verbräuche'!K92)</f>
        <v/>
      </c>
      <c r="K143" s="15" t="str">
        <f>IF(ISBLANK('Refsz-Verbräuche'!L92), "", 'Refsz-Verbräuche'!L92)</f>
        <v/>
      </c>
      <c r="L143" s="15" t="str">
        <f>IF(ISBLANK('Refsz-Verbräuche'!M92), "", 'Refsz-Verbräuche'!M92)</f>
        <v/>
      </c>
      <c r="M143" s="15" t="str">
        <f>IF(ISBLANK('Refsz-Verbräuche'!N92), "", 'Refsz-Verbräuche'!N92)</f>
        <v/>
      </c>
      <c r="N143" s="15" t="str">
        <f>IF(ISBLANK('Refsz-Verbräuche'!O92), "", 'Refsz-Verbräuche'!O92)</f>
        <v/>
      </c>
      <c r="O143" s="15" t="str">
        <f>IF(ISBLANK('Refsz-Verbräuche'!P92), "", 'Refsz-Verbräuche'!P92)</f>
        <v/>
      </c>
      <c r="P143" s="15" t="str">
        <f>IF(ISBLANK('Refsz-Verbräuche'!Q92), "", 'Refsz-Verbräuche'!Q92)</f>
        <v/>
      </c>
      <c r="Q143" s="15" t="str">
        <f>IF(ISBLANK('Refsz-Verbräuche'!R92), "", 'Refsz-Verbräuche'!R92)</f>
        <v/>
      </c>
      <c r="R143" s="15" t="str">
        <f>IF(ISBLANK('Refsz-Verbräuche'!S92), "", 'Refsz-Verbräuche'!S92)</f>
        <v/>
      </c>
      <c r="S143" s="15" t="str">
        <f>IF(ISBLANK('Refsz-Verbräuche'!T92), "", 'Refsz-Verbräuche'!T92)</f>
        <v/>
      </c>
      <c r="T143" s="15" t="str">
        <f>IF(ISBLANK('Refsz-Verbräuche'!U92), "", 'Refsz-Verbräuche'!U92)</f>
        <v/>
      </c>
      <c r="U143" s="15" t="str">
        <f>IF(ISBLANK('Refsz-Verbräuche'!V92), "", 'Refsz-Verbräuche'!V92)</f>
        <v/>
      </c>
      <c r="V143" s="15" t="str">
        <f>IF(ISBLANK('Refsz-Verbräuche'!W92), "", 'Refsz-Verbräuche'!W92)</f>
        <v/>
      </c>
      <c r="W143" s="15" t="str">
        <f>IF(ISBLANK('Refsz-Verbräuche'!X92), "", 'Refsz-Verbräuche'!X92)</f>
        <v/>
      </c>
    </row>
    <row r="144" spans="2:23" hidden="1" x14ac:dyDescent="0.35">
      <c r="B144" t="str">
        <f>'Refsz-Verbräuche'!C93</f>
        <v>Fuhrpark (E-Auto/ BEV)</v>
      </c>
      <c r="C144" t="str">
        <f>'Refsz-Verbräuche'!D93</f>
        <v>Fkm</v>
      </c>
      <c r="D144" s="15" t="str">
        <f>IF(ISBLANK('Refsz-Verbräuche'!E93), "", 'Refsz-Verbräuche'!E93)</f>
        <v/>
      </c>
      <c r="E144" s="15" t="str">
        <f>IF(ISBLANK('Refsz-Verbräuche'!F93), "", 'Refsz-Verbräuche'!F93)</f>
        <v/>
      </c>
      <c r="F144" s="15" t="str">
        <f>IF(ISBLANK('Refsz-Verbräuche'!G93), "", 'Refsz-Verbräuche'!G93)</f>
        <v/>
      </c>
      <c r="G144" s="15" t="str">
        <f>IF(ISBLANK('Refsz-Verbräuche'!H93), "", 'Refsz-Verbräuche'!H93)</f>
        <v/>
      </c>
      <c r="H144" s="15" t="str">
        <f>IF(ISBLANK('Refsz-Verbräuche'!I93), "", 'Refsz-Verbräuche'!I93)</f>
        <v/>
      </c>
      <c r="I144" s="15" t="str">
        <f>IF(ISBLANK('Refsz-Verbräuche'!J93), "", 'Refsz-Verbräuche'!J93)</f>
        <v/>
      </c>
      <c r="J144" s="15" t="str">
        <f>IF(ISBLANK('Refsz-Verbräuche'!K93), "", 'Refsz-Verbräuche'!K93)</f>
        <v/>
      </c>
      <c r="K144" s="15" t="str">
        <f>IF(ISBLANK('Refsz-Verbräuche'!L93), "", 'Refsz-Verbräuche'!L93)</f>
        <v/>
      </c>
      <c r="L144" s="15" t="str">
        <f>IF(ISBLANK('Refsz-Verbräuche'!M93), "", 'Refsz-Verbräuche'!M93)</f>
        <v/>
      </c>
      <c r="M144" s="15" t="str">
        <f>IF(ISBLANK('Refsz-Verbräuche'!N93), "", 'Refsz-Verbräuche'!N93)</f>
        <v/>
      </c>
      <c r="N144" s="15" t="str">
        <f>IF(ISBLANK('Refsz-Verbräuche'!O93), "", 'Refsz-Verbräuche'!O93)</f>
        <v/>
      </c>
      <c r="O144" s="15" t="str">
        <f>IF(ISBLANK('Refsz-Verbräuche'!P93), "", 'Refsz-Verbräuche'!P93)</f>
        <v/>
      </c>
      <c r="P144" s="15" t="str">
        <f>IF(ISBLANK('Refsz-Verbräuche'!Q93), "", 'Refsz-Verbräuche'!Q93)</f>
        <v/>
      </c>
      <c r="Q144" s="15" t="str">
        <f>IF(ISBLANK('Refsz-Verbräuche'!R93), "", 'Refsz-Verbräuche'!R93)</f>
        <v/>
      </c>
      <c r="R144" s="15" t="str">
        <f>IF(ISBLANK('Refsz-Verbräuche'!S93), "", 'Refsz-Verbräuche'!S93)</f>
        <v/>
      </c>
      <c r="S144" s="15" t="str">
        <f>IF(ISBLANK('Refsz-Verbräuche'!T93), "", 'Refsz-Verbräuche'!T93)</f>
        <v/>
      </c>
      <c r="T144" s="15" t="str">
        <f>IF(ISBLANK('Refsz-Verbräuche'!U93), "", 'Refsz-Verbräuche'!U93)</f>
        <v/>
      </c>
      <c r="U144" s="15" t="str">
        <f>IF(ISBLANK('Refsz-Verbräuche'!V93), "", 'Refsz-Verbräuche'!V93)</f>
        <v/>
      </c>
      <c r="V144" s="15" t="str">
        <f>IF(ISBLANK('Refsz-Verbräuche'!W93), "", 'Refsz-Verbräuche'!W93)</f>
        <v/>
      </c>
      <c r="W144" s="15" t="str">
        <f>IF(ISBLANK('Refsz-Verbräuche'!X93), "", 'Refsz-Verbräuche'!X93)</f>
        <v/>
      </c>
    </row>
    <row r="145" spans="2:23" hidden="1" x14ac:dyDescent="0.35">
      <c r="B145" t="str">
        <f>'Refsz-Verbräuche'!C94</f>
        <v>Fuhrpark (Wasserstoff/ FCEV)</v>
      </c>
      <c r="C145" t="str">
        <f>'Refsz-Verbräuche'!D94</f>
        <v>Fkm</v>
      </c>
      <c r="D145" s="15" t="str">
        <f>IF(ISBLANK('Refsz-Verbräuche'!E94), "", 'Refsz-Verbräuche'!E94)</f>
        <v/>
      </c>
      <c r="E145" s="15" t="str">
        <f>IF(ISBLANK('Refsz-Verbräuche'!F94), "", 'Refsz-Verbräuche'!F94)</f>
        <v/>
      </c>
      <c r="F145" s="15" t="str">
        <f>IF(ISBLANK('Refsz-Verbräuche'!G94), "", 'Refsz-Verbräuche'!G94)</f>
        <v/>
      </c>
      <c r="G145" s="15" t="str">
        <f>IF(ISBLANK('Refsz-Verbräuche'!H94), "", 'Refsz-Verbräuche'!H94)</f>
        <v/>
      </c>
      <c r="H145" s="15" t="str">
        <f>IF(ISBLANK('Refsz-Verbräuche'!I94), "", 'Refsz-Verbräuche'!I94)</f>
        <v/>
      </c>
      <c r="I145" s="15" t="str">
        <f>IF(ISBLANK('Refsz-Verbräuche'!J94), "", 'Refsz-Verbräuche'!J94)</f>
        <v/>
      </c>
      <c r="J145" s="15" t="str">
        <f>IF(ISBLANK('Refsz-Verbräuche'!K94), "", 'Refsz-Verbräuche'!K94)</f>
        <v/>
      </c>
      <c r="K145" s="15" t="str">
        <f>IF(ISBLANK('Refsz-Verbräuche'!L94), "", 'Refsz-Verbräuche'!L94)</f>
        <v/>
      </c>
      <c r="L145" s="15" t="str">
        <f>IF(ISBLANK('Refsz-Verbräuche'!M94), "", 'Refsz-Verbräuche'!M94)</f>
        <v/>
      </c>
      <c r="M145" s="15" t="str">
        <f>IF(ISBLANK('Refsz-Verbräuche'!N94), "", 'Refsz-Verbräuche'!N94)</f>
        <v/>
      </c>
      <c r="N145" s="15" t="str">
        <f>IF(ISBLANK('Refsz-Verbräuche'!O94), "", 'Refsz-Verbräuche'!O94)</f>
        <v/>
      </c>
      <c r="O145" s="15" t="str">
        <f>IF(ISBLANK('Refsz-Verbräuche'!P94), "", 'Refsz-Verbräuche'!P94)</f>
        <v/>
      </c>
      <c r="P145" s="15" t="str">
        <f>IF(ISBLANK('Refsz-Verbräuche'!Q94), "", 'Refsz-Verbräuche'!Q94)</f>
        <v/>
      </c>
      <c r="Q145" s="15" t="str">
        <f>IF(ISBLANK('Refsz-Verbräuche'!R94), "", 'Refsz-Verbräuche'!R94)</f>
        <v/>
      </c>
      <c r="R145" s="15" t="str">
        <f>IF(ISBLANK('Refsz-Verbräuche'!S94), "", 'Refsz-Verbräuche'!S94)</f>
        <v/>
      </c>
      <c r="S145" s="15" t="str">
        <f>IF(ISBLANK('Refsz-Verbräuche'!T94), "", 'Refsz-Verbräuche'!T94)</f>
        <v/>
      </c>
      <c r="T145" s="15" t="str">
        <f>IF(ISBLANK('Refsz-Verbräuche'!U94), "", 'Refsz-Verbräuche'!U94)</f>
        <v/>
      </c>
      <c r="U145" s="15" t="str">
        <f>IF(ISBLANK('Refsz-Verbräuche'!V94), "", 'Refsz-Verbräuche'!V94)</f>
        <v/>
      </c>
      <c r="V145" s="15" t="str">
        <f>IF(ISBLANK('Refsz-Verbräuche'!W94), "", 'Refsz-Verbräuche'!W94)</f>
        <v/>
      </c>
      <c r="W145" s="15" t="str">
        <f>IF(ISBLANK('Refsz-Verbräuche'!X94), "", 'Refsz-Verbräuche'!X94)</f>
        <v/>
      </c>
    </row>
    <row r="146" spans="2:23" hidden="1" x14ac:dyDescent="0.35">
      <c r="B146" t="str">
        <f>'Refsz-Verbräuche'!C95</f>
        <v>Fuhrpark (CNG)</v>
      </c>
      <c r="C146" t="str">
        <f>'Refsz-Verbräuche'!D95</f>
        <v>Fkm</v>
      </c>
      <c r="D146" s="15" t="str">
        <f>IF(ISBLANK('Refsz-Verbräuche'!E95), "", 'Refsz-Verbräuche'!E95)</f>
        <v/>
      </c>
      <c r="E146" s="15" t="str">
        <f>IF(ISBLANK('Refsz-Verbräuche'!F95), "", 'Refsz-Verbräuche'!F95)</f>
        <v/>
      </c>
      <c r="F146" s="15" t="str">
        <f>IF(ISBLANK('Refsz-Verbräuche'!G95), "", 'Refsz-Verbräuche'!G95)</f>
        <v/>
      </c>
      <c r="G146" s="15" t="str">
        <f>IF(ISBLANK('Refsz-Verbräuche'!H95), "", 'Refsz-Verbräuche'!H95)</f>
        <v/>
      </c>
      <c r="H146" s="15" t="str">
        <f>IF(ISBLANK('Refsz-Verbräuche'!I95), "", 'Refsz-Verbräuche'!I95)</f>
        <v/>
      </c>
      <c r="I146" s="15" t="str">
        <f>IF(ISBLANK('Refsz-Verbräuche'!J95), "", 'Refsz-Verbräuche'!J95)</f>
        <v/>
      </c>
      <c r="J146" s="15" t="str">
        <f>IF(ISBLANK('Refsz-Verbräuche'!K95), "", 'Refsz-Verbräuche'!K95)</f>
        <v/>
      </c>
      <c r="K146" s="15" t="str">
        <f>IF(ISBLANK('Refsz-Verbräuche'!L95), "", 'Refsz-Verbräuche'!L95)</f>
        <v/>
      </c>
      <c r="L146" s="15" t="str">
        <f>IF(ISBLANK('Refsz-Verbräuche'!M95), "", 'Refsz-Verbräuche'!M95)</f>
        <v/>
      </c>
      <c r="M146" s="15" t="str">
        <f>IF(ISBLANK('Refsz-Verbräuche'!N95), "", 'Refsz-Verbräuche'!N95)</f>
        <v/>
      </c>
      <c r="N146" s="15" t="str">
        <f>IF(ISBLANK('Refsz-Verbräuche'!O95), "", 'Refsz-Verbräuche'!O95)</f>
        <v/>
      </c>
      <c r="O146" s="15" t="str">
        <f>IF(ISBLANK('Refsz-Verbräuche'!P95), "", 'Refsz-Verbräuche'!P95)</f>
        <v/>
      </c>
      <c r="P146" s="15" t="str">
        <f>IF(ISBLANK('Refsz-Verbräuche'!Q95), "", 'Refsz-Verbräuche'!Q95)</f>
        <v/>
      </c>
      <c r="Q146" s="15" t="str">
        <f>IF(ISBLANK('Refsz-Verbräuche'!R95), "", 'Refsz-Verbräuche'!R95)</f>
        <v/>
      </c>
      <c r="R146" s="15" t="str">
        <f>IF(ISBLANK('Refsz-Verbräuche'!S95), "", 'Refsz-Verbräuche'!S95)</f>
        <v/>
      </c>
      <c r="S146" s="15" t="str">
        <f>IF(ISBLANK('Refsz-Verbräuche'!T95), "", 'Refsz-Verbräuche'!T95)</f>
        <v/>
      </c>
      <c r="T146" s="15" t="str">
        <f>IF(ISBLANK('Refsz-Verbräuche'!U95), "", 'Refsz-Verbräuche'!U95)</f>
        <v/>
      </c>
      <c r="U146" s="15" t="str">
        <f>IF(ISBLANK('Refsz-Verbräuche'!V95), "", 'Refsz-Verbräuche'!V95)</f>
        <v/>
      </c>
      <c r="V146" s="15" t="str">
        <f>IF(ISBLANK('Refsz-Verbräuche'!W95), "", 'Refsz-Verbräuche'!W95)</f>
        <v/>
      </c>
      <c r="W146" s="15" t="str">
        <f>IF(ISBLANK('Refsz-Verbräuche'!X95), "", 'Refsz-Verbräuche'!X95)</f>
        <v/>
      </c>
    </row>
    <row r="147" spans="2:23" hidden="1" x14ac:dyDescent="0.35">
      <c r="B147" t="str">
        <f>'Refsz-Verbräuche'!C98</f>
        <v>DR - Flugreisen</v>
      </c>
      <c r="C147" t="str">
        <f>'Refsz-Verbräuche'!D98</f>
        <v>Pkm</v>
      </c>
      <c r="D147" s="15" t="str">
        <f>IF(ISBLANK('Refsz-Verbräuche'!E98), "", 'Refsz-Verbräuche'!E98)</f>
        <v/>
      </c>
      <c r="E147" s="15" t="str">
        <f>IF(ISBLANK('Refsz-Verbräuche'!F98), "", 'Refsz-Verbräuche'!F98)</f>
        <v/>
      </c>
      <c r="F147" s="15" t="str">
        <f>IF(ISBLANK('Refsz-Verbräuche'!G98), "", 'Refsz-Verbräuche'!G98)</f>
        <v/>
      </c>
      <c r="G147" s="15" t="str">
        <f>IF(ISBLANK('Refsz-Verbräuche'!H98), "", 'Refsz-Verbräuche'!H98)</f>
        <v/>
      </c>
      <c r="H147" s="15" t="str">
        <f>IF(ISBLANK('Refsz-Verbräuche'!I98), "", 'Refsz-Verbräuche'!I98)</f>
        <v/>
      </c>
      <c r="I147" s="15" t="str">
        <f>IF(ISBLANK('Refsz-Verbräuche'!J98), "", 'Refsz-Verbräuche'!J98)</f>
        <v/>
      </c>
      <c r="J147" s="15" t="str">
        <f>IF(ISBLANK('Refsz-Verbräuche'!K98), "", 'Refsz-Verbräuche'!K98)</f>
        <v/>
      </c>
      <c r="K147" s="15" t="str">
        <f>IF(ISBLANK('Refsz-Verbräuche'!L98), "", 'Refsz-Verbräuche'!L98)</f>
        <v/>
      </c>
      <c r="L147" s="15" t="str">
        <f>IF(ISBLANK('Refsz-Verbräuche'!M98), "", 'Refsz-Verbräuche'!M98)</f>
        <v/>
      </c>
      <c r="M147" s="15" t="str">
        <f>IF(ISBLANK('Refsz-Verbräuche'!N98), "", 'Refsz-Verbräuche'!N98)</f>
        <v/>
      </c>
      <c r="N147" s="15" t="str">
        <f>IF(ISBLANK('Refsz-Verbräuche'!O98), "", 'Refsz-Verbräuche'!O98)</f>
        <v/>
      </c>
      <c r="O147" s="15" t="str">
        <f>IF(ISBLANK('Refsz-Verbräuche'!P98), "", 'Refsz-Verbräuche'!P98)</f>
        <v/>
      </c>
      <c r="P147" s="15" t="str">
        <f>IF(ISBLANK('Refsz-Verbräuche'!Q98), "", 'Refsz-Verbräuche'!Q98)</f>
        <v/>
      </c>
      <c r="Q147" s="15" t="str">
        <f>IF(ISBLANK('Refsz-Verbräuche'!R98), "", 'Refsz-Verbräuche'!R98)</f>
        <v/>
      </c>
      <c r="R147" s="15" t="str">
        <f>IF(ISBLANK('Refsz-Verbräuche'!S98), "", 'Refsz-Verbräuche'!S98)</f>
        <v/>
      </c>
      <c r="S147" s="15" t="str">
        <f>IF(ISBLANK('Refsz-Verbräuche'!T98), "", 'Refsz-Verbräuche'!T98)</f>
        <v/>
      </c>
      <c r="T147" s="15" t="str">
        <f>IF(ISBLANK('Refsz-Verbräuche'!U98), "", 'Refsz-Verbräuche'!U98)</f>
        <v/>
      </c>
      <c r="U147" s="15" t="str">
        <f>IF(ISBLANK('Refsz-Verbräuche'!V98), "", 'Refsz-Verbräuche'!V98)</f>
        <v/>
      </c>
      <c r="V147" s="15" t="str">
        <f>IF(ISBLANK('Refsz-Verbräuche'!W98), "", 'Refsz-Verbräuche'!W98)</f>
        <v/>
      </c>
      <c r="W147" s="15" t="str">
        <f>IF(ISBLANK('Refsz-Verbräuche'!X98), "", 'Refsz-Verbräuche'!X98)</f>
        <v/>
      </c>
    </row>
    <row r="148" spans="2:23" hidden="1" x14ac:dyDescent="0.35">
      <c r="B148" t="str">
        <f>'Refsz-Verbräuche'!C99</f>
        <v>DR - Eisenbahn (Fernverkehr)</v>
      </c>
      <c r="C148" t="str">
        <f>'Refsz-Verbräuche'!D99</f>
        <v>Pkm</v>
      </c>
      <c r="D148" s="15" t="str">
        <f>IF(ISBLANK('Refsz-Verbräuche'!E99), "", 'Refsz-Verbräuche'!E99)</f>
        <v/>
      </c>
      <c r="E148" s="15" t="str">
        <f>IF(ISBLANK('Refsz-Verbräuche'!F99), "", 'Refsz-Verbräuche'!F99)</f>
        <v/>
      </c>
      <c r="F148" s="15" t="str">
        <f>IF(ISBLANK('Refsz-Verbräuche'!G99), "", 'Refsz-Verbräuche'!G99)</f>
        <v/>
      </c>
      <c r="G148" s="15" t="str">
        <f>IF(ISBLANK('Refsz-Verbräuche'!H99), "", 'Refsz-Verbräuche'!H99)</f>
        <v/>
      </c>
      <c r="H148" s="15" t="str">
        <f>IF(ISBLANK('Refsz-Verbräuche'!I99), "", 'Refsz-Verbräuche'!I99)</f>
        <v/>
      </c>
      <c r="I148" s="15" t="str">
        <f>IF(ISBLANK('Refsz-Verbräuche'!J99), "", 'Refsz-Verbräuche'!J99)</f>
        <v/>
      </c>
      <c r="J148" s="15" t="str">
        <f>IF(ISBLANK('Refsz-Verbräuche'!K99), "", 'Refsz-Verbräuche'!K99)</f>
        <v/>
      </c>
      <c r="K148" s="15" t="str">
        <f>IF(ISBLANK('Refsz-Verbräuche'!L99), "", 'Refsz-Verbräuche'!L99)</f>
        <v/>
      </c>
      <c r="L148" s="15" t="str">
        <f>IF(ISBLANK('Refsz-Verbräuche'!M99), "", 'Refsz-Verbräuche'!M99)</f>
        <v/>
      </c>
      <c r="M148" s="15" t="str">
        <f>IF(ISBLANK('Refsz-Verbräuche'!N99), "", 'Refsz-Verbräuche'!N99)</f>
        <v/>
      </c>
      <c r="N148" s="15" t="str">
        <f>IF(ISBLANK('Refsz-Verbräuche'!O99), "", 'Refsz-Verbräuche'!O99)</f>
        <v/>
      </c>
      <c r="O148" s="15" t="str">
        <f>IF(ISBLANK('Refsz-Verbräuche'!P99), "", 'Refsz-Verbräuche'!P99)</f>
        <v/>
      </c>
      <c r="P148" s="15" t="str">
        <f>IF(ISBLANK('Refsz-Verbräuche'!Q99), "", 'Refsz-Verbräuche'!Q99)</f>
        <v/>
      </c>
      <c r="Q148" s="15" t="str">
        <f>IF(ISBLANK('Refsz-Verbräuche'!R99), "", 'Refsz-Verbräuche'!R99)</f>
        <v/>
      </c>
      <c r="R148" s="15" t="str">
        <f>IF(ISBLANK('Refsz-Verbräuche'!S99), "", 'Refsz-Verbräuche'!S99)</f>
        <v/>
      </c>
      <c r="S148" s="15" t="str">
        <f>IF(ISBLANK('Refsz-Verbräuche'!T99), "", 'Refsz-Verbräuche'!T99)</f>
        <v/>
      </c>
      <c r="T148" s="15" t="str">
        <f>IF(ISBLANK('Refsz-Verbräuche'!U99), "", 'Refsz-Verbräuche'!U99)</f>
        <v/>
      </c>
      <c r="U148" s="15" t="str">
        <f>IF(ISBLANK('Refsz-Verbräuche'!V99), "", 'Refsz-Verbräuche'!V99)</f>
        <v/>
      </c>
      <c r="V148" s="15" t="str">
        <f>IF(ISBLANK('Refsz-Verbräuche'!W99), "", 'Refsz-Verbräuche'!W99)</f>
        <v/>
      </c>
      <c r="W148" s="15" t="str">
        <f>IF(ISBLANK('Refsz-Verbräuche'!X99), "", 'Refsz-Verbräuche'!X99)</f>
        <v/>
      </c>
    </row>
    <row r="149" spans="2:23" hidden="1" x14ac:dyDescent="0.35">
      <c r="B149" t="str">
        <f>'Refsz-Verbräuche'!C100</f>
        <v>DR - Eisenbahn (Nahverkehr)</v>
      </c>
      <c r="C149" t="str">
        <f>'Refsz-Verbräuche'!D100</f>
        <v>Pkm</v>
      </c>
      <c r="D149" s="15" t="str">
        <f>IF(ISBLANK('Refsz-Verbräuche'!E100), "", 'Refsz-Verbräuche'!E100)</f>
        <v/>
      </c>
      <c r="E149" s="15" t="str">
        <f>IF(ISBLANK('Refsz-Verbräuche'!F100), "", 'Refsz-Verbräuche'!F100)</f>
        <v/>
      </c>
      <c r="F149" s="15" t="str">
        <f>IF(ISBLANK('Refsz-Verbräuche'!G100), "", 'Refsz-Verbräuche'!G100)</f>
        <v/>
      </c>
      <c r="G149" s="15" t="str">
        <f>IF(ISBLANK('Refsz-Verbräuche'!H100), "", 'Refsz-Verbräuche'!H100)</f>
        <v/>
      </c>
      <c r="H149" s="15" t="str">
        <f>IF(ISBLANK('Refsz-Verbräuche'!I100), "", 'Refsz-Verbräuche'!I100)</f>
        <v/>
      </c>
      <c r="I149" s="15" t="str">
        <f>IF(ISBLANK('Refsz-Verbräuche'!J100), "", 'Refsz-Verbräuche'!J100)</f>
        <v/>
      </c>
      <c r="J149" s="15" t="str">
        <f>IF(ISBLANK('Refsz-Verbräuche'!K100), "", 'Refsz-Verbräuche'!K100)</f>
        <v/>
      </c>
      <c r="K149" s="15" t="str">
        <f>IF(ISBLANK('Refsz-Verbräuche'!L100), "", 'Refsz-Verbräuche'!L100)</f>
        <v/>
      </c>
      <c r="L149" s="15" t="str">
        <f>IF(ISBLANK('Refsz-Verbräuche'!M100), "", 'Refsz-Verbräuche'!M100)</f>
        <v/>
      </c>
      <c r="M149" s="15" t="str">
        <f>IF(ISBLANK('Refsz-Verbräuche'!N100), "", 'Refsz-Verbräuche'!N100)</f>
        <v/>
      </c>
      <c r="N149" s="15" t="str">
        <f>IF(ISBLANK('Refsz-Verbräuche'!O100), "", 'Refsz-Verbräuche'!O100)</f>
        <v/>
      </c>
      <c r="O149" s="15" t="str">
        <f>IF(ISBLANK('Refsz-Verbräuche'!P100), "", 'Refsz-Verbräuche'!P100)</f>
        <v/>
      </c>
      <c r="P149" s="15" t="str">
        <f>IF(ISBLANK('Refsz-Verbräuche'!Q100), "", 'Refsz-Verbräuche'!Q100)</f>
        <v/>
      </c>
      <c r="Q149" s="15" t="str">
        <f>IF(ISBLANK('Refsz-Verbräuche'!R100), "", 'Refsz-Verbräuche'!R100)</f>
        <v/>
      </c>
      <c r="R149" s="15" t="str">
        <f>IF(ISBLANK('Refsz-Verbräuche'!S100), "", 'Refsz-Verbräuche'!S100)</f>
        <v/>
      </c>
      <c r="S149" s="15" t="str">
        <f>IF(ISBLANK('Refsz-Verbräuche'!T100), "", 'Refsz-Verbräuche'!T100)</f>
        <v/>
      </c>
      <c r="T149" s="15" t="str">
        <f>IF(ISBLANK('Refsz-Verbräuche'!U100), "", 'Refsz-Verbräuche'!U100)</f>
        <v/>
      </c>
      <c r="U149" s="15" t="str">
        <f>IF(ISBLANK('Refsz-Verbräuche'!V100), "", 'Refsz-Verbräuche'!V100)</f>
        <v/>
      </c>
      <c r="V149" s="15" t="str">
        <f>IF(ISBLANK('Refsz-Verbräuche'!W100), "", 'Refsz-Verbräuche'!W100)</f>
        <v/>
      </c>
      <c r="W149" s="15" t="str">
        <f>IF(ISBLANK('Refsz-Verbräuche'!X100), "", 'Refsz-Verbräuche'!X100)</f>
        <v/>
      </c>
    </row>
    <row r="150" spans="2:23" hidden="1" x14ac:dyDescent="0.35">
      <c r="B150" t="str">
        <f>'Refsz-Verbräuche'!C101</f>
        <v>DR - Reisebus, Linienbus (Fernverkehr)</v>
      </c>
      <c r="C150" t="str">
        <f>'Refsz-Verbräuche'!D101</f>
        <v>Pkm</v>
      </c>
      <c r="D150" s="15" t="str">
        <f>IF(ISBLANK('Refsz-Verbräuche'!E101), "", 'Refsz-Verbräuche'!E101)</f>
        <v/>
      </c>
      <c r="E150" s="15" t="str">
        <f>IF(ISBLANK('Refsz-Verbräuche'!F101), "", 'Refsz-Verbräuche'!F101)</f>
        <v/>
      </c>
      <c r="F150" s="15" t="str">
        <f>IF(ISBLANK('Refsz-Verbräuche'!G101), "", 'Refsz-Verbräuche'!G101)</f>
        <v/>
      </c>
      <c r="G150" s="15" t="str">
        <f>IF(ISBLANK('Refsz-Verbräuche'!H101), "", 'Refsz-Verbräuche'!H101)</f>
        <v/>
      </c>
      <c r="H150" s="15" t="str">
        <f>IF(ISBLANK('Refsz-Verbräuche'!I101), "", 'Refsz-Verbräuche'!I101)</f>
        <v/>
      </c>
      <c r="I150" s="15" t="str">
        <f>IF(ISBLANK('Refsz-Verbräuche'!J101), "", 'Refsz-Verbräuche'!J101)</f>
        <v/>
      </c>
      <c r="J150" s="15" t="str">
        <f>IF(ISBLANK('Refsz-Verbräuche'!K101), "", 'Refsz-Verbräuche'!K101)</f>
        <v/>
      </c>
      <c r="K150" s="15" t="str">
        <f>IF(ISBLANK('Refsz-Verbräuche'!L101), "", 'Refsz-Verbräuche'!L101)</f>
        <v/>
      </c>
      <c r="L150" s="15" t="str">
        <f>IF(ISBLANK('Refsz-Verbräuche'!M101), "", 'Refsz-Verbräuche'!M101)</f>
        <v/>
      </c>
      <c r="M150" s="15" t="str">
        <f>IF(ISBLANK('Refsz-Verbräuche'!N101), "", 'Refsz-Verbräuche'!N101)</f>
        <v/>
      </c>
      <c r="N150" s="15" t="str">
        <f>IF(ISBLANK('Refsz-Verbräuche'!O101), "", 'Refsz-Verbräuche'!O101)</f>
        <v/>
      </c>
      <c r="O150" s="15" t="str">
        <f>IF(ISBLANK('Refsz-Verbräuche'!P101), "", 'Refsz-Verbräuche'!P101)</f>
        <v/>
      </c>
      <c r="P150" s="15" t="str">
        <f>IF(ISBLANK('Refsz-Verbräuche'!Q101), "", 'Refsz-Verbräuche'!Q101)</f>
        <v/>
      </c>
      <c r="Q150" s="15" t="str">
        <f>IF(ISBLANK('Refsz-Verbräuche'!R101), "", 'Refsz-Verbräuche'!R101)</f>
        <v/>
      </c>
      <c r="R150" s="15" t="str">
        <f>IF(ISBLANK('Refsz-Verbräuche'!S101), "", 'Refsz-Verbräuche'!S101)</f>
        <v/>
      </c>
      <c r="S150" s="15" t="str">
        <f>IF(ISBLANK('Refsz-Verbräuche'!T101), "", 'Refsz-Verbräuche'!T101)</f>
        <v/>
      </c>
      <c r="T150" s="15" t="str">
        <f>IF(ISBLANK('Refsz-Verbräuche'!U101), "", 'Refsz-Verbräuche'!U101)</f>
        <v/>
      </c>
      <c r="U150" s="15" t="str">
        <f>IF(ISBLANK('Refsz-Verbräuche'!V101), "", 'Refsz-Verbräuche'!V101)</f>
        <v/>
      </c>
      <c r="V150" s="15" t="str">
        <f>IF(ISBLANK('Refsz-Verbräuche'!W101), "", 'Refsz-Verbräuche'!W101)</f>
        <v/>
      </c>
      <c r="W150" s="15" t="str">
        <f>IF(ISBLANK('Refsz-Verbräuche'!X101), "", 'Refsz-Verbräuche'!X101)</f>
        <v/>
      </c>
    </row>
    <row r="151" spans="2:23" hidden="1" x14ac:dyDescent="0.35">
      <c r="B151" t="str">
        <f>'Refsz-Verbräuche'!C102</f>
        <v>DR - Linienbus (Nahverkehr)</v>
      </c>
      <c r="C151" t="str">
        <f>'Refsz-Verbräuche'!D102</f>
        <v>Pkm</v>
      </c>
      <c r="D151" s="15" t="str">
        <f>IF(ISBLANK('Refsz-Verbräuche'!E102), "", 'Refsz-Verbräuche'!E102)</f>
        <v/>
      </c>
      <c r="E151" s="15" t="str">
        <f>IF(ISBLANK('Refsz-Verbräuche'!F102), "", 'Refsz-Verbräuche'!F102)</f>
        <v/>
      </c>
      <c r="F151" s="15" t="str">
        <f>IF(ISBLANK('Refsz-Verbräuche'!G102), "", 'Refsz-Verbräuche'!G102)</f>
        <v/>
      </c>
      <c r="G151" s="15" t="str">
        <f>IF(ISBLANK('Refsz-Verbräuche'!H102), "", 'Refsz-Verbräuche'!H102)</f>
        <v/>
      </c>
      <c r="H151" s="15" t="str">
        <f>IF(ISBLANK('Refsz-Verbräuche'!I102), "", 'Refsz-Verbräuche'!I102)</f>
        <v/>
      </c>
      <c r="I151" s="15" t="str">
        <f>IF(ISBLANK('Refsz-Verbräuche'!J102), "", 'Refsz-Verbräuche'!J102)</f>
        <v/>
      </c>
      <c r="J151" s="15" t="str">
        <f>IF(ISBLANK('Refsz-Verbräuche'!K102), "", 'Refsz-Verbräuche'!K102)</f>
        <v/>
      </c>
      <c r="K151" s="15" t="str">
        <f>IF(ISBLANK('Refsz-Verbräuche'!L102), "", 'Refsz-Verbräuche'!L102)</f>
        <v/>
      </c>
      <c r="L151" s="15" t="str">
        <f>IF(ISBLANK('Refsz-Verbräuche'!M102), "", 'Refsz-Verbräuche'!M102)</f>
        <v/>
      </c>
      <c r="M151" s="15" t="str">
        <f>IF(ISBLANK('Refsz-Verbräuche'!N102), "", 'Refsz-Verbräuche'!N102)</f>
        <v/>
      </c>
      <c r="N151" s="15" t="str">
        <f>IF(ISBLANK('Refsz-Verbräuche'!O102), "", 'Refsz-Verbräuche'!O102)</f>
        <v/>
      </c>
      <c r="O151" s="15" t="str">
        <f>IF(ISBLANK('Refsz-Verbräuche'!P102), "", 'Refsz-Verbräuche'!P102)</f>
        <v/>
      </c>
      <c r="P151" s="15" t="str">
        <f>IF(ISBLANK('Refsz-Verbräuche'!Q102), "", 'Refsz-Verbräuche'!Q102)</f>
        <v/>
      </c>
      <c r="Q151" s="15" t="str">
        <f>IF(ISBLANK('Refsz-Verbräuche'!R102), "", 'Refsz-Verbräuche'!R102)</f>
        <v/>
      </c>
      <c r="R151" s="15" t="str">
        <f>IF(ISBLANK('Refsz-Verbräuche'!S102), "", 'Refsz-Verbräuche'!S102)</f>
        <v/>
      </c>
      <c r="S151" s="15" t="str">
        <f>IF(ISBLANK('Refsz-Verbräuche'!T102), "", 'Refsz-Verbräuche'!T102)</f>
        <v/>
      </c>
      <c r="T151" s="15" t="str">
        <f>IF(ISBLANK('Refsz-Verbräuche'!U102), "", 'Refsz-Verbräuche'!U102)</f>
        <v/>
      </c>
      <c r="U151" s="15" t="str">
        <f>IF(ISBLANK('Refsz-Verbräuche'!V102), "", 'Refsz-Verbräuche'!V102)</f>
        <v/>
      </c>
      <c r="V151" s="15" t="str">
        <f>IF(ISBLANK('Refsz-Verbräuche'!W102), "", 'Refsz-Verbräuche'!W102)</f>
        <v/>
      </c>
      <c r="W151" s="15" t="str">
        <f>IF(ISBLANK('Refsz-Verbräuche'!X102), "", 'Refsz-Verbräuche'!X102)</f>
        <v/>
      </c>
    </row>
    <row r="152" spans="2:23" hidden="1" x14ac:dyDescent="0.35">
      <c r="B152" t="str">
        <f>'Refsz-Verbräuche'!C103</f>
        <v>DR - Privater PKW (alle Antriebsarten)</v>
      </c>
      <c r="C152" t="str">
        <f>'Refsz-Verbräuche'!D103</f>
        <v>Fkm</v>
      </c>
      <c r="D152" s="15" t="str">
        <f>IF(ISBLANK('Refsz-Verbräuche'!E103), "", 'Refsz-Verbräuche'!E103)</f>
        <v/>
      </c>
      <c r="E152" s="15" t="str">
        <f>IF(ISBLANK('Refsz-Verbräuche'!F103), "", 'Refsz-Verbräuche'!F103)</f>
        <v/>
      </c>
      <c r="F152" s="15" t="str">
        <f>IF(ISBLANK('Refsz-Verbräuche'!G103), "", 'Refsz-Verbräuche'!G103)</f>
        <v/>
      </c>
      <c r="G152" s="15" t="str">
        <f>IF(ISBLANK('Refsz-Verbräuche'!H103), "", 'Refsz-Verbräuche'!H103)</f>
        <v/>
      </c>
      <c r="H152" s="15" t="str">
        <f>IF(ISBLANK('Refsz-Verbräuche'!I103), "", 'Refsz-Verbräuche'!I103)</f>
        <v/>
      </c>
      <c r="I152" s="15" t="str">
        <f>IF(ISBLANK('Refsz-Verbräuche'!J103), "", 'Refsz-Verbräuche'!J103)</f>
        <v/>
      </c>
      <c r="J152" s="15" t="str">
        <f>IF(ISBLANK('Refsz-Verbräuche'!K103), "", 'Refsz-Verbräuche'!K103)</f>
        <v/>
      </c>
      <c r="K152" s="15" t="str">
        <f>IF(ISBLANK('Refsz-Verbräuche'!L103), "", 'Refsz-Verbräuche'!L103)</f>
        <v/>
      </c>
      <c r="L152" s="15" t="str">
        <f>IF(ISBLANK('Refsz-Verbräuche'!M103), "", 'Refsz-Verbräuche'!M103)</f>
        <v/>
      </c>
      <c r="M152" s="15" t="str">
        <f>IF(ISBLANK('Refsz-Verbräuche'!N103), "", 'Refsz-Verbräuche'!N103)</f>
        <v/>
      </c>
      <c r="N152" s="15" t="str">
        <f>IF(ISBLANK('Refsz-Verbräuche'!O103), "", 'Refsz-Verbräuche'!O103)</f>
        <v/>
      </c>
      <c r="O152" s="15" t="str">
        <f>IF(ISBLANK('Refsz-Verbräuche'!P103), "", 'Refsz-Verbräuche'!P103)</f>
        <v/>
      </c>
      <c r="P152" s="15" t="str">
        <f>IF(ISBLANK('Refsz-Verbräuche'!Q103), "", 'Refsz-Verbräuche'!Q103)</f>
        <v/>
      </c>
      <c r="Q152" s="15" t="str">
        <f>IF(ISBLANK('Refsz-Verbräuche'!R103), "", 'Refsz-Verbräuche'!R103)</f>
        <v/>
      </c>
      <c r="R152" s="15" t="str">
        <f>IF(ISBLANK('Refsz-Verbräuche'!S103), "", 'Refsz-Verbräuche'!S103)</f>
        <v/>
      </c>
      <c r="S152" s="15" t="str">
        <f>IF(ISBLANK('Refsz-Verbräuche'!T103), "", 'Refsz-Verbräuche'!T103)</f>
        <v/>
      </c>
      <c r="T152" s="15" t="str">
        <f>IF(ISBLANK('Refsz-Verbräuche'!U103), "", 'Refsz-Verbräuche'!U103)</f>
        <v/>
      </c>
      <c r="U152" s="15" t="str">
        <f>IF(ISBLANK('Refsz-Verbräuche'!V103), "", 'Refsz-Verbräuche'!V103)</f>
        <v/>
      </c>
      <c r="V152" s="15" t="str">
        <f>IF(ISBLANK('Refsz-Verbräuche'!W103), "", 'Refsz-Verbräuche'!W103)</f>
        <v/>
      </c>
      <c r="W152" s="15" t="str">
        <f>IF(ISBLANK('Refsz-Verbräuche'!X103), "", 'Refsz-Verbräuche'!X103)</f>
        <v/>
      </c>
    </row>
    <row r="153" spans="2:23" hidden="1" x14ac:dyDescent="0.35">
      <c r="B153" t="str">
        <f>'Refsz-Verbräuche'!C104</f>
        <v>DR - Privater PKW (Diesel)</v>
      </c>
      <c r="C153" t="str">
        <f>'Refsz-Verbräuche'!D104</f>
        <v>Fkm</v>
      </c>
      <c r="D153" s="15" t="str">
        <f>IF(ISBLANK('Refsz-Verbräuche'!E104), "", 'Refsz-Verbräuche'!E104)</f>
        <v/>
      </c>
      <c r="E153" s="15" t="str">
        <f>IF(ISBLANK('Refsz-Verbräuche'!F104), "", 'Refsz-Verbräuche'!F104)</f>
        <v/>
      </c>
      <c r="F153" s="15" t="str">
        <f>IF(ISBLANK('Refsz-Verbräuche'!G104), "", 'Refsz-Verbräuche'!G104)</f>
        <v/>
      </c>
      <c r="G153" s="15" t="str">
        <f>IF(ISBLANK('Refsz-Verbräuche'!H104), "", 'Refsz-Verbräuche'!H104)</f>
        <v/>
      </c>
      <c r="H153" s="15" t="str">
        <f>IF(ISBLANK('Refsz-Verbräuche'!I104), "", 'Refsz-Verbräuche'!I104)</f>
        <v/>
      </c>
      <c r="I153" s="15" t="str">
        <f>IF(ISBLANK('Refsz-Verbräuche'!J104), "", 'Refsz-Verbräuche'!J104)</f>
        <v/>
      </c>
      <c r="J153" s="15" t="str">
        <f>IF(ISBLANK('Refsz-Verbräuche'!K104), "", 'Refsz-Verbräuche'!K104)</f>
        <v/>
      </c>
      <c r="K153" s="15" t="str">
        <f>IF(ISBLANK('Refsz-Verbräuche'!L104), "", 'Refsz-Verbräuche'!L104)</f>
        <v/>
      </c>
      <c r="L153" s="15" t="str">
        <f>IF(ISBLANK('Refsz-Verbräuche'!M104), "", 'Refsz-Verbräuche'!M104)</f>
        <v/>
      </c>
      <c r="M153" s="15" t="str">
        <f>IF(ISBLANK('Refsz-Verbräuche'!N104), "", 'Refsz-Verbräuche'!N104)</f>
        <v/>
      </c>
      <c r="N153" s="15" t="str">
        <f>IF(ISBLANK('Refsz-Verbräuche'!O104), "", 'Refsz-Verbräuche'!O104)</f>
        <v/>
      </c>
      <c r="O153" s="15" t="str">
        <f>IF(ISBLANK('Refsz-Verbräuche'!P104), "", 'Refsz-Verbräuche'!P104)</f>
        <v/>
      </c>
      <c r="P153" s="15" t="str">
        <f>IF(ISBLANK('Refsz-Verbräuche'!Q104), "", 'Refsz-Verbräuche'!Q104)</f>
        <v/>
      </c>
      <c r="Q153" s="15" t="str">
        <f>IF(ISBLANK('Refsz-Verbräuche'!R104), "", 'Refsz-Verbräuche'!R104)</f>
        <v/>
      </c>
      <c r="R153" s="15" t="str">
        <f>IF(ISBLANK('Refsz-Verbräuche'!S104), "", 'Refsz-Verbräuche'!S104)</f>
        <v/>
      </c>
      <c r="S153" s="15" t="str">
        <f>IF(ISBLANK('Refsz-Verbräuche'!T104), "", 'Refsz-Verbräuche'!T104)</f>
        <v/>
      </c>
      <c r="T153" s="15" t="str">
        <f>IF(ISBLANK('Refsz-Verbräuche'!U104), "", 'Refsz-Verbräuche'!U104)</f>
        <v/>
      </c>
      <c r="U153" s="15" t="str">
        <f>IF(ISBLANK('Refsz-Verbräuche'!V104), "", 'Refsz-Verbräuche'!V104)</f>
        <v/>
      </c>
      <c r="V153" s="15" t="str">
        <f>IF(ISBLANK('Refsz-Verbräuche'!W104), "", 'Refsz-Verbräuche'!W104)</f>
        <v/>
      </c>
      <c r="W153" s="15" t="str">
        <f>IF(ISBLANK('Refsz-Verbräuche'!X104), "", 'Refsz-Verbräuche'!X104)</f>
        <v/>
      </c>
    </row>
    <row r="154" spans="2:23" hidden="1" x14ac:dyDescent="0.35">
      <c r="B154" t="str">
        <f>'Refsz-Verbräuche'!C105</f>
        <v>DR - Privater PKW (Benzin)</v>
      </c>
      <c r="C154" t="str">
        <f>'Refsz-Verbräuche'!D105</f>
        <v>Fkm</v>
      </c>
      <c r="D154" s="15" t="str">
        <f>IF(ISBLANK('Refsz-Verbräuche'!E105), "", 'Refsz-Verbräuche'!E105)</f>
        <v/>
      </c>
      <c r="E154" s="15" t="str">
        <f>IF(ISBLANK('Refsz-Verbräuche'!F105), "", 'Refsz-Verbräuche'!F105)</f>
        <v/>
      </c>
      <c r="F154" s="15" t="str">
        <f>IF(ISBLANK('Refsz-Verbräuche'!G105), "", 'Refsz-Verbräuche'!G105)</f>
        <v/>
      </c>
      <c r="G154" s="15" t="str">
        <f>IF(ISBLANK('Refsz-Verbräuche'!H105), "", 'Refsz-Verbräuche'!H105)</f>
        <v/>
      </c>
      <c r="H154" s="15" t="str">
        <f>IF(ISBLANK('Refsz-Verbräuche'!I105), "", 'Refsz-Verbräuche'!I105)</f>
        <v/>
      </c>
      <c r="I154" s="15" t="str">
        <f>IF(ISBLANK('Refsz-Verbräuche'!J105), "", 'Refsz-Verbräuche'!J105)</f>
        <v/>
      </c>
      <c r="J154" s="15" t="str">
        <f>IF(ISBLANK('Refsz-Verbräuche'!K105), "", 'Refsz-Verbräuche'!K105)</f>
        <v/>
      </c>
      <c r="K154" s="15" t="str">
        <f>IF(ISBLANK('Refsz-Verbräuche'!L105), "", 'Refsz-Verbräuche'!L105)</f>
        <v/>
      </c>
      <c r="L154" s="15" t="str">
        <f>IF(ISBLANK('Refsz-Verbräuche'!M105), "", 'Refsz-Verbräuche'!M105)</f>
        <v/>
      </c>
      <c r="M154" s="15" t="str">
        <f>IF(ISBLANK('Refsz-Verbräuche'!N105), "", 'Refsz-Verbräuche'!N105)</f>
        <v/>
      </c>
      <c r="N154" s="15" t="str">
        <f>IF(ISBLANK('Refsz-Verbräuche'!O105), "", 'Refsz-Verbräuche'!O105)</f>
        <v/>
      </c>
      <c r="O154" s="15" t="str">
        <f>IF(ISBLANK('Refsz-Verbräuche'!P105), "", 'Refsz-Verbräuche'!P105)</f>
        <v/>
      </c>
      <c r="P154" s="15" t="str">
        <f>IF(ISBLANK('Refsz-Verbräuche'!Q105), "", 'Refsz-Verbräuche'!Q105)</f>
        <v/>
      </c>
      <c r="Q154" s="15" t="str">
        <f>IF(ISBLANK('Refsz-Verbräuche'!R105), "", 'Refsz-Verbräuche'!R105)</f>
        <v/>
      </c>
      <c r="R154" s="15" t="str">
        <f>IF(ISBLANK('Refsz-Verbräuche'!S105), "", 'Refsz-Verbräuche'!S105)</f>
        <v/>
      </c>
      <c r="S154" s="15" t="str">
        <f>IF(ISBLANK('Refsz-Verbräuche'!T105), "", 'Refsz-Verbräuche'!T105)</f>
        <v/>
      </c>
      <c r="T154" s="15" t="str">
        <f>IF(ISBLANK('Refsz-Verbräuche'!U105), "", 'Refsz-Verbräuche'!U105)</f>
        <v/>
      </c>
      <c r="U154" s="15" t="str">
        <f>IF(ISBLANK('Refsz-Verbräuche'!V105), "", 'Refsz-Verbräuche'!V105)</f>
        <v/>
      </c>
      <c r="V154" s="15" t="str">
        <f>IF(ISBLANK('Refsz-Verbräuche'!W105), "", 'Refsz-Verbräuche'!W105)</f>
        <v/>
      </c>
      <c r="W154" s="15" t="str">
        <f>IF(ISBLANK('Refsz-Verbräuche'!X105), "", 'Refsz-Verbräuche'!X105)</f>
        <v/>
      </c>
    </row>
    <row r="155" spans="2:23" hidden="1" x14ac:dyDescent="0.35">
      <c r="B155" t="str">
        <f>'Refsz-Verbräuche'!C106</f>
        <v>DR - Mietwägen (Diesel)</v>
      </c>
      <c r="C155" t="str">
        <f>'Refsz-Verbräuche'!D106</f>
        <v>Fkm</v>
      </c>
      <c r="D155" s="15" t="str">
        <f>IF(ISBLANK('Refsz-Verbräuche'!E106), "", 'Refsz-Verbräuche'!E106)</f>
        <v/>
      </c>
      <c r="E155" s="15" t="str">
        <f>IF(ISBLANK('Refsz-Verbräuche'!F106), "", 'Refsz-Verbräuche'!F106)</f>
        <v/>
      </c>
      <c r="F155" s="15" t="str">
        <f>IF(ISBLANK('Refsz-Verbräuche'!G106), "", 'Refsz-Verbräuche'!G106)</f>
        <v/>
      </c>
      <c r="G155" s="15" t="str">
        <f>IF(ISBLANK('Refsz-Verbräuche'!H106), "", 'Refsz-Verbräuche'!H106)</f>
        <v/>
      </c>
      <c r="H155" s="15" t="str">
        <f>IF(ISBLANK('Refsz-Verbräuche'!I106), "", 'Refsz-Verbräuche'!I106)</f>
        <v/>
      </c>
      <c r="I155" s="15" t="str">
        <f>IF(ISBLANK('Refsz-Verbräuche'!J106), "", 'Refsz-Verbräuche'!J106)</f>
        <v/>
      </c>
      <c r="J155" s="15" t="str">
        <f>IF(ISBLANK('Refsz-Verbräuche'!K106), "", 'Refsz-Verbräuche'!K106)</f>
        <v/>
      </c>
      <c r="K155" s="15" t="str">
        <f>IF(ISBLANK('Refsz-Verbräuche'!L106), "", 'Refsz-Verbräuche'!L106)</f>
        <v/>
      </c>
      <c r="L155" s="15" t="str">
        <f>IF(ISBLANK('Refsz-Verbräuche'!M106), "", 'Refsz-Verbräuche'!M106)</f>
        <v/>
      </c>
      <c r="M155" s="15" t="str">
        <f>IF(ISBLANK('Refsz-Verbräuche'!N106), "", 'Refsz-Verbräuche'!N106)</f>
        <v/>
      </c>
      <c r="N155" s="15" t="str">
        <f>IF(ISBLANK('Refsz-Verbräuche'!O106), "", 'Refsz-Verbräuche'!O106)</f>
        <v/>
      </c>
      <c r="O155" s="15" t="str">
        <f>IF(ISBLANK('Refsz-Verbräuche'!P106), "", 'Refsz-Verbräuche'!P106)</f>
        <v/>
      </c>
      <c r="P155" s="15" t="str">
        <f>IF(ISBLANK('Refsz-Verbräuche'!Q106), "", 'Refsz-Verbräuche'!Q106)</f>
        <v/>
      </c>
      <c r="Q155" s="15" t="str">
        <f>IF(ISBLANK('Refsz-Verbräuche'!R106), "", 'Refsz-Verbräuche'!R106)</f>
        <v/>
      </c>
      <c r="R155" s="15" t="str">
        <f>IF(ISBLANK('Refsz-Verbräuche'!S106), "", 'Refsz-Verbräuche'!S106)</f>
        <v/>
      </c>
      <c r="S155" s="15" t="str">
        <f>IF(ISBLANK('Refsz-Verbräuche'!T106), "", 'Refsz-Verbräuche'!T106)</f>
        <v/>
      </c>
      <c r="T155" s="15" t="str">
        <f>IF(ISBLANK('Refsz-Verbräuche'!U106), "", 'Refsz-Verbräuche'!U106)</f>
        <v/>
      </c>
      <c r="U155" s="15" t="str">
        <f>IF(ISBLANK('Refsz-Verbräuche'!V106), "", 'Refsz-Verbräuche'!V106)</f>
        <v/>
      </c>
      <c r="V155" s="15" t="str">
        <f>IF(ISBLANK('Refsz-Verbräuche'!W106), "", 'Refsz-Verbräuche'!W106)</f>
        <v/>
      </c>
      <c r="W155" s="15" t="str">
        <f>IF(ISBLANK('Refsz-Verbräuche'!X106), "", 'Refsz-Verbräuche'!X106)</f>
        <v/>
      </c>
    </row>
    <row r="156" spans="2:23" hidden="1" x14ac:dyDescent="0.35">
      <c r="B156" t="str">
        <f>'Refsz-Verbräuche'!C107</f>
        <v>DR - Mietwägen (Benzin)</v>
      </c>
      <c r="C156" t="str">
        <f>'Refsz-Verbräuche'!D107</f>
        <v>Fkm</v>
      </c>
      <c r="D156" s="15" t="str">
        <f>IF(ISBLANK('Refsz-Verbräuche'!E107), "", 'Refsz-Verbräuche'!E107)</f>
        <v/>
      </c>
      <c r="E156" s="15" t="str">
        <f>IF(ISBLANK('Refsz-Verbräuche'!F107), "", 'Refsz-Verbräuche'!F107)</f>
        <v/>
      </c>
      <c r="F156" s="15" t="str">
        <f>IF(ISBLANK('Refsz-Verbräuche'!G107), "", 'Refsz-Verbräuche'!G107)</f>
        <v/>
      </c>
      <c r="G156" s="15" t="str">
        <f>IF(ISBLANK('Refsz-Verbräuche'!H107), "", 'Refsz-Verbräuche'!H107)</f>
        <v/>
      </c>
      <c r="H156" s="15" t="str">
        <f>IF(ISBLANK('Refsz-Verbräuche'!I107), "", 'Refsz-Verbräuche'!I107)</f>
        <v/>
      </c>
      <c r="I156" s="15" t="str">
        <f>IF(ISBLANK('Refsz-Verbräuche'!J107), "", 'Refsz-Verbräuche'!J107)</f>
        <v/>
      </c>
      <c r="J156" s="15" t="str">
        <f>IF(ISBLANK('Refsz-Verbräuche'!K107), "", 'Refsz-Verbräuche'!K107)</f>
        <v/>
      </c>
      <c r="K156" s="15" t="str">
        <f>IF(ISBLANK('Refsz-Verbräuche'!L107), "", 'Refsz-Verbräuche'!L107)</f>
        <v/>
      </c>
      <c r="L156" s="15" t="str">
        <f>IF(ISBLANK('Refsz-Verbräuche'!M107), "", 'Refsz-Verbräuche'!M107)</f>
        <v/>
      </c>
      <c r="M156" s="15" t="str">
        <f>IF(ISBLANK('Refsz-Verbräuche'!N107), "", 'Refsz-Verbräuche'!N107)</f>
        <v/>
      </c>
      <c r="N156" s="15" t="str">
        <f>IF(ISBLANK('Refsz-Verbräuche'!O107), "", 'Refsz-Verbräuche'!O107)</f>
        <v/>
      </c>
      <c r="O156" s="15" t="str">
        <f>IF(ISBLANK('Refsz-Verbräuche'!P107), "", 'Refsz-Verbräuche'!P107)</f>
        <v/>
      </c>
      <c r="P156" s="15" t="str">
        <f>IF(ISBLANK('Refsz-Verbräuche'!Q107), "", 'Refsz-Verbräuche'!Q107)</f>
        <v/>
      </c>
      <c r="Q156" s="15" t="str">
        <f>IF(ISBLANK('Refsz-Verbräuche'!R107), "", 'Refsz-Verbräuche'!R107)</f>
        <v/>
      </c>
      <c r="R156" s="15" t="str">
        <f>IF(ISBLANK('Refsz-Verbräuche'!S107), "", 'Refsz-Verbräuche'!S107)</f>
        <v/>
      </c>
      <c r="S156" s="15" t="str">
        <f>IF(ISBLANK('Refsz-Verbräuche'!T107), "", 'Refsz-Verbräuche'!T107)</f>
        <v/>
      </c>
      <c r="T156" s="15" t="str">
        <f>IF(ISBLANK('Refsz-Verbräuche'!U107), "", 'Refsz-Verbräuche'!U107)</f>
        <v/>
      </c>
      <c r="U156" s="15" t="str">
        <f>IF(ISBLANK('Refsz-Verbräuche'!V107), "", 'Refsz-Verbräuche'!V107)</f>
        <v/>
      </c>
      <c r="V156" s="15" t="str">
        <f>IF(ISBLANK('Refsz-Verbräuche'!W107), "", 'Refsz-Verbräuche'!W107)</f>
        <v/>
      </c>
      <c r="W156" s="15" t="str">
        <f>IF(ISBLANK('Refsz-Verbräuche'!X107), "", 'Refsz-Verbräuche'!X107)</f>
        <v/>
      </c>
    </row>
    <row r="157" spans="2:23" hidden="1" x14ac:dyDescent="0.35">
      <c r="B157" t="str">
        <f>'Refsz-Verbräuche'!C108</f>
        <v>DR - Mietwägen (E-Auto/ BEV)</v>
      </c>
      <c r="C157" t="str">
        <f>'Refsz-Verbräuche'!D108</f>
        <v>Fkm</v>
      </c>
      <c r="D157" s="15" t="str">
        <f>IF(ISBLANK('Refsz-Verbräuche'!E108), "", 'Refsz-Verbräuche'!E108)</f>
        <v/>
      </c>
      <c r="E157" s="15" t="str">
        <f>IF(ISBLANK('Refsz-Verbräuche'!F108), "", 'Refsz-Verbräuche'!F108)</f>
        <v/>
      </c>
      <c r="F157" s="15" t="str">
        <f>IF(ISBLANK('Refsz-Verbräuche'!G108), "", 'Refsz-Verbräuche'!G108)</f>
        <v/>
      </c>
      <c r="G157" s="15" t="str">
        <f>IF(ISBLANK('Refsz-Verbräuche'!H108), "", 'Refsz-Verbräuche'!H108)</f>
        <v/>
      </c>
      <c r="H157" s="15" t="str">
        <f>IF(ISBLANK('Refsz-Verbräuche'!I108), "", 'Refsz-Verbräuche'!I108)</f>
        <v/>
      </c>
      <c r="I157" s="15" t="str">
        <f>IF(ISBLANK('Refsz-Verbräuche'!J108), "", 'Refsz-Verbräuche'!J108)</f>
        <v/>
      </c>
      <c r="J157" s="15" t="str">
        <f>IF(ISBLANK('Refsz-Verbräuche'!K108), "", 'Refsz-Verbräuche'!K108)</f>
        <v/>
      </c>
      <c r="K157" s="15" t="str">
        <f>IF(ISBLANK('Refsz-Verbräuche'!L108), "", 'Refsz-Verbräuche'!L108)</f>
        <v/>
      </c>
      <c r="L157" s="15" t="str">
        <f>IF(ISBLANK('Refsz-Verbräuche'!M108), "", 'Refsz-Verbräuche'!M108)</f>
        <v/>
      </c>
      <c r="M157" s="15" t="str">
        <f>IF(ISBLANK('Refsz-Verbräuche'!N108), "", 'Refsz-Verbräuche'!N108)</f>
        <v/>
      </c>
      <c r="N157" s="15" t="str">
        <f>IF(ISBLANK('Refsz-Verbräuche'!O108), "", 'Refsz-Verbräuche'!O108)</f>
        <v/>
      </c>
      <c r="O157" s="15" t="str">
        <f>IF(ISBLANK('Refsz-Verbräuche'!P108), "", 'Refsz-Verbräuche'!P108)</f>
        <v/>
      </c>
      <c r="P157" s="15" t="str">
        <f>IF(ISBLANK('Refsz-Verbräuche'!Q108), "", 'Refsz-Verbräuche'!Q108)</f>
        <v/>
      </c>
      <c r="Q157" s="15" t="str">
        <f>IF(ISBLANK('Refsz-Verbräuche'!R108), "", 'Refsz-Verbräuche'!R108)</f>
        <v/>
      </c>
      <c r="R157" s="15" t="str">
        <f>IF(ISBLANK('Refsz-Verbräuche'!S108), "", 'Refsz-Verbräuche'!S108)</f>
        <v/>
      </c>
      <c r="S157" s="15" t="str">
        <f>IF(ISBLANK('Refsz-Verbräuche'!T108), "", 'Refsz-Verbräuche'!T108)</f>
        <v/>
      </c>
      <c r="T157" s="15" t="str">
        <f>IF(ISBLANK('Refsz-Verbräuche'!U108), "", 'Refsz-Verbräuche'!U108)</f>
        <v/>
      </c>
      <c r="U157" s="15" t="str">
        <f>IF(ISBLANK('Refsz-Verbräuche'!V108), "", 'Refsz-Verbräuche'!V108)</f>
        <v/>
      </c>
      <c r="V157" s="15" t="str">
        <f>IF(ISBLANK('Refsz-Verbräuche'!W108), "", 'Refsz-Verbräuche'!W108)</f>
        <v/>
      </c>
      <c r="W157" s="15" t="str">
        <f>IF(ISBLANK('Refsz-Verbräuche'!X108), "", 'Refsz-Verbräuche'!X108)</f>
        <v/>
      </c>
    </row>
    <row r="158" spans="2:23" hidden="1" x14ac:dyDescent="0.35">
      <c r="B158" t="str">
        <f>'Refsz-Verbräuche'!C109</f>
        <v>DR - Mietwägen (Wasserstoff/ FCEV)</v>
      </c>
      <c r="C158" t="str">
        <f>'Refsz-Verbräuche'!D109</f>
        <v>Fkm</v>
      </c>
      <c r="D158" s="15" t="str">
        <f>IF(ISBLANK('Refsz-Verbräuche'!E109), "", 'Refsz-Verbräuche'!E109)</f>
        <v/>
      </c>
      <c r="E158" s="15" t="str">
        <f>IF(ISBLANK('Refsz-Verbräuche'!F109), "", 'Refsz-Verbräuche'!F109)</f>
        <v/>
      </c>
      <c r="F158" s="15" t="str">
        <f>IF(ISBLANK('Refsz-Verbräuche'!G109), "", 'Refsz-Verbräuche'!G109)</f>
        <v/>
      </c>
      <c r="G158" s="15" t="str">
        <f>IF(ISBLANK('Refsz-Verbräuche'!H109), "", 'Refsz-Verbräuche'!H109)</f>
        <v/>
      </c>
      <c r="H158" s="15" t="str">
        <f>IF(ISBLANK('Refsz-Verbräuche'!I109), "", 'Refsz-Verbräuche'!I109)</f>
        <v/>
      </c>
      <c r="I158" s="15" t="str">
        <f>IF(ISBLANK('Refsz-Verbräuche'!J109), "", 'Refsz-Verbräuche'!J109)</f>
        <v/>
      </c>
      <c r="J158" s="15" t="str">
        <f>IF(ISBLANK('Refsz-Verbräuche'!K109), "", 'Refsz-Verbräuche'!K109)</f>
        <v/>
      </c>
      <c r="K158" s="15" t="str">
        <f>IF(ISBLANK('Refsz-Verbräuche'!L109), "", 'Refsz-Verbräuche'!L109)</f>
        <v/>
      </c>
      <c r="L158" s="15" t="str">
        <f>IF(ISBLANK('Refsz-Verbräuche'!M109), "", 'Refsz-Verbräuche'!M109)</f>
        <v/>
      </c>
      <c r="M158" s="15" t="str">
        <f>IF(ISBLANK('Refsz-Verbräuche'!N109), "", 'Refsz-Verbräuche'!N109)</f>
        <v/>
      </c>
      <c r="N158" s="15" t="str">
        <f>IF(ISBLANK('Refsz-Verbräuche'!O109), "", 'Refsz-Verbräuche'!O109)</f>
        <v/>
      </c>
      <c r="O158" s="15" t="str">
        <f>IF(ISBLANK('Refsz-Verbräuche'!P109), "", 'Refsz-Verbräuche'!P109)</f>
        <v/>
      </c>
      <c r="P158" s="15" t="str">
        <f>IF(ISBLANK('Refsz-Verbräuche'!Q109), "", 'Refsz-Verbräuche'!Q109)</f>
        <v/>
      </c>
      <c r="Q158" s="15" t="str">
        <f>IF(ISBLANK('Refsz-Verbräuche'!R109), "", 'Refsz-Verbräuche'!R109)</f>
        <v/>
      </c>
      <c r="R158" s="15" t="str">
        <f>IF(ISBLANK('Refsz-Verbräuche'!S109), "", 'Refsz-Verbräuche'!S109)</f>
        <v/>
      </c>
      <c r="S158" s="15" t="str">
        <f>IF(ISBLANK('Refsz-Verbräuche'!T109), "", 'Refsz-Verbräuche'!T109)</f>
        <v/>
      </c>
      <c r="T158" s="15" t="str">
        <f>IF(ISBLANK('Refsz-Verbräuche'!U109), "", 'Refsz-Verbräuche'!U109)</f>
        <v/>
      </c>
      <c r="U158" s="15" t="str">
        <f>IF(ISBLANK('Refsz-Verbräuche'!V109), "", 'Refsz-Verbräuche'!V109)</f>
        <v/>
      </c>
      <c r="V158" s="15" t="str">
        <f>IF(ISBLANK('Refsz-Verbräuche'!W109), "", 'Refsz-Verbräuche'!W109)</f>
        <v/>
      </c>
      <c r="W158" s="15" t="str">
        <f>IF(ISBLANK('Refsz-Verbräuche'!X109), "", 'Refsz-Verbräuche'!X109)</f>
        <v/>
      </c>
    </row>
    <row r="159" spans="2:23" hidden="1" x14ac:dyDescent="0.35">
      <c r="B159" t="str">
        <f>'Refsz-Verbräuche'!C110</f>
        <v>DR - Mietwägen (CNG)</v>
      </c>
      <c r="C159" t="str">
        <f>'Refsz-Verbräuche'!D110</f>
        <v>Fkm</v>
      </c>
      <c r="D159" s="15" t="str">
        <f>IF(ISBLANK('Refsz-Verbräuche'!E110), "", 'Refsz-Verbräuche'!E110)</f>
        <v/>
      </c>
      <c r="E159" s="15" t="str">
        <f>IF(ISBLANK('Refsz-Verbräuche'!F110), "", 'Refsz-Verbräuche'!F110)</f>
        <v/>
      </c>
      <c r="F159" s="15" t="str">
        <f>IF(ISBLANK('Refsz-Verbräuche'!G110), "", 'Refsz-Verbräuche'!G110)</f>
        <v/>
      </c>
      <c r="G159" s="15" t="str">
        <f>IF(ISBLANK('Refsz-Verbräuche'!H110), "", 'Refsz-Verbräuche'!H110)</f>
        <v/>
      </c>
      <c r="H159" s="15" t="str">
        <f>IF(ISBLANK('Refsz-Verbräuche'!I110), "", 'Refsz-Verbräuche'!I110)</f>
        <v/>
      </c>
      <c r="I159" s="15" t="str">
        <f>IF(ISBLANK('Refsz-Verbräuche'!J110), "", 'Refsz-Verbräuche'!J110)</f>
        <v/>
      </c>
      <c r="J159" s="15" t="str">
        <f>IF(ISBLANK('Refsz-Verbräuche'!K110), "", 'Refsz-Verbräuche'!K110)</f>
        <v/>
      </c>
      <c r="K159" s="15" t="str">
        <f>IF(ISBLANK('Refsz-Verbräuche'!L110), "", 'Refsz-Verbräuche'!L110)</f>
        <v/>
      </c>
      <c r="L159" s="15" t="str">
        <f>IF(ISBLANK('Refsz-Verbräuche'!M110), "", 'Refsz-Verbräuche'!M110)</f>
        <v/>
      </c>
      <c r="M159" s="15" t="str">
        <f>IF(ISBLANK('Refsz-Verbräuche'!N110), "", 'Refsz-Verbräuche'!N110)</f>
        <v/>
      </c>
      <c r="N159" s="15" t="str">
        <f>IF(ISBLANK('Refsz-Verbräuche'!O110), "", 'Refsz-Verbräuche'!O110)</f>
        <v/>
      </c>
      <c r="O159" s="15" t="str">
        <f>IF(ISBLANK('Refsz-Verbräuche'!P110), "", 'Refsz-Verbräuche'!P110)</f>
        <v/>
      </c>
      <c r="P159" s="15" t="str">
        <f>IF(ISBLANK('Refsz-Verbräuche'!Q110), "", 'Refsz-Verbräuche'!Q110)</f>
        <v/>
      </c>
      <c r="Q159" s="15" t="str">
        <f>IF(ISBLANK('Refsz-Verbräuche'!R110), "", 'Refsz-Verbräuche'!R110)</f>
        <v/>
      </c>
      <c r="R159" s="15" t="str">
        <f>IF(ISBLANK('Refsz-Verbräuche'!S110), "", 'Refsz-Verbräuche'!S110)</f>
        <v/>
      </c>
      <c r="S159" s="15" t="str">
        <f>IF(ISBLANK('Refsz-Verbräuche'!T110), "", 'Refsz-Verbräuche'!T110)</f>
        <v/>
      </c>
      <c r="T159" s="15" t="str">
        <f>IF(ISBLANK('Refsz-Verbräuche'!U110), "", 'Refsz-Verbräuche'!U110)</f>
        <v/>
      </c>
      <c r="U159" s="15" t="str">
        <f>IF(ISBLANK('Refsz-Verbräuche'!V110), "", 'Refsz-Verbräuche'!V110)</f>
        <v/>
      </c>
      <c r="V159" s="15" t="str">
        <f>IF(ISBLANK('Refsz-Verbräuche'!W110), "", 'Refsz-Verbräuche'!W110)</f>
        <v/>
      </c>
      <c r="W159" s="15" t="str">
        <f>IF(ISBLANK('Refsz-Verbräuche'!X110), "", 'Refsz-Verbräuche'!X110)</f>
        <v/>
      </c>
    </row>
    <row r="160" spans="2:23" hidden="1" x14ac:dyDescent="0.35">
      <c r="B160" t="str">
        <f>'Refsz-Verbräuche'!C113</f>
        <v>DR - Fahrrad</v>
      </c>
      <c r="C160" t="str">
        <f>'Refsz-Verbräuche'!D111</f>
        <v>Fkm</v>
      </c>
      <c r="D160" s="15" t="str">
        <f>IF(ISBLANK('Refsz-Verbräuche'!E113), "", 'Refsz-Verbräuche'!E113)</f>
        <v/>
      </c>
      <c r="E160" s="15" t="str">
        <f>IF(ISBLANK('Refsz-Verbräuche'!F113), "", 'Refsz-Verbräuche'!F113)</f>
        <v/>
      </c>
      <c r="F160" s="15" t="str">
        <f>IF(ISBLANK('Refsz-Verbräuche'!G113), "", 'Refsz-Verbräuche'!G113)</f>
        <v/>
      </c>
      <c r="G160" s="15" t="str">
        <f>IF(ISBLANK('Refsz-Verbräuche'!H113), "", 'Refsz-Verbräuche'!H113)</f>
        <v/>
      </c>
      <c r="H160" s="15" t="str">
        <f>IF(ISBLANK('Refsz-Verbräuche'!I113), "", 'Refsz-Verbräuche'!I113)</f>
        <v/>
      </c>
      <c r="I160" s="15" t="str">
        <f>IF(ISBLANK('Refsz-Verbräuche'!J113), "", 'Refsz-Verbräuche'!J113)</f>
        <v/>
      </c>
      <c r="J160" s="15" t="str">
        <f>IF(ISBLANK('Refsz-Verbräuche'!K113), "", 'Refsz-Verbräuche'!K113)</f>
        <v/>
      </c>
      <c r="K160" s="15" t="str">
        <f>IF(ISBLANK('Refsz-Verbräuche'!L113), "", 'Refsz-Verbräuche'!L113)</f>
        <v/>
      </c>
      <c r="L160" s="15" t="str">
        <f>IF(ISBLANK('Refsz-Verbräuche'!M113), "", 'Refsz-Verbräuche'!M113)</f>
        <v/>
      </c>
      <c r="M160" s="15" t="str">
        <f>IF(ISBLANK('Refsz-Verbräuche'!N113), "", 'Refsz-Verbräuche'!N113)</f>
        <v/>
      </c>
      <c r="N160" s="15" t="str">
        <f>IF(ISBLANK('Refsz-Verbräuche'!O113), "", 'Refsz-Verbräuche'!O113)</f>
        <v/>
      </c>
      <c r="O160" s="15" t="str">
        <f>IF(ISBLANK('Refsz-Verbräuche'!P113), "", 'Refsz-Verbräuche'!P113)</f>
        <v/>
      </c>
      <c r="P160" s="15" t="str">
        <f>IF(ISBLANK('Refsz-Verbräuche'!Q113), "", 'Refsz-Verbräuche'!Q113)</f>
        <v/>
      </c>
      <c r="Q160" s="15" t="str">
        <f>IF(ISBLANK('Refsz-Verbräuche'!R113), "", 'Refsz-Verbräuche'!R113)</f>
        <v/>
      </c>
      <c r="R160" s="15" t="str">
        <f>IF(ISBLANK('Refsz-Verbräuche'!S113), "", 'Refsz-Verbräuche'!S113)</f>
        <v/>
      </c>
      <c r="S160" s="15" t="str">
        <f>IF(ISBLANK('Refsz-Verbräuche'!T113), "", 'Refsz-Verbräuche'!T113)</f>
        <v/>
      </c>
      <c r="T160" s="15" t="str">
        <f>IF(ISBLANK('Refsz-Verbräuche'!U113), "", 'Refsz-Verbräuche'!U113)</f>
        <v/>
      </c>
      <c r="U160" s="15" t="str">
        <f>IF(ISBLANK('Refsz-Verbräuche'!V113), "", 'Refsz-Verbräuche'!V113)</f>
        <v/>
      </c>
      <c r="V160" s="15" t="str">
        <f>IF(ISBLANK('Refsz-Verbräuche'!W113), "", 'Refsz-Verbräuche'!W113)</f>
        <v/>
      </c>
      <c r="W160" s="15" t="str">
        <f>IF(ISBLANK('Refsz-Verbräuche'!X113), "", 'Refsz-Verbräuche'!X113)</f>
        <v/>
      </c>
    </row>
    <row r="161" spans="2:23" hidden="1" x14ac:dyDescent="0.35">
      <c r="B161" t="str">
        <f>'Refsz-Verbräuche'!C115</f>
        <v>Studierendenreisen (Outgoing) - Flugreisen</v>
      </c>
      <c r="C161" t="str">
        <f>'Refsz-Verbräuche'!D115</f>
        <v>Pkm</v>
      </c>
      <c r="D161" s="15" t="str">
        <f>IF(ISBLANK('Refsz-Verbräuche'!E115), "", 'Refsz-Verbräuche'!E115)</f>
        <v/>
      </c>
      <c r="E161" s="15" t="str">
        <f>IF(ISBLANK('Refsz-Verbräuche'!F115), "", 'Refsz-Verbräuche'!F115)</f>
        <v/>
      </c>
      <c r="F161" s="15" t="str">
        <f>IF(ISBLANK('Refsz-Verbräuche'!G115), "", 'Refsz-Verbräuche'!G115)</f>
        <v/>
      </c>
      <c r="G161" s="15" t="str">
        <f>IF(ISBLANK('Refsz-Verbräuche'!H115), "", 'Refsz-Verbräuche'!H115)</f>
        <v/>
      </c>
      <c r="H161" s="15" t="str">
        <f>IF(ISBLANK('Refsz-Verbräuche'!I115), "", 'Refsz-Verbräuche'!I115)</f>
        <v/>
      </c>
      <c r="I161" s="15" t="str">
        <f>IF(ISBLANK('Refsz-Verbräuche'!J115), "", 'Refsz-Verbräuche'!J115)</f>
        <v/>
      </c>
      <c r="J161" s="15" t="str">
        <f>IF(ISBLANK('Refsz-Verbräuche'!K115), "", 'Refsz-Verbräuche'!K115)</f>
        <v/>
      </c>
      <c r="K161" s="15" t="str">
        <f>IF(ISBLANK('Refsz-Verbräuche'!L115), "", 'Refsz-Verbräuche'!L115)</f>
        <v/>
      </c>
      <c r="L161" s="15" t="str">
        <f>IF(ISBLANK('Refsz-Verbräuche'!M115), "", 'Refsz-Verbräuche'!M115)</f>
        <v/>
      </c>
      <c r="M161" s="15" t="str">
        <f>IF(ISBLANK('Refsz-Verbräuche'!N115), "", 'Refsz-Verbräuche'!N115)</f>
        <v/>
      </c>
      <c r="N161" s="15" t="str">
        <f>IF(ISBLANK('Refsz-Verbräuche'!O115), "", 'Refsz-Verbräuche'!O115)</f>
        <v/>
      </c>
      <c r="O161" s="15" t="str">
        <f>IF(ISBLANK('Refsz-Verbräuche'!P115), "", 'Refsz-Verbräuche'!P115)</f>
        <v/>
      </c>
      <c r="P161" s="15" t="str">
        <f>IF(ISBLANK('Refsz-Verbräuche'!Q115), "", 'Refsz-Verbräuche'!Q115)</f>
        <v/>
      </c>
      <c r="Q161" s="15" t="str">
        <f>IF(ISBLANK('Refsz-Verbräuche'!R115), "", 'Refsz-Verbräuche'!R115)</f>
        <v/>
      </c>
      <c r="R161" s="15" t="str">
        <f>IF(ISBLANK('Refsz-Verbräuche'!S115), "", 'Refsz-Verbräuche'!S115)</f>
        <v/>
      </c>
      <c r="S161" s="15" t="str">
        <f>IF(ISBLANK('Refsz-Verbräuche'!T115), "", 'Refsz-Verbräuche'!T115)</f>
        <v/>
      </c>
      <c r="T161" s="15" t="str">
        <f>IF(ISBLANK('Refsz-Verbräuche'!U115), "", 'Refsz-Verbräuche'!U115)</f>
        <v/>
      </c>
      <c r="U161" s="15" t="str">
        <f>IF(ISBLANK('Refsz-Verbräuche'!V115), "", 'Refsz-Verbräuche'!V115)</f>
        <v/>
      </c>
      <c r="V161" s="15" t="str">
        <f>IF(ISBLANK('Refsz-Verbräuche'!W115), "", 'Refsz-Verbräuche'!W115)</f>
        <v/>
      </c>
      <c r="W161" s="15" t="str">
        <f>IF(ISBLANK('Refsz-Verbräuche'!X115), "", 'Refsz-Verbräuche'!X115)</f>
        <v/>
      </c>
    </row>
    <row r="162" spans="2:23" hidden="1" x14ac:dyDescent="0.35">
      <c r="B162" t="str">
        <f>'Refsz-Verbräuche'!C116</f>
        <v>Studierendenreisen (Outgoing) - Eisenbahn (Nahverkehr)</v>
      </c>
      <c r="C162" t="str">
        <f>'Refsz-Verbräuche'!D116</f>
        <v>Pkm</v>
      </c>
      <c r="D162" s="15" t="str">
        <f>IF(ISBLANK('Refsz-Verbräuche'!E116), "", 'Refsz-Verbräuche'!E116)</f>
        <v/>
      </c>
      <c r="E162" s="15" t="str">
        <f>IF(ISBLANK('Refsz-Verbräuche'!F116), "", 'Refsz-Verbräuche'!F116)</f>
        <v/>
      </c>
      <c r="F162" s="15" t="str">
        <f>IF(ISBLANK('Refsz-Verbräuche'!G116), "", 'Refsz-Verbräuche'!G116)</f>
        <v/>
      </c>
      <c r="G162" s="15" t="str">
        <f>IF(ISBLANK('Refsz-Verbräuche'!H116), "", 'Refsz-Verbräuche'!H116)</f>
        <v/>
      </c>
      <c r="H162" s="15" t="str">
        <f>IF(ISBLANK('Refsz-Verbräuche'!I116), "", 'Refsz-Verbräuche'!I116)</f>
        <v/>
      </c>
      <c r="I162" s="15" t="str">
        <f>IF(ISBLANK('Refsz-Verbräuche'!J116), "", 'Refsz-Verbräuche'!J116)</f>
        <v/>
      </c>
      <c r="J162" s="15" t="str">
        <f>IF(ISBLANK('Refsz-Verbräuche'!K116), "", 'Refsz-Verbräuche'!K116)</f>
        <v/>
      </c>
      <c r="K162" s="15" t="str">
        <f>IF(ISBLANK('Refsz-Verbräuche'!L116), "", 'Refsz-Verbräuche'!L116)</f>
        <v/>
      </c>
      <c r="L162" s="15" t="str">
        <f>IF(ISBLANK('Refsz-Verbräuche'!M116), "", 'Refsz-Verbräuche'!M116)</f>
        <v/>
      </c>
      <c r="M162" s="15" t="str">
        <f>IF(ISBLANK('Refsz-Verbräuche'!N116), "", 'Refsz-Verbräuche'!N116)</f>
        <v/>
      </c>
      <c r="N162" s="15" t="str">
        <f>IF(ISBLANK('Refsz-Verbräuche'!O116), "", 'Refsz-Verbräuche'!O116)</f>
        <v/>
      </c>
      <c r="O162" s="15" t="str">
        <f>IF(ISBLANK('Refsz-Verbräuche'!P116), "", 'Refsz-Verbräuche'!P116)</f>
        <v/>
      </c>
      <c r="P162" s="15" t="str">
        <f>IF(ISBLANK('Refsz-Verbräuche'!Q116), "", 'Refsz-Verbräuche'!Q116)</f>
        <v/>
      </c>
      <c r="Q162" s="15" t="str">
        <f>IF(ISBLANK('Refsz-Verbräuche'!R116), "", 'Refsz-Verbräuche'!R116)</f>
        <v/>
      </c>
      <c r="R162" s="15" t="str">
        <f>IF(ISBLANK('Refsz-Verbräuche'!S116), "", 'Refsz-Verbräuche'!S116)</f>
        <v/>
      </c>
      <c r="S162" s="15" t="str">
        <f>IF(ISBLANK('Refsz-Verbräuche'!T116), "", 'Refsz-Verbräuche'!T116)</f>
        <v/>
      </c>
      <c r="T162" s="15" t="str">
        <f>IF(ISBLANK('Refsz-Verbräuche'!U116), "", 'Refsz-Verbräuche'!U116)</f>
        <v/>
      </c>
      <c r="U162" s="15" t="str">
        <f>IF(ISBLANK('Refsz-Verbräuche'!V116), "", 'Refsz-Verbräuche'!V116)</f>
        <v/>
      </c>
      <c r="V162" s="15" t="str">
        <f>IF(ISBLANK('Refsz-Verbräuche'!W116), "", 'Refsz-Verbräuche'!W116)</f>
        <v/>
      </c>
      <c r="W162" s="15" t="str">
        <f>IF(ISBLANK('Refsz-Verbräuche'!X116), "", 'Refsz-Verbräuche'!X116)</f>
        <v/>
      </c>
    </row>
    <row r="163" spans="2:23" hidden="1" x14ac:dyDescent="0.35">
      <c r="B163" t="str">
        <f>'Refsz-Verbräuche'!C117</f>
        <v>Studierendenreisen (Outgoing) - Privater PKW (alle Antriebsarten)</v>
      </c>
      <c r="C163" t="str">
        <f>'Refsz-Verbräuche'!D117</f>
        <v>Fkm</v>
      </c>
      <c r="D163" s="15" t="str">
        <f>IF(ISBLANK('Refsz-Verbräuche'!E117), "", 'Refsz-Verbräuche'!E117)</f>
        <v/>
      </c>
      <c r="E163" s="15" t="str">
        <f>IF(ISBLANK('Refsz-Verbräuche'!F117), "", 'Refsz-Verbräuche'!F117)</f>
        <v/>
      </c>
      <c r="F163" s="15" t="str">
        <f>IF(ISBLANK('Refsz-Verbräuche'!G117), "", 'Refsz-Verbräuche'!G117)</f>
        <v/>
      </c>
      <c r="G163" s="15" t="str">
        <f>IF(ISBLANK('Refsz-Verbräuche'!H117), "", 'Refsz-Verbräuche'!H117)</f>
        <v/>
      </c>
      <c r="H163" s="15" t="str">
        <f>IF(ISBLANK('Refsz-Verbräuche'!I117), "", 'Refsz-Verbräuche'!I117)</f>
        <v/>
      </c>
      <c r="I163" s="15" t="str">
        <f>IF(ISBLANK('Refsz-Verbräuche'!J117), "", 'Refsz-Verbräuche'!J117)</f>
        <v/>
      </c>
      <c r="J163" s="15" t="str">
        <f>IF(ISBLANK('Refsz-Verbräuche'!K117), "", 'Refsz-Verbräuche'!K117)</f>
        <v/>
      </c>
      <c r="K163" s="15" t="str">
        <f>IF(ISBLANK('Refsz-Verbräuche'!L117), "", 'Refsz-Verbräuche'!L117)</f>
        <v/>
      </c>
      <c r="L163" s="15" t="str">
        <f>IF(ISBLANK('Refsz-Verbräuche'!M117), "", 'Refsz-Verbräuche'!M117)</f>
        <v/>
      </c>
      <c r="M163" s="15" t="str">
        <f>IF(ISBLANK('Refsz-Verbräuche'!N117), "", 'Refsz-Verbräuche'!N117)</f>
        <v/>
      </c>
      <c r="N163" s="15" t="str">
        <f>IF(ISBLANK('Refsz-Verbräuche'!O117), "", 'Refsz-Verbräuche'!O117)</f>
        <v/>
      </c>
      <c r="O163" s="15" t="str">
        <f>IF(ISBLANK('Refsz-Verbräuche'!P117), "", 'Refsz-Verbräuche'!P117)</f>
        <v/>
      </c>
      <c r="P163" s="15" t="str">
        <f>IF(ISBLANK('Refsz-Verbräuche'!Q117), "", 'Refsz-Verbräuche'!Q117)</f>
        <v/>
      </c>
      <c r="Q163" s="15" t="str">
        <f>IF(ISBLANK('Refsz-Verbräuche'!R117), "", 'Refsz-Verbräuche'!R117)</f>
        <v/>
      </c>
      <c r="R163" s="15" t="str">
        <f>IF(ISBLANK('Refsz-Verbräuche'!S117), "", 'Refsz-Verbräuche'!S117)</f>
        <v/>
      </c>
      <c r="S163" s="15" t="str">
        <f>IF(ISBLANK('Refsz-Verbräuche'!T117), "", 'Refsz-Verbräuche'!T117)</f>
        <v/>
      </c>
      <c r="T163" s="15" t="str">
        <f>IF(ISBLANK('Refsz-Verbräuche'!U117), "", 'Refsz-Verbräuche'!U117)</f>
        <v/>
      </c>
      <c r="U163" s="15" t="str">
        <f>IF(ISBLANK('Refsz-Verbräuche'!V117), "", 'Refsz-Verbräuche'!V117)</f>
        <v/>
      </c>
      <c r="V163" s="15" t="str">
        <f>IF(ISBLANK('Refsz-Verbräuche'!W117), "", 'Refsz-Verbräuche'!W117)</f>
        <v/>
      </c>
      <c r="W163" s="15" t="str">
        <f>IF(ISBLANK('Refsz-Verbräuche'!X117), "", 'Refsz-Verbräuche'!X117)</f>
        <v/>
      </c>
    </row>
    <row r="164" spans="2:23" hidden="1" x14ac:dyDescent="0.35">
      <c r="B164" t="str">
        <f>'Refsz-Verbräuche'!C119</f>
        <v>Exkursionen - Flugreisen</v>
      </c>
      <c r="C164" t="str">
        <f>'Refsz-Verbräuche'!D119</f>
        <v>Pkm</v>
      </c>
      <c r="D164" s="15" t="str">
        <f>IF(ISBLANK('Refsz-Verbräuche'!E119), "", 'Refsz-Verbräuche'!E119)</f>
        <v/>
      </c>
      <c r="E164" s="15" t="str">
        <f>IF(ISBLANK('Refsz-Verbräuche'!F119), "", 'Refsz-Verbräuche'!F119)</f>
        <v/>
      </c>
      <c r="F164" s="15" t="str">
        <f>IF(ISBLANK('Refsz-Verbräuche'!G119), "", 'Refsz-Verbräuche'!G119)</f>
        <v/>
      </c>
      <c r="G164" s="15" t="str">
        <f>IF(ISBLANK('Refsz-Verbräuche'!H119), "", 'Refsz-Verbräuche'!H119)</f>
        <v/>
      </c>
      <c r="H164" s="15" t="str">
        <f>IF(ISBLANK('Refsz-Verbräuche'!I119), "", 'Refsz-Verbräuche'!I119)</f>
        <v/>
      </c>
      <c r="I164" s="15" t="str">
        <f>IF(ISBLANK('Refsz-Verbräuche'!J119), "", 'Refsz-Verbräuche'!J119)</f>
        <v/>
      </c>
      <c r="J164" s="15" t="str">
        <f>IF(ISBLANK('Refsz-Verbräuche'!K119), "", 'Refsz-Verbräuche'!K119)</f>
        <v/>
      </c>
      <c r="K164" s="15" t="str">
        <f>IF(ISBLANK('Refsz-Verbräuche'!L119), "", 'Refsz-Verbräuche'!L119)</f>
        <v/>
      </c>
      <c r="L164" s="15" t="str">
        <f>IF(ISBLANK('Refsz-Verbräuche'!M119), "", 'Refsz-Verbräuche'!M119)</f>
        <v/>
      </c>
      <c r="M164" s="15" t="str">
        <f>IF(ISBLANK('Refsz-Verbräuche'!N119), "", 'Refsz-Verbräuche'!N119)</f>
        <v/>
      </c>
      <c r="N164" s="15" t="str">
        <f>IF(ISBLANK('Refsz-Verbräuche'!O119), "", 'Refsz-Verbräuche'!O119)</f>
        <v/>
      </c>
      <c r="O164" s="15" t="str">
        <f>IF(ISBLANK('Refsz-Verbräuche'!P119), "", 'Refsz-Verbräuche'!P119)</f>
        <v/>
      </c>
      <c r="P164" s="15" t="str">
        <f>IF(ISBLANK('Refsz-Verbräuche'!Q119), "", 'Refsz-Verbräuche'!Q119)</f>
        <v/>
      </c>
      <c r="Q164" s="15" t="str">
        <f>IF(ISBLANK('Refsz-Verbräuche'!R119), "", 'Refsz-Verbräuche'!R119)</f>
        <v/>
      </c>
      <c r="R164" s="15" t="str">
        <f>IF(ISBLANK('Refsz-Verbräuche'!S119), "", 'Refsz-Verbräuche'!S119)</f>
        <v/>
      </c>
      <c r="S164" s="15" t="str">
        <f>IF(ISBLANK('Refsz-Verbräuche'!T119), "", 'Refsz-Verbräuche'!T119)</f>
        <v/>
      </c>
      <c r="T164" s="15" t="str">
        <f>IF(ISBLANK('Refsz-Verbräuche'!U119), "", 'Refsz-Verbräuche'!U119)</f>
        <v/>
      </c>
      <c r="U164" s="15" t="str">
        <f>IF(ISBLANK('Refsz-Verbräuche'!V119), "", 'Refsz-Verbräuche'!V119)</f>
        <v/>
      </c>
      <c r="V164" s="15" t="str">
        <f>IF(ISBLANK('Refsz-Verbräuche'!W119), "", 'Refsz-Verbräuche'!W119)</f>
        <v/>
      </c>
      <c r="W164" s="15" t="str">
        <f>IF(ISBLANK('Refsz-Verbräuche'!X119), "", 'Refsz-Verbräuche'!X119)</f>
        <v/>
      </c>
    </row>
    <row r="165" spans="2:23" hidden="1" x14ac:dyDescent="0.35">
      <c r="B165" t="str">
        <f>'Refsz-Verbräuche'!C120</f>
        <v>Exkursionen - Eisenbahn (Nahverkehr)</v>
      </c>
      <c r="C165" t="str">
        <f>'Refsz-Verbräuche'!D120</f>
        <v>Pkm</v>
      </c>
      <c r="D165" s="15" t="str">
        <f>IF(ISBLANK('Refsz-Verbräuche'!E120), "", 'Refsz-Verbräuche'!E120)</f>
        <v/>
      </c>
      <c r="E165" s="15" t="str">
        <f>IF(ISBLANK('Refsz-Verbräuche'!F120), "", 'Refsz-Verbräuche'!F120)</f>
        <v/>
      </c>
      <c r="F165" s="15" t="str">
        <f>IF(ISBLANK('Refsz-Verbräuche'!G120), "", 'Refsz-Verbräuche'!G120)</f>
        <v/>
      </c>
      <c r="G165" s="15" t="str">
        <f>IF(ISBLANK('Refsz-Verbräuche'!H120), "", 'Refsz-Verbräuche'!H120)</f>
        <v/>
      </c>
      <c r="H165" s="15" t="str">
        <f>IF(ISBLANK('Refsz-Verbräuche'!I120), "", 'Refsz-Verbräuche'!I120)</f>
        <v/>
      </c>
      <c r="I165" s="15" t="str">
        <f>IF(ISBLANK('Refsz-Verbräuche'!J120), "", 'Refsz-Verbräuche'!J120)</f>
        <v/>
      </c>
      <c r="J165" s="15" t="str">
        <f>IF(ISBLANK('Refsz-Verbräuche'!K120), "", 'Refsz-Verbräuche'!K120)</f>
        <v/>
      </c>
      <c r="K165" s="15" t="str">
        <f>IF(ISBLANK('Refsz-Verbräuche'!L120), "", 'Refsz-Verbräuche'!L120)</f>
        <v/>
      </c>
      <c r="L165" s="15" t="str">
        <f>IF(ISBLANK('Refsz-Verbräuche'!M120), "", 'Refsz-Verbräuche'!M120)</f>
        <v/>
      </c>
      <c r="M165" s="15" t="str">
        <f>IF(ISBLANK('Refsz-Verbräuche'!N120), "", 'Refsz-Verbräuche'!N120)</f>
        <v/>
      </c>
      <c r="N165" s="15" t="str">
        <f>IF(ISBLANK('Refsz-Verbräuche'!O120), "", 'Refsz-Verbräuche'!O120)</f>
        <v/>
      </c>
      <c r="O165" s="15" t="str">
        <f>IF(ISBLANK('Refsz-Verbräuche'!P120), "", 'Refsz-Verbräuche'!P120)</f>
        <v/>
      </c>
      <c r="P165" s="15" t="str">
        <f>IF(ISBLANK('Refsz-Verbräuche'!Q120), "", 'Refsz-Verbräuche'!Q120)</f>
        <v/>
      </c>
      <c r="Q165" s="15" t="str">
        <f>IF(ISBLANK('Refsz-Verbräuche'!R120), "", 'Refsz-Verbräuche'!R120)</f>
        <v/>
      </c>
      <c r="R165" s="15" t="str">
        <f>IF(ISBLANK('Refsz-Verbräuche'!S120), "", 'Refsz-Verbräuche'!S120)</f>
        <v/>
      </c>
      <c r="S165" s="15" t="str">
        <f>IF(ISBLANK('Refsz-Verbräuche'!T120), "", 'Refsz-Verbräuche'!T120)</f>
        <v/>
      </c>
      <c r="T165" s="15" t="str">
        <f>IF(ISBLANK('Refsz-Verbräuche'!U120), "", 'Refsz-Verbräuche'!U120)</f>
        <v/>
      </c>
      <c r="U165" s="15" t="str">
        <f>IF(ISBLANK('Refsz-Verbräuche'!V120), "", 'Refsz-Verbräuche'!V120)</f>
        <v/>
      </c>
      <c r="V165" s="15" t="str">
        <f>IF(ISBLANK('Refsz-Verbräuche'!W120), "", 'Refsz-Verbräuche'!W120)</f>
        <v/>
      </c>
      <c r="W165" s="15" t="str">
        <f>IF(ISBLANK('Refsz-Verbräuche'!X120), "", 'Refsz-Verbräuche'!X120)</f>
        <v/>
      </c>
    </row>
    <row r="166" spans="2:23" hidden="1" x14ac:dyDescent="0.35">
      <c r="B166" t="str">
        <f>'Refsz-Verbräuche'!C121</f>
        <v>Exkursionen - Privater PKW (alle Antriebsarten)</v>
      </c>
      <c r="C166" t="str">
        <f>'Refsz-Verbräuche'!D121</f>
        <v>Fkm</v>
      </c>
      <c r="D166" s="15" t="str">
        <f>IF(ISBLANK('Refsz-Verbräuche'!E121), "", 'Refsz-Verbräuche'!E121)</f>
        <v/>
      </c>
      <c r="E166" s="15" t="str">
        <f>IF(ISBLANK('Refsz-Verbräuche'!F121), "", 'Refsz-Verbräuche'!F121)</f>
        <v/>
      </c>
      <c r="F166" s="15" t="str">
        <f>IF(ISBLANK('Refsz-Verbräuche'!G121), "", 'Refsz-Verbräuche'!G121)</f>
        <v/>
      </c>
      <c r="G166" s="15" t="str">
        <f>IF(ISBLANK('Refsz-Verbräuche'!H121), "", 'Refsz-Verbräuche'!H121)</f>
        <v/>
      </c>
      <c r="H166" s="15" t="str">
        <f>IF(ISBLANK('Refsz-Verbräuche'!I121), "", 'Refsz-Verbräuche'!I121)</f>
        <v/>
      </c>
      <c r="I166" s="15" t="str">
        <f>IF(ISBLANK('Refsz-Verbräuche'!J121), "", 'Refsz-Verbräuche'!J121)</f>
        <v/>
      </c>
      <c r="J166" s="15" t="str">
        <f>IF(ISBLANK('Refsz-Verbräuche'!K121), "", 'Refsz-Verbräuche'!K121)</f>
        <v/>
      </c>
      <c r="K166" s="15" t="str">
        <f>IF(ISBLANK('Refsz-Verbräuche'!L121), "", 'Refsz-Verbräuche'!L121)</f>
        <v/>
      </c>
      <c r="L166" s="15" t="str">
        <f>IF(ISBLANK('Refsz-Verbräuche'!M121), "", 'Refsz-Verbräuche'!M121)</f>
        <v/>
      </c>
      <c r="M166" s="15" t="str">
        <f>IF(ISBLANK('Refsz-Verbräuche'!N121), "", 'Refsz-Verbräuche'!N121)</f>
        <v/>
      </c>
      <c r="N166" s="15" t="str">
        <f>IF(ISBLANK('Refsz-Verbräuche'!O121), "", 'Refsz-Verbräuche'!O121)</f>
        <v/>
      </c>
      <c r="O166" s="15" t="str">
        <f>IF(ISBLANK('Refsz-Verbräuche'!P121), "", 'Refsz-Verbräuche'!P121)</f>
        <v/>
      </c>
      <c r="P166" s="15" t="str">
        <f>IF(ISBLANK('Refsz-Verbräuche'!Q121), "", 'Refsz-Verbräuche'!Q121)</f>
        <v/>
      </c>
      <c r="Q166" s="15" t="str">
        <f>IF(ISBLANK('Refsz-Verbräuche'!R121), "", 'Refsz-Verbräuche'!R121)</f>
        <v/>
      </c>
      <c r="R166" s="15" t="str">
        <f>IF(ISBLANK('Refsz-Verbräuche'!S121), "", 'Refsz-Verbräuche'!S121)</f>
        <v/>
      </c>
      <c r="S166" s="15" t="str">
        <f>IF(ISBLANK('Refsz-Verbräuche'!T121), "", 'Refsz-Verbräuche'!T121)</f>
        <v/>
      </c>
      <c r="T166" s="15" t="str">
        <f>IF(ISBLANK('Refsz-Verbräuche'!U121), "", 'Refsz-Verbräuche'!U121)</f>
        <v/>
      </c>
      <c r="U166" s="15" t="str">
        <f>IF(ISBLANK('Refsz-Verbräuche'!V121), "", 'Refsz-Verbräuche'!V121)</f>
        <v/>
      </c>
      <c r="V166" s="15" t="str">
        <f>IF(ISBLANK('Refsz-Verbräuche'!W121), "", 'Refsz-Verbräuche'!W121)</f>
        <v/>
      </c>
      <c r="W166" s="15" t="str">
        <f>IF(ISBLANK('Refsz-Verbräuche'!X121), "", 'Refsz-Verbräuche'!X121)</f>
        <v/>
      </c>
    </row>
    <row r="167" spans="2:23" hidden="1" x14ac:dyDescent="0.35">
      <c r="B167" t="str">
        <f>'Refsz-Verbräuche'!C123</f>
        <v>Pendeln - Eisenbahn (Fernverkehr)</v>
      </c>
      <c r="C167" t="str">
        <f>'Refsz-Verbräuche'!D123</f>
        <v>Pkm</v>
      </c>
      <c r="D167" s="15" t="str">
        <f>IF(ISBLANK('Refsz-Verbräuche'!E123), "", 'Refsz-Verbräuche'!E123)</f>
        <v/>
      </c>
      <c r="E167" s="15" t="str">
        <f>IF(ISBLANK('Refsz-Verbräuche'!F123), "", 'Refsz-Verbräuche'!F123)</f>
        <v/>
      </c>
      <c r="F167" s="15" t="str">
        <f>IF(ISBLANK('Refsz-Verbräuche'!G123), "", 'Refsz-Verbräuche'!G123)</f>
        <v/>
      </c>
      <c r="G167" s="15" t="str">
        <f>IF(ISBLANK('Refsz-Verbräuche'!H123), "", 'Refsz-Verbräuche'!H123)</f>
        <v/>
      </c>
      <c r="H167" s="15" t="str">
        <f>IF(ISBLANK('Refsz-Verbräuche'!I123), "", 'Refsz-Verbräuche'!I123)</f>
        <v/>
      </c>
      <c r="I167" s="15" t="str">
        <f>IF(ISBLANK('Refsz-Verbräuche'!J123), "", 'Refsz-Verbräuche'!J123)</f>
        <v/>
      </c>
      <c r="J167" s="15" t="str">
        <f>IF(ISBLANK('Refsz-Verbräuche'!K123), "", 'Refsz-Verbräuche'!K123)</f>
        <v/>
      </c>
      <c r="K167" s="15" t="str">
        <f>IF(ISBLANK('Refsz-Verbräuche'!L123), "", 'Refsz-Verbräuche'!L123)</f>
        <v/>
      </c>
      <c r="L167" s="15" t="str">
        <f>IF(ISBLANK('Refsz-Verbräuche'!M123), "", 'Refsz-Verbräuche'!M123)</f>
        <v/>
      </c>
      <c r="M167" s="15" t="str">
        <f>IF(ISBLANK('Refsz-Verbräuche'!N123), "", 'Refsz-Verbräuche'!N123)</f>
        <v/>
      </c>
      <c r="N167" s="15" t="str">
        <f>IF(ISBLANK('Refsz-Verbräuche'!O123), "", 'Refsz-Verbräuche'!O123)</f>
        <v/>
      </c>
      <c r="O167" s="15" t="str">
        <f>IF(ISBLANK('Refsz-Verbräuche'!P123), "", 'Refsz-Verbräuche'!P123)</f>
        <v/>
      </c>
      <c r="P167" s="15" t="str">
        <f>IF(ISBLANK('Refsz-Verbräuche'!Q123), "", 'Refsz-Verbräuche'!Q123)</f>
        <v/>
      </c>
      <c r="Q167" s="15" t="str">
        <f>IF(ISBLANK('Refsz-Verbräuche'!R123), "", 'Refsz-Verbräuche'!R123)</f>
        <v/>
      </c>
      <c r="R167" s="15" t="str">
        <f>IF(ISBLANK('Refsz-Verbräuche'!S123), "", 'Refsz-Verbräuche'!S123)</f>
        <v/>
      </c>
      <c r="S167" s="15" t="str">
        <f>IF(ISBLANK('Refsz-Verbräuche'!T123), "", 'Refsz-Verbräuche'!T123)</f>
        <v/>
      </c>
      <c r="T167" s="15" t="str">
        <f>IF(ISBLANK('Refsz-Verbräuche'!U123), "", 'Refsz-Verbräuche'!U123)</f>
        <v/>
      </c>
      <c r="U167" s="15" t="str">
        <f>IF(ISBLANK('Refsz-Verbräuche'!V123), "", 'Refsz-Verbräuche'!V123)</f>
        <v/>
      </c>
      <c r="V167" s="15" t="str">
        <f>IF(ISBLANK('Refsz-Verbräuche'!W123), "", 'Refsz-Verbräuche'!W123)</f>
        <v/>
      </c>
      <c r="W167" s="15" t="str">
        <f>IF(ISBLANK('Refsz-Verbräuche'!X123), "", 'Refsz-Verbräuche'!X123)</f>
        <v/>
      </c>
    </row>
    <row r="168" spans="2:23" hidden="1" x14ac:dyDescent="0.35">
      <c r="B168" t="str">
        <f>'Refsz-Verbräuche'!C124</f>
        <v>Pendeln - Eisenbahn (Nahverkehr)</v>
      </c>
      <c r="C168" t="str">
        <f>'Refsz-Verbräuche'!D124</f>
        <v>Pkm</v>
      </c>
      <c r="D168" s="15" t="str">
        <f>IF(ISBLANK('Refsz-Verbräuche'!E124), "", 'Refsz-Verbräuche'!E124)</f>
        <v/>
      </c>
      <c r="E168" s="15" t="str">
        <f>IF(ISBLANK('Refsz-Verbräuche'!F124), "", 'Refsz-Verbräuche'!F124)</f>
        <v/>
      </c>
      <c r="F168" s="15" t="str">
        <f>IF(ISBLANK('Refsz-Verbräuche'!G124), "", 'Refsz-Verbräuche'!G124)</f>
        <v/>
      </c>
      <c r="G168" s="15" t="str">
        <f>IF(ISBLANK('Refsz-Verbräuche'!H124), "", 'Refsz-Verbräuche'!H124)</f>
        <v/>
      </c>
      <c r="H168" s="15" t="str">
        <f>IF(ISBLANK('Refsz-Verbräuche'!I124), "", 'Refsz-Verbräuche'!I124)</f>
        <v/>
      </c>
      <c r="I168" s="15" t="str">
        <f>IF(ISBLANK('Refsz-Verbräuche'!J124), "", 'Refsz-Verbräuche'!J124)</f>
        <v/>
      </c>
      <c r="J168" s="15" t="str">
        <f>IF(ISBLANK('Refsz-Verbräuche'!K124), "", 'Refsz-Verbräuche'!K124)</f>
        <v/>
      </c>
      <c r="K168" s="15" t="str">
        <f>IF(ISBLANK('Refsz-Verbräuche'!L124), "", 'Refsz-Verbräuche'!L124)</f>
        <v/>
      </c>
      <c r="L168" s="15" t="str">
        <f>IF(ISBLANK('Refsz-Verbräuche'!M124), "", 'Refsz-Verbräuche'!M124)</f>
        <v/>
      </c>
      <c r="M168" s="15" t="str">
        <f>IF(ISBLANK('Refsz-Verbräuche'!N124), "", 'Refsz-Verbräuche'!N124)</f>
        <v/>
      </c>
      <c r="N168" s="15" t="str">
        <f>IF(ISBLANK('Refsz-Verbräuche'!O124), "", 'Refsz-Verbräuche'!O124)</f>
        <v/>
      </c>
      <c r="O168" s="15" t="str">
        <f>IF(ISBLANK('Refsz-Verbräuche'!P124), "", 'Refsz-Verbräuche'!P124)</f>
        <v/>
      </c>
      <c r="P168" s="15" t="str">
        <f>IF(ISBLANK('Refsz-Verbräuche'!Q124), "", 'Refsz-Verbräuche'!Q124)</f>
        <v/>
      </c>
      <c r="Q168" s="15" t="str">
        <f>IF(ISBLANK('Refsz-Verbräuche'!R124), "", 'Refsz-Verbräuche'!R124)</f>
        <v/>
      </c>
      <c r="R168" s="15" t="str">
        <f>IF(ISBLANK('Refsz-Verbräuche'!S124), "", 'Refsz-Verbräuche'!S124)</f>
        <v/>
      </c>
      <c r="S168" s="15" t="str">
        <f>IF(ISBLANK('Refsz-Verbräuche'!T124), "", 'Refsz-Verbräuche'!T124)</f>
        <v/>
      </c>
      <c r="T168" s="15" t="str">
        <f>IF(ISBLANK('Refsz-Verbräuche'!U124), "", 'Refsz-Verbräuche'!U124)</f>
        <v/>
      </c>
      <c r="U168" s="15" t="str">
        <f>IF(ISBLANK('Refsz-Verbräuche'!V124), "", 'Refsz-Verbräuche'!V124)</f>
        <v/>
      </c>
      <c r="V168" s="15" t="str">
        <f>IF(ISBLANK('Refsz-Verbräuche'!W124), "", 'Refsz-Verbräuche'!W124)</f>
        <v/>
      </c>
      <c r="W168" s="15" t="str">
        <f>IF(ISBLANK('Refsz-Verbräuche'!X124), "", 'Refsz-Verbräuche'!X124)</f>
        <v/>
      </c>
    </row>
    <row r="169" spans="2:23" hidden="1" x14ac:dyDescent="0.35">
      <c r="B169" t="str">
        <f>'Refsz-Verbräuche'!C125</f>
        <v>Pendeln - Linienbus (Nahverkehr)</v>
      </c>
      <c r="C169" t="str">
        <f>'Refsz-Verbräuche'!D125</f>
        <v>Pkm</v>
      </c>
      <c r="D169" s="15" t="str">
        <f>IF(ISBLANK('Refsz-Verbräuche'!E125), "", 'Refsz-Verbräuche'!E125)</f>
        <v/>
      </c>
      <c r="E169" s="15" t="str">
        <f>IF(ISBLANK('Refsz-Verbräuche'!F125), "", 'Refsz-Verbräuche'!F125)</f>
        <v/>
      </c>
      <c r="F169" s="15" t="str">
        <f>IF(ISBLANK('Refsz-Verbräuche'!G125), "", 'Refsz-Verbräuche'!G125)</f>
        <v/>
      </c>
      <c r="G169" s="15" t="str">
        <f>IF(ISBLANK('Refsz-Verbräuche'!H125), "", 'Refsz-Verbräuche'!H125)</f>
        <v/>
      </c>
      <c r="H169" s="15" t="str">
        <f>IF(ISBLANK('Refsz-Verbräuche'!I125), "", 'Refsz-Verbräuche'!I125)</f>
        <v/>
      </c>
      <c r="I169" s="15" t="str">
        <f>IF(ISBLANK('Refsz-Verbräuche'!J125), "", 'Refsz-Verbräuche'!J125)</f>
        <v/>
      </c>
      <c r="J169" s="15" t="str">
        <f>IF(ISBLANK('Refsz-Verbräuche'!K125), "", 'Refsz-Verbräuche'!K125)</f>
        <v/>
      </c>
      <c r="K169" s="15" t="str">
        <f>IF(ISBLANK('Refsz-Verbräuche'!L125), "", 'Refsz-Verbräuche'!L125)</f>
        <v/>
      </c>
      <c r="L169" s="15" t="str">
        <f>IF(ISBLANK('Refsz-Verbräuche'!M125), "", 'Refsz-Verbräuche'!M125)</f>
        <v/>
      </c>
      <c r="M169" s="15" t="str">
        <f>IF(ISBLANK('Refsz-Verbräuche'!N125), "", 'Refsz-Verbräuche'!N125)</f>
        <v/>
      </c>
      <c r="N169" s="15" t="str">
        <f>IF(ISBLANK('Refsz-Verbräuche'!O125), "", 'Refsz-Verbräuche'!O125)</f>
        <v/>
      </c>
      <c r="O169" s="15" t="str">
        <f>IF(ISBLANK('Refsz-Verbräuche'!P125), "", 'Refsz-Verbräuche'!P125)</f>
        <v/>
      </c>
      <c r="P169" s="15" t="str">
        <f>IF(ISBLANK('Refsz-Verbräuche'!Q125), "", 'Refsz-Verbräuche'!Q125)</f>
        <v/>
      </c>
      <c r="Q169" s="15" t="str">
        <f>IF(ISBLANK('Refsz-Verbräuche'!R125), "", 'Refsz-Verbräuche'!R125)</f>
        <v/>
      </c>
      <c r="R169" s="15" t="str">
        <f>IF(ISBLANK('Refsz-Verbräuche'!S125), "", 'Refsz-Verbräuche'!S125)</f>
        <v/>
      </c>
      <c r="S169" s="15" t="str">
        <f>IF(ISBLANK('Refsz-Verbräuche'!T125), "", 'Refsz-Verbräuche'!T125)</f>
        <v/>
      </c>
      <c r="T169" s="15" t="str">
        <f>IF(ISBLANK('Refsz-Verbräuche'!U125), "", 'Refsz-Verbräuche'!U125)</f>
        <v/>
      </c>
      <c r="U169" s="15" t="str">
        <f>IF(ISBLANK('Refsz-Verbräuche'!V125), "", 'Refsz-Verbräuche'!V125)</f>
        <v/>
      </c>
      <c r="V169" s="15" t="str">
        <f>IF(ISBLANK('Refsz-Verbräuche'!W125), "", 'Refsz-Verbräuche'!W125)</f>
        <v/>
      </c>
      <c r="W169" s="15" t="str">
        <f>IF(ISBLANK('Refsz-Verbräuche'!X125), "", 'Refsz-Verbräuche'!X125)</f>
        <v/>
      </c>
    </row>
    <row r="170" spans="2:23" hidden="1" x14ac:dyDescent="0.35">
      <c r="B170" t="str">
        <f>'Refsz-Verbräuche'!C126</f>
        <v>Pendeln - PKW (alle Antriebsarten)</v>
      </c>
      <c r="C170" t="str">
        <f>'Refsz-Verbräuche'!D126</f>
        <v>Fkm</v>
      </c>
      <c r="D170" s="15" t="str">
        <f>IF(ISBLANK('Refsz-Verbräuche'!E126), "", 'Refsz-Verbräuche'!E126)</f>
        <v/>
      </c>
      <c r="E170" s="15" t="str">
        <f>IF(ISBLANK('Refsz-Verbräuche'!F126), "", 'Refsz-Verbräuche'!F126)</f>
        <v/>
      </c>
      <c r="F170" s="15" t="str">
        <f>IF(ISBLANK('Refsz-Verbräuche'!G126), "", 'Refsz-Verbräuche'!G126)</f>
        <v/>
      </c>
      <c r="G170" s="15" t="str">
        <f>IF(ISBLANK('Refsz-Verbräuche'!H126), "", 'Refsz-Verbräuche'!H126)</f>
        <v/>
      </c>
      <c r="H170" s="15" t="str">
        <f>IF(ISBLANK('Refsz-Verbräuche'!I126), "", 'Refsz-Verbräuche'!I126)</f>
        <v/>
      </c>
      <c r="I170" s="15" t="str">
        <f>IF(ISBLANK('Refsz-Verbräuche'!J126), "", 'Refsz-Verbräuche'!J126)</f>
        <v/>
      </c>
      <c r="J170" s="15" t="str">
        <f>IF(ISBLANK('Refsz-Verbräuche'!K126), "", 'Refsz-Verbräuche'!K126)</f>
        <v/>
      </c>
      <c r="K170" s="15" t="str">
        <f>IF(ISBLANK('Refsz-Verbräuche'!L126), "", 'Refsz-Verbräuche'!L126)</f>
        <v/>
      </c>
      <c r="L170" s="15" t="str">
        <f>IF(ISBLANK('Refsz-Verbräuche'!M126), "", 'Refsz-Verbräuche'!M126)</f>
        <v/>
      </c>
      <c r="M170" s="15" t="str">
        <f>IF(ISBLANK('Refsz-Verbräuche'!N126), "", 'Refsz-Verbräuche'!N126)</f>
        <v/>
      </c>
      <c r="N170" s="15" t="str">
        <f>IF(ISBLANK('Refsz-Verbräuche'!O126), "", 'Refsz-Verbräuche'!O126)</f>
        <v/>
      </c>
      <c r="O170" s="15" t="str">
        <f>IF(ISBLANK('Refsz-Verbräuche'!P126), "", 'Refsz-Verbräuche'!P126)</f>
        <v/>
      </c>
      <c r="P170" s="15" t="str">
        <f>IF(ISBLANK('Refsz-Verbräuche'!Q126), "", 'Refsz-Verbräuche'!Q126)</f>
        <v/>
      </c>
      <c r="Q170" s="15" t="str">
        <f>IF(ISBLANK('Refsz-Verbräuche'!R126), "", 'Refsz-Verbräuche'!R126)</f>
        <v/>
      </c>
      <c r="R170" s="15" t="str">
        <f>IF(ISBLANK('Refsz-Verbräuche'!S126), "", 'Refsz-Verbräuche'!S126)</f>
        <v/>
      </c>
      <c r="S170" s="15" t="str">
        <f>IF(ISBLANK('Refsz-Verbräuche'!T126), "", 'Refsz-Verbräuche'!T126)</f>
        <v/>
      </c>
      <c r="T170" s="15" t="str">
        <f>IF(ISBLANK('Refsz-Verbräuche'!U126), "", 'Refsz-Verbräuche'!U126)</f>
        <v/>
      </c>
      <c r="U170" s="15" t="str">
        <f>IF(ISBLANK('Refsz-Verbräuche'!V126), "", 'Refsz-Verbräuche'!V126)</f>
        <v/>
      </c>
      <c r="V170" s="15" t="str">
        <f>IF(ISBLANK('Refsz-Verbräuche'!W126), "", 'Refsz-Verbräuche'!W126)</f>
        <v/>
      </c>
      <c r="W170" s="15" t="str">
        <f>IF(ISBLANK('Refsz-Verbräuche'!X126), "", 'Refsz-Verbräuche'!X126)</f>
        <v/>
      </c>
    </row>
    <row r="171" spans="2:23" hidden="1" x14ac:dyDescent="0.35">
      <c r="B171" t="str">
        <f>'Refsz-Verbräuche'!C127</f>
        <v>Pendeln - PKW (Diesel)</v>
      </c>
      <c r="C171" t="str">
        <f>'Refsz-Verbräuche'!D127</f>
        <v>Fkm</v>
      </c>
      <c r="D171" s="15" t="str">
        <f>IF(ISBLANK('Refsz-Verbräuche'!E127), "", 'Refsz-Verbräuche'!E127)</f>
        <v/>
      </c>
      <c r="E171" s="15" t="str">
        <f>IF(ISBLANK('Refsz-Verbräuche'!F127), "", 'Refsz-Verbräuche'!F127)</f>
        <v/>
      </c>
      <c r="F171" s="15" t="str">
        <f>IF(ISBLANK('Refsz-Verbräuche'!G127), "", 'Refsz-Verbräuche'!G127)</f>
        <v/>
      </c>
      <c r="G171" s="15" t="str">
        <f>IF(ISBLANK('Refsz-Verbräuche'!H127), "", 'Refsz-Verbräuche'!H127)</f>
        <v/>
      </c>
      <c r="H171" s="15" t="str">
        <f>IF(ISBLANK('Refsz-Verbräuche'!I127), "", 'Refsz-Verbräuche'!I127)</f>
        <v/>
      </c>
      <c r="I171" s="15" t="str">
        <f>IF(ISBLANK('Refsz-Verbräuche'!J127), "", 'Refsz-Verbräuche'!J127)</f>
        <v/>
      </c>
      <c r="J171" s="15" t="str">
        <f>IF(ISBLANK('Refsz-Verbräuche'!K127), "", 'Refsz-Verbräuche'!K127)</f>
        <v/>
      </c>
      <c r="K171" s="15" t="str">
        <f>IF(ISBLANK('Refsz-Verbräuche'!L127), "", 'Refsz-Verbräuche'!L127)</f>
        <v/>
      </c>
      <c r="L171" s="15" t="str">
        <f>IF(ISBLANK('Refsz-Verbräuche'!M127), "", 'Refsz-Verbräuche'!M127)</f>
        <v/>
      </c>
      <c r="M171" s="15" t="str">
        <f>IF(ISBLANK('Refsz-Verbräuche'!N127), "", 'Refsz-Verbräuche'!N127)</f>
        <v/>
      </c>
      <c r="N171" s="15" t="str">
        <f>IF(ISBLANK('Refsz-Verbräuche'!O127), "", 'Refsz-Verbräuche'!O127)</f>
        <v/>
      </c>
      <c r="O171" s="15" t="str">
        <f>IF(ISBLANK('Refsz-Verbräuche'!P127), "", 'Refsz-Verbräuche'!P127)</f>
        <v/>
      </c>
      <c r="P171" s="15" t="str">
        <f>IF(ISBLANK('Refsz-Verbräuche'!Q127), "", 'Refsz-Verbräuche'!Q127)</f>
        <v/>
      </c>
      <c r="Q171" s="15" t="str">
        <f>IF(ISBLANK('Refsz-Verbräuche'!R127), "", 'Refsz-Verbräuche'!R127)</f>
        <v/>
      </c>
      <c r="R171" s="15" t="str">
        <f>IF(ISBLANK('Refsz-Verbräuche'!S127), "", 'Refsz-Verbräuche'!S127)</f>
        <v/>
      </c>
      <c r="S171" s="15" t="str">
        <f>IF(ISBLANK('Refsz-Verbräuche'!T127), "", 'Refsz-Verbräuche'!T127)</f>
        <v/>
      </c>
      <c r="T171" s="15" t="str">
        <f>IF(ISBLANK('Refsz-Verbräuche'!U127), "", 'Refsz-Verbräuche'!U127)</f>
        <v/>
      </c>
      <c r="U171" s="15" t="str">
        <f>IF(ISBLANK('Refsz-Verbräuche'!V127), "", 'Refsz-Verbräuche'!V127)</f>
        <v/>
      </c>
      <c r="V171" s="15" t="str">
        <f>IF(ISBLANK('Refsz-Verbräuche'!W127), "", 'Refsz-Verbräuche'!W127)</f>
        <v/>
      </c>
      <c r="W171" s="15" t="str">
        <f>IF(ISBLANK('Refsz-Verbräuche'!X127), "", 'Refsz-Verbräuche'!X127)</f>
        <v/>
      </c>
    </row>
    <row r="172" spans="2:23" hidden="1" x14ac:dyDescent="0.35">
      <c r="B172" t="str">
        <f>'Refsz-Verbräuche'!C128</f>
        <v>Pendeln - PKW (Benzin)</v>
      </c>
      <c r="C172" t="str">
        <f>'Refsz-Verbräuche'!D128</f>
        <v>Fkm</v>
      </c>
      <c r="D172" s="15" t="str">
        <f>IF(ISBLANK('Refsz-Verbräuche'!E128), "", 'Refsz-Verbräuche'!E128)</f>
        <v/>
      </c>
      <c r="E172" s="15" t="str">
        <f>IF(ISBLANK('Refsz-Verbräuche'!F128), "", 'Refsz-Verbräuche'!F128)</f>
        <v/>
      </c>
      <c r="F172" s="15" t="str">
        <f>IF(ISBLANK('Refsz-Verbräuche'!G128), "", 'Refsz-Verbräuche'!G128)</f>
        <v/>
      </c>
      <c r="G172" s="15" t="str">
        <f>IF(ISBLANK('Refsz-Verbräuche'!H128), "", 'Refsz-Verbräuche'!H128)</f>
        <v/>
      </c>
      <c r="H172" s="15" t="str">
        <f>IF(ISBLANK('Refsz-Verbräuche'!I128), "", 'Refsz-Verbräuche'!I128)</f>
        <v/>
      </c>
      <c r="I172" s="15" t="str">
        <f>IF(ISBLANK('Refsz-Verbräuche'!J128), "", 'Refsz-Verbräuche'!J128)</f>
        <v/>
      </c>
      <c r="J172" s="15" t="str">
        <f>IF(ISBLANK('Refsz-Verbräuche'!K128), "", 'Refsz-Verbräuche'!K128)</f>
        <v/>
      </c>
      <c r="K172" s="15" t="str">
        <f>IF(ISBLANK('Refsz-Verbräuche'!L128), "", 'Refsz-Verbräuche'!L128)</f>
        <v/>
      </c>
      <c r="L172" s="15" t="str">
        <f>IF(ISBLANK('Refsz-Verbräuche'!M128), "", 'Refsz-Verbräuche'!M128)</f>
        <v/>
      </c>
      <c r="M172" s="15" t="str">
        <f>IF(ISBLANK('Refsz-Verbräuche'!N128), "", 'Refsz-Verbräuche'!N128)</f>
        <v/>
      </c>
      <c r="N172" s="15" t="str">
        <f>IF(ISBLANK('Refsz-Verbräuche'!O128), "", 'Refsz-Verbräuche'!O128)</f>
        <v/>
      </c>
      <c r="O172" s="15" t="str">
        <f>IF(ISBLANK('Refsz-Verbräuche'!P128), "", 'Refsz-Verbräuche'!P128)</f>
        <v/>
      </c>
      <c r="P172" s="15" t="str">
        <f>IF(ISBLANK('Refsz-Verbräuche'!Q128), "", 'Refsz-Verbräuche'!Q128)</f>
        <v/>
      </c>
      <c r="Q172" s="15" t="str">
        <f>IF(ISBLANK('Refsz-Verbräuche'!R128), "", 'Refsz-Verbräuche'!R128)</f>
        <v/>
      </c>
      <c r="R172" s="15" t="str">
        <f>IF(ISBLANK('Refsz-Verbräuche'!S128), "", 'Refsz-Verbräuche'!S128)</f>
        <v/>
      </c>
      <c r="S172" s="15" t="str">
        <f>IF(ISBLANK('Refsz-Verbräuche'!T128), "", 'Refsz-Verbräuche'!T128)</f>
        <v/>
      </c>
      <c r="T172" s="15" t="str">
        <f>IF(ISBLANK('Refsz-Verbräuche'!U128), "", 'Refsz-Verbräuche'!U128)</f>
        <v/>
      </c>
      <c r="U172" s="15" t="str">
        <f>IF(ISBLANK('Refsz-Verbräuche'!V128), "", 'Refsz-Verbräuche'!V128)</f>
        <v/>
      </c>
      <c r="V172" s="15" t="str">
        <f>IF(ISBLANK('Refsz-Verbräuche'!W128), "", 'Refsz-Verbräuche'!W128)</f>
        <v/>
      </c>
      <c r="W172" s="15" t="str">
        <f>IF(ISBLANK('Refsz-Verbräuche'!X128), "", 'Refsz-Verbräuche'!X128)</f>
        <v/>
      </c>
    </row>
    <row r="173" spans="2:23" hidden="1" x14ac:dyDescent="0.35">
      <c r="B173" t="str">
        <f>'Refsz-Verbräuche'!C129</f>
        <v>Pendeln - PKW (E-Auto/ BEV)</v>
      </c>
      <c r="C173" t="str">
        <f>'Refsz-Verbräuche'!D129</f>
        <v>Fkm</v>
      </c>
      <c r="D173" s="15" t="str">
        <f>IF(ISBLANK('Refsz-Verbräuche'!E129), "", 'Refsz-Verbräuche'!E129)</f>
        <v/>
      </c>
      <c r="E173" s="15" t="str">
        <f>IF(ISBLANK('Refsz-Verbräuche'!F129), "", 'Refsz-Verbräuche'!F129)</f>
        <v/>
      </c>
      <c r="F173" s="15" t="str">
        <f>IF(ISBLANK('Refsz-Verbräuche'!G129), "", 'Refsz-Verbräuche'!G129)</f>
        <v/>
      </c>
      <c r="G173" s="15" t="str">
        <f>IF(ISBLANK('Refsz-Verbräuche'!H129), "", 'Refsz-Verbräuche'!H129)</f>
        <v/>
      </c>
      <c r="H173" s="15" t="str">
        <f>IF(ISBLANK('Refsz-Verbräuche'!I129), "", 'Refsz-Verbräuche'!I129)</f>
        <v/>
      </c>
      <c r="I173" s="15" t="str">
        <f>IF(ISBLANK('Refsz-Verbräuche'!J129), "", 'Refsz-Verbräuche'!J129)</f>
        <v/>
      </c>
      <c r="J173" s="15" t="str">
        <f>IF(ISBLANK('Refsz-Verbräuche'!K129), "", 'Refsz-Verbräuche'!K129)</f>
        <v/>
      </c>
      <c r="K173" s="15" t="str">
        <f>IF(ISBLANK('Refsz-Verbräuche'!L129), "", 'Refsz-Verbräuche'!L129)</f>
        <v/>
      </c>
      <c r="L173" s="15" t="str">
        <f>IF(ISBLANK('Refsz-Verbräuche'!M129), "", 'Refsz-Verbräuche'!M129)</f>
        <v/>
      </c>
      <c r="M173" s="15" t="str">
        <f>IF(ISBLANK('Refsz-Verbräuche'!N129), "", 'Refsz-Verbräuche'!N129)</f>
        <v/>
      </c>
      <c r="N173" s="15" t="str">
        <f>IF(ISBLANK('Refsz-Verbräuche'!O129), "", 'Refsz-Verbräuche'!O129)</f>
        <v/>
      </c>
      <c r="O173" s="15" t="str">
        <f>IF(ISBLANK('Refsz-Verbräuche'!P129), "", 'Refsz-Verbräuche'!P129)</f>
        <v/>
      </c>
      <c r="P173" s="15" t="str">
        <f>IF(ISBLANK('Refsz-Verbräuche'!Q129), "", 'Refsz-Verbräuche'!Q129)</f>
        <v/>
      </c>
      <c r="Q173" s="15" t="str">
        <f>IF(ISBLANK('Refsz-Verbräuche'!R129), "", 'Refsz-Verbräuche'!R129)</f>
        <v/>
      </c>
      <c r="R173" s="15" t="str">
        <f>IF(ISBLANK('Refsz-Verbräuche'!S129), "", 'Refsz-Verbräuche'!S129)</f>
        <v/>
      </c>
      <c r="S173" s="15" t="str">
        <f>IF(ISBLANK('Refsz-Verbräuche'!T129), "", 'Refsz-Verbräuche'!T129)</f>
        <v/>
      </c>
      <c r="T173" s="15" t="str">
        <f>IF(ISBLANK('Refsz-Verbräuche'!U129), "", 'Refsz-Verbräuche'!U129)</f>
        <v/>
      </c>
      <c r="U173" s="15" t="str">
        <f>IF(ISBLANK('Refsz-Verbräuche'!V129), "", 'Refsz-Verbräuche'!V129)</f>
        <v/>
      </c>
      <c r="V173" s="15" t="str">
        <f>IF(ISBLANK('Refsz-Verbräuche'!W129), "", 'Refsz-Verbräuche'!W129)</f>
        <v/>
      </c>
      <c r="W173" s="15" t="str">
        <f>IF(ISBLANK('Refsz-Verbräuche'!X129), "", 'Refsz-Verbräuche'!X129)</f>
        <v/>
      </c>
    </row>
    <row r="174" spans="2:23" hidden="1" x14ac:dyDescent="0.35">
      <c r="B174" t="str">
        <f>'Refsz-Verbräuche'!C130</f>
        <v>Pendeln - PKW (Wasserstoff/ FCEV)</v>
      </c>
      <c r="C174" t="str">
        <f>'Refsz-Verbräuche'!D130</f>
        <v>Fkm</v>
      </c>
      <c r="D174" s="15" t="str">
        <f>IF(ISBLANK('Refsz-Verbräuche'!E130), "", 'Refsz-Verbräuche'!E130)</f>
        <v/>
      </c>
      <c r="E174" s="15" t="str">
        <f>IF(ISBLANK('Refsz-Verbräuche'!F130), "", 'Refsz-Verbräuche'!F130)</f>
        <v/>
      </c>
      <c r="F174" s="15" t="str">
        <f>IF(ISBLANK('Refsz-Verbräuche'!G130), "", 'Refsz-Verbräuche'!G130)</f>
        <v/>
      </c>
      <c r="G174" s="15" t="str">
        <f>IF(ISBLANK('Refsz-Verbräuche'!H130), "", 'Refsz-Verbräuche'!H130)</f>
        <v/>
      </c>
      <c r="H174" s="15" t="str">
        <f>IF(ISBLANK('Refsz-Verbräuche'!I130), "", 'Refsz-Verbräuche'!I130)</f>
        <v/>
      </c>
      <c r="I174" s="15" t="str">
        <f>IF(ISBLANK('Refsz-Verbräuche'!J130), "", 'Refsz-Verbräuche'!J130)</f>
        <v/>
      </c>
      <c r="J174" s="15" t="str">
        <f>IF(ISBLANK('Refsz-Verbräuche'!K130), "", 'Refsz-Verbräuche'!K130)</f>
        <v/>
      </c>
      <c r="K174" s="15" t="str">
        <f>IF(ISBLANK('Refsz-Verbräuche'!L130), "", 'Refsz-Verbräuche'!L130)</f>
        <v/>
      </c>
      <c r="L174" s="15" t="str">
        <f>IF(ISBLANK('Refsz-Verbräuche'!M130), "", 'Refsz-Verbräuche'!M130)</f>
        <v/>
      </c>
      <c r="M174" s="15" t="str">
        <f>IF(ISBLANK('Refsz-Verbräuche'!N130), "", 'Refsz-Verbräuche'!N130)</f>
        <v/>
      </c>
      <c r="N174" s="15" t="str">
        <f>IF(ISBLANK('Refsz-Verbräuche'!O130), "", 'Refsz-Verbräuche'!O130)</f>
        <v/>
      </c>
      <c r="O174" s="15" t="str">
        <f>IF(ISBLANK('Refsz-Verbräuche'!P130), "", 'Refsz-Verbräuche'!P130)</f>
        <v/>
      </c>
      <c r="P174" s="15" t="str">
        <f>IF(ISBLANK('Refsz-Verbräuche'!Q130), "", 'Refsz-Verbräuche'!Q130)</f>
        <v/>
      </c>
      <c r="Q174" s="15" t="str">
        <f>IF(ISBLANK('Refsz-Verbräuche'!R130), "", 'Refsz-Verbräuche'!R130)</f>
        <v/>
      </c>
      <c r="R174" s="15" t="str">
        <f>IF(ISBLANK('Refsz-Verbräuche'!S130), "", 'Refsz-Verbräuche'!S130)</f>
        <v/>
      </c>
      <c r="S174" s="15" t="str">
        <f>IF(ISBLANK('Refsz-Verbräuche'!T130), "", 'Refsz-Verbräuche'!T130)</f>
        <v/>
      </c>
      <c r="T174" s="15" t="str">
        <f>IF(ISBLANK('Refsz-Verbräuche'!U130), "", 'Refsz-Verbräuche'!U130)</f>
        <v/>
      </c>
      <c r="U174" s="15" t="str">
        <f>IF(ISBLANK('Refsz-Verbräuche'!V130), "", 'Refsz-Verbräuche'!V130)</f>
        <v/>
      </c>
      <c r="V174" s="15" t="str">
        <f>IF(ISBLANK('Refsz-Verbräuche'!W130), "", 'Refsz-Verbräuche'!W130)</f>
        <v/>
      </c>
      <c r="W174" s="15" t="str">
        <f>IF(ISBLANK('Refsz-Verbräuche'!X130), "", 'Refsz-Verbräuche'!X130)</f>
        <v/>
      </c>
    </row>
    <row r="175" spans="2:23" hidden="1" x14ac:dyDescent="0.35">
      <c r="B175" t="str">
        <f>'Refsz-Verbräuche'!C131</f>
        <v>Pendeln - PKW (CNG)</v>
      </c>
      <c r="C175" t="str">
        <f>'Refsz-Verbräuche'!D131</f>
        <v>Fkm</v>
      </c>
      <c r="D175" s="15" t="str">
        <f>IF(ISBLANK('Refsz-Verbräuche'!E131), "", 'Refsz-Verbräuche'!E131)</f>
        <v/>
      </c>
      <c r="E175" s="15" t="str">
        <f>IF(ISBLANK('Refsz-Verbräuche'!F131), "", 'Refsz-Verbräuche'!F131)</f>
        <v/>
      </c>
      <c r="F175" s="15" t="str">
        <f>IF(ISBLANK('Refsz-Verbräuche'!G131), "", 'Refsz-Verbräuche'!G131)</f>
        <v/>
      </c>
      <c r="G175" s="15" t="str">
        <f>IF(ISBLANK('Refsz-Verbräuche'!H131), "", 'Refsz-Verbräuche'!H131)</f>
        <v/>
      </c>
      <c r="H175" s="15" t="str">
        <f>IF(ISBLANK('Refsz-Verbräuche'!I131), "", 'Refsz-Verbräuche'!I131)</f>
        <v/>
      </c>
      <c r="I175" s="15" t="str">
        <f>IF(ISBLANK('Refsz-Verbräuche'!J131), "", 'Refsz-Verbräuche'!J131)</f>
        <v/>
      </c>
      <c r="J175" s="15" t="str">
        <f>IF(ISBLANK('Refsz-Verbräuche'!K131), "", 'Refsz-Verbräuche'!K131)</f>
        <v/>
      </c>
      <c r="K175" s="15" t="str">
        <f>IF(ISBLANK('Refsz-Verbräuche'!L131), "", 'Refsz-Verbräuche'!L131)</f>
        <v/>
      </c>
      <c r="L175" s="15" t="str">
        <f>IF(ISBLANK('Refsz-Verbräuche'!M131), "", 'Refsz-Verbräuche'!M131)</f>
        <v/>
      </c>
      <c r="M175" s="15" t="str">
        <f>IF(ISBLANK('Refsz-Verbräuche'!N131), "", 'Refsz-Verbräuche'!N131)</f>
        <v/>
      </c>
      <c r="N175" s="15" t="str">
        <f>IF(ISBLANK('Refsz-Verbräuche'!O131), "", 'Refsz-Verbräuche'!O131)</f>
        <v/>
      </c>
      <c r="O175" s="15" t="str">
        <f>IF(ISBLANK('Refsz-Verbräuche'!P131), "", 'Refsz-Verbräuche'!P131)</f>
        <v/>
      </c>
      <c r="P175" s="15" t="str">
        <f>IF(ISBLANK('Refsz-Verbräuche'!Q131), "", 'Refsz-Verbräuche'!Q131)</f>
        <v/>
      </c>
      <c r="Q175" s="15" t="str">
        <f>IF(ISBLANK('Refsz-Verbräuche'!R131), "", 'Refsz-Verbräuche'!R131)</f>
        <v/>
      </c>
      <c r="R175" s="15" t="str">
        <f>IF(ISBLANK('Refsz-Verbräuche'!S131), "", 'Refsz-Verbräuche'!S131)</f>
        <v/>
      </c>
      <c r="S175" s="15" t="str">
        <f>IF(ISBLANK('Refsz-Verbräuche'!T131), "", 'Refsz-Verbräuche'!T131)</f>
        <v/>
      </c>
      <c r="T175" s="15" t="str">
        <f>IF(ISBLANK('Refsz-Verbräuche'!U131), "", 'Refsz-Verbräuche'!U131)</f>
        <v/>
      </c>
      <c r="U175" s="15" t="str">
        <f>IF(ISBLANK('Refsz-Verbräuche'!V131), "", 'Refsz-Verbräuche'!V131)</f>
        <v/>
      </c>
      <c r="V175" s="15" t="str">
        <f>IF(ISBLANK('Refsz-Verbräuche'!W131), "", 'Refsz-Verbräuche'!W131)</f>
        <v/>
      </c>
      <c r="W175" s="15" t="str">
        <f>IF(ISBLANK('Refsz-Verbräuche'!X131), "", 'Refsz-Verbräuche'!X131)</f>
        <v/>
      </c>
    </row>
    <row r="176" spans="2:23" hidden="1" x14ac:dyDescent="0.35">
      <c r="B176" t="str">
        <f>'Refsz-Verbräuche'!C134</f>
        <v>Pendeln - Fahrrad</v>
      </c>
      <c r="C176" t="str">
        <f>'Refsz-Verbräuche'!D132</f>
        <v>Fkm</v>
      </c>
      <c r="D176" s="15" t="str">
        <f>IF(ISBLANK('Refsz-Verbräuche'!E134), "", 'Refsz-Verbräuche'!E134)</f>
        <v/>
      </c>
      <c r="E176" s="15" t="str">
        <f>IF(ISBLANK('Refsz-Verbräuche'!F134), "", 'Refsz-Verbräuche'!F134)</f>
        <v/>
      </c>
      <c r="F176" s="15" t="str">
        <f>IF(ISBLANK('Refsz-Verbräuche'!G134), "", 'Refsz-Verbräuche'!G134)</f>
        <v/>
      </c>
      <c r="G176" s="15" t="str">
        <f>IF(ISBLANK('Refsz-Verbräuche'!H134), "", 'Refsz-Verbräuche'!H134)</f>
        <v/>
      </c>
      <c r="H176" s="15" t="str">
        <f>IF(ISBLANK('Refsz-Verbräuche'!I134), "", 'Refsz-Verbräuche'!I134)</f>
        <v/>
      </c>
      <c r="I176" s="15" t="str">
        <f>IF(ISBLANK('Refsz-Verbräuche'!J134), "", 'Refsz-Verbräuche'!J134)</f>
        <v/>
      </c>
      <c r="J176" s="15" t="str">
        <f>IF(ISBLANK('Refsz-Verbräuche'!K134), "", 'Refsz-Verbräuche'!K134)</f>
        <v/>
      </c>
      <c r="K176" s="15" t="str">
        <f>IF(ISBLANK('Refsz-Verbräuche'!L134), "", 'Refsz-Verbräuche'!L134)</f>
        <v/>
      </c>
      <c r="L176" s="15" t="str">
        <f>IF(ISBLANK('Refsz-Verbräuche'!M134), "", 'Refsz-Verbräuche'!M134)</f>
        <v/>
      </c>
      <c r="M176" s="15" t="str">
        <f>IF(ISBLANK('Refsz-Verbräuche'!N134), "", 'Refsz-Verbräuche'!N134)</f>
        <v/>
      </c>
      <c r="N176" s="15" t="str">
        <f>IF(ISBLANK('Refsz-Verbräuche'!O134), "", 'Refsz-Verbräuche'!O134)</f>
        <v/>
      </c>
      <c r="O176" s="15" t="str">
        <f>IF(ISBLANK('Refsz-Verbräuche'!P134), "", 'Refsz-Verbräuche'!P134)</f>
        <v/>
      </c>
      <c r="P176" s="15" t="str">
        <f>IF(ISBLANK('Refsz-Verbräuche'!Q134), "", 'Refsz-Verbräuche'!Q134)</f>
        <v/>
      </c>
      <c r="Q176" s="15" t="str">
        <f>IF(ISBLANK('Refsz-Verbräuche'!R134), "", 'Refsz-Verbräuche'!R134)</f>
        <v/>
      </c>
      <c r="R176" s="15" t="str">
        <f>IF(ISBLANK('Refsz-Verbräuche'!S134), "", 'Refsz-Verbräuche'!S134)</f>
        <v/>
      </c>
      <c r="S176" s="15" t="str">
        <f>IF(ISBLANK('Refsz-Verbräuche'!T134), "", 'Refsz-Verbräuche'!T134)</f>
        <v/>
      </c>
      <c r="T176" s="15" t="str">
        <f>IF(ISBLANK('Refsz-Verbräuche'!U134), "", 'Refsz-Verbräuche'!U134)</f>
        <v/>
      </c>
      <c r="U176" s="15" t="str">
        <f>IF(ISBLANK('Refsz-Verbräuche'!V134), "", 'Refsz-Verbräuche'!V134)</f>
        <v/>
      </c>
      <c r="V176" s="15" t="str">
        <f>IF(ISBLANK('Refsz-Verbräuche'!W134), "", 'Refsz-Verbräuche'!W134)</f>
        <v/>
      </c>
      <c r="W176" s="15" t="str">
        <f>IF(ISBLANK('Refsz-Verbräuche'!X134), "", 'Refsz-Verbräuche'!X134)</f>
        <v/>
      </c>
    </row>
    <row r="177" spans="2:23" hidden="1" x14ac:dyDescent="0.35">
      <c r="B177" t="str">
        <f>'Refsz-Verbräuche'!C136</f>
        <v>Pendeln - zu Fuß</v>
      </c>
      <c r="C177" t="str">
        <f>'Refsz-Verbräuche'!D133</f>
        <v>Fkm</v>
      </c>
      <c r="D177" s="15" t="str">
        <f>IF(ISBLANK('Refsz-Verbräuche'!E136), "", 'Refsz-Verbräuche'!E136)</f>
        <v/>
      </c>
      <c r="E177" s="15" t="str">
        <f>IF(ISBLANK('Refsz-Verbräuche'!F136), "", 'Refsz-Verbräuche'!F136)</f>
        <v/>
      </c>
      <c r="F177" s="15" t="str">
        <f>IF(ISBLANK('Refsz-Verbräuche'!G136), "", 'Refsz-Verbräuche'!G136)</f>
        <v/>
      </c>
      <c r="G177" s="15" t="str">
        <f>IF(ISBLANK('Refsz-Verbräuche'!H136), "", 'Refsz-Verbräuche'!H136)</f>
        <v/>
      </c>
      <c r="H177" s="15" t="str">
        <f>IF(ISBLANK('Refsz-Verbräuche'!I136), "", 'Refsz-Verbräuche'!I136)</f>
        <v/>
      </c>
      <c r="I177" s="15" t="str">
        <f>IF(ISBLANK('Refsz-Verbräuche'!J136), "", 'Refsz-Verbräuche'!J136)</f>
        <v/>
      </c>
      <c r="J177" s="15" t="str">
        <f>IF(ISBLANK('Refsz-Verbräuche'!K136), "", 'Refsz-Verbräuche'!K136)</f>
        <v/>
      </c>
      <c r="K177" s="15" t="str">
        <f>IF(ISBLANK('Refsz-Verbräuche'!L136), "", 'Refsz-Verbräuche'!L136)</f>
        <v/>
      </c>
      <c r="L177" s="15" t="str">
        <f>IF(ISBLANK('Refsz-Verbräuche'!M136), "", 'Refsz-Verbräuche'!M136)</f>
        <v/>
      </c>
      <c r="M177" s="15" t="str">
        <f>IF(ISBLANK('Refsz-Verbräuche'!N136), "", 'Refsz-Verbräuche'!N136)</f>
        <v/>
      </c>
      <c r="N177" s="15" t="str">
        <f>IF(ISBLANK('Refsz-Verbräuche'!O136), "", 'Refsz-Verbräuche'!O136)</f>
        <v/>
      </c>
      <c r="O177" s="15" t="str">
        <f>IF(ISBLANK('Refsz-Verbräuche'!P136), "", 'Refsz-Verbräuche'!P136)</f>
        <v/>
      </c>
      <c r="P177" s="15" t="str">
        <f>IF(ISBLANK('Refsz-Verbräuche'!Q136), "", 'Refsz-Verbräuche'!Q136)</f>
        <v/>
      </c>
      <c r="Q177" s="15" t="str">
        <f>IF(ISBLANK('Refsz-Verbräuche'!R136), "", 'Refsz-Verbräuche'!R136)</f>
        <v/>
      </c>
      <c r="R177" s="15" t="str">
        <f>IF(ISBLANK('Refsz-Verbräuche'!S136), "", 'Refsz-Verbräuche'!S136)</f>
        <v/>
      </c>
      <c r="S177" s="15" t="str">
        <f>IF(ISBLANK('Refsz-Verbräuche'!T136), "", 'Refsz-Verbräuche'!T136)</f>
        <v/>
      </c>
      <c r="T177" s="15" t="str">
        <f>IF(ISBLANK('Refsz-Verbräuche'!U136), "", 'Refsz-Verbräuche'!U136)</f>
        <v/>
      </c>
      <c r="U177" s="15" t="str">
        <f>IF(ISBLANK('Refsz-Verbräuche'!V136), "", 'Refsz-Verbräuche'!V136)</f>
        <v/>
      </c>
      <c r="V177" s="15" t="str">
        <f>IF(ISBLANK('Refsz-Verbräuche'!W136), "", 'Refsz-Verbräuche'!W136)</f>
        <v/>
      </c>
      <c r="W177" s="15" t="str">
        <f>IF(ISBLANK('Refsz-Verbräuche'!X136), "", 'Refsz-Verbräuche'!X136)</f>
        <v/>
      </c>
    </row>
    <row r="178" spans="2:23" hidden="1" x14ac:dyDescent="0.35">
      <c r="B178" t="str">
        <f>'Refsz-Verbräuche'!C138</f>
        <v>Studierendenreisen (Incoming) - Flugreisen</v>
      </c>
      <c r="C178" t="str">
        <f>'Refsz-Verbräuche'!D138</f>
        <v>Pkm</v>
      </c>
      <c r="D178" s="15" t="str">
        <f>IF(ISBLANK('Refsz-Verbräuche'!E138), "", 'Refsz-Verbräuche'!E138)</f>
        <v/>
      </c>
      <c r="E178" s="15" t="str">
        <f>IF(ISBLANK('Refsz-Verbräuche'!F138), "", 'Refsz-Verbräuche'!F138)</f>
        <v/>
      </c>
      <c r="F178" s="15" t="str">
        <f>IF(ISBLANK('Refsz-Verbräuche'!G138), "", 'Refsz-Verbräuche'!G138)</f>
        <v/>
      </c>
      <c r="G178" s="15" t="str">
        <f>IF(ISBLANK('Refsz-Verbräuche'!H138), "", 'Refsz-Verbräuche'!H138)</f>
        <v/>
      </c>
      <c r="H178" s="15" t="str">
        <f>IF(ISBLANK('Refsz-Verbräuche'!I138), "", 'Refsz-Verbräuche'!I138)</f>
        <v/>
      </c>
      <c r="I178" s="15" t="str">
        <f>IF(ISBLANK('Refsz-Verbräuche'!J138), "", 'Refsz-Verbräuche'!J138)</f>
        <v/>
      </c>
      <c r="J178" s="15" t="str">
        <f>IF(ISBLANK('Refsz-Verbräuche'!K138), "", 'Refsz-Verbräuche'!K138)</f>
        <v/>
      </c>
      <c r="K178" s="15" t="str">
        <f>IF(ISBLANK('Refsz-Verbräuche'!L138), "", 'Refsz-Verbräuche'!L138)</f>
        <v/>
      </c>
      <c r="L178" s="15" t="str">
        <f>IF(ISBLANK('Refsz-Verbräuche'!M138), "", 'Refsz-Verbräuche'!M138)</f>
        <v/>
      </c>
      <c r="M178" s="15" t="str">
        <f>IF(ISBLANK('Refsz-Verbräuche'!N138), "", 'Refsz-Verbräuche'!N138)</f>
        <v/>
      </c>
      <c r="N178" s="15" t="str">
        <f>IF(ISBLANK('Refsz-Verbräuche'!O138), "", 'Refsz-Verbräuche'!O138)</f>
        <v/>
      </c>
      <c r="O178" s="15" t="str">
        <f>IF(ISBLANK('Refsz-Verbräuche'!P138), "", 'Refsz-Verbräuche'!P138)</f>
        <v/>
      </c>
      <c r="P178" s="15" t="str">
        <f>IF(ISBLANK('Refsz-Verbräuche'!Q138), "", 'Refsz-Verbräuche'!Q138)</f>
        <v/>
      </c>
      <c r="Q178" s="15" t="str">
        <f>IF(ISBLANK('Refsz-Verbräuche'!R138), "", 'Refsz-Verbräuche'!R138)</f>
        <v/>
      </c>
      <c r="R178" s="15" t="str">
        <f>IF(ISBLANK('Refsz-Verbräuche'!S138), "", 'Refsz-Verbräuche'!S138)</f>
        <v/>
      </c>
      <c r="S178" s="15" t="str">
        <f>IF(ISBLANK('Refsz-Verbräuche'!T138), "", 'Refsz-Verbräuche'!T138)</f>
        <v/>
      </c>
      <c r="T178" s="15" t="str">
        <f>IF(ISBLANK('Refsz-Verbräuche'!U138), "", 'Refsz-Verbräuche'!U138)</f>
        <v/>
      </c>
      <c r="U178" s="15" t="str">
        <f>IF(ISBLANK('Refsz-Verbräuche'!V138), "", 'Refsz-Verbräuche'!V138)</f>
        <v/>
      </c>
      <c r="V178" s="15" t="str">
        <f>IF(ISBLANK('Refsz-Verbräuche'!W138), "", 'Refsz-Verbräuche'!W138)</f>
        <v/>
      </c>
      <c r="W178" s="15" t="str">
        <f>IF(ISBLANK('Refsz-Verbräuche'!X138), "", 'Refsz-Verbräuche'!X138)</f>
        <v/>
      </c>
    </row>
    <row r="179" spans="2:23" hidden="1" x14ac:dyDescent="0.35">
      <c r="B179" t="str">
        <f>'Refsz-Verbräuche'!C139</f>
        <v>Studierendenreisen (Incoming) - Eisenbahn (Nahverkehr)</v>
      </c>
      <c r="C179" t="str">
        <f>'Refsz-Verbräuche'!D139</f>
        <v>Pkm</v>
      </c>
      <c r="D179" s="15" t="str">
        <f>IF(ISBLANK('Refsz-Verbräuche'!E139), "", 'Refsz-Verbräuche'!E139)</f>
        <v/>
      </c>
      <c r="E179" s="15" t="str">
        <f>IF(ISBLANK('Refsz-Verbräuche'!F139), "", 'Refsz-Verbräuche'!F139)</f>
        <v/>
      </c>
      <c r="F179" s="15" t="str">
        <f>IF(ISBLANK('Refsz-Verbräuche'!G139), "", 'Refsz-Verbräuche'!G139)</f>
        <v/>
      </c>
      <c r="G179" s="15" t="str">
        <f>IF(ISBLANK('Refsz-Verbräuche'!H139), "", 'Refsz-Verbräuche'!H139)</f>
        <v/>
      </c>
      <c r="H179" s="15" t="str">
        <f>IF(ISBLANK('Refsz-Verbräuche'!I139), "", 'Refsz-Verbräuche'!I139)</f>
        <v/>
      </c>
      <c r="I179" s="15" t="str">
        <f>IF(ISBLANK('Refsz-Verbräuche'!J139), "", 'Refsz-Verbräuche'!J139)</f>
        <v/>
      </c>
      <c r="J179" s="15" t="str">
        <f>IF(ISBLANK('Refsz-Verbräuche'!K139), "", 'Refsz-Verbräuche'!K139)</f>
        <v/>
      </c>
      <c r="K179" s="15" t="str">
        <f>IF(ISBLANK('Refsz-Verbräuche'!L139), "", 'Refsz-Verbräuche'!L139)</f>
        <v/>
      </c>
      <c r="L179" s="15" t="str">
        <f>IF(ISBLANK('Refsz-Verbräuche'!M139), "", 'Refsz-Verbräuche'!M139)</f>
        <v/>
      </c>
      <c r="M179" s="15" t="str">
        <f>IF(ISBLANK('Refsz-Verbräuche'!N139), "", 'Refsz-Verbräuche'!N139)</f>
        <v/>
      </c>
      <c r="N179" s="15" t="str">
        <f>IF(ISBLANK('Refsz-Verbräuche'!O139), "", 'Refsz-Verbräuche'!O139)</f>
        <v/>
      </c>
      <c r="O179" s="15" t="str">
        <f>IF(ISBLANK('Refsz-Verbräuche'!P139), "", 'Refsz-Verbräuche'!P139)</f>
        <v/>
      </c>
      <c r="P179" s="15" t="str">
        <f>IF(ISBLANK('Refsz-Verbräuche'!Q139), "", 'Refsz-Verbräuche'!Q139)</f>
        <v/>
      </c>
      <c r="Q179" s="15" t="str">
        <f>IF(ISBLANK('Refsz-Verbräuche'!R139), "", 'Refsz-Verbräuche'!R139)</f>
        <v/>
      </c>
      <c r="R179" s="15" t="str">
        <f>IF(ISBLANK('Refsz-Verbräuche'!S139), "", 'Refsz-Verbräuche'!S139)</f>
        <v/>
      </c>
      <c r="S179" s="15" t="str">
        <f>IF(ISBLANK('Refsz-Verbräuche'!T139), "", 'Refsz-Verbräuche'!T139)</f>
        <v/>
      </c>
      <c r="T179" s="15" t="str">
        <f>IF(ISBLANK('Refsz-Verbräuche'!U139), "", 'Refsz-Verbräuche'!U139)</f>
        <v/>
      </c>
      <c r="U179" s="15" t="str">
        <f>IF(ISBLANK('Refsz-Verbräuche'!V139), "", 'Refsz-Verbräuche'!V139)</f>
        <v/>
      </c>
      <c r="V179" s="15" t="str">
        <f>IF(ISBLANK('Refsz-Verbräuche'!W139), "", 'Refsz-Verbräuche'!W139)</f>
        <v/>
      </c>
      <c r="W179" s="15" t="str">
        <f>IF(ISBLANK('Refsz-Verbräuche'!X139), "", 'Refsz-Verbräuche'!X139)</f>
        <v/>
      </c>
    </row>
    <row r="180" spans="2:23" hidden="1" x14ac:dyDescent="0.35">
      <c r="B180" t="str">
        <f>'Refsz-Verbräuche'!C140</f>
        <v>Studierendenreisen (Incoming) - Privater PKW (alle Antriebsarten)</v>
      </c>
      <c r="C180" t="str">
        <f>'Refsz-Verbräuche'!D140</f>
        <v>Fkm</v>
      </c>
      <c r="D180" s="15" t="str">
        <f>IF(ISBLANK('Refsz-Verbräuche'!E140), "", 'Refsz-Verbräuche'!E140)</f>
        <v/>
      </c>
      <c r="E180" s="15" t="str">
        <f>IF(ISBLANK('Refsz-Verbräuche'!F140), "", 'Refsz-Verbräuche'!F140)</f>
        <v/>
      </c>
      <c r="F180" s="15" t="str">
        <f>IF(ISBLANK('Refsz-Verbräuche'!G140), "", 'Refsz-Verbräuche'!G140)</f>
        <v/>
      </c>
      <c r="G180" s="15" t="str">
        <f>IF(ISBLANK('Refsz-Verbräuche'!H140), "", 'Refsz-Verbräuche'!H140)</f>
        <v/>
      </c>
      <c r="H180" s="15" t="str">
        <f>IF(ISBLANK('Refsz-Verbräuche'!I140), "", 'Refsz-Verbräuche'!I140)</f>
        <v/>
      </c>
      <c r="I180" s="15" t="str">
        <f>IF(ISBLANK('Refsz-Verbräuche'!J140), "", 'Refsz-Verbräuche'!J140)</f>
        <v/>
      </c>
      <c r="J180" s="15" t="str">
        <f>IF(ISBLANK('Refsz-Verbräuche'!K140), "", 'Refsz-Verbräuche'!K140)</f>
        <v/>
      </c>
      <c r="K180" s="15" t="str">
        <f>IF(ISBLANK('Refsz-Verbräuche'!L140), "", 'Refsz-Verbräuche'!L140)</f>
        <v/>
      </c>
      <c r="L180" s="15" t="str">
        <f>IF(ISBLANK('Refsz-Verbräuche'!M140), "", 'Refsz-Verbräuche'!M140)</f>
        <v/>
      </c>
      <c r="M180" s="15" t="str">
        <f>IF(ISBLANK('Refsz-Verbräuche'!N140), "", 'Refsz-Verbräuche'!N140)</f>
        <v/>
      </c>
      <c r="N180" s="15" t="str">
        <f>IF(ISBLANK('Refsz-Verbräuche'!O140), "", 'Refsz-Verbräuche'!O140)</f>
        <v/>
      </c>
      <c r="O180" s="15" t="str">
        <f>IF(ISBLANK('Refsz-Verbräuche'!P140), "", 'Refsz-Verbräuche'!P140)</f>
        <v/>
      </c>
      <c r="P180" s="15" t="str">
        <f>IF(ISBLANK('Refsz-Verbräuche'!Q140), "", 'Refsz-Verbräuche'!Q140)</f>
        <v/>
      </c>
      <c r="Q180" s="15" t="str">
        <f>IF(ISBLANK('Refsz-Verbräuche'!R140), "", 'Refsz-Verbräuche'!R140)</f>
        <v/>
      </c>
      <c r="R180" s="15" t="str">
        <f>IF(ISBLANK('Refsz-Verbräuche'!S140), "", 'Refsz-Verbräuche'!S140)</f>
        <v/>
      </c>
      <c r="S180" s="15" t="str">
        <f>IF(ISBLANK('Refsz-Verbräuche'!T140), "", 'Refsz-Verbräuche'!T140)</f>
        <v/>
      </c>
      <c r="T180" s="15" t="str">
        <f>IF(ISBLANK('Refsz-Verbräuche'!U140), "", 'Refsz-Verbräuche'!U140)</f>
        <v/>
      </c>
      <c r="U180" s="15" t="str">
        <f>IF(ISBLANK('Refsz-Verbräuche'!V140), "", 'Refsz-Verbräuche'!V140)</f>
        <v/>
      </c>
      <c r="V180" s="15" t="str">
        <f>IF(ISBLANK('Refsz-Verbräuche'!W140), "", 'Refsz-Verbräuche'!W140)</f>
        <v/>
      </c>
      <c r="W180" s="15" t="str">
        <f>IF(ISBLANK('Refsz-Verbräuche'!X140), "", 'Refsz-Verbräuche'!X140)</f>
        <v/>
      </c>
    </row>
    <row r="181" spans="2:23" hidden="1" x14ac:dyDescent="0.35">
      <c r="B181" t="str">
        <f>'Refsz-Verbräuche'!C142</f>
        <v>An- und Abreise von Gästen - Flugreisen</v>
      </c>
      <c r="C181" t="str">
        <f>'Refsz-Verbräuche'!D142</f>
        <v>Pkm</v>
      </c>
      <c r="D181" s="15" t="str">
        <f>IF(ISBLANK('Refsz-Verbräuche'!E142), "", 'Refsz-Verbräuche'!E142)</f>
        <v/>
      </c>
      <c r="E181" s="15" t="str">
        <f>IF(ISBLANK('Refsz-Verbräuche'!F142), "", 'Refsz-Verbräuche'!F142)</f>
        <v/>
      </c>
      <c r="F181" s="15" t="str">
        <f>IF(ISBLANK('Refsz-Verbräuche'!G142), "", 'Refsz-Verbräuche'!G142)</f>
        <v/>
      </c>
      <c r="G181" s="15" t="str">
        <f>IF(ISBLANK('Refsz-Verbräuche'!H142), "", 'Refsz-Verbräuche'!H142)</f>
        <v/>
      </c>
      <c r="H181" s="15" t="str">
        <f>IF(ISBLANK('Refsz-Verbräuche'!I142), "", 'Refsz-Verbräuche'!I142)</f>
        <v/>
      </c>
      <c r="I181" s="15" t="str">
        <f>IF(ISBLANK('Refsz-Verbräuche'!J142), "", 'Refsz-Verbräuche'!J142)</f>
        <v/>
      </c>
      <c r="J181" s="15" t="str">
        <f>IF(ISBLANK('Refsz-Verbräuche'!K142), "", 'Refsz-Verbräuche'!K142)</f>
        <v/>
      </c>
      <c r="K181" s="15" t="str">
        <f>IF(ISBLANK('Refsz-Verbräuche'!L142), "", 'Refsz-Verbräuche'!L142)</f>
        <v/>
      </c>
      <c r="L181" s="15" t="str">
        <f>IF(ISBLANK('Refsz-Verbräuche'!M142), "", 'Refsz-Verbräuche'!M142)</f>
        <v/>
      </c>
      <c r="M181" s="15" t="str">
        <f>IF(ISBLANK('Refsz-Verbräuche'!N142), "", 'Refsz-Verbräuche'!N142)</f>
        <v/>
      </c>
      <c r="N181" s="15" t="str">
        <f>IF(ISBLANK('Refsz-Verbräuche'!O142), "", 'Refsz-Verbräuche'!O142)</f>
        <v/>
      </c>
      <c r="O181" s="15" t="str">
        <f>IF(ISBLANK('Refsz-Verbräuche'!P142), "", 'Refsz-Verbräuche'!P142)</f>
        <v/>
      </c>
      <c r="P181" s="15" t="str">
        <f>IF(ISBLANK('Refsz-Verbräuche'!Q142), "", 'Refsz-Verbräuche'!Q142)</f>
        <v/>
      </c>
      <c r="Q181" s="15" t="str">
        <f>IF(ISBLANK('Refsz-Verbräuche'!R142), "", 'Refsz-Verbräuche'!R142)</f>
        <v/>
      </c>
      <c r="R181" s="15" t="str">
        <f>IF(ISBLANK('Refsz-Verbräuche'!S142), "", 'Refsz-Verbräuche'!S142)</f>
        <v/>
      </c>
      <c r="S181" s="15" t="str">
        <f>IF(ISBLANK('Refsz-Verbräuche'!T142), "", 'Refsz-Verbräuche'!T142)</f>
        <v/>
      </c>
      <c r="T181" s="15" t="str">
        <f>IF(ISBLANK('Refsz-Verbräuche'!U142), "", 'Refsz-Verbräuche'!U142)</f>
        <v/>
      </c>
      <c r="U181" s="15" t="str">
        <f>IF(ISBLANK('Refsz-Verbräuche'!V142), "", 'Refsz-Verbräuche'!V142)</f>
        <v/>
      </c>
      <c r="V181" s="15" t="str">
        <f>IF(ISBLANK('Refsz-Verbräuche'!W142), "", 'Refsz-Verbräuche'!W142)</f>
        <v/>
      </c>
      <c r="W181" s="15" t="str">
        <f>IF(ISBLANK('Refsz-Verbräuche'!X142), "", 'Refsz-Verbräuche'!X142)</f>
        <v/>
      </c>
    </row>
    <row r="182" spans="2:23" hidden="1" x14ac:dyDescent="0.35">
      <c r="B182" t="str">
        <f>'Refsz-Verbräuche'!C143</f>
        <v>An- und Abreise von Gästen - Eisenbahn (Nahverkehr)</v>
      </c>
      <c r="C182" t="str">
        <f>'Refsz-Verbräuche'!D143</f>
        <v>Pkm</v>
      </c>
      <c r="D182" s="15" t="str">
        <f>IF(ISBLANK('Refsz-Verbräuche'!E143), "", 'Refsz-Verbräuche'!E143)</f>
        <v/>
      </c>
      <c r="E182" s="15" t="str">
        <f>IF(ISBLANK('Refsz-Verbräuche'!F143), "", 'Refsz-Verbräuche'!F143)</f>
        <v/>
      </c>
      <c r="F182" s="15" t="str">
        <f>IF(ISBLANK('Refsz-Verbräuche'!G143), "", 'Refsz-Verbräuche'!G143)</f>
        <v/>
      </c>
      <c r="G182" s="15" t="str">
        <f>IF(ISBLANK('Refsz-Verbräuche'!H143), "", 'Refsz-Verbräuche'!H143)</f>
        <v/>
      </c>
      <c r="H182" s="15" t="str">
        <f>IF(ISBLANK('Refsz-Verbräuche'!I143), "", 'Refsz-Verbräuche'!I143)</f>
        <v/>
      </c>
      <c r="I182" s="15" t="str">
        <f>IF(ISBLANK('Refsz-Verbräuche'!J143), "", 'Refsz-Verbräuche'!J143)</f>
        <v/>
      </c>
      <c r="J182" s="15" t="str">
        <f>IF(ISBLANK('Refsz-Verbräuche'!K143), "", 'Refsz-Verbräuche'!K143)</f>
        <v/>
      </c>
      <c r="K182" s="15" t="str">
        <f>IF(ISBLANK('Refsz-Verbräuche'!L143), "", 'Refsz-Verbräuche'!L143)</f>
        <v/>
      </c>
      <c r="L182" s="15" t="str">
        <f>IF(ISBLANK('Refsz-Verbräuche'!M143), "", 'Refsz-Verbräuche'!M143)</f>
        <v/>
      </c>
      <c r="M182" s="15" t="str">
        <f>IF(ISBLANK('Refsz-Verbräuche'!N143), "", 'Refsz-Verbräuche'!N143)</f>
        <v/>
      </c>
      <c r="N182" s="15" t="str">
        <f>IF(ISBLANK('Refsz-Verbräuche'!O143), "", 'Refsz-Verbräuche'!O143)</f>
        <v/>
      </c>
      <c r="O182" s="15" t="str">
        <f>IF(ISBLANK('Refsz-Verbräuche'!P143), "", 'Refsz-Verbräuche'!P143)</f>
        <v/>
      </c>
      <c r="P182" s="15" t="str">
        <f>IF(ISBLANK('Refsz-Verbräuche'!Q143), "", 'Refsz-Verbräuche'!Q143)</f>
        <v/>
      </c>
      <c r="Q182" s="15" t="str">
        <f>IF(ISBLANK('Refsz-Verbräuche'!R143), "", 'Refsz-Verbräuche'!R143)</f>
        <v/>
      </c>
      <c r="R182" s="15" t="str">
        <f>IF(ISBLANK('Refsz-Verbräuche'!S143), "", 'Refsz-Verbräuche'!S143)</f>
        <v/>
      </c>
      <c r="S182" s="15" t="str">
        <f>IF(ISBLANK('Refsz-Verbräuche'!T143), "", 'Refsz-Verbräuche'!T143)</f>
        <v/>
      </c>
      <c r="T182" s="15" t="str">
        <f>IF(ISBLANK('Refsz-Verbräuche'!U143), "", 'Refsz-Verbräuche'!U143)</f>
        <v/>
      </c>
      <c r="U182" s="15" t="str">
        <f>IF(ISBLANK('Refsz-Verbräuche'!V143), "", 'Refsz-Verbräuche'!V143)</f>
        <v/>
      </c>
      <c r="V182" s="15" t="str">
        <f>IF(ISBLANK('Refsz-Verbräuche'!W143), "", 'Refsz-Verbräuche'!W143)</f>
        <v/>
      </c>
      <c r="W182" s="15" t="str">
        <f>IF(ISBLANK('Refsz-Verbräuche'!X143), "", 'Refsz-Verbräuche'!X143)</f>
        <v/>
      </c>
    </row>
    <row r="183" spans="2:23" hidden="1" x14ac:dyDescent="0.35">
      <c r="B183" t="str">
        <f>'Refsz-Verbräuche'!C144</f>
        <v>An- und Abreise von Gästen - Privater PKW (alle Antriebsarten)</v>
      </c>
      <c r="C183" t="str">
        <f>'Refsz-Verbräuche'!D144</f>
        <v>Fkm</v>
      </c>
      <c r="D183" s="15" t="str">
        <f>IF(ISBLANK('Refsz-Verbräuche'!E144), "", 'Refsz-Verbräuche'!E144)</f>
        <v/>
      </c>
      <c r="E183" s="15" t="str">
        <f>IF(ISBLANK('Refsz-Verbräuche'!F144), "", 'Refsz-Verbräuche'!F144)</f>
        <v/>
      </c>
      <c r="F183" s="15" t="str">
        <f>IF(ISBLANK('Refsz-Verbräuche'!G144), "", 'Refsz-Verbräuche'!G144)</f>
        <v/>
      </c>
      <c r="G183" s="15" t="str">
        <f>IF(ISBLANK('Refsz-Verbräuche'!H144), "", 'Refsz-Verbräuche'!H144)</f>
        <v/>
      </c>
      <c r="H183" s="15" t="str">
        <f>IF(ISBLANK('Refsz-Verbräuche'!I144), "", 'Refsz-Verbräuche'!I144)</f>
        <v/>
      </c>
      <c r="I183" s="15" t="str">
        <f>IF(ISBLANK('Refsz-Verbräuche'!J144), "", 'Refsz-Verbräuche'!J144)</f>
        <v/>
      </c>
      <c r="J183" s="15" t="str">
        <f>IF(ISBLANK('Refsz-Verbräuche'!K144), "", 'Refsz-Verbräuche'!K144)</f>
        <v/>
      </c>
      <c r="K183" s="15" t="str">
        <f>IF(ISBLANK('Refsz-Verbräuche'!L144), "", 'Refsz-Verbräuche'!L144)</f>
        <v/>
      </c>
      <c r="L183" s="15" t="str">
        <f>IF(ISBLANK('Refsz-Verbräuche'!M144), "", 'Refsz-Verbräuche'!M144)</f>
        <v/>
      </c>
      <c r="M183" s="15" t="str">
        <f>IF(ISBLANK('Refsz-Verbräuche'!N144), "", 'Refsz-Verbräuche'!N144)</f>
        <v/>
      </c>
      <c r="N183" s="15" t="str">
        <f>IF(ISBLANK('Refsz-Verbräuche'!O144), "", 'Refsz-Verbräuche'!O144)</f>
        <v/>
      </c>
      <c r="O183" s="15" t="str">
        <f>IF(ISBLANK('Refsz-Verbräuche'!P144), "", 'Refsz-Verbräuche'!P144)</f>
        <v/>
      </c>
      <c r="P183" s="15" t="str">
        <f>IF(ISBLANK('Refsz-Verbräuche'!Q144), "", 'Refsz-Verbräuche'!Q144)</f>
        <v/>
      </c>
      <c r="Q183" s="15" t="str">
        <f>IF(ISBLANK('Refsz-Verbräuche'!R144), "", 'Refsz-Verbräuche'!R144)</f>
        <v/>
      </c>
      <c r="R183" s="15" t="str">
        <f>IF(ISBLANK('Refsz-Verbräuche'!S144), "", 'Refsz-Verbräuche'!S144)</f>
        <v/>
      </c>
      <c r="S183" s="15" t="str">
        <f>IF(ISBLANK('Refsz-Verbräuche'!T144), "", 'Refsz-Verbräuche'!T144)</f>
        <v/>
      </c>
      <c r="T183" s="15" t="str">
        <f>IF(ISBLANK('Refsz-Verbräuche'!U144), "", 'Refsz-Verbräuche'!U144)</f>
        <v/>
      </c>
      <c r="U183" s="15" t="str">
        <f>IF(ISBLANK('Refsz-Verbräuche'!V144), "", 'Refsz-Verbräuche'!V144)</f>
        <v/>
      </c>
      <c r="V183" s="15" t="str">
        <f>IF(ISBLANK('Refsz-Verbräuche'!W144), "", 'Refsz-Verbräuche'!W144)</f>
        <v/>
      </c>
      <c r="W183" s="15" t="str">
        <f>IF(ISBLANK('Refsz-Verbräuche'!X144), "", 'Refsz-Verbräuche'!X144)</f>
        <v/>
      </c>
    </row>
    <row r="184" spans="2:23" hidden="1" x14ac:dyDescent="0.35">
      <c r="B184" s="25" t="s">
        <v>43</v>
      </c>
      <c r="C184" s="25" t="s">
        <v>47</v>
      </c>
      <c r="D184" s="15">
        <f>SUBTOTAL(109,Modal_Split_Verkehrsmittel[2015])</f>
        <v>0</v>
      </c>
      <c r="E184" s="15">
        <f>SUBTOTAL(109,Modal_Split_Verkehrsmittel[2016])</f>
        <v>0</v>
      </c>
      <c r="F184" s="15">
        <f>SUBTOTAL(109,Modal_Split_Verkehrsmittel[2017])</f>
        <v>0</v>
      </c>
      <c r="G184" s="15">
        <f>SUBTOTAL(109,Modal_Split_Verkehrsmittel[2018])</f>
        <v>0</v>
      </c>
      <c r="H184" s="15">
        <f>SUBTOTAL(109,Modal_Split_Verkehrsmittel[2019])</f>
        <v>0</v>
      </c>
      <c r="I184" s="15">
        <f>SUBTOTAL(109,Modal_Split_Verkehrsmittel[2020])</f>
        <v>0</v>
      </c>
      <c r="J184" s="15">
        <f>SUBTOTAL(109,Modal_Split_Verkehrsmittel[2021])</f>
        <v>0</v>
      </c>
      <c r="K184" s="15">
        <f>SUBTOTAL(109,Modal_Split_Verkehrsmittel[2022])</f>
        <v>0</v>
      </c>
      <c r="L184" s="15">
        <f>SUBTOTAL(109,Modal_Split_Verkehrsmittel[2023])</f>
        <v>0</v>
      </c>
      <c r="M184" s="15">
        <f>SUBTOTAL(109,Modal_Split_Verkehrsmittel[2024])</f>
        <v>0</v>
      </c>
      <c r="N184" s="15">
        <f>SUBTOTAL(109,Modal_Split_Verkehrsmittel[2025])</f>
        <v>0</v>
      </c>
      <c r="O184" s="15">
        <f>SUBTOTAL(109,Modal_Split_Verkehrsmittel[2026])</f>
        <v>0</v>
      </c>
      <c r="P184" s="15">
        <f>SUBTOTAL(109,Modal_Split_Verkehrsmittel[2027])</f>
        <v>0</v>
      </c>
      <c r="Q184" s="15">
        <f>SUBTOTAL(109,Modal_Split_Verkehrsmittel[2028])</f>
        <v>0</v>
      </c>
      <c r="R184" s="15">
        <f>SUBTOTAL(109,Modal_Split_Verkehrsmittel[2029])</f>
        <v>0</v>
      </c>
      <c r="S184" s="15">
        <f>SUBTOTAL(109,Modal_Split_Verkehrsmittel[2030])</f>
        <v>0</v>
      </c>
      <c r="T184" s="15">
        <f>SUBTOTAL(109,Modal_Split_Verkehrsmittel[2035])</f>
        <v>0</v>
      </c>
      <c r="U184" s="15">
        <f>SUBTOTAL(109,Modal_Split_Verkehrsmittel[2040])</f>
        <v>0</v>
      </c>
      <c r="V184" s="15">
        <f>SUBTOTAL(109,Modal_Split_Verkehrsmittel[2045])</f>
        <v>0</v>
      </c>
      <c r="W184" s="15">
        <f>SUBTOTAL(109,Modal_Split_Verkehrsmittel[2050])</f>
        <v>0</v>
      </c>
    </row>
    <row r="186" spans="2:23" ht="15.5" x14ac:dyDescent="0.35">
      <c r="B186" s="6" t="s">
        <v>532</v>
      </c>
    </row>
    <row r="187" spans="2:23" x14ac:dyDescent="0.35">
      <c r="B187" t="s">
        <v>265</v>
      </c>
      <c r="C187" t="s">
        <v>2</v>
      </c>
      <c r="D187" t="s">
        <v>3</v>
      </c>
      <c r="E187" t="s">
        <v>4</v>
      </c>
      <c r="F187" t="s">
        <v>5</v>
      </c>
      <c r="G187" t="s">
        <v>6</v>
      </c>
      <c r="H187" t="s">
        <v>7</v>
      </c>
      <c r="I187" t="s">
        <v>8</v>
      </c>
      <c r="J187" t="s">
        <v>9</v>
      </c>
      <c r="K187" t="s">
        <v>10</v>
      </c>
      <c r="L187" t="s">
        <v>11</v>
      </c>
      <c r="M187" t="s">
        <v>12</v>
      </c>
      <c r="N187" t="s">
        <v>13</v>
      </c>
      <c r="O187" t="s">
        <v>14</v>
      </c>
      <c r="P187" t="s">
        <v>232</v>
      </c>
      <c r="Q187" t="s">
        <v>233</v>
      </c>
      <c r="R187" t="s">
        <v>234</v>
      </c>
      <c r="S187" t="s">
        <v>15</v>
      </c>
      <c r="T187" t="s">
        <v>16</v>
      </c>
      <c r="U187" t="s">
        <v>17</v>
      </c>
      <c r="V187" t="s">
        <v>18</v>
      </c>
      <c r="W187" t="s">
        <v>19</v>
      </c>
    </row>
    <row r="188" spans="2:23" x14ac:dyDescent="0.35">
      <c r="B188" t="str">
        <f>'Refsz-Verbräuche'!C46</f>
        <v>Fuhrpark</v>
      </c>
      <c r="C188" t="s">
        <v>47</v>
      </c>
      <c r="D188" s="15">
        <f>SUM(D142:D146)</f>
        <v>0</v>
      </c>
      <c r="E188" s="15">
        <f t="shared" ref="E188:W188" si="2">SUM(E142:E146)</f>
        <v>0</v>
      </c>
      <c r="F188" s="15">
        <f t="shared" si="2"/>
        <v>0</v>
      </c>
      <c r="G188" s="15">
        <f t="shared" si="2"/>
        <v>0</v>
      </c>
      <c r="H188" s="15">
        <f t="shared" si="2"/>
        <v>0</v>
      </c>
      <c r="I188" s="15">
        <f t="shared" si="2"/>
        <v>0</v>
      </c>
      <c r="J188" s="15">
        <f t="shared" si="2"/>
        <v>0</v>
      </c>
      <c r="K188" s="15">
        <f t="shared" si="2"/>
        <v>0</v>
      </c>
      <c r="L188" s="15">
        <f t="shared" si="2"/>
        <v>0</v>
      </c>
      <c r="M188" s="15">
        <f t="shared" si="2"/>
        <v>0</v>
      </c>
      <c r="N188" s="15">
        <f t="shared" si="2"/>
        <v>0</v>
      </c>
      <c r="O188" s="15">
        <f t="shared" si="2"/>
        <v>0</v>
      </c>
      <c r="P188" s="15">
        <f t="shared" si="2"/>
        <v>0</v>
      </c>
      <c r="Q188" s="15">
        <f t="shared" si="2"/>
        <v>0</v>
      </c>
      <c r="R188" s="15">
        <f t="shared" si="2"/>
        <v>0</v>
      </c>
      <c r="S188" s="15">
        <f t="shared" si="2"/>
        <v>0</v>
      </c>
      <c r="T188" s="15">
        <f t="shared" si="2"/>
        <v>0</v>
      </c>
      <c r="U188" s="15">
        <f t="shared" si="2"/>
        <v>0</v>
      </c>
      <c r="V188" s="15">
        <f t="shared" si="2"/>
        <v>0</v>
      </c>
      <c r="W188" s="15">
        <f t="shared" si="2"/>
        <v>0</v>
      </c>
    </row>
    <row r="189" spans="2:23" x14ac:dyDescent="0.35">
      <c r="B189" t="str">
        <f>'Refsz-Verbräuche'!C47</f>
        <v>DR</v>
      </c>
      <c r="C189" t="s">
        <v>47</v>
      </c>
      <c r="D189" s="15">
        <f>SUM(D147:D160)</f>
        <v>0</v>
      </c>
      <c r="E189" s="15">
        <f t="shared" ref="E189:W189" si="3">SUM(E147:E160)</f>
        <v>0</v>
      </c>
      <c r="F189" s="15">
        <f t="shared" si="3"/>
        <v>0</v>
      </c>
      <c r="G189" s="15">
        <f t="shared" si="3"/>
        <v>0</v>
      </c>
      <c r="H189" s="15">
        <f t="shared" si="3"/>
        <v>0</v>
      </c>
      <c r="I189" s="15">
        <f t="shared" si="3"/>
        <v>0</v>
      </c>
      <c r="J189" s="15">
        <f t="shared" si="3"/>
        <v>0</v>
      </c>
      <c r="K189" s="15">
        <f t="shared" si="3"/>
        <v>0</v>
      </c>
      <c r="L189" s="15">
        <f t="shared" si="3"/>
        <v>0</v>
      </c>
      <c r="M189" s="15">
        <f t="shared" si="3"/>
        <v>0</v>
      </c>
      <c r="N189" s="15">
        <f t="shared" si="3"/>
        <v>0</v>
      </c>
      <c r="O189" s="15">
        <f t="shared" si="3"/>
        <v>0</v>
      </c>
      <c r="P189" s="15">
        <f t="shared" si="3"/>
        <v>0</v>
      </c>
      <c r="Q189" s="15">
        <f t="shared" si="3"/>
        <v>0</v>
      </c>
      <c r="R189" s="15">
        <f t="shared" si="3"/>
        <v>0</v>
      </c>
      <c r="S189" s="15">
        <f t="shared" si="3"/>
        <v>0</v>
      </c>
      <c r="T189" s="15">
        <f t="shared" si="3"/>
        <v>0</v>
      </c>
      <c r="U189" s="15">
        <f t="shared" si="3"/>
        <v>0</v>
      </c>
      <c r="V189" s="15">
        <f t="shared" si="3"/>
        <v>0</v>
      </c>
      <c r="W189" s="15">
        <f t="shared" si="3"/>
        <v>0</v>
      </c>
    </row>
    <row r="190" spans="2:23" x14ac:dyDescent="0.35">
      <c r="B190" t="str">
        <f>'Refsz-Verbräuche'!C48</f>
        <v>Studierendenreisen (Outgoing)</v>
      </c>
      <c r="C190" t="s">
        <v>47</v>
      </c>
      <c r="D190" s="15">
        <f>SUM(D161:D163)</f>
        <v>0</v>
      </c>
      <c r="E190" s="15">
        <f t="shared" ref="E190:W190" si="4">SUM(E161:E163)</f>
        <v>0</v>
      </c>
      <c r="F190" s="15">
        <f t="shared" si="4"/>
        <v>0</v>
      </c>
      <c r="G190" s="15">
        <f t="shared" si="4"/>
        <v>0</v>
      </c>
      <c r="H190" s="15">
        <f t="shared" si="4"/>
        <v>0</v>
      </c>
      <c r="I190" s="15">
        <f t="shared" si="4"/>
        <v>0</v>
      </c>
      <c r="J190" s="15">
        <f t="shared" si="4"/>
        <v>0</v>
      </c>
      <c r="K190" s="15">
        <f t="shared" si="4"/>
        <v>0</v>
      </c>
      <c r="L190" s="15">
        <f t="shared" si="4"/>
        <v>0</v>
      </c>
      <c r="M190" s="15">
        <f t="shared" si="4"/>
        <v>0</v>
      </c>
      <c r="N190" s="15">
        <f t="shared" si="4"/>
        <v>0</v>
      </c>
      <c r="O190" s="15">
        <f t="shared" si="4"/>
        <v>0</v>
      </c>
      <c r="P190" s="15">
        <f t="shared" si="4"/>
        <v>0</v>
      </c>
      <c r="Q190" s="15">
        <f t="shared" si="4"/>
        <v>0</v>
      </c>
      <c r="R190" s="15">
        <f t="shared" si="4"/>
        <v>0</v>
      </c>
      <c r="S190" s="15">
        <f t="shared" si="4"/>
        <v>0</v>
      </c>
      <c r="T190" s="15">
        <f t="shared" si="4"/>
        <v>0</v>
      </c>
      <c r="U190" s="15">
        <f t="shared" si="4"/>
        <v>0</v>
      </c>
      <c r="V190" s="15">
        <f t="shared" si="4"/>
        <v>0</v>
      </c>
      <c r="W190" s="15">
        <f t="shared" si="4"/>
        <v>0</v>
      </c>
    </row>
    <row r="191" spans="2:23" x14ac:dyDescent="0.35">
      <c r="B191" t="str">
        <f>'Refsz-Verbräuche'!C49</f>
        <v>Exkursionen</v>
      </c>
      <c r="C191" t="s">
        <v>47</v>
      </c>
      <c r="D191" s="15">
        <f>SUM(D164:D166)</f>
        <v>0</v>
      </c>
      <c r="E191" s="15">
        <f t="shared" ref="E191:W191" si="5">SUM(E164:E166)</f>
        <v>0</v>
      </c>
      <c r="F191" s="15">
        <f t="shared" si="5"/>
        <v>0</v>
      </c>
      <c r="G191" s="15">
        <f t="shared" si="5"/>
        <v>0</v>
      </c>
      <c r="H191" s="15">
        <f t="shared" si="5"/>
        <v>0</v>
      </c>
      <c r="I191" s="15">
        <f t="shared" si="5"/>
        <v>0</v>
      </c>
      <c r="J191" s="15">
        <f t="shared" si="5"/>
        <v>0</v>
      </c>
      <c r="K191" s="15">
        <f t="shared" si="5"/>
        <v>0</v>
      </c>
      <c r="L191" s="15">
        <f t="shared" si="5"/>
        <v>0</v>
      </c>
      <c r="M191" s="15">
        <f t="shared" si="5"/>
        <v>0</v>
      </c>
      <c r="N191" s="15">
        <f t="shared" si="5"/>
        <v>0</v>
      </c>
      <c r="O191" s="15">
        <f t="shared" si="5"/>
        <v>0</v>
      </c>
      <c r="P191" s="15">
        <f t="shared" si="5"/>
        <v>0</v>
      </c>
      <c r="Q191" s="15">
        <f t="shared" si="5"/>
        <v>0</v>
      </c>
      <c r="R191" s="15">
        <f t="shared" si="5"/>
        <v>0</v>
      </c>
      <c r="S191" s="15">
        <f t="shared" si="5"/>
        <v>0</v>
      </c>
      <c r="T191" s="15">
        <f t="shared" si="5"/>
        <v>0</v>
      </c>
      <c r="U191" s="15">
        <f t="shared" si="5"/>
        <v>0</v>
      </c>
      <c r="V191" s="15">
        <f t="shared" si="5"/>
        <v>0</v>
      </c>
      <c r="W191" s="15">
        <f t="shared" si="5"/>
        <v>0</v>
      </c>
    </row>
    <row r="192" spans="2:23" x14ac:dyDescent="0.35">
      <c r="B192" t="str">
        <f>'Refsz-Verbräuche'!C50</f>
        <v>Pendeln</v>
      </c>
      <c r="C192" t="s">
        <v>47</v>
      </c>
      <c r="D192" s="15">
        <f>SUM(D167:D177)</f>
        <v>0</v>
      </c>
      <c r="E192" s="15">
        <f t="shared" ref="E192:W192" si="6">SUM(E167:E177)</f>
        <v>0</v>
      </c>
      <c r="F192" s="15">
        <f t="shared" si="6"/>
        <v>0</v>
      </c>
      <c r="G192" s="15">
        <f t="shared" si="6"/>
        <v>0</v>
      </c>
      <c r="H192" s="15">
        <f t="shared" si="6"/>
        <v>0</v>
      </c>
      <c r="I192" s="15">
        <f t="shared" si="6"/>
        <v>0</v>
      </c>
      <c r="J192" s="15">
        <f t="shared" si="6"/>
        <v>0</v>
      </c>
      <c r="K192" s="15">
        <f t="shared" si="6"/>
        <v>0</v>
      </c>
      <c r="L192" s="15">
        <f t="shared" si="6"/>
        <v>0</v>
      </c>
      <c r="M192" s="15">
        <f t="shared" si="6"/>
        <v>0</v>
      </c>
      <c r="N192" s="15">
        <f t="shared" si="6"/>
        <v>0</v>
      </c>
      <c r="O192" s="15">
        <f t="shared" si="6"/>
        <v>0</v>
      </c>
      <c r="P192" s="15">
        <f t="shared" si="6"/>
        <v>0</v>
      </c>
      <c r="Q192" s="15">
        <f t="shared" si="6"/>
        <v>0</v>
      </c>
      <c r="R192" s="15">
        <f t="shared" si="6"/>
        <v>0</v>
      </c>
      <c r="S192" s="15">
        <f t="shared" si="6"/>
        <v>0</v>
      </c>
      <c r="T192" s="15">
        <f t="shared" si="6"/>
        <v>0</v>
      </c>
      <c r="U192" s="15">
        <f t="shared" si="6"/>
        <v>0</v>
      </c>
      <c r="V192" s="15">
        <f t="shared" si="6"/>
        <v>0</v>
      </c>
      <c r="W192" s="15">
        <f t="shared" si="6"/>
        <v>0</v>
      </c>
    </row>
    <row r="193" spans="2:23" x14ac:dyDescent="0.35">
      <c r="B193" t="str">
        <f>'Refsz-Verbräuche'!C51</f>
        <v>Studierendenreisen (Incoming)</v>
      </c>
      <c r="C193" t="s">
        <v>47</v>
      </c>
      <c r="D193" s="15">
        <f>SUM(D178:D180)</f>
        <v>0</v>
      </c>
      <c r="E193" s="15">
        <f t="shared" ref="E193:W193" si="7">SUM(E178:E180)</f>
        <v>0</v>
      </c>
      <c r="F193" s="15">
        <f t="shared" si="7"/>
        <v>0</v>
      </c>
      <c r="G193" s="15">
        <f t="shared" si="7"/>
        <v>0</v>
      </c>
      <c r="H193" s="15">
        <f t="shared" si="7"/>
        <v>0</v>
      </c>
      <c r="I193" s="15">
        <f t="shared" si="7"/>
        <v>0</v>
      </c>
      <c r="J193" s="15">
        <f t="shared" si="7"/>
        <v>0</v>
      </c>
      <c r="K193" s="15">
        <f t="shared" si="7"/>
        <v>0</v>
      </c>
      <c r="L193" s="15">
        <f t="shared" si="7"/>
        <v>0</v>
      </c>
      <c r="M193" s="15">
        <f t="shared" si="7"/>
        <v>0</v>
      </c>
      <c r="N193" s="15">
        <f t="shared" si="7"/>
        <v>0</v>
      </c>
      <c r="O193" s="15">
        <f t="shared" si="7"/>
        <v>0</v>
      </c>
      <c r="P193" s="15">
        <f t="shared" si="7"/>
        <v>0</v>
      </c>
      <c r="Q193" s="15">
        <f t="shared" si="7"/>
        <v>0</v>
      </c>
      <c r="R193" s="15">
        <f t="shared" si="7"/>
        <v>0</v>
      </c>
      <c r="S193" s="15">
        <f t="shared" si="7"/>
        <v>0</v>
      </c>
      <c r="T193" s="15">
        <f t="shared" si="7"/>
        <v>0</v>
      </c>
      <c r="U193" s="15">
        <f t="shared" si="7"/>
        <v>0</v>
      </c>
      <c r="V193" s="15">
        <f t="shared" si="7"/>
        <v>0</v>
      </c>
      <c r="W193" s="15">
        <f t="shared" si="7"/>
        <v>0</v>
      </c>
    </row>
    <row r="194" spans="2:23" x14ac:dyDescent="0.35">
      <c r="B194" t="str">
        <f>'Refsz-Verbräuche'!C52</f>
        <v>An- und Abreise von Gästen</v>
      </c>
      <c r="C194" t="s">
        <v>47</v>
      </c>
      <c r="D194" s="15">
        <f>SUM(D181:D183)</f>
        <v>0</v>
      </c>
      <c r="E194" s="15">
        <f t="shared" ref="E194:W194" si="8">SUM(E181:E183)</f>
        <v>0</v>
      </c>
      <c r="F194" s="15">
        <f t="shared" si="8"/>
        <v>0</v>
      </c>
      <c r="G194" s="15">
        <f t="shared" si="8"/>
        <v>0</v>
      </c>
      <c r="H194" s="15">
        <f t="shared" si="8"/>
        <v>0</v>
      </c>
      <c r="I194" s="15">
        <f t="shared" si="8"/>
        <v>0</v>
      </c>
      <c r="J194" s="15">
        <f t="shared" si="8"/>
        <v>0</v>
      </c>
      <c r="K194" s="15">
        <f t="shared" si="8"/>
        <v>0</v>
      </c>
      <c r="L194" s="15">
        <f t="shared" si="8"/>
        <v>0</v>
      </c>
      <c r="M194" s="15">
        <f t="shared" si="8"/>
        <v>0</v>
      </c>
      <c r="N194" s="15">
        <f t="shared" si="8"/>
        <v>0</v>
      </c>
      <c r="O194" s="15">
        <f t="shared" si="8"/>
        <v>0</v>
      </c>
      <c r="P194" s="15">
        <f t="shared" si="8"/>
        <v>0</v>
      </c>
      <c r="Q194" s="15">
        <f t="shared" si="8"/>
        <v>0</v>
      </c>
      <c r="R194" s="15">
        <f t="shared" si="8"/>
        <v>0</v>
      </c>
      <c r="S194" s="15">
        <f t="shared" si="8"/>
        <v>0</v>
      </c>
      <c r="T194" s="15">
        <f t="shared" si="8"/>
        <v>0</v>
      </c>
      <c r="U194" s="15">
        <f t="shared" si="8"/>
        <v>0</v>
      </c>
      <c r="V194" s="15">
        <f t="shared" si="8"/>
        <v>0</v>
      </c>
      <c r="W194" s="15">
        <f t="shared" si="8"/>
        <v>0</v>
      </c>
    </row>
    <row r="195" spans="2:23" x14ac:dyDescent="0.35">
      <c r="B195" s="25" t="s">
        <v>43</v>
      </c>
      <c r="C195" s="25" t="s">
        <v>47</v>
      </c>
      <c r="D195" s="15">
        <f>SUBTOTAL(109,Modal_Split_Gruppen[2015])</f>
        <v>0</v>
      </c>
      <c r="E195" s="15">
        <f>SUBTOTAL(109,Modal_Split_Gruppen[2016])</f>
        <v>0</v>
      </c>
      <c r="F195" s="15">
        <f>SUBTOTAL(109,Modal_Split_Gruppen[2017])</f>
        <v>0</v>
      </c>
      <c r="G195" s="15">
        <f>SUBTOTAL(109,Modal_Split_Gruppen[2018])</f>
        <v>0</v>
      </c>
      <c r="H195" s="15">
        <f>SUBTOTAL(109,Modal_Split_Gruppen[2019])</f>
        <v>0</v>
      </c>
      <c r="I195" s="15">
        <f>SUBTOTAL(109,Modal_Split_Gruppen[2020])</f>
        <v>0</v>
      </c>
      <c r="J195" s="15">
        <f>SUBTOTAL(109,Modal_Split_Gruppen[2021])</f>
        <v>0</v>
      </c>
      <c r="K195" s="15">
        <f>SUBTOTAL(109,Modal_Split_Gruppen[2022])</f>
        <v>0</v>
      </c>
      <c r="L195" s="15">
        <f>SUBTOTAL(109,Modal_Split_Gruppen[2023])</f>
        <v>0</v>
      </c>
      <c r="M195" s="15">
        <f>SUBTOTAL(109,Modal_Split_Gruppen[2024])</f>
        <v>0</v>
      </c>
      <c r="N195" s="15">
        <f>SUBTOTAL(109,Modal_Split_Gruppen[2025])</f>
        <v>0</v>
      </c>
      <c r="O195" s="15">
        <f>SUBTOTAL(109,Modal_Split_Gruppen[2026])</f>
        <v>0</v>
      </c>
      <c r="P195" s="15">
        <f>SUBTOTAL(109,Modal_Split_Gruppen[2027])</f>
        <v>0</v>
      </c>
      <c r="Q195" s="15">
        <f>SUBTOTAL(109,Modal_Split_Gruppen[2028])</f>
        <v>0</v>
      </c>
      <c r="R195" s="15">
        <f>SUBTOTAL(109,Modal_Split_Gruppen[2029])</f>
        <v>0</v>
      </c>
      <c r="S195" s="15">
        <f>SUBTOTAL(109,Modal_Split_Gruppen[2030])</f>
        <v>0</v>
      </c>
      <c r="T195" s="15">
        <f>SUBTOTAL(109,Modal_Split_Gruppen[2035])</f>
        <v>0</v>
      </c>
      <c r="U195" s="15">
        <f>SUBTOTAL(109,Modal_Split_Gruppen[2040])</f>
        <v>0</v>
      </c>
      <c r="V195" s="15">
        <f>SUBTOTAL(109,Modal_Split_Gruppen[2045])</f>
        <v>0</v>
      </c>
      <c r="W195" s="15">
        <f>SUBTOTAL(109,Modal_Split_Gruppen[2050])</f>
        <v>0</v>
      </c>
    </row>
    <row r="197" spans="2:23" ht="15.5" x14ac:dyDescent="0.35">
      <c r="B197" s="6" t="s">
        <v>536</v>
      </c>
    </row>
    <row r="198" spans="2:23" ht="15.5" x14ac:dyDescent="0.35">
      <c r="B198" s="6"/>
    </row>
    <row r="199" spans="2:23" ht="15.5" x14ac:dyDescent="0.35">
      <c r="B199" s="111" t="s">
        <v>540</v>
      </c>
    </row>
    <row r="200" spans="2:23" ht="15.5" hidden="1" x14ac:dyDescent="0.35">
      <c r="B200" s="6" t="s">
        <v>531</v>
      </c>
    </row>
    <row r="201" spans="2:23" hidden="1" x14ac:dyDescent="0.35">
      <c r="B201" t="s">
        <v>264</v>
      </c>
      <c r="C201" t="s">
        <v>2</v>
      </c>
      <c r="D201" t="s">
        <v>3</v>
      </c>
      <c r="E201" t="s">
        <v>4</v>
      </c>
      <c r="F201" t="s">
        <v>5</v>
      </c>
      <c r="G201" t="s">
        <v>6</v>
      </c>
      <c r="H201" t="s">
        <v>7</v>
      </c>
      <c r="I201" t="s">
        <v>8</v>
      </c>
      <c r="J201" t="s">
        <v>9</v>
      </c>
      <c r="K201" t="s">
        <v>10</v>
      </c>
      <c r="L201" t="s">
        <v>11</v>
      </c>
      <c r="M201" t="s">
        <v>12</v>
      </c>
      <c r="N201" t="s">
        <v>13</v>
      </c>
      <c r="O201" t="s">
        <v>14</v>
      </c>
      <c r="P201" t="s">
        <v>232</v>
      </c>
      <c r="Q201" t="s">
        <v>233</v>
      </c>
      <c r="R201" t="s">
        <v>234</v>
      </c>
      <c r="S201" t="s">
        <v>15</v>
      </c>
      <c r="T201" t="s">
        <v>16</v>
      </c>
      <c r="U201" t="s">
        <v>17</v>
      </c>
      <c r="V201" t="s">
        <v>18</v>
      </c>
      <c r="W201" t="s">
        <v>19</v>
      </c>
    </row>
    <row r="202" spans="2:23" ht="16.5" hidden="1" x14ac:dyDescent="0.45">
      <c r="B202" t="str">
        <f t="shared" ref="B202:B243" si="9">B142</f>
        <v>Fuhrpark (Diesel)</v>
      </c>
      <c r="C202" t="s">
        <v>208</v>
      </c>
      <c r="D202" s="15">
        <f>IF(ISBLANK('Refsz-Emissionen'!E91), "", 'Refsz-Emissionen'!E91)</f>
        <v>0</v>
      </c>
      <c r="E202" s="15">
        <f>IF(ISBLANK('Refsz-Emissionen'!F91), "", 'Refsz-Emissionen'!F91)</f>
        <v>0</v>
      </c>
      <c r="F202" s="15">
        <f>IF(ISBLANK('Refsz-Emissionen'!G91), "", 'Refsz-Emissionen'!G91)</f>
        <v>0</v>
      </c>
      <c r="G202" s="15">
        <f>IF(ISBLANK('Refsz-Emissionen'!H91), "", 'Refsz-Emissionen'!H91)</f>
        <v>0</v>
      </c>
      <c r="H202" s="15">
        <f>IF(ISBLANK('Refsz-Emissionen'!I91), "", 'Refsz-Emissionen'!I91)</f>
        <v>0</v>
      </c>
      <c r="I202" s="15">
        <f>IF(ISBLANK('Refsz-Emissionen'!J91), "", 'Refsz-Emissionen'!J91)</f>
        <v>0</v>
      </c>
      <c r="J202" s="15">
        <f>IF(ISBLANK('Refsz-Emissionen'!K91), "", 'Refsz-Emissionen'!K91)</f>
        <v>0</v>
      </c>
      <c r="K202" s="15">
        <f>IF(ISBLANK('Refsz-Emissionen'!L91), "", 'Refsz-Emissionen'!L91)</f>
        <v>0</v>
      </c>
      <c r="L202" s="15">
        <f>IF(ISBLANK('Refsz-Emissionen'!M91), "", 'Refsz-Emissionen'!M91)</f>
        <v>0</v>
      </c>
      <c r="M202" s="15">
        <f>IF(ISBLANK('Refsz-Emissionen'!N91), "", 'Refsz-Emissionen'!N91)</f>
        <v>0</v>
      </c>
      <c r="N202" s="15">
        <f>IF(ISBLANK('Refsz-Emissionen'!O91), "", 'Refsz-Emissionen'!O91)</f>
        <v>0</v>
      </c>
      <c r="O202" s="15">
        <f>IF(ISBLANK('Refsz-Emissionen'!P91), "", 'Refsz-Emissionen'!P91)</f>
        <v>0</v>
      </c>
      <c r="P202" s="15">
        <f>IF(ISBLANK('Refsz-Emissionen'!Q91), "", 'Refsz-Emissionen'!Q91)</f>
        <v>0</v>
      </c>
      <c r="Q202" s="15">
        <f>IF(ISBLANK('Refsz-Emissionen'!R91), "", 'Refsz-Emissionen'!R91)</f>
        <v>0</v>
      </c>
      <c r="R202" s="15">
        <f>IF(ISBLANK('Refsz-Emissionen'!S91), "", 'Refsz-Emissionen'!S91)</f>
        <v>0</v>
      </c>
      <c r="S202" s="15">
        <f>IF(ISBLANK('Refsz-Emissionen'!T91), "", 'Refsz-Emissionen'!T91)</f>
        <v>0</v>
      </c>
      <c r="T202" s="15">
        <f>IF(ISBLANK('Refsz-Emissionen'!U91), "", 'Refsz-Emissionen'!U91)</f>
        <v>0</v>
      </c>
      <c r="U202" s="15">
        <f>IF(ISBLANK('Refsz-Emissionen'!V91), "", 'Refsz-Emissionen'!V91)</f>
        <v>0</v>
      </c>
      <c r="V202" s="15">
        <f>IF(ISBLANK('Refsz-Emissionen'!W91), "", 'Refsz-Emissionen'!W91)</f>
        <v>0</v>
      </c>
      <c r="W202" s="15">
        <f>IF(ISBLANK('Refsz-Emissionen'!X91), "", 'Refsz-Emissionen'!X91)</f>
        <v>0</v>
      </c>
    </row>
    <row r="203" spans="2:23" ht="16.5" hidden="1" x14ac:dyDescent="0.45">
      <c r="B203" t="str">
        <f t="shared" si="9"/>
        <v>Fuhrpark (Benzin)</v>
      </c>
      <c r="C203" t="s">
        <v>208</v>
      </c>
      <c r="D203" s="15">
        <f>IF(ISBLANK('Refsz-Emissionen'!E92), "", 'Refsz-Emissionen'!E92)</f>
        <v>0</v>
      </c>
      <c r="E203" s="15">
        <f>IF(ISBLANK('Refsz-Emissionen'!F92), "", 'Refsz-Emissionen'!F92)</f>
        <v>0</v>
      </c>
      <c r="F203" s="15">
        <f>IF(ISBLANK('Refsz-Emissionen'!G92), "", 'Refsz-Emissionen'!G92)</f>
        <v>0</v>
      </c>
      <c r="G203" s="15">
        <f>IF(ISBLANK('Refsz-Emissionen'!H92), "", 'Refsz-Emissionen'!H92)</f>
        <v>0</v>
      </c>
      <c r="H203" s="15">
        <f>IF(ISBLANK('Refsz-Emissionen'!I92), "", 'Refsz-Emissionen'!I92)</f>
        <v>0</v>
      </c>
      <c r="I203" s="15">
        <f>IF(ISBLANK('Refsz-Emissionen'!J92), "", 'Refsz-Emissionen'!J92)</f>
        <v>0</v>
      </c>
      <c r="J203" s="15">
        <f>IF(ISBLANK('Refsz-Emissionen'!K92), "", 'Refsz-Emissionen'!K92)</f>
        <v>0</v>
      </c>
      <c r="K203" s="15">
        <f>IF(ISBLANK('Refsz-Emissionen'!L92), "", 'Refsz-Emissionen'!L92)</f>
        <v>0</v>
      </c>
      <c r="L203" s="15">
        <f>IF(ISBLANK('Refsz-Emissionen'!M92), "", 'Refsz-Emissionen'!M92)</f>
        <v>0</v>
      </c>
      <c r="M203" s="15">
        <f>IF(ISBLANK('Refsz-Emissionen'!N92), "", 'Refsz-Emissionen'!N92)</f>
        <v>0</v>
      </c>
      <c r="N203" s="15">
        <f>IF(ISBLANK('Refsz-Emissionen'!O92), "", 'Refsz-Emissionen'!O92)</f>
        <v>0</v>
      </c>
      <c r="O203" s="15">
        <f>IF(ISBLANK('Refsz-Emissionen'!P92), "", 'Refsz-Emissionen'!P92)</f>
        <v>0</v>
      </c>
      <c r="P203" s="15">
        <f>IF(ISBLANK('Refsz-Emissionen'!Q92), "", 'Refsz-Emissionen'!Q92)</f>
        <v>0</v>
      </c>
      <c r="Q203" s="15">
        <f>IF(ISBLANK('Refsz-Emissionen'!R92), "", 'Refsz-Emissionen'!R92)</f>
        <v>0</v>
      </c>
      <c r="R203" s="15">
        <f>IF(ISBLANK('Refsz-Emissionen'!S92), "", 'Refsz-Emissionen'!S92)</f>
        <v>0</v>
      </c>
      <c r="S203" s="15">
        <f>IF(ISBLANK('Refsz-Emissionen'!T92), "", 'Refsz-Emissionen'!T92)</f>
        <v>0</v>
      </c>
      <c r="T203" s="15">
        <f>IF(ISBLANK('Refsz-Emissionen'!U92), "", 'Refsz-Emissionen'!U92)</f>
        <v>0</v>
      </c>
      <c r="U203" s="15">
        <f>IF(ISBLANK('Refsz-Emissionen'!V92), "", 'Refsz-Emissionen'!V92)</f>
        <v>0</v>
      </c>
      <c r="V203" s="15">
        <f>IF(ISBLANK('Refsz-Emissionen'!W92), "", 'Refsz-Emissionen'!W92)</f>
        <v>0</v>
      </c>
      <c r="W203" s="15">
        <f>IF(ISBLANK('Refsz-Emissionen'!X92), "", 'Refsz-Emissionen'!X92)</f>
        <v>0</v>
      </c>
    </row>
    <row r="204" spans="2:23" ht="16.5" hidden="1" x14ac:dyDescent="0.45">
      <c r="B204" t="str">
        <f t="shared" si="9"/>
        <v>Fuhrpark (E-Auto/ BEV)</v>
      </c>
      <c r="C204" t="s">
        <v>208</v>
      </c>
      <c r="D204" s="15">
        <f>IF(ISBLANK('Refsz-Emissionen'!E93), "", 'Refsz-Emissionen'!E93)</f>
        <v>0</v>
      </c>
      <c r="E204" s="15">
        <f>IF(ISBLANK('Refsz-Emissionen'!F93), "", 'Refsz-Emissionen'!F93)</f>
        <v>0</v>
      </c>
      <c r="F204" s="15">
        <f>IF(ISBLANK('Refsz-Emissionen'!G93), "", 'Refsz-Emissionen'!G93)</f>
        <v>0</v>
      </c>
      <c r="G204" s="15">
        <f>IF(ISBLANK('Refsz-Emissionen'!H93), "", 'Refsz-Emissionen'!H93)</f>
        <v>0</v>
      </c>
      <c r="H204" s="15">
        <f>IF(ISBLANK('Refsz-Emissionen'!I93), "", 'Refsz-Emissionen'!I93)</f>
        <v>0</v>
      </c>
      <c r="I204" s="15">
        <f>IF(ISBLANK('Refsz-Emissionen'!J93), "", 'Refsz-Emissionen'!J93)</f>
        <v>0</v>
      </c>
      <c r="J204" s="15">
        <f>IF(ISBLANK('Refsz-Emissionen'!K93), "", 'Refsz-Emissionen'!K93)</f>
        <v>0</v>
      </c>
      <c r="K204" s="15">
        <f>IF(ISBLANK('Refsz-Emissionen'!L93), "", 'Refsz-Emissionen'!L93)</f>
        <v>0</v>
      </c>
      <c r="L204" s="15">
        <f>IF(ISBLANK('Refsz-Emissionen'!M93), "", 'Refsz-Emissionen'!M93)</f>
        <v>0</v>
      </c>
      <c r="M204" s="15">
        <f>IF(ISBLANK('Refsz-Emissionen'!N93), "", 'Refsz-Emissionen'!N93)</f>
        <v>0</v>
      </c>
      <c r="N204" s="15">
        <f>IF(ISBLANK('Refsz-Emissionen'!O93), "", 'Refsz-Emissionen'!O93)</f>
        <v>0</v>
      </c>
      <c r="O204" s="15">
        <f>IF(ISBLANK('Refsz-Emissionen'!P93), "", 'Refsz-Emissionen'!P93)</f>
        <v>0</v>
      </c>
      <c r="P204" s="15">
        <f>IF(ISBLANK('Refsz-Emissionen'!Q93), "", 'Refsz-Emissionen'!Q93)</f>
        <v>0</v>
      </c>
      <c r="Q204" s="15">
        <f>IF(ISBLANK('Refsz-Emissionen'!R93), "", 'Refsz-Emissionen'!R93)</f>
        <v>0</v>
      </c>
      <c r="R204" s="15">
        <f>IF(ISBLANK('Refsz-Emissionen'!S93), "", 'Refsz-Emissionen'!S93)</f>
        <v>0</v>
      </c>
      <c r="S204" s="15">
        <f>IF(ISBLANK('Refsz-Emissionen'!T93), "", 'Refsz-Emissionen'!T93)</f>
        <v>0</v>
      </c>
      <c r="T204" s="15">
        <f>IF(ISBLANK('Refsz-Emissionen'!U93), "", 'Refsz-Emissionen'!U93)</f>
        <v>0</v>
      </c>
      <c r="U204" s="15">
        <f>IF(ISBLANK('Refsz-Emissionen'!V93), "", 'Refsz-Emissionen'!V93)</f>
        <v>0</v>
      </c>
      <c r="V204" s="15">
        <f>IF(ISBLANK('Refsz-Emissionen'!W93), "", 'Refsz-Emissionen'!W93)</f>
        <v>0</v>
      </c>
      <c r="W204" s="15">
        <f>IF(ISBLANK('Refsz-Emissionen'!X93), "", 'Refsz-Emissionen'!X93)</f>
        <v>0</v>
      </c>
    </row>
    <row r="205" spans="2:23" ht="16.5" hidden="1" x14ac:dyDescent="0.45">
      <c r="B205" t="str">
        <f t="shared" si="9"/>
        <v>Fuhrpark (Wasserstoff/ FCEV)</v>
      </c>
      <c r="C205" t="s">
        <v>208</v>
      </c>
      <c r="D205" s="15">
        <f>IF(ISBLANK('Refsz-Emissionen'!E94), "", 'Refsz-Emissionen'!E94)</f>
        <v>0</v>
      </c>
      <c r="E205" s="15">
        <f>IF(ISBLANK('Refsz-Emissionen'!F94), "", 'Refsz-Emissionen'!F94)</f>
        <v>0</v>
      </c>
      <c r="F205" s="15">
        <f>IF(ISBLANK('Refsz-Emissionen'!G94), "", 'Refsz-Emissionen'!G94)</f>
        <v>0</v>
      </c>
      <c r="G205" s="15">
        <f>IF(ISBLANK('Refsz-Emissionen'!H94), "", 'Refsz-Emissionen'!H94)</f>
        <v>0</v>
      </c>
      <c r="H205" s="15">
        <f>IF(ISBLANK('Refsz-Emissionen'!I94), "", 'Refsz-Emissionen'!I94)</f>
        <v>0</v>
      </c>
      <c r="I205" s="15">
        <f>IF(ISBLANK('Refsz-Emissionen'!J94), "", 'Refsz-Emissionen'!J94)</f>
        <v>0</v>
      </c>
      <c r="J205" s="15">
        <f>IF(ISBLANK('Refsz-Emissionen'!K94), "", 'Refsz-Emissionen'!K94)</f>
        <v>0</v>
      </c>
      <c r="K205" s="15">
        <f>IF(ISBLANK('Refsz-Emissionen'!L94), "", 'Refsz-Emissionen'!L94)</f>
        <v>0</v>
      </c>
      <c r="L205" s="15">
        <f>IF(ISBLANK('Refsz-Emissionen'!M94), "", 'Refsz-Emissionen'!M94)</f>
        <v>0</v>
      </c>
      <c r="M205" s="15">
        <f>IF(ISBLANK('Refsz-Emissionen'!N94), "", 'Refsz-Emissionen'!N94)</f>
        <v>0</v>
      </c>
      <c r="N205" s="15">
        <f>IF(ISBLANK('Refsz-Emissionen'!O94), "", 'Refsz-Emissionen'!O94)</f>
        <v>0</v>
      </c>
      <c r="O205" s="15">
        <f>IF(ISBLANK('Refsz-Emissionen'!P94), "", 'Refsz-Emissionen'!P94)</f>
        <v>0</v>
      </c>
      <c r="P205" s="15">
        <f>IF(ISBLANK('Refsz-Emissionen'!Q94), "", 'Refsz-Emissionen'!Q94)</f>
        <v>0</v>
      </c>
      <c r="Q205" s="15">
        <f>IF(ISBLANK('Refsz-Emissionen'!R94), "", 'Refsz-Emissionen'!R94)</f>
        <v>0</v>
      </c>
      <c r="R205" s="15">
        <f>IF(ISBLANK('Refsz-Emissionen'!S94), "", 'Refsz-Emissionen'!S94)</f>
        <v>0</v>
      </c>
      <c r="S205" s="15">
        <f>IF(ISBLANK('Refsz-Emissionen'!T94), "", 'Refsz-Emissionen'!T94)</f>
        <v>0</v>
      </c>
      <c r="T205" s="15">
        <f>IF(ISBLANK('Refsz-Emissionen'!U94), "", 'Refsz-Emissionen'!U94)</f>
        <v>0</v>
      </c>
      <c r="U205" s="15">
        <f>IF(ISBLANK('Refsz-Emissionen'!V94), "", 'Refsz-Emissionen'!V94)</f>
        <v>0</v>
      </c>
      <c r="V205" s="15">
        <f>IF(ISBLANK('Refsz-Emissionen'!W94), "", 'Refsz-Emissionen'!W94)</f>
        <v>0</v>
      </c>
      <c r="W205" s="15">
        <f>IF(ISBLANK('Refsz-Emissionen'!X94), "", 'Refsz-Emissionen'!X94)</f>
        <v>0</v>
      </c>
    </row>
    <row r="206" spans="2:23" ht="16.5" hidden="1" x14ac:dyDescent="0.45">
      <c r="B206" t="str">
        <f t="shared" si="9"/>
        <v>Fuhrpark (CNG)</v>
      </c>
      <c r="C206" t="s">
        <v>208</v>
      </c>
      <c r="D206" s="15">
        <f>IF(ISBLANK('Refsz-Emissionen'!E95), "", 'Refsz-Emissionen'!E95)</f>
        <v>0</v>
      </c>
      <c r="E206" s="15">
        <f>IF(ISBLANK('Refsz-Emissionen'!F95), "", 'Refsz-Emissionen'!F95)</f>
        <v>0</v>
      </c>
      <c r="F206" s="15">
        <f>IF(ISBLANK('Refsz-Emissionen'!G95), "", 'Refsz-Emissionen'!G95)</f>
        <v>0</v>
      </c>
      <c r="G206" s="15">
        <f>IF(ISBLANK('Refsz-Emissionen'!H95), "", 'Refsz-Emissionen'!H95)</f>
        <v>0</v>
      </c>
      <c r="H206" s="15">
        <f>IF(ISBLANK('Refsz-Emissionen'!I95), "", 'Refsz-Emissionen'!I95)</f>
        <v>0</v>
      </c>
      <c r="I206" s="15">
        <f>IF(ISBLANK('Refsz-Emissionen'!J95), "", 'Refsz-Emissionen'!J95)</f>
        <v>0</v>
      </c>
      <c r="J206" s="15">
        <f>IF(ISBLANK('Refsz-Emissionen'!K95), "", 'Refsz-Emissionen'!K95)</f>
        <v>0</v>
      </c>
      <c r="K206" s="15">
        <f>IF(ISBLANK('Refsz-Emissionen'!L95), "", 'Refsz-Emissionen'!L95)</f>
        <v>0</v>
      </c>
      <c r="L206" s="15">
        <f>IF(ISBLANK('Refsz-Emissionen'!M95), "", 'Refsz-Emissionen'!M95)</f>
        <v>0</v>
      </c>
      <c r="M206" s="15">
        <f>IF(ISBLANK('Refsz-Emissionen'!N95), "", 'Refsz-Emissionen'!N95)</f>
        <v>0</v>
      </c>
      <c r="N206" s="15">
        <f>IF(ISBLANK('Refsz-Emissionen'!O95), "", 'Refsz-Emissionen'!O95)</f>
        <v>0</v>
      </c>
      <c r="O206" s="15">
        <f>IF(ISBLANK('Refsz-Emissionen'!P95), "", 'Refsz-Emissionen'!P95)</f>
        <v>0</v>
      </c>
      <c r="P206" s="15">
        <f>IF(ISBLANK('Refsz-Emissionen'!Q95), "", 'Refsz-Emissionen'!Q95)</f>
        <v>0</v>
      </c>
      <c r="Q206" s="15">
        <f>IF(ISBLANK('Refsz-Emissionen'!R95), "", 'Refsz-Emissionen'!R95)</f>
        <v>0</v>
      </c>
      <c r="R206" s="15">
        <f>IF(ISBLANK('Refsz-Emissionen'!S95), "", 'Refsz-Emissionen'!S95)</f>
        <v>0</v>
      </c>
      <c r="S206" s="15">
        <f>IF(ISBLANK('Refsz-Emissionen'!T95), "", 'Refsz-Emissionen'!T95)</f>
        <v>0</v>
      </c>
      <c r="T206" s="15">
        <f>IF(ISBLANK('Refsz-Emissionen'!U95), "", 'Refsz-Emissionen'!U95)</f>
        <v>0</v>
      </c>
      <c r="U206" s="15">
        <f>IF(ISBLANK('Refsz-Emissionen'!V95), "", 'Refsz-Emissionen'!V95)</f>
        <v>0</v>
      </c>
      <c r="V206" s="15">
        <f>IF(ISBLANK('Refsz-Emissionen'!W95), "", 'Refsz-Emissionen'!W95)</f>
        <v>0</v>
      </c>
      <c r="W206" s="15">
        <f>IF(ISBLANK('Refsz-Emissionen'!X95), "", 'Refsz-Emissionen'!X95)</f>
        <v>0</v>
      </c>
    </row>
    <row r="207" spans="2:23" ht="16.5" hidden="1" x14ac:dyDescent="0.45">
      <c r="B207" t="str">
        <f t="shared" si="9"/>
        <v>DR - Flugreisen</v>
      </c>
      <c r="C207" t="s">
        <v>208</v>
      </c>
      <c r="D207" s="15">
        <f>IF(ISBLANK('Refsz-Emissionen'!E98), "", 'Refsz-Emissionen'!E98)</f>
        <v>0</v>
      </c>
      <c r="E207" s="15">
        <f>IF(ISBLANK('Refsz-Emissionen'!F98), "", 'Refsz-Emissionen'!F98)</f>
        <v>0</v>
      </c>
      <c r="F207" s="15">
        <f>IF(ISBLANK('Refsz-Emissionen'!G98), "", 'Refsz-Emissionen'!G98)</f>
        <v>0</v>
      </c>
      <c r="G207" s="15">
        <f>IF(ISBLANK('Refsz-Emissionen'!H98), "", 'Refsz-Emissionen'!H98)</f>
        <v>0</v>
      </c>
      <c r="H207" s="15">
        <f>IF(ISBLANK('Refsz-Emissionen'!I98), "", 'Refsz-Emissionen'!I98)</f>
        <v>0</v>
      </c>
      <c r="I207" s="15">
        <f>IF(ISBLANK('Refsz-Emissionen'!J98), "", 'Refsz-Emissionen'!J98)</f>
        <v>0</v>
      </c>
      <c r="J207" s="15">
        <f>IF(ISBLANK('Refsz-Emissionen'!K98), "", 'Refsz-Emissionen'!K98)</f>
        <v>0</v>
      </c>
      <c r="K207" s="15">
        <f>IF(ISBLANK('Refsz-Emissionen'!L98), "", 'Refsz-Emissionen'!L98)</f>
        <v>0</v>
      </c>
      <c r="L207" s="15">
        <f>IF(ISBLANK('Refsz-Emissionen'!M98), "", 'Refsz-Emissionen'!M98)</f>
        <v>0</v>
      </c>
      <c r="M207" s="15">
        <f>IF(ISBLANK('Refsz-Emissionen'!N98), "", 'Refsz-Emissionen'!N98)</f>
        <v>0</v>
      </c>
      <c r="N207" s="15">
        <f>IF(ISBLANK('Refsz-Emissionen'!O98), "", 'Refsz-Emissionen'!O98)</f>
        <v>0</v>
      </c>
      <c r="O207" s="15">
        <f>IF(ISBLANK('Refsz-Emissionen'!P98), "", 'Refsz-Emissionen'!P98)</f>
        <v>0</v>
      </c>
      <c r="P207" s="15">
        <f>IF(ISBLANK('Refsz-Emissionen'!Q98), "", 'Refsz-Emissionen'!Q98)</f>
        <v>0</v>
      </c>
      <c r="Q207" s="15">
        <f>IF(ISBLANK('Refsz-Emissionen'!R98), "", 'Refsz-Emissionen'!R98)</f>
        <v>0</v>
      </c>
      <c r="R207" s="15">
        <f>IF(ISBLANK('Refsz-Emissionen'!S98), "", 'Refsz-Emissionen'!S98)</f>
        <v>0</v>
      </c>
      <c r="S207" s="15">
        <f>IF(ISBLANK('Refsz-Emissionen'!T98), "", 'Refsz-Emissionen'!T98)</f>
        <v>0</v>
      </c>
      <c r="T207" s="15">
        <f>IF(ISBLANK('Refsz-Emissionen'!U98), "", 'Refsz-Emissionen'!U98)</f>
        <v>0</v>
      </c>
      <c r="U207" s="15">
        <f>IF(ISBLANK('Refsz-Emissionen'!V98), "", 'Refsz-Emissionen'!V98)</f>
        <v>0</v>
      </c>
      <c r="V207" s="15">
        <f>IF(ISBLANK('Refsz-Emissionen'!W98), "", 'Refsz-Emissionen'!W98)</f>
        <v>0</v>
      </c>
      <c r="W207" s="15">
        <f>IF(ISBLANK('Refsz-Emissionen'!X98), "", 'Refsz-Emissionen'!X98)</f>
        <v>0</v>
      </c>
    </row>
    <row r="208" spans="2:23" ht="16.5" hidden="1" x14ac:dyDescent="0.45">
      <c r="B208" t="str">
        <f t="shared" si="9"/>
        <v>DR - Eisenbahn (Fernverkehr)</v>
      </c>
      <c r="C208" t="s">
        <v>208</v>
      </c>
      <c r="D208" s="15">
        <f>IF(ISBLANK('Refsz-Emissionen'!E99), "", 'Refsz-Emissionen'!E99)</f>
        <v>0</v>
      </c>
      <c r="E208" s="15">
        <f>IF(ISBLANK('Refsz-Emissionen'!F99), "", 'Refsz-Emissionen'!F99)</f>
        <v>0</v>
      </c>
      <c r="F208" s="15">
        <f>IF(ISBLANK('Refsz-Emissionen'!G99), "", 'Refsz-Emissionen'!G99)</f>
        <v>0</v>
      </c>
      <c r="G208" s="15">
        <f>IF(ISBLANK('Refsz-Emissionen'!H99), "", 'Refsz-Emissionen'!H99)</f>
        <v>0</v>
      </c>
      <c r="H208" s="15">
        <f>IF(ISBLANK('Refsz-Emissionen'!I99), "", 'Refsz-Emissionen'!I99)</f>
        <v>0</v>
      </c>
      <c r="I208" s="15">
        <f>IF(ISBLANK('Refsz-Emissionen'!J99), "", 'Refsz-Emissionen'!J99)</f>
        <v>0</v>
      </c>
      <c r="J208" s="15">
        <f>IF(ISBLANK('Refsz-Emissionen'!K99), "", 'Refsz-Emissionen'!K99)</f>
        <v>0</v>
      </c>
      <c r="K208" s="15">
        <f>IF(ISBLANK('Refsz-Emissionen'!L99), "", 'Refsz-Emissionen'!L99)</f>
        <v>0</v>
      </c>
      <c r="L208" s="15">
        <f>IF(ISBLANK('Refsz-Emissionen'!M99), "", 'Refsz-Emissionen'!M99)</f>
        <v>0</v>
      </c>
      <c r="M208" s="15">
        <f>IF(ISBLANK('Refsz-Emissionen'!N99), "", 'Refsz-Emissionen'!N99)</f>
        <v>0</v>
      </c>
      <c r="N208" s="15">
        <f>IF(ISBLANK('Refsz-Emissionen'!O99), "", 'Refsz-Emissionen'!O99)</f>
        <v>0</v>
      </c>
      <c r="O208" s="15">
        <f>IF(ISBLANK('Refsz-Emissionen'!P99), "", 'Refsz-Emissionen'!P99)</f>
        <v>0</v>
      </c>
      <c r="P208" s="15">
        <f>IF(ISBLANK('Refsz-Emissionen'!Q99), "", 'Refsz-Emissionen'!Q99)</f>
        <v>0</v>
      </c>
      <c r="Q208" s="15">
        <f>IF(ISBLANK('Refsz-Emissionen'!R99), "", 'Refsz-Emissionen'!R99)</f>
        <v>0</v>
      </c>
      <c r="R208" s="15">
        <f>IF(ISBLANK('Refsz-Emissionen'!S99), "", 'Refsz-Emissionen'!S99)</f>
        <v>0</v>
      </c>
      <c r="S208" s="15">
        <f>IF(ISBLANK('Refsz-Emissionen'!T99), "", 'Refsz-Emissionen'!T99)</f>
        <v>0</v>
      </c>
      <c r="T208" s="15">
        <f>IF(ISBLANK('Refsz-Emissionen'!U99), "", 'Refsz-Emissionen'!U99)</f>
        <v>0</v>
      </c>
      <c r="U208" s="15">
        <f>IF(ISBLANK('Refsz-Emissionen'!V99), "", 'Refsz-Emissionen'!V99)</f>
        <v>0</v>
      </c>
      <c r="V208" s="15">
        <f>IF(ISBLANK('Refsz-Emissionen'!W99), "", 'Refsz-Emissionen'!W99)</f>
        <v>0</v>
      </c>
      <c r="W208" s="15">
        <f>IF(ISBLANK('Refsz-Emissionen'!X99), "", 'Refsz-Emissionen'!X99)</f>
        <v>0</v>
      </c>
    </row>
    <row r="209" spans="2:23" ht="16.5" hidden="1" x14ac:dyDescent="0.45">
      <c r="B209" t="str">
        <f t="shared" si="9"/>
        <v>DR - Eisenbahn (Nahverkehr)</v>
      </c>
      <c r="C209" t="s">
        <v>208</v>
      </c>
      <c r="D209" s="15">
        <f>IF(ISBLANK('Refsz-Emissionen'!E100), "", 'Refsz-Emissionen'!E100)</f>
        <v>0</v>
      </c>
      <c r="E209" s="15">
        <f>IF(ISBLANK('Refsz-Emissionen'!F100), "", 'Refsz-Emissionen'!F100)</f>
        <v>0</v>
      </c>
      <c r="F209" s="15">
        <f>IF(ISBLANK('Refsz-Emissionen'!G100), "", 'Refsz-Emissionen'!G100)</f>
        <v>0</v>
      </c>
      <c r="G209" s="15">
        <f>IF(ISBLANK('Refsz-Emissionen'!H100), "", 'Refsz-Emissionen'!H100)</f>
        <v>0</v>
      </c>
      <c r="H209" s="15">
        <f>IF(ISBLANK('Refsz-Emissionen'!I100), "", 'Refsz-Emissionen'!I100)</f>
        <v>0</v>
      </c>
      <c r="I209" s="15">
        <f>IF(ISBLANK('Refsz-Emissionen'!J100), "", 'Refsz-Emissionen'!J100)</f>
        <v>0</v>
      </c>
      <c r="J209" s="15">
        <f>IF(ISBLANK('Refsz-Emissionen'!K100), "", 'Refsz-Emissionen'!K100)</f>
        <v>0</v>
      </c>
      <c r="K209" s="15">
        <f>IF(ISBLANK('Refsz-Emissionen'!L100), "", 'Refsz-Emissionen'!L100)</f>
        <v>0</v>
      </c>
      <c r="L209" s="15">
        <f>IF(ISBLANK('Refsz-Emissionen'!M100), "", 'Refsz-Emissionen'!M100)</f>
        <v>0</v>
      </c>
      <c r="M209" s="15">
        <f>IF(ISBLANK('Refsz-Emissionen'!N100), "", 'Refsz-Emissionen'!N100)</f>
        <v>0</v>
      </c>
      <c r="N209" s="15">
        <f>IF(ISBLANK('Refsz-Emissionen'!O100), "", 'Refsz-Emissionen'!O100)</f>
        <v>0</v>
      </c>
      <c r="O209" s="15">
        <f>IF(ISBLANK('Refsz-Emissionen'!P100), "", 'Refsz-Emissionen'!P100)</f>
        <v>0</v>
      </c>
      <c r="P209" s="15">
        <f>IF(ISBLANK('Refsz-Emissionen'!Q100), "", 'Refsz-Emissionen'!Q100)</f>
        <v>0</v>
      </c>
      <c r="Q209" s="15">
        <f>IF(ISBLANK('Refsz-Emissionen'!R100), "", 'Refsz-Emissionen'!R100)</f>
        <v>0</v>
      </c>
      <c r="R209" s="15">
        <f>IF(ISBLANK('Refsz-Emissionen'!S100), "", 'Refsz-Emissionen'!S100)</f>
        <v>0</v>
      </c>
      <c r="S209" s="15">
        <f>IF(ISBLANK('Refsz-Emissionen'!T100), "", 'Refsz-Emissionen'!T100)</f>
        <v>0</v>
      </c>
      <c r="T209" s="15">
        <f>IF(ISBLANK('Refsz-Emissionen'!U100), "", 'Refsz-Emissionen'!U100)</f>
        <v>0</v>
      </c>
      <c r="U209" s="15">
        <f>IF(ISBLANK('Refsz-Emissionen'!V100), "", 'Refsz-Emissionen'!V100)</f>
        <v>0</v>
      </c>
      <c r="V209" s="15">
        <f>IF(ISBLANK('Refsz-Emissionen'!W100), "", 'Refsz-Emissionen'!W100)</f>
        <v>0</v>
      </c>
      <c r="W209" s="15">
        <f>IF(ISBLANK('Refsz-Emissionen'!X100), "", 'Refsz-Emissionen'!X100)</f>
        <v>0</v>
      </c>
    </row>
    <row r="210" spans="2:23" ht="16.5" hidden="1" x14ac:dyDescent="0.45">
      <c r="B210" t="str">
        <f t="shared" si="9"/>
        <v>DR - Reisebus, Linienbus (Fernverkehr)</v>
      </c>
      <c r="C210" t="s">
        <v>208</v>
      </c>
      <c r="D210" s="15">
        <f>IF(ISBLANK('Refsz-Emissionen'!E101), "", 'Refsz-Emissionen'!E101)</f>
        <v>0</v>
      </c>
      <c r="E210" s="15">
        <f>IF(ISBLANK('Refsz-Emissionen'!F101), "", 'Refsz-Emissionen'!F101)</f>
        <v>0</v>
      </c>
      <c r="F210" s="15">
        <f>IF(ISBLANK('Refsz-Emissionen'!G101), "", 'Refsz-Emissionen'!G101)</f>
        <v>0</v>
      </c>
      <c r="G210" s="15">
        <f>IF(ISBLANK('Refsz-Emissionen'!H101), "", 'Refsz-Emissionen'!H101)</f>
        <v>0</v>
      </c>
      <c r="H210" s="15">
        <f>IF(ISBLANK('Refsz-Emissionen'!I101), "", 'Refsz-Emissionen'!I101)</f>
        <v>0</v>
      </c>
      <c r="I210" s="15">
        <f>IF(ISBLANK('Refsz-Emissionen'!J101), "", 'Refsz-Emissionen'!J101)</f>
        <v>0</v>
      </c>
      <c r="J210" s="15">
        <f>IF(ISBLANK('Refsz-Emissionen'!K101), "", 'Refsz-Emissionen'!K101)</f>
        <v>0</v>
      </c>
      <c r="K210" s="15">
        <f>IF(ISBLANK('Refsz-Emissionen'!L101), "", 'Refsz-Emissionen'!L101)</f>
        <v>0</v>
      </c>
      <c r="L210" s="15">
        <f>IF(ISBLANK('Refsz-Emissionen'!M101), "", 'Refsz-Emissionen'!M101)</f>
        <v>0</v>
      </c>
      <c r="M210" s="15">
        <f>IF(ISBLANK('Refsz-Emissionen'!N101), "", 'Refsz-Emissionen'!N101)</f>
        <v>0</v>
      </c>
      <c r="N210" s="15">
        <f>IF(ISBLANK('Refsz-Emissionen'!O101), "", 'Refsz-Emissionen'!O101)</f>
        <v>0</v>
      </c>
      <c r="O210" s="15">
        <f>IF(ISBLANK('Refsz-Emissionen'!P101), "", 'Refsz-Emissionen'!P101)</f>
        <v>0</v>
      </c>
      <c r="P210" s="15">
        <f>IF(ISBLANK('Refsz-Emissionen'!Q101), "", 'Refsz-Emissionen'!Q101)</f>
        <v>0</v>
      </c>
      <c r="Q210" s="15">
        <f>IF(ISBLANK('Refsz-Emissionen'!R101), "", 'Refsz-Emissionen'!R101)</f>
        <v>0</v>
      </c>
      <c r="R210" s="15">
        <f>IF(ISBLANK('Refsz-Emissionen'!S101), "", 'Refsz-Emissionen'!S101)</f>
        <v>0</v>
      </c>
      <c r="S210" s="15">
        <f>IF(ISBLANK('Refsz-Emissionen'!T101), "", 'Refsz-Emissionen'!T101)</f>
        <v>0</v>
      </c>
      <c r="T210" s="15">
        <f>IF(ISBLANK('Refsz-Emissionen'!U101), "", 'Refsz-Emissionen'!U101)</f>
        <v>0</v>
      </c>
      <c r="U210" s="15">
        <f>IF(ISBLANK('Refsz-Emissionen'!V101), "", 'Refsz-Emissionen'!V101)</f>
        <v>0</v>
      </c>
      <c r="V210" s="15">
        <f>IF(ISBLANK('Refsz-Emissionen'!W101), "", 'Refsz-Emissionen'!W101)</f>
        <v>0</v>
      </c>
      <c r="W210" s="15">
        <f>IF(ISBLANK('Refsz-Emissionen'!X101), "", 'Refsz-Emissionen'!X101)</f>
        <v>0</v>
      </c>
    </row>
    <row r="211" spans="2:23" ht="16.5" hidden="1" x14ac:dyDescent="0.45">
      <c r="B211" t="str">
        <f t="shared" si="9"/>
        <v>DR - Linienbus (Nahverkehr)</v>
      </c>
      <c r="C211" t="s">
        <v>208</v>
      </c>
      <c r="D211" s="15">
        <f>IF(ISBLANK('Refsz-Emissionen'!E102), "", 'Refsz-Emissionen'!E102)</f>
        <v>0</v>
      </c>
      <c r="E211" s="15">
        <f>IF(ISBLANK('Refsz-Emissionen'!F102), "", 'Refsz-Emissionen'!F102)</f>
        <v>0</v>
      </c>
      <c r="F211" s="15">
        <f>IF(ISBLANK('Refsz-Emissionen'!G102), "", 'Refsz-Emissionen'!G102)</f>
        <v>0</v>
      </c>
      <c r="G211" s="15">
        <f>IF(ISBLANK('Refsz-Emissionen'!H102), "", 'Refsz-Emissionen'!H102)</f>
        <v>0</v>
      </c>
      <c r="H211" s="15">
        <f>IF(ISBLANK('Refsz-Emissionen'!I102), "", 'Refsz-Emissionen'!I102)</f>
        <v>0</v>
      </c>
      <c r="I211" s="15">
        <f>IF(ISBLANK('Refsz-Emissionen'!J102), "", 'Refsz-Emissionen'!J102)</f>
        <v>0</v>
      </c>
      <c r="J211" s="15">
        <f>IF(ISBLANK('Refsz-Emissionen'!K102), "", 'Refsz-Emissionen'!K102)</f>
        <v>0</v>
      </c>
      <c r="K211" s="15">
        <f>IF(ISBLANK('Refsz-Emissionen'!L102), "", 'Refsz-Emissionen'!L102)</f>
        <v>0</v>
      </c>
      <c r="L211" s="15">
        <f>IF(ISBLANK('Refsz-Emissionen'!M102), "", 'Refsz-Emissionen'!M102)</f>
        <v>0</v>
      </c>
      <c r="M211" s="15">
        <f>IF(ISBLANK('Refsz-Emissionen'!N102), "", 'Refsz-Emissionen'!N102)</f>
        <v>0</v>
      </c>
      <c r="N211" s="15">
        <f>IF(ISBLANK('Refsz-Emissionen'!O102), "", 'Refsz-Emissionen'!O102)</f>
        <v>0</v>
      </c>
      <c r="O211" s="15">
        <f>IF(ISBLANK('Refsz-Emissionen'!P102), "", 'Refsz-Emissionen'!P102)</f>
        <v>0</v>
      </c>
      <c r="P211" s="15">
        <f>IF(ISBLANK('Refsz-Emissionen'!Q102), "", 'Refsz-Emissionen'!Q102)</f>
        <v>0</v>
      </c>
      <c r="Q211" s="15">
        <f>IF(ISBLANK('Refsz-Emissionen'!R102), "", 'Refsz-Emissionen'!R102)</f>
        <v>0</v>
      </c>
      <c r="R211" s="15">
        <f>IF(ISBLANK('Refsz-Emissionen'!S102), "", 'Refsz-Emissionen'!S102)</f>
        <v>0</v>
      </c>
      <c r="S211" s="15">
        <f>IF(ISBLANK('Refsz-Emissionen'!T102), "", 'Refsz-Emissionen'!T102)</f>
        <v>0</v>
      </c>
      <c r="T211" s="15">
        <f>IF(ISBLANK('Refsz-Emissionen'!U102), "", 'Refsz-Emissionen'!U102)</f>
        <v>0</v>
      </c>
      <c r="U211" s="15">
        <f>IF(ISBLANK('Refsz-Emissionen'!V102), "", 'Refsz-Emissionen'!V102)</f>
        <v>0</v>
      </c>
      <c r="V211" s="15">
        <f>IF(ISBLANK('Refsz-Emissionen'!W102), "", 'Refsz-Emissionen'!W102)</f>
        <v>0</v>
      </c>
      <c r="W211" s="15">
        <f>IF(ISBLANK('Refsz-Emissionen'!X102), "", 'Refsz-Emissionen'!X102)</f>
        <v>0</v>
      </c>
    </row>
    <row r="212" spans="2:23" ht="16.5" hidden="1" x14ac:dyDescent="0.45">
      <c r="B212" t="str">
        <f t="shared" si="9"/>
        <v>DR - Privater PKW (alle Antriebsarten)</v>
      </c>
      <c r="C212" t="s">
        <v>208</v>
      </c>
      <c r="D212" s="15">
        <f>IF(ISBLANK('Refsz-Emissionen'!E103), "", 'Refsz-Emissionen'!E103)</f>
        <v>0</v>
      </c>
      <c r="E212" s="15">
        <f>IF(ISBLANK('Refsz-Emissionen'!F103), "", 'Refsz-Emissionen'!F103)</f>
        <v>0</v>
      </c>
      <c r="F212" s="15">
        <f>IF(ISBLANK('Refsz-Emissionen'!G103), "", 'Refsz-Emissionen'!G103)</f>
        <v>0</v>
      </c>
      <c r="G212" s="15">
        <f>IF(ISBLANK('Refsz-Emissionen'!H103), "", 'Refsz-Emissionen'!H103)</f>
        <v>0</v>
      </c>
      <c r="H212" s="15">
        <f>IF(ISBLANK('Refsz-Emissionen'!I103), "", 'Refsz-Emissionen'!I103)</f>
        <v>0</v>
      </c>
      <c r="I212" s="15">
        <f>IF(ISBLANK('Refsz-Emissionen'!J103), "", 'Refsz-Emissionen'!J103)</f>
        <v>0</v>
      </c>
      <c r="J212" s="15">
        <f>IF(ISBLANK('Refsz-Emissionen'!K103), "", 'Refsz-Emissionen'!K103)</f>
        <v>0</v>
      </c>
      <c r="K212" s="15">
        <f>IF(ISBLANK('Refsz-Emissionen'!L103), "", 'Refsz-Emissionen'!L103)</f>
        <v>0</v>
      </c>
      <c r="L212" s="15">
        <f>IF(ISBLANK('Refsz-Emissionen'!M103), "", 'Refsz-Emissionen'!M103)</f>
        <v>0</v>
      </c>
      <c r="M212" s="15">
        <f>IF(ISBLANK('Refsz-Emissionen'!N103), "", 'Refsz-Emissionen'!N103)</f>
        <v>0</v>
      </c>
      <c r="N212" s="15">
        <f>IF(ISBLANK('Refsz-Emissionen'!O103), "", 'Refsz-Emissionen'!O103)</f>
        <v>0</v>
      </c>
      <c r="O212" s="15">
        <f>IF(ISBLANK('Refsz-Emissionen'!P103), "", 'Refsz-Emissionen'!P103)</f>
        <v>0</v>
      </c>
      <c r="P212" s="15">
        <f>IF(ISBLANK('Refsz-Emissionen'!Q103), "", 'Refsz-Emissionen'!Q103)</f>
        <v>0</v>
      </c>
      <c r="Q212" s="15">
        <f>IF(ISBLANK('Refsz-Emissionen'!R103), "", 'Refsz-Emissionen'!R103)</f>
        <v>0</v>
      </c>
      <c r="R212" s="15">
        <f>IF(ISBLANK('Refsz-Emissionen'!S103), "", 'Refsz-Emissionen'!S103)</f>
        <v>0</v>
      </c>
      <c r="S212" s="15">
        <f>IF(ISBLANK('Refsz-Emissionen'!T103), "", 'Refsz-Emissionen'!T103)</f>
        <v>0</v>
      </c>
      <c r="T212" s="15">
        <f>IF(ISBLANK('Refsz-Emissionen'!U103), "", 'Refsz-Emissionen'!U103)</f>
        <v>0</v>
      </c>
      <c r="U212" s="15">
        <f>IF(ISBLANK('Refsz-Emissionen'!V103), "", 'Refsz-Emissionen'!V103)</f>
        <v>0</v>
      </c>
      <c r="V212" s="15">
        <f>IF(ISBLANK('Refsz-Emissionen'!W103), "", 'Refsz-Emissionen'!W103)</f>
        <v>0</v>
      </c>
      <c r="W212" s="15">
        <f>IF(ISBLANK('Refsz-Emissionen'!X103), "", 'Refsz-Emissionen'!X103)</f>
        <v>0</v>
      </c>
    </row>
    <row r="213" spans="2:23" ht="16.5" hidden="1" x14ac:dyDescent="0.45">
      <c r="B213" t="str">
        <f t="shared" si="9"/>
        <v>DR - Privater PKW (Diesel)</v>
      </c>
      <c r="C213" t="s">
        <v>208</v>
      </c>
      <c r="D213" s="15">
        <f>IF(ISBLANK('Refsz-Emissionen'!E104), "", 'Refsz-Emissionen'!E104)</f>
        <v>0</v>
      </c>
      <c r="E213" s="15">
        <f>IF(ISBLANK('Refsz-Emissionen'!F104), "", 'Refsz-Emissionen'!F104)</f>
        <v>0</v>
      </c>
      <c r="F213" s="15">
        <f>IF(ISBLANK('Refsz-Emissionen'!G104), "", 'Refsz-Emissionen'!G104)</f>
        <v>0</v>
      </c>
      <c r="G213" s="15">
        <f>IF(ISBLANK('Refsz-Emissionen'!H104), "", 'Refsz-Emissionen'!H104)</f>
        <v>0</v>
      </c>
      <c r="H213" s="15">
        <f>IF(ISBLANK('Refsz-Emissionen'!I104), "", 'Refsz-Emissionen'!I104)</f>
        <v>0</v>
      </c>
      <c r="I213" s="15">
        <f>IF(ISBLANK('Refsz-Emissionen'!J104), "", 'Refsz-Emissionen'!J104)</f>
        <v>0</v>
      </c>
      <c r="J213" s="15">
        <f>IF(ISBLANK('Refsz-Emissionen'!K104), "", 'Refsz-Emissionen'!K104)</f>
        <v>0</v>
      </c>
      <c r="K213" s="15">
        <f>IF(ISBLANK('Refsz-Emissionen'!L104), "", 'Refsz-Emissionen'!L104)</f>
        <v>0</v>
      </c>
      <c r="L213" s="15">
        <f>IF(ISBLANK('Refsz-Emissionen'!M104), "", 'Refsz-Emissionen'!M104)</f>
        <v>0</v>
      </c>
      <c r="M213" s="15">
        <f>IF(ISBLANK('Refsz-Emissionen'!N104), "", 'Refsz-Emissionen'!N104)</f>
        <v>0</v>
      </c>
      <c r="N213" s="15">
        <f>IF(ISBLANK('Refsz-Emissionen'!O104), "", 'Refsz-Emissionen'!O104)</f>
        <v>0</v>
      </c>
      <c r="O213" s="15">
        <f>IF(ISBLANK('Refsz-Emissionen'!P104), "", 'Refsz-Emissionen'!P104)</f>
        <v>0</v>
      </c>
      <c r="P213" s="15">
        <f>IF(ISBLANK('Refsz-Emissionen'!Q104), "", 'Refsz-Emissionen'!Q104)</f>
        <v>0</v>
      </c>
      <c r="Q213" s="15">
        <f>IF(ISBLANK('Refsz-Emissionen'!R104), "", 'Refsz-Emissionen'!R104)</f>
        <v>0</v>
      </c>
      <c r="R213" s="15">
        <f>IF(ISBLANK('Refsz-Emissionen'!S104), "", 'Refsz-Emissionen'!S104)</f>
        <v>0</v>
      </c>
      <c r="S213" s="15">
        <f>IF(ISBLANK('Refsz-Emissionen'!T104), "", 'Refsz-Emissionen'!T104)</f>
        <v>0</v>
      </c>
      <c r="T213" s="15">
        <f>IF(ISBLANK('Refsz-Emissionen'!U104), "", 'Refsz-Emissionen'!U104)</f>
        <v>0</v>
      </c>
      <c r="U213" s="15">
        <f>IF(ISBLANK('Refsz-Emissionen'!V104), "", 'Refsz-Emissionen'!V104)</f>
        <v>0</v>
      </c>
      <c r="V213" s="15">
        <f>IF(ISBLANK('Refsz-Emissionen'!W104), "", 'Refsz-Emissionen'!W104)</f>
        <v>0</v>
      </c>
      <c r="W213" s="15">
        <f>IF(ISBLANK('Refsz-Emissionen'!X104), "", 'Refsz-Emissionen'!X104)</f>
        <v>0</v>
      </c>
    </row>
    <row r="214" spans="2:23" ht="16.5" hidden="1" x14ac:dyDescent="0.45">
      <c r="B214" t="str">
        <f t="shared" si="9"/>
        <v>DR - Privater PKW (Benzin)</v>
      </c>
      <c r="C214" t="s">
        <v>208</v>
      </c>
      <c r="D214" s="15">
        <f>IF(ISBLANK('Refsz-Emissionen'!E105), "", 'Refsz-Emissionen'!E105)</f>
        <v>0</v>
      </c>
      <c r="E214" s="15">
        <f>IF(ISBLANK('Refsz-Emissionen'!F105), "", 'Refsz-Emissionen'!F105)</f>
        <v>0</v>
      </c>
      <c r="F214" s="15">
        <f>IF(ISBLANK('Refsz-Emissionen'!G105), "", 'Refsz-Emissionen'!G105)</f>
        <v>0</v>
      </c>
      <c r="G214" s="15">
        <f>IF(ISBLANK('Refsz-Emissionen'!H105), "", 'Refsz-Emissionen'!H105)</f>
        <v>0</v>
      </c>
      <c r="H214" s="15">
        <f>IF(ISBLANK('Refsz-Emissionen'!I105), "", 'Refsz-Emissionen'!I105)</f>
        <v>0</v>
      </c>
      <c r="I214" s="15">
        <f>IF(ISBLANK('Refsz-Emissionen'!J105), "", 'Refsz-Emissionen'!J105)</f>
        <v>0</v>
      </c>
      <c r="J214" s="15">
        <f>IF(ISBLANK('Refsz-Emissionen'!K105), "", 'Refsz-Emissionen'!K105)</f>
        <v>0</v>
      </c>
      <c r="K214" s="15">
        <f>IF(ISBLANK('Refsz-Emissionen'!L105), "", 'Refsz-Emissionen'!L105)</f>
        <v>0</v>
      </c>
      <c r="L214" s="15">
        <f>IF(ISBLANK('Refsz-Emissionen'!M105), "", 'Refsz-Emissionen'!M105)</f>
        <v>0</v>
      </c>
      <c r="M214" s="15">
        <f>IF(ISBLANK('Refsz-Emissionen'!N105), "", 'Refsz-Emissionen'!N105)</f>
        <v>0</v>
      </c>
      <c r="N214" s="15">
        <f>IF(ISBLANK('Refsz-Emissionen'!O105), "", 'Refsz-Emissionen'!O105)</f>
        <v>0</v>
      </c>
      <c r="O214" s="15">
        <f>IF(ISBLANK('Refsz-Emissionen'!P105), "", 'Refsz-Emissionen'!P105)</f>
        <v>0</v>
      </c>
      <c r="P214" s="15">
        <f>IF(ISBLANK('Refsz-Emissionen'!Q105), "", 'Refsz-Emissionen'!Q105)</f>
        <v>0</v>
      </c>
      <c r="Q214" s="15">
        <f>IF(ISBLANK('Refsz-Emissionen'!R105), "", 'Refsz-Emissionen'!R105)</f>
        <v>0</v>
      </c>
      <c r="R214" s="15">
        <f>IF(ISBLANK('Refsz-Emissionen'!S105), "", 'Refsz-Emissionen'!S105)</f>
        <v>0</v>
      </c>
      <c r="S214" s="15">
        <f>IF(ISBLANK('Refsz-Emissionen'!T105), "", 'Refsz-Emissionen'!T105)</f>
        <v>0</v>
      </c>
      <c r="T214" s="15">
        <f>IF(ISBLANK('Refsz-Emissionen'!U105), "", 'Refsz-Emissionen'!U105)</f>
        <v>0</v>
      </c>
      <c r="U214" s="15">
        <f>IF(ISBLANK('Refsz-Emissionen'!V105), "", 'Refsz-Emissionen'!V105)</f>
        <v>0</v>
      </c>
      <c r="V214" s="15">
        <f>IF(ISBLANK('Refsz-Emissionen'!W105), "", 'Refsz-Emissionen'!W105)</f>
        <v>0</v>
      </c>
      <c r="W214" s="15">
        <f>IF(ISBLANK('Refsz-Emissionen'!X105), "", 'Refsz-Emissionen'!X105)</f>
        <v>0</v>
      </c>
    </row>
    <row r="215" spans="2:23" ht="16.5" hidden="1" x14ac:dyDescent="0.45">
      <c r="B215" t="str">
        <f t="shared" si="9"/>
        <v>DR - Mietwägen (Diesel)</v>
      </c>
      <c r="C215" t="s">
        <v>208</v>
      </c>
      <c r="D215" s="15">
        <f>IF(ISBLANK('Refsz-Emissionen'!E106), "", 'Refsz-Emissionen'!E106)</f>
        <v>0</v>
      </c>
      <c r="E215" s="15">
        <f>IF(ISBLANK('Refsz-Emissionen'!F106), "", 'Refsz-Emissionen'!F106)</f>
        <v>0</v>
      </c>
      <c r="F215" s="15">
        <f>IF(ISBLANK('Refsz-Emissionen'!G106), "", 'Refsz-Emissionen'!G106)</f>
        <v>0</v>
      </c>
      <c r="G215" s="15">
        <f>IF(ISBLANK('Refsz-Emissionen'!H106), "", 'Refsz-Emissionen'!H106)</f>
        <v>0</v>
      </c>
      <c r="H215" s="15">
        <f>IF(ISBLANK('Refsz-Emissionen'!I106), "", 'Refsz-Emissionen'!I106)</f>
        <v>0</v>
      </c>
      <c r="I215" s="15">
        <f>IF(ISBLANK('Refsz-Emissionen'!J106), "", 'Refsz-Emissionen'!J106)</f>
        <v>0</v>
      </c>
      <c r="J215" s="15">
        <f>IF(ISBLANK('Refsz-Emissionen'!K106), "", 'Refsz-Emissionen'!K106)</f>
        <v>0</v>
      </c>
      <c r="K215" s="15">
        <f>IF(ISBLANK('Refsz-Emissionen'!L106), "", 'Refsz-Emissionen'!L106)</f>
        <v>0</v>
      </c>
      <c r="L215" s="15">
        <f>IF(ISBLANK('Refsz-Emissionen'!M106), "", 'Refsz-Emissionen'!M106)</f>
        <v>0</v>
      </c>
      <c r="M215" s="15">
        <f>IF(ISBLANK('Refsz-Emissionen'!N106), "", 'Refsz-Emissionen'!N106)</f>
        <v>0</v>
      </c>
      <c r="N215" s="15">
        <f>IF(ISBLANK('Refsz-Emissionen'!O106), "", 'Refsz-Emissionen'!O106)</f>
        <v>0</v>
      </c>
      <c r="O215" s="15">
        <f>IF(ISBLANK('Refsz-Emissionen'!P106), "", 'Refsz-Emissionen'!P106)</f>
        <v>0</v>
      </c>
      <c r="P215" s="15">
        <f>IF(ISBLANK('Refsz-Emissionen'!Q106), "", 'Refsz-Emissionen'!Q106)</f>
        <v>0</v>
      </c>
      <c r="Q215" s="15">
        <f>IF(ISBLANK('Refsz-Emissionen'!R106), "", 'Refsz-Emissionen'!R106)</f>
        <v>0</v>
      </c>
      <c r="R215" s="15">
        <f>IF(ISBLANK('Refsz-Emissionen'!S106), "", 'Refsz-Emissionen'!S106)</f>
        <v>0</v>
      </c>
      <c r="S215" s="15">
        <f>IF(ISBLANK('Refsz-Emissionen'!T106), "", 'Refsz-Emissionen'!T106)</f>
        <v>0</v>
      </c>
      <c r="T215" s="15">
        <f>IF(ISBLANK('Refsz-Emissionen'!U106), "", 'Refsz-Emissionen'!U106)</f>
        <v>0</v>
      </c>
      <c r="U215" s="15">
        <f>IF(ISBLANK('Refsz-Emissionen'!V106), "", 'Refsz-Emissionen'!V106)</f>
        <v>0</v>
      </c>
      <c r="V215" s="15">
        <f>IF(ISBLANK('Refsz-Emissionen'!W106), "", 'Refsz-Emissionen'!W106)</f>
        <v>0</v>
      </c>
      <c r="W215" s="15">
        <f>IF(ISBLANK('Refsz-Emissionen'!X106), "", 'Refsz-Emissionen'!X106)</f>
        <v>0</v>
      </c>
    </row>
    <row r="216" spans="2:23" ht="16.5" hidden="1" x14ac:dyDescent="0.45">
      <c r="B216" t="str">
        <f t="shared" si="9"/>
        <v>DR - Mietwägen (Benzin)</v>
      </c>
      <c r="C216" t="s">
        <v>208</v>
      </c>
      <c r="D216" s="15">
        <f>IF(ISBLANK('Refsz-Emissionen'!E107), "", 'Refsz-Emissionen'!E107)</f>
        <v>0</v>
      </c>
      <c r="E216" s="15">
        <f>IF(ISBLANK('Refsz-Emissionen'!F107), "", 'Refsz-Emissionen'!F107)</f>
        <v>0</v>
      </c>
      <c r="F216" s="15">
        <f>IF(ISBLANK('Refsz-Emissionen'!G107), "", 'Refsz-Emissionen'!G107)</f>
        <v>0</v>
      </c>
      <c r="G216" s="15">
        <f>IF(ISBLANK('Refsz-Emissionen'!H107), "", 'Refsz-Emissionen'!H107)</f>
        <v>0</v>
      </c>
      <c r="H216" s="15">
        <f>IF(ISBLANK('Refsz-Emissionen'!I107), "", 'Refsz-Emissionen'!I107)</f>
        <v>0</v>
      </c>
      <c r="I216" s="15">
        <f>IF(ISBLANK('Refsz-Emissionen'!J107), "", 'Refsz-Emissionen'!J107)</f>
        <v>0</v>
      </c>
      <c r="J216" s="15">
        <f>IF(ISBLANK('Refsz-Emissionen'!K107), "", 'Refsz-Emissionen'!K107)</f>
        <v>0</v>
      </c>
      <c r="K216" s="15">
        <f>IF(ISBLANK('Refsz-Emissionen'!L107), "", 'Refsz-Emissionen'!L107)</f>
        <v>0</v>
      </c>
      <c r="L216" s="15">
        <f>IF(ISBLANK('Refsz-Emissionen'!M107), "", 'Refsz-Emissionen'!M107)</f>
        <v>0</v>
      </c>
      <c r="M216" s="15">
        <f>IF(ISBLANK('Refsz-Emissionen'!N107), "", 'Refsz-Emissionen'!N107)</f>
        <v>0</v>
      </c>
      <c r="N216" s="15">
        <f>IF(ISBLANK('Refsz-Emissionen'!O107), "", 'Refsz-Emissionen'!O107)</f>
        <v>0</v>
      </c>
      <c r="O216" s="15">
        <f>IF(ISBLANK('Refsz-Emissionen'!P107), "", 'Refsz-Emissionen'!P107)</f>
        <v>0</v>
      </c>
      <c r="P216" s="15">
        <f>IF(ISBLANK('Refsz-Emissionen'!Q107), "", 'Refsz-Emissionen'!Q107)</f>
        <v>0</v>
      </c>
      <c r="Q216" s="15">
        <f>IF(ISBLANK('Refsz-Emissionen'!R107), "", 'Refsz-Emissionen'!R107)</f>
        <v>0</v>
      </c>
      <c r="R216" s="15">
        <f>IF(ISBLANK('Refsz-Emissionen'!S107), "", 'Refsz-Emissionen'!S107)</f>
        <v>0</v>
      </c>
      <c r="S216" s="15">
        <f>IF(ISBLANK('Refsz-Emissionen'!T107), "", 'Refsz-Emissionen'!T107)</f>
        <v>0</v>
      </c>
      <c r="T216" s="15">
        <f>IF(ISBLANK('Refsz-Emissionen'!U107), "", 'Refsz-Emissionen'!U107)</f>
        <v>0</v>
      </c>
      <c r="U216" s="15">
        <f>IF(ISBLANK('Refsz-Emissionen'!V107), "", 'Refsz-Emissionen'!V107)</f>
        <v>0</v>
      </c>
      <c r="V216" s="15">
        <f>IF(ISBLANK('Refsz-Emissionen'!W107), "", 'Refsz-Emissionen'!W107)</f>
        <v>0</v>
      </c>
      <c r="W216" s="15">
        <f>IF(ISBLANK('Refsz-Emissionen'!X107), "", 'Refsz-Emissionen'!X107)</f>
        <v>0</v>
      </c>
    </row>
    <row r="217" spans="2:23" ht="16.5" hidden="1" x14ac:dyDescent="0.45">
      <c r="B217" t="str">
        <f t="shared" si="9"/>
        <v>DR - Mietwägen (E-Auto/ BEV)</v>
      </c>
      <c r="C217" t="s">
        <v>208</v>
      </c>
      <c r="D217" s="15">
        <f>IF(ISBLANK('Refsz-Emissionen'!E108), "", 'Refsz-Emissionen'!E108)</f>
        <v>0</v>
      </c>
      <c r="E217" s="15">
        <f>IF(ISBLANK('Refsz-Emissionen'!F108), "", 'Refsz-Emissionen'!F108)</f>
        <v>0</v>
      </c>
      <c r="F217" s="15">
        <f>IF(ISBLANK('Refsz-Emissionen'!G108), "", 'Refsz-Emissionen'!G108)</f>
        <v>0</v>
      </c>
      <c r="G217" s="15">
        <f>IF(ISBLANK('Refsz-Emissionen'!H108), "", 'Refsz-Emissionen'!H108)</f>
        <v>0</v>
      </c>
      <c r="H217" s="15">
        <f>IF(ISBLANK('Refsz-Emissionen'!I108), "", 'Refsz-Emissionen'!I108)</f>
        <v>0</v>
      </c>
      <c r="I217" s="15">
        <f>IF(ISBLANK('Refsz-Emissionen'!J108), "", 'Refsz-Emissionen'!J108)</f>
        <v>0</v>
      </c>
      <c r="J217" s="15">
        <f>IF(ISBLANK('Refsz-Emissionen'!K108), "", 'Refsz-Emissionen'!K108)</f>
        <v>0</v>
      </c>
      <c r="K217" s="15">
        <f>IF(ISBLANK('Refsz-Emissionen'!L108), "", 'Refsz-Emissionen'!L108)</f>
        <v>0</v>
      </c>
      <c r="L217" s="15">
        <f>IF(ISBLANK('Refsz-Emissionen'!M108), "", 'Refsz-Emissionen'!M108)</f>
        <v>0</v>
      </c>
      <c r="M217" s="15">
        <f>IF(ISBLANK('Refsz-Emissionen'!N108), "", 'Refsz-Emissionen'!N108)</f>
        <v>0</v>
      </c>
      <c r="N217" s="15">
        <f>IF(ISBLANK('Refsz-Emissionen'!O108), "", 'Refsz-Emissionen'!O108)</f>
        <v>0</v>
      </c>
      <c r="O217" s="15">
        <f>IF(ISBLANK('Refsz-Emissionen'!P108), "", 'Refsz-Emissionen'!P108)</f>
        <v>0</v>
      </c>
      <c r="P217" s="15">
        <f>IF(ISBLANK('Refsz-Emissionen'!Q108), "", 'Refsz-Emissionen'!Q108)</f>
        <v>0</v>
      </c>
      <c r="Q217" s="15">
        <f>IF(ISBLANK('Refsz-Emissionen'!R108), "", 'Refsz-Emissionen'!R108)</f>
        <v>0</v>
      </c>
      <c r="R217" s="15">
        <f>IF(ISBLANK('Refsz-Emissionen'!S108), "", 'Refsz-Emissionen'!S108)</f>
        <v>0</v>
      </c>
      <c r="S217" s="15">
        <f>IF(ISBLANK('Refsz-Emissionen'!T108), "", 'Refsz-Emissionen'!T108)</f>
        <v>0</v>
      </c>
      <c r="T217" s="15">
        <f>IF(ISBLANK('Refsz-Emissionen'!U108), "", 'Refsz-Emissionen'!U108)</f>
        <v>0</v>
      </c>
      <c r="U217" s="15">
        <f>IF(ISBLANK('Refsz-Emissionen'!V108), "", 'Refsz-Emissionen'!V108)</f>
        <v>0</v>
      </c>
      <c r="V217" s="15">
        <f>IF(ISBLANK('Refsz-Emissionen'!W108), "", 'Refsz-Emissionen'!W108)</f>
        <v>0</v>
      </c>
      <c r="W217" s="15">
        <f>IF(ISBLANK('Refsz-Emissionen'!X108), "", 'Refsz-Emissionen'!X108)</f>
        <v>0</v>
      </c>
    </row>
    <row r="218" spans="2:23" ht="16.5" hidden="1" x14ac:dyDescent="0.45">
      <c r="B218" t="str">
        <f t="shared" si="9"/>
        <v>DR - Mietwägen (Wasserstoff/ FCEV)</v>
      </c>
      <c r="C218" t="s">
        <v>208</v>
      </c>
      <c r="D218" s="15">
        <f>IF(ISBLANK('Refsz-Emissionen'!E109), "", 'Refsz-Emissionen'!E109)</f>
        <v>0</v>
      </c>
      <c r="E218" s="15">
        <f>IF(ISBLANK('Refsz-Emissionen'!F109), "", 'Refsz-Emissionen'!F109)</f>
        <v>0</v>
      </c>
      <c r="F218" s="15">
        <f>IF(ISBLANK('Refsz-Emissionen'!G109), "", 'Refsz-Emissionen'!G109)</f>
        <v>0</v>
      </c>
      <c r="G218" s="15">
        <f>IF(ISBLANK('Refsz-Emissionen'!H109), "", 'Refsz-Emissionen'!H109)</f>
        <v>0</v>
      </c>
      <c r="H218" s="15">
        <f>IF(ISBLANK('Refsz-Emissionen'!I109), "", 'Refsz-Emissionen'!I109)</f>
        <v>0</v>
      </c>
      <c r="I218" s="15">
        <f>IF(ISBLANK('Refsz-Emissionen'!J109), "", 'Refsz-Emissionen'!J109)</f>
        <v>0</v>
      </c>
      <c r="J218" s="15">
        <f>IF(ISBLANK('Refsz-Emissionen'!K109), "", 'Refsz-Emissionen'!K109)</f>
        <v>0</v>
      </c>
      <c r="K218" s="15">
        <f>IF(ISBLANK('Refsz-Emissionen'!L109), "", 'Refsz-Emissionen'!L109)</f>
        <v>0</v>
      </c>
      <c r="L218" s="15">
        <f>IF(ISBLANK('Refsz-Emissionen'!M109), "", 'Refsz-Emissionen'!M109)</f>
        <v>0</v>
      </c>
      <c r="M218" s="15">
        <f>IF(ISBLANK('Refsz-Emissionen'!N109), "", 'Refsz-Emissionen'!N109)</f>
        <v>0</v>
      </c>
      <c r="N218" s="15">
        <f>IF(ISBLANK('Refsz-Emissionen'!O109), "", 'Refsz-Emissionen'!O109)</f>
        <v>0</v>
      </c>
      <c r="O218" s="15">
        <f>IF(ISBLANK('Refsz-Emissionen'!P109), "", 'Refsz-Emissionen'!P109)</f>
        <v>0</v>
      </c>
      <c r="P218" s="15">
        <f>IF(ISBLANK('Refsz-Emissionen'!Q109), "", 'Refsz-Emissionen'!Q109)</f>
        <v>0</v>
      </c>
      <c r="Q218" s="15">
        <f>IF(ISBLANK('Refsz-Emissionen'!R109), "", 'Refsz-Emissionen'!R109)</f>
        <v>0</v>
      </c>
      <c r="R218" s="15">
        <f>IF(ISBLANK('Refsz-Emissionen'!S109), "", 'Refsz-Emissionen'!S109)</f>
        <v>0</v>
      </c>
      <c r="S218" s="15">
        <f>IF(ISBLANK('Refsz-Emissionen'!T109), "", 'Refsz-Emissionen'!T109)</f>
        <v>0</v>
      </c>
      <c r="T218" s="15">
        <f>IF(ISBLANK('Refsz-Emissionen'!U109), "", 'Refsz-Emissionen'!U109)</f>
        <v>0</v>
      </c>
      <c r="U218" s="15">
        <f>IF(ISBLANK('Refsz-Emissionen'!V109), "", 'Refsz-Emissionen'!V109)</f>
        <v>0</v>
      </c>
      <c r="V218" s="15">
        <f>IF(ISBLANK('Refsz-Emissionen'!W109), "", 'Refsz-Emissionen'!W109)</f>
        <v>0</v>
      </c>
      <c r="W218" s="15">
        <f>IF(ISBLANK('Refsz-Emissionen'!X109), "", 'Refsz-Emissionen'!X109)</f>
        <v>0</v>
      </c>
    </row>
    <row r="219" spans="2:23" ht="16.5" hidden="1" x14ac:dyDescent="0.45">
      <c r="B219" t="str">
        <f t="shared" si="9"/>
        <v>DR - Mietwägen (CNG)</v>
      </c>
      <c r="C219" t="s">
        <v>208</v>
      </c>
      <c r="D219" s="15">
        <f>IF(ISBLANK('Refsz-Emissionen'!E110), "", 'Refsz-Emissionen'!E110)</f>
        <v>0</v>
      </c>
      <c r="E219" s="15">
        <f>IF(ISBLANK('Refsz-Emissionen'!F110), "", 'Refsz-Emissionen'!F110)</f>
        <v>0</v>
      </c>
      <c r="F219" s="15">
        <f>IF(ISBLANK('Refsz-Emissionen'!G110), "", 'Refsz-Emissionen'!G110)</f>
        <v>0</v>
      </c>
      <c r="G219" s="15">
        <f>IF(ISBLANK('Refsz-Emissionen'!H110), "", 'Refsz-Emissionen'!H110)</f>
        <v>0</v>
      </c>
      <c r="H219" s="15">
        <f>IF(ISBLANK('Refsz-Emissionen'!I110), "", 'Refsz-Emissionen'!I110)</f>
        <v>0</v>
      </c>
      <c r="I219" s="15">
        <f>IF(ISBLANK('Refsz-Emissionen'!J110), "", 'Refsz-Emissionen'!J110)</f>
        <v>0</v>
      </c>
      <c r="J219" s="15">
        <f>IF(ISBLANK('Refsz-Emissionen'!K110), "", 'Refsz-Emissionen'!K110)</f>
        <v>0</v>
      </c>
      <c r="K219" s="15">
        <f>IF(ISBLANK('Refsz-Emissionen'!L110), "", 'Refsz-Emissionen'!L110)</f>
        <v>0</v>
      </c>
      <c r="L219" s="15">
        <f>IF(ISBLANK('Refsz-Emissionen'!M110), "", 'Refsz-Emissionen'!M110)</f>
        <v>0</v>
      </c>
      <c r="M219" s="15">
        <f>IF(ISBLANK('Refsz-Emissionen'!N110), "", 'Refsz-Emissionen'!N110)</f>
        <v>0</v>
      </c>
      <c r="N219" s="15">
        <f>IF(ISBLANK('Refsz-Emissionen'!O110), "", 'Refsz-Emissionen'!O110)</f>
        <v>0</v>
      </c>
      <c r="O219" s="15">
        <f>IF(ISBLANK('Refsz-Emissionen'!P110), "", 'Refsz-Emissionen'!P110)</f>
        <v>0</v>
      </c>
      <c r="P219" s="15">
        <f>IF(ISBLANK('Refsz-Emissionen'!Q110), "", 'Refsz-Emissionen'!Q110)</f>
        <v>0</v>
      </c>
      <c r="Q219" s="15">
        <f>IF(ISBLANK('Refsz-Emissionen'!R110), "", 'Refsz-Emissionen'!R110)</f>
        <v>0</v>
      </c>
      <c r="R219" s="15">
        <f>IF(ISBLANK('Refsz-Emissionen'!S110), "", 'Refsz-Emissionen'!S110)</f>
        <v>0</v>
      </c>
      <c r="S219" s="15">
        <f>IF(ISBLANK('Refsz-Emissionen'!T110), "", 'Refsz-Emissionen'!T110)</f>
        <v>0</v>
      </c>
      <c r="T219" s="15">
        <f>IF(ISBLANK('Refsz-Emissionen'!U110), "", 'Refsz-Emissionen'!U110)</f>
        <v>0</v>
      </c>
      <c r="U219" s="15">
        <f>IF(ISBLANK('Refsz-Emissionen'!V110), "", 'Refsz-Emissionen'!V110)</f>
        <v>0</v>
      </c>
      <c r="V219" s="15">
        <f>IF(ISBLANK('Refsz-Emissionen'!W110), "", 'Refsz-Emissionen'!W110)</f>
        <v>0</v>
      </c>
      <c r="W219" s="15">
        <f>IF(ISBLANK('Refsz-Emissionen'!X110), "", 'Refsz-Emissionen'!X110)</f>
        <v>0</v>
      </c>
    </row>
    <row r="220" spans="2:23" ht="16.5" hidden="1" x14ac:dyDescent="0.45">
      <c r="B220" t="str">
        <f t="shared" si="9"/>
        <v>DR - Fahrrad</v>
      </c>
      <c r="C220" t="s">
        <v>208</v>
      </c>
      <c r="D220" s="15">
        <f>IF(ISBLANK('Refsz-Emissionen'!E113), "", 'Refsz-Emissionen'!E113)</f>
        <v>0</v>
      </c>
      <c r="E220" s="15">
        <f>IF(ISBLANK('Refsz-Emissionen'!F113), "", 'Refsz-Emissionen'!F113)</f>
        <v>0</v>
      </c>
      <c r="F220" s="15">
        <f>IF(ISBLANK('Refsz-Emissionen'!G113), "", 'Refsz-Emissionen'!G113)</f>
        <v>0</v>
      </c>
      <c r="G220" s="15">
        <f>IF(ISBLANK('Refsz-Emissionen'!H113), "", 'Refsz-Emissionen'!H113)</f>
        <v>0</v>
      </c>
      <c r="H220" s="15">
        <f>IF(ISBLANK('Refsz-Emissionen'!I113), "", 'Refsz-Emissionen'!I113)</f>
        <v>0</v>
      </c>
      <c r="I220" s="15">
        <f>IF(ISBLANK('Refsz-Emissionen'!J113), "", 'Refsz-Emissionen'!J113)</f>
        <v>0</v>
      </c>
      <c r="J220" s="15">
        <f>IF(ISBLANK('Refsz-Emissionen'!K113), "", 'Refsz-Emissionen'!K113)</f>
        <v>0</v>
      </c>
      <c r="K220" s="15">
        <f>IF(ISBLANK('Refsz-Emissionen'!L113), "", 'Refsz-Emissionen'!L113)</f>
        <v>0</v>
      </c>
      <c r="L220" s="15">
        <f>IF(ISBLANK('Refsz-Emissionen'!M113), "", 'Refsz-Emissionen'!M113)</f>
        <v>0</v>
      </c>
      <c r="M220" s="15">
        <f>IF(ISBLANK('Refsz-Emissionen'!N113), "", 'Refsz-Emissionen'!N113)</f>
        <v>0</v>
      </c>
      <c r="N220" s="15">
        <f>IF(ISBLANK('Refsz-Emissionen'!O113), "", 'Refsz-Emissionen'!O113)</f>
        <v>0</v>
      </c>
      <c r="O220" s="15">
        <f>IF(ISBLANK('Refsz-Emissionen'!P113), "", 'Refsz-Emissionen'!P113)</f>
        <v>0</v>
      </c>
      <c r="P220" s="15">
        <f>IF(ISBLANK('Refsz-Emissionen'!Q113), "", 'Refsz-Emissionen'!Q113)</f>
        <v>0</v>
      </c>
      <c r="Q220" s="15">
        <f>IF(ISBLANK('Refsz-Emissionen'!R113), "", 'Refsz-Emissionen'!R113)</f>
        <v>0</v>
      </c>
      <c r="R220" s="15">
        <f>IF(ISBLANK('Refsz-Emissionen'!S113), "", 'Refsz-Emissionen'!S113)</f>
        <v>0</v>
      </c>
      <c r="S220" s="15">
        <f>IF(ISBLANK('Refsz-Emissionen'!T113), "", 'Refsz-Emissionen'!T113)</f>
        <v>0</v>
      </c>
      <c r="T220" s="15">
        <f>IF(ISBLANK('Refsz-Emissionen'!U113), "", 'Refsz-Emissionen'!U113)</f>
        <v>0</v>
      </c>
      <c r="U220" s="15">
        <f>IF(ISBLANK('Refsz-Emissionen'!V113), "", 'Refsz-Emissionen'!V113)</f>
        <v>0</v>
      </c>
      <c r="V220" s="15">
        <f>IF(ISBLANK('Refsz-Emissionen'!W113), "", 'Refsz-Emissionen'!W113)</f>
        <v>0</v>
      </c>
      <c r="W220" s="15">
        <f>IF(ISBLANK('Refsz-Emissionen'!X113), "", 'Refsz-Emissionen'!X113)</f>
        <v>0</v>
      </c>
    </row>
    <row r="221" spans="2:23" ht="16.5" hidden="1" x14ac:dyDescent="0.45">
      <c r="B221" t="str">
        <f t="shared" si="9"/>
        <v>Studierendenreisen (Outgoing) - Flugreisen</v>
      </c>
      <c r="C221" t="s">
        <v>208</v>
      </c>
      <c r="D221" s="15">
        <f>IF(ISBLANK('Refsz-Emissionen'!E115), "", 'Refsz-Emissionen'!E115)</f>
        <v>0</v>
      </c>
      <c r="E221" s="15">
        <f>IF(ISBLANK('Refsz-Emissionen'!F115), "", 'Refsz-Emissionen'!F115)</f>
        <v>0</v>
      </c>
      <c r="F221" s="15">
        <f>IF(ISBLANK('Refsz-Emissionen'!G115), "", 'Refsz-Emissionen'!G115)</f>
        <v>0</v>
      </c>
      <c r="G221" s="15">
        <f>IF(ISBLANK('Refsz-Emissionen'!H115), "", 'Refsz-Emissionen'!H115)</f>
        <v>0</v>
      </c>
      <c r="H221" s="15">
        <f>IF(ISBLANK('Refsz-Emissionen'!I115), "", 'Refsz-Emissionen'!I115)</f>
        <v>0</v>
      </c>
      <c r="I221" s="15">
        <f>IF(ISBLANK('Refsz-Emissionen'!J115), "", 'Refsz-Emissionen'!J115)</f>
        <v>0</v>
      </c>
      <c r="J221" s="15">
        <f>IF(ISBLANK('Refsz-Emissionen'!K115), "", 'Refsz-Emissionen'!K115)</f>
        <v>0</v>
      </c>
      <c r="K221" s="15">
        <f>IF(ISBLANK('Refsz-Emissionen'!L115), "", 'Refsz-Emissionen'!L115)</f>
        <v>0</v>
      </c>
      <c r="L221" s="15">
        <f>IF(ISBLANK('Refsz-Emissionen'!M115), "", 'Refsz-Emissionen'!M115)</f>
        <v>0</v>
      </c>
      <c r="M221" s="15">
        <f>IF(ISBLANK('Refsz-Emissionen'!N115), "", 'Refsz-Emissionen'!N115)</f>
        <v>0</v>
      </c>
      <c r="N221" s="15">
        <f>IF(ISBLANK('Refsz-Emissionen'!O115), "", 'Refsz-Emissionen'!O115)</f>
        <v>0</v>
      </c>
      <c r="O221" s="15">
        <f>IF(ISBLANK('Refsz-Emissionen'!P115), "", 'Refsz-Emissionen'!P115)</f>
        <v>0</v>
      </c>
      <c r="P221" s="15">
        <f>IF(ISBLANK('Refsz-Emissionen'!Q115), "", 'Refsz-Emissionen'!Q115)</f>
        <v>0</v>
      </c>
      <c r="Q221" s="15">
        <f>IF(ISBLANK('Refsz-Emissionen'!R115), "", 'Refsz-Emissionen'!R115)</f>
        <v>0</v>
      </c>
      <c r="R221" s="15">
        <f>IF(ISBLANK('Refsz-Emissionen'!S115), "", 'Refsz-Emissionen'!S115)</f>
        <v>0</v>
      </c>
      <c r="S221" s="15">
        <f>IF(ISBLANK('Refsz-Emissionen'!T115), "", 'Refsz-Emissionen'!T115)</f>
        <v>0</v>
      </c>
      <c r="T221" s="15">
        <f>IF(ISBLANK('Refsz-Emissionen'!U115), "", 'Refsz-Emissionen'!U115)</f>
        <v>0</v>
      </c>
      <c r="U221" s="15">
        <f>IF(ISBLANK('Refsz-Emissionen'!V115), "", 'Refsz-Emissionen'!V115)</f>
        <v>0</v>
      </c>
      <c r="V221" s="15">
        <f>IF(ISBLANK('Refsz-Emissionen'!W115), "", 'Refsz-Emissionen'!W115)</f>
        <v>0</v>
      </c>
      <c r="W221" s="15">
        <f>IF(ISBLANK('Refsz-Emissionen'!X115), "", 'Refsz-Emissionen'!X115)</f>
        <v>0</v>
      </c>
    </row>
    <row r="222" spans="2:23" ht="16.5" hidden="1" x14ac:dyDescent="0.45">
      <c r="B222" t="str">
        <f t="shared" si="9"/>
        <v>Studierendenreisen (Outgoing) - Eisenbahn (Nahverkehr)</v>
      </c>
      <c r="C222" t="s">
        <v>208</v>
      </c>
      <c r="D222" s="15">
        <f>IF(ISBLANK('Refsz-Emissionen'!E116), "", 'Refsz-Emissionen'!E116)</f>
        <v>0</v>
      </c>
      <c r="E222" s="15">
        <f>IF(ISBLANK('Refsz-Emissionen'!F116), "", 'Refsz-Emissionen'!F116)</f>
        <v>0</v>
      </c>
      <c r="F222" s="15">
        <f>IF(ISBLANK('Refsz-Emissionen'!G116), "", 'Refsz-Emissionen'!G116)</f>
        <v>0</v>
      </c>
      <c r="G222" s="15">
        <f>IF(ISBLANK('Refsz-Emissionen'!H116), "", 'Refsz-Emissionen'!H116)</f>
        <v>0</v>
      </c>
      <c r="H222" s="15">
        <f>IF(ISBLANK('Refsz-Emissionen'!I116), "", 'Refsz-Emissionen'!I116)</f>
        <v>0</v>
      </c>
      <c r="I222" s="15">
        <f>IF(ISBLANK('Refsz-Emissionen'!J116), "", 'Refsz-Emissionen'!J116)</f>
        <v>0</v>
      </c>
      <c r="J222" s="15">
        <f>IF(ISBLANK('Refsz-Emissionen'!K116), "", 'Refsz-Emissionen'!K116)</f>
        <v>0</v>
      </c>
      <c r="K222" s="15">
        <f>IF(ISBLANK('Refsz-Emissionen'!L116), "", 'Refsz-Emissionen'!L116)</f>
        <v>0</v>
      </c>
      <c r="L222" s="15">
        <f>IF(ISBLANK('Refsz-Emissionen'!M116), "", 'Refsz-Emissionen'!M116)</f>
        <v>0</v>
      </c>
      <c r="M222" s="15">
        <f>IF(ISBLANK('Refsz-Emissionen'!N116), "", 'Refsz-Emissionen'!N116)</f>
        <v>0</v>
      </c>
      <c r="N222" s="15">
        <f>IF(ISBLANK('Refsz-Emissionen'!O116), "", 'Refsz-Emissionen'!O116)</f>
        <v>0</v>
      </c>
      <c r="O222" s="15">
        <f>IF(ISBLANK('Refsz-Emissionen'!P116), "", 'Refsz-Emissionen'!P116)</f>
        <v>0</v>
      </c>
      <c r="P222" s="15">
        <f>IF(ISBLANK('Refsz-Emissionen'!Q116), "", 'Refsz-Emissionen'!Q116)</f>
        <v>0</v>
      </c>
      <c r="Q222" s="15">
        <f>IF(ISBLANK('Refsz-Emissionen'!R116), "", 'Refsz-Emissionen'!R116)</f>
        <v>0</v>
      </c>
      <c r="R222" s="15">
        <f>IF(ISBLANK('Refsz-Emissionen'!S116), "", 'Refsz-Emissionen'!S116)</f>
        <v>0</v>
      </c>
      <c r="S222" s="15">
        <f>IF(ISBLANK('Refsz-Emissionen'!T116), "", 'Refsz-Emissionen'!T116)</f>
        <v>0</v>
      </c>
      <c r="T222" s="15">
        <f>IF(ISBLANK('Refsz-Emissionen'!U116), "", 'Refsz-Emissionen'!U116)</f>
        <v>0</v>
      </c>
      <c r="U222" s="15">
        <f>IF(ISBLANK('Refsz-Emissionen'!V116), "", 'Refsz-Emissionen'!V116)</f>
        <v>0</v>
      </c>
      <c r="V222" s="15">
        <f>IF(ISBLANK('Refsz-Emissionen'!W116), "", 'Refsz-Emissionen'!W116)</f>
        <v>0</v>
      </c>
      <c r="W222" s="15">
        <f>IF(ISBLANK('Refsz-Emissionen'!X116), "", 'Refsz-Emissionen'!X116)</f>
        <v>0</v>
      </c>
    </row>
    <row r="223" spans="2:23" ht="16.5" hidden="1" x14ac:dyDescent="0.45">
      <c r="B223" t="str">
        <f t="shared" si="9"/>
        <v>Studierendenreisen (Outgoing) - Privater PKW (alle Antriebsarten)</v>
      </c>
      <c r="C223" t="s">
        <v>208</v>
      </c>
      <c r="D223" s="15">
        <f>IF(ISBLANK('Refsz-Emissionen'!E117), "", 'Refsz-Emissionen'!E117)</f>
        <v>0</v>
      </c>
      <c r="E223" s="15">
        <f>IF(ISBLANK('Refsz-Emissionen'!F117), "", 'Refsz-Emissionen'!F117)</f>
        <v>0</v>
      </c>
      <c r="F223" s="15">
        <f>IF(ISBLANK('Refsz-Emissionen'!G117), "", 'Refsz-Emissionen'!G117)</f>
        <v>0</v>
      </c>
      <c r="G223" s="15">
        <f>IF(ISBLANK('Refsz-Emissionen'!H117), "", 'Refsz-Emissionen'!H117)</f>
        <v>0</v>
      </c>
      <c r="H223" s="15">
        <f>IF(ISBLANK('Refsz-Emissionen'!I117), "", 'Refsz-Emissionen'!I117)</f>
        <v>0</v>
      </c>
      <c r="I223" s="15">
        <f>IF(ISBLANK('Refsz-Emissionen'!J117), "", 'Refsz-Emissionen'!J117)</f>
        <v>0</v>
      </c>
      <c r="J223" s="15">
        <f>IF(ISBLANK('Refsz-Emissionen'!K117), "", 'Refsz-Emissionen'!K117)</f>
        <v>0</v>
      </c>
      <c r="K223" s="15">
        <f>IF(ISBLANK('Refsz-Emissionen'!L117), "", 'Refsz-Emissionen'!L117)</f>
        <v>0</v>
      </c>
      <c r="L223" s="15">
        <f>IF(ISBLANK('Refsz-Emissionen'!M117), "", 'Refsz-Emissionen'!M117)</f>
        <v>0</v>
      </c>
      <c r="M223" s="15">
        <f>IF(ISBLANK('Refsz-Emissionen'!N117), "", 'Refsz-Emissionen'!N117)</f>
        <v>0</v>
      </c>
      <c r="N223" s="15">
        <f>IF(ISBLANK('Refsz-Emissionen'!O117), "", 'Refsz-Emissionen'!O117)</f>
        <v>0</v>
      </c>
      <c r="O223" s="15">
        <f>IF(ISBLANK('Refsz-Emissionen'!P117), "", 'Refsz-Emissionen'!P117)</f>
        <v>0</v>
      </c>
      <c r="P223" s="15">
        <f>IF(ISBLANK('Refsz-Emissionen'!Q117), "", 'Refsz-Emissionen'!Q117)</f>
        <v>0</v>
      </c>
      <c r="Q223" s="15">
        <f>IF(ISBLANK('Refsz-Emissionen'!R117), "", 'Refsz-Emissionen'!R117)</f>
        <v>0</v>
      </c>
      <c r="R223" s="15">
        <f>IF(ISBLANK('Refsz-Emissionen'!S117), "", 'Refsz-Emissionen'!S117)</f>
        <v>0</v>
      </c>
      <c r="S223" s="15">
        <f>IF(ISBLANK('Refsz-Emissionen'!T117), "", 'Refsz-Emissionen'!T117)</f>
        <v>0</v>
      </c>
      <c r="T223" s="15">
        <f>IF(ISBLANK('Refsz-Emissionen'!U117), "", 'Refsz-Emissionen'!U117)</f>
        <v>0</v>
      </c>
      <c r="U223" s="15">
        <f>IF(ISBLANK('Refsz-Emissionen'!V117), "", 'Refsz-Emissionen'!V117)</f>
        <v>0</v>
      </c>
      <c r="V223" s="15">
        <f>IF(ISBLANK('Refsz-Emissionen'!W117), "", 'Refsz-Emissionen'!W117)</f>
        <v>0</v>
      </c>
      <c r="W223" s="15">
        <f>IF(ISBLANK('Refsz-Emissionen'!X117), "", 'Refsz-Emissionen'!X117)</f>
        <v>0</v>
      </c>
    </row>
    <row r="224" spans="2:23" ht="16.5" hidden="1" x14ac:dyDescent="0.45">
      <c r="B224" t="str">
        <f t="shared" si="9"/>
        <v>Exkursionen - Flugreisen</v>
      </c>
      <c r="C224" t="s">
        <v>208</v>
      </c>
      <c r="D224" s="15">
        <f>IF(ISBLANK('Refsz-Emissionen'!E119), "", 'Refsz-Emissionen'!E119)</f>
        <v>0</v>
      </c>
      <c r="E224" s="15">
        <f>IF(ISBLANK('Refsz-Emissionen'!F119), "", 'Refsz-Emissionen'!F119)</f>
        <v>0</v>
      </c>
      <c r="F224" s="15">
        <f>IF(ISBLANK('Refsz-Emissionen'!G119), "", 'Refsz-Emissionen'!G119)</f>
        <v>0</v>
      </c>
      <c r="G224" s="15">
        <f>IF(ISBLANK('Refsz-Emissionen'!H119), "", 'Refsz-Emissionen'!H119)</f>
        <v>0</v>
      </c>
      <c r="H224" s="15">
        <f>IF(ISBLANK('Refsz-Emissionen'!I119), "", 'Refsz-Emissionen'!I119)</f>
        <v>0</v>
      </c>
      <c r="I224" s="15">
        <f>IF(ISBLANK('Refsz-Emissionen'!J119), "", 'Refsz-Emissionen'!J119)</f>
        <v>0</v>
      </c>
      <c r="J224" s="15">
        <f>IF(ISBLANK('Refsz-Emissionen'!K119), "", 'Refsz-Emissionen'!K119)</f>
        <v>0</v>
      </c>
      <c r="K224" s="15">
        <f>IF(ISBLANK('Refsz-Emissionen'!L119), "", 'Refsz-Emissionen'!L119)</f>
        <v>0</v>
      </c>
      <c r="L224" s="15">
        <f>IF(ISBLANK('Refsz-Emissionen'!M119), "", 'Refsz-Emissionen'!M119)</f>
        <v>0</v>
      </c>
      <c r="M224" s="15">
        <f>IF(ISBLANK('Refsz-Emissionen'!N119), "", 'Refsz-Emissionen'!N119)</f>
        <v>0</v>
      </c>
      <c r="N224" s="15">
        <f>IF(ISBLANK('Refsz-Emissionen'!O119), "", 'Refsz-Emissionen'!O119)</f>
        <v>0</v>
      </c>
      <c r="O224" s="15">
        <f>IF(ISBLANK('Refsz-Emissionen'!P119), "", 'Refsz-Emissionen'!P119)</f>
        <v>0</v>
      </c>
      <c r="P224" s="15">
        <f>IF(ISBLANK('Refsz-Emissionen'!Q119), "", 'Refsz-Emissionen'!Q119)</f>
        <v>0</v>
      </c>
      <c r="Q224" s="15">
        <f>IF(ISBLANK('Refsz-Emissionen'!R119), "", 'Refsz-Emissionen'!R119)</f>
        <v>0</v>
      </c>
      <c r="R224" s="15">
        <f>IF(ISBLANK('Refsz-Emissionen'!S119), "", 'Refsz-Emissionen'!S119)</f>
        <v>0</v>
      </c>
      <c r="S224" s="15">
        <f>IF(ISBLANK('Refsz-Emissionen'!T119), "", 'Refsz-Emissionen'!T119)</f>
        <v>0</v>
      </c>
      <c r="T224" s="15">
        <f>IF(ISBLANK('Refsz-Emissionen'!U119), "", 'Refsz-Emissionen'!U119)</f>
        <v>0</v>
      </c>
      <c r="U224" s="15">
        <f>IF(ISBLANK('Refsz-Emissionen'!V119), "", 'Refsz-Emissionen'!V119)</f>
        <v>0</v>
      </c>
      <c r="V224" s="15">
        <f>IF(ISBLANK('Refsz-Emissionen'!W119), "", 'Refsz-Emissionen'!W119)</f>
        <v>0</v>
      </c>
      <c r="W224" s="15">
        <f>IF(ISBLANK('Refsz-Emissionen'!X119), "", 'Refsz-Emissionen'!X119)</f>
        <v>0</v>
      </c>
    </row>
    <row r="225" spans="2:23" ht="16.5" hidden="1" x14ac:dyDescent="0.45">
      <c r="B225" t="str">
        <f t="shared" si="9"/>
        <v>Exkursionen - Eisenbahn (Nahverkehr)</v>
      </c>
      <c r="C225" t="s">
        <v>208</v>
      </c>
      <c r="D225" s="15">
        <f>IF(ISBLANK('Refsz-Emissionen'!E120), "", 'Refsz-Emissionen'!E120)</f>
        <v>0</v>
      </c>
      <c r="E225" s="15">
        <f>IF(ISBLANK('Refsz-Emissionen'!F120), "", 'Refsz-Emissionen'!F120)</f>
        <v>0</v>
      </c>
      <c r="F225" s="15">
        <f>IF(ISBLANK('Refsz-Emissionen'!G120), "", 'Refsz-Emissionen'!G120)</f>
        <v>0</v>
      </c>
      <c r="G225" s="15">
        <f>IF(ISBLANK('Refsz-Emissionen'!H120), "", 'Refsz-Emissionen'!H120)</f>
        <v>0</v>
      </c>
      <c r="H225" s="15">
        <f>IF(ISBLANK('Refsz-Emissionen'!I120), "", 'Refsz-Emissionen'!I120)</f>
        <v>0</v>
      </c>
      <c r="I225" s="15">
        <f>IF(ISBLANK('Refsz-Emissionen'!J120), "", 'Refsz-Emissionen'!J120)</f>
        <v>0</v>
      </c>
      <c r="J225" s="15">
        <f>IF(ISBLANK('Refsz-Emissionen'!K120), "", 'Refsz-Emissionen'!K120)</f>
        <v>0</v>
      </c>
      <c r="K225" s="15">
        <f>IF(ISBLANK('Refsz-Emissionen'!L120), "", 'Refsz-Emissionen'!L120)</f>
        <v>0</v>
      </c>
      <c r="L225" s="15">
        <f>IF(ISBLANK('Refsz-Emissionen'!M120), "", 'Refsz-Emissionen'!M120)</f>
        <v>0</v>
      </c>
      <c r="M225" s="15">
        <f>IF(ISBLANK('Refsz-Emissionen'!N120), "", 'Refsz-Emissionen'!N120)</f>
        <v>0</v>
      </c>
      <c r="N225" s="15">
        <f>IF(ISBLANK('Refsz-Emissionen'!O120), "", 'Refsz-Emissionen'!O120)</f>
        <v>0</v>
      </c>
      <c r="O225" s="15">
        <f>IF(ISBLANK('Refsz-Emissionen'!P120), "", 'Refsz-Emissionen'!P120)</f>
        <v>0</v>
      </c>
      <c r="P225" s="15">
        <f>IF(ISBLANK('Refsz-Emissionen'!Q120), "", 'Refsz-Emissionen'!Q120)</f>
        <v>0</v>
      </c>
      <c r="Q225" s="15">
        <f>IF(ISBLANK('Refsz-Emissionen'!R120), "", 'Refsz-Emissionen'!R120)</f>
        <v>0</v>
      </c>
      <c r="R225" s="15">
        <f>IF(ISBLANK('Refsz-Emissionen'!S120), "", 'Refsz-Emissionen'!S120)</f>
        <v>0</v>
      </c>
      <c r="S225" s="15">
        <f>IF(ISBLANK('Refsz-Emissionen'!T120), "", 'Refsz-Emissionen'!T120)</f>
        <v>0</v>
      </c>
      <c r="T225" s="15">
        <f>IF(ISBLANK('Refsz-Emissionen'!U120), "", 'Refsz-Emissionen'!U120)</f>
        <v>0</v>
      </c>
      <c r="U225" s="15">
        <f>IF(ISBLANK('Refsz-Emissionen'!V120), "", 'Refsz-Emissionen'!V120)</f>
        <v>0</v>
      </c>
      <c r="V225" s="15">
        <f>IF(ISBLANK('Refsz-Emissionen'!W120), "", 'Refsz-Emissionen'!W120)</f>
        <v>0</v>
      </c>
      <c r="W225" s="15">
        <f>IF(ISBLANK('Refsz-Emissionen'!X120), "", 'Refsz-Emissionen'!X120)</f>
        <v>0</v>
      </c>
    </row>
    <row r="226" spans="2:23" ht="16.5" hidden="1" x14ac:dyDescent="0.45">
      <c r="B226" t="str">
        <f t="shared" si="9"/>
        <v>Exkursionen - Privater PKW (alle Antriebsarten)</v>
      </c>
      <c r="C226" t="s">
        <v>208</v>
      </c>
      <c r="D226" s="15">
        <f>IF(ISBLANK('Refsz-Emissionen'!E121), "", 'Refsz-Emissionen'!E121)</f>
        <v>0</v>
      </c>
      <c r="E226" s="15">
        <f>IF(ISBLANK('Refsz-Emissionen'!F121), "", 'Refsz-Emissionen'!F121)</f>
        <v>0</v>
      </c>
      <c r="F226" s="15">
        <f>IF(ISBLANK('Refsz-Emissionen'!G121), "", 'Refsz-Emissionen'!G121)</f>
        <v>0</v>
      </c>
      <c r="G226" s="15">
        <f>IF(ISBLANK('Refsz-Emissionen'!H121), "", 'Refsz-Emissionen'!H121)</f>
        <v>0</v>
      </c>
      <c r="H226" s="15">
        <f>IF(ISBLANK('Refsz-Emissionen'!I121), "", 'Refsz-Emissionen'!I121)</f>
        <v>0</v>
      </c>
      <c r="I226" s="15">
        <f>IF(ISBLANK('Refsz-Emissionen'!J121), "", 'Refsz-Emissionen'!J121)</f>
        <v>0</v>
      </c>
      <c r="J226" s="15">
        <f>IF(ISBLANK('Refsz-Emissionen'!K121), "", 'Refsz-Emissionen'!K121)</f>
        <v>0</v>
      </c>
      <c r="K226" s="15">
        <f>IF(ISBLANK('Refsz-Emissionen'!L121), "", 'Refsz-Emissionen'!L121)</f>
        <v>0</v>
      </c>
      <c r="L226" s="15">
        <f>IF(ISBLANK('Refsz-Emissionen'!M121), "", 'Refsz-Emissionen'!M121)</f>
        <v>0</v>
      </c>
      <c r="M226" s="15">
        <f>IF(ISBLANK('Refsz-Emissionen'!N121), "", 'Refsz-Emissionen'!N121)</f>
        <v>0</v>
      </c>
      <c r="N226" s="15">
        <f>IF(ISBLANK('Refsz-Emissionen'!O121), "", 'Refsz-Emissionen'!O121)</f>
        <v>0</v>
      </c>
      <c r="O226" s="15">
        <f>IF(ISBLANK('Refsz-Emissionen'!P121), "", 'Refsz-Emissionen'!P121)</f>
        <v>0</v>
      </c>
      <c r="P226" s="15">
        <f>IF(ISBLANK('Refsz-Emissionen'!Q121), "", 'Refsz-Emissionen'!Q121)</f>
        <v>0</v>
      </c>
      <c r="Q226" s="15">
        <f>IF(ISBLANK('Refsz-Emissionen'!R121), "", 'Refsz-Emissionen'!R121)</f>
        <v>0</v>
      </c>
      <c r="R226" s="15">
        <f>IF(ISBLANK('Refsz-Emissionen'!S121), "", 'Refsz-Emissionen'!S121)</f>
        <v>0</v>
      </c>
      <c r="S226" s="15">
        <f>IF(ISBLANK('Refsz-Emissionen'!T121), "", 'Refsz-Emissionen'!T121)</f>
        <v>0</v>
      </c>
      <c r="T226" s="15">
        <f>IF(ISBLANK('Refsz-Emissionen'!U121), "", 'Refsz-Emissionen'!U121)</f>
        <v>0</v>
      </c>
      <c r="U226" s="15">
        <f>IF(ISBLANK('Refsz-Emissionen'!V121), "", 'Refsz-Emissionen'!V121)</f>
        <v>0</v>
      </c>
      <c r="V226" s="15">
        <f>IF(ISBLANK('Refsz-Emissionen'!W121), "", 'Refsz-Emissionen'!W121)</f>
        <v>0</v>
      </c>
      <c r="W226" s="15">
        <f>IF(ISBLANK('Refsz-Emissionen'!X121), "", 'Refsz-Emissionen'!X121)</f>
        <v>0</v>
      </c>
    </row>
    <row r="227" spans="2:23" ht="16.5" hidden="1" x14ac:dyDescent="0.45">
      <c r="B227" t="str">
        <f t="shared" si="9"/>
        <v>Pendeln - Eisenbahn (Fernverkehr)</v>
      </c>
      <c r="C227" t="s">
        <v>208</v>
      </c>
      <c r="D227" s="15">
        <f>IF(ISBLANK('Refsz-Emissionen'!E123), "", 'Refsz-Emissionen'!E123)</f>
        <v>0</v>
      </c>
      <c r="E227" s="15">
        <f>IF(ISBLANK('Refsz-Emissionen'!F123), "", 'Refsz-Emissionen'!F123)</f>
        <v>0</v>
      </c>
      <c r="F227" s="15">
        <f>IF(ISBLANK('Refsz-Emissionen'!G123), "", 'Refsz-Emissionen'!G123)</f>
        <v>0</v>
      </c>
      <c r="G227" s="15">
        <f>IF(ISBLANK('Refsz-Emissionen'!H123), "", 'Refsz-Emissionen'!H123)</f>
        <v>0</v>
      </c>
      <c r="H227" s="15">
        <f>IF(ISBLANK('Refsz-Emissionen'!I123), "", 'Refsz-Emissionen'!I123)</f>
        <v>0</v>
      </c>
      <c r="I227" s="15">
        <f>IF(ISBLANK('Refsz-Emissionen'!J123), "", 'Refsz-Emissionen'!J123)</f>
        <v>0</v>
      </c>
      <c r="J227" s="15">
        <f>IF(ISBLANK('Refsz-Emissionen'!K123), "", 'Refsz-Emissionen'!K123)</f>
        <v>0</v>
      </c>
      <c r="K227" s="15">
        <f>IF(ISBLANK('Refsz-Emissionen'!L123), "", 'Refsz-Emissionen'!L123)</f>
        <v>0</v>
      </c>
      <c r="L227" s="15">
        <f>IF(ISBLANK('Refsz-Emissionen'!M123), "", 'Refsz-Emissionen'!M123)</f>
        <v>0</v>
      </c>
      <c r="M227" s="15">
        <f>IF(ISBLANK('Refsz-Emissionen'!N123), "", 'Refsz-Emissionen'!N123)</f>
        <v>0</v>
      </c>
      <c r="N227" s="15">
        <f>IF(ISBLANK('Refsz-Emissionen'!O123), "", 'Refsz-Emissionen'!O123)</f>
        <v>0</v>
      </c>
      <c r="O227" s="15">
        <f>IF(ISBLANK('Refsz-Emissionen'!P123), "", 'Refsz-Emissionen'!P123)</f>
        <v>0</v>
      </c>
      <c r="P227" s="15">
        <f>IF(ISBLANK('Refsz-Emissionen'!Q123), "", 'Refsz-Emissionen'!Q123)</f>
        <v>0</v>
      </c>
      <c r="Q227" s="15">
        <f>IF(ISBLANK('Refsz-Emissionen'!R123), "", 'Refsz-Emissionen'!R123)</f>
        <v>0</v>
      </c>
      <c r="R227" s="15">
        <f>IF(ISBLANK('Refsz-Emissionen'!S123), "", 'Refsz-Emissionen'!S123)</f>
        <v>0</v>
      </c>
      <c r="S227" s="15">
        <f>IF(ISBLANK('Refsz-Emissionen'!T123), "", 'Refsz-Emissionen'!T123)</f>
        <v>0</v>
      </c>
      <c r="T227" s="15">
        <f>IF(ISBLANK('Refsz-Emissionen'!U123), "", 'Refsz-Emissionen'!U123)</f>
        <v>0</v>
      </c>
      <c r="U227" s="15">
        <f>IF(ISBLANK('Refsz-Emissionen'!V123), "", 'Refsz-Emissionen'!V123)</f>
        <v>0</v>
      </c>
      <c r="V227" s="15">
        <f>IF(ISBLANK('Refsz-Emissionen'!W123), "", 'Refsz-Emissionen'!W123)</f>
        <v>0</v>
      </c>
      <c r="W227" s="15">
        <f>IF(ISBLANK('Refsz-Emissionen'!X123), "", 'Refsz-Emissionen'!X123)</f>
        <v>0</v>
      </c>
    </row>
    <row r="228" spans="2:23" ht="16.5" hidden="1" x14ac:dyDescent="0.45">
      <c r="B228" t="str">
        <f t="shared" si="9"/>
        <v>Pendeln - Eisenbahn (Nahverkehr)</v>
      </c>
      <c r="C228" t="s">
        <v>208</v>
      </c>
      <c r="D228" s="15">
        <f>IF(ISBLANK('Refsz-Emissionen'!E124), "", 'Refsz-Emissionen'!E124)</f>
        <v>0</v>
      </c>
      <c r="E228" s="15">
        <f>IF(ISBLANK('Refsz-Emissionen'!F124), "", 'Refsz-Emissionen'!F124)</f>
        <v>0</v>
      </c>
      <c r="F228" s="15">
        <f>IF(ISBLANK('Refsz-Emissionen'!G124), "", 'Refsz-Emissionen'!G124)</f>
        <v>0</v>
      </c>
      <c r="G228" s="15">
        <f>IF(ISBLANK('Refsz-Emissionen'!H124), "", 'Refsz-Emissionen'!H124)</f>
        <v>0</v>
      </c>
      <c r="H228" s="15">
        <f>IF(ISBLANK('Refsz-Emissionen'!I124), "", 'Refsz-Emissionen'!I124)</f>
        <v>0</v>
      </c>
      <c r="I228" s="15">
        <f>IF(ISBLANK('Refsz-Emissionen'!J124), "", 'Refsz-Emissionen'!J124)</f>
        <v>0</v>
      </c>
      <c r="J228" s="15">
        <f>IF(ISBLANK('Refsz-Emissionen'!K124), "", 'Refsz-Emissionen'!K124)</f>
        <v>0</v>
      </c>
      <c r="K228" s="15">
        <f>IF(ISBLANK('Refsz-Emissionen'!L124), "", 'Refsz-Emissionen'!L124)</f>
        <v>0</v>
      </c>
      <c r="L228" s="15">
        <f>IF(ISBLANK('Refsz-Emissionen'!M124), "", 'Refsz-Emissionen'!M124)</f>
        <v>0</v>
      </c>
      <c r="M228" s="15">
        <f>IF(ISBLANK('Refsz-Emissionen'!N124), "", 'Refsz-Emissionen'!N124)</f>
        <v>0</v>
      </c>
      <c r="N228" s="15">
        <f>IF(ISBLANK('Refsz-Emissionen'!O124), "", 'Refsz-Emissionen'!O124)</f>
        <v>0</v>
      </c>
      <c r="O228" s="15">
        <f>IF(ISBLANK('Refsz-Emissionen'!P124), "", 'Refsz-Emissionen'!P124)</f>
        <v>0</v>
      </c>
      <c r="P228" s="15">
        <f>IF(ISBLANK('Refsz-Emissionen'!Q124), "", 'Refsz-Emissionen'!Q124)</f>
        <v>0</v>
      </c>
      <c r="Q228" s="15">
        <f>IF(ISBLANK('Refsz-Emissionen'!R124), "", 'Refsz-Emissionen'!R124)</f>
        <v>0</v>
      </c>
      <c r="R228" s="15">
        <f>IF(ISBLANK('Refsz-Emissionen'!S124), "", 'Refsz-Emissionen'!S124)</f>
        <v>0</v>
      </c>
      <c r="S228" s="15">
        <f>IF(ISBLANK('Refsz-Emissionen'!T124), "", 'Refsz-Emissionen'!T124)</f>
        <v>0</v>
      </c>
      <c r="T228" s="15">
        <f>IF(ISBLANK('Refsz-Emissionen'!U124), "", 'Refsz-Emissionen'!U124)</f>
        <v>0</v>
      </c>
      <c r="U228" s="15">
        <f>IF(ISBLANK('Refsz-Emissionen'!V124), "", 'Refsz-Emissionen'!V124)</f>
        <v>0</v>
      </c>
      <c r="V228" s="15">
        <f>IF(ISBLANK('Refsz-Emissionen'!W124), "", 'Refsz-Emissionen'!W124)</f>
        <v>0</v>
      </c>
      <c r="W228" s="15">
        <f>IF(ISBLANK('Refsz-Emissionen'!X124), "", 'Refsz-Emissionen'!X124)</f>
        <v>0</v>
      </c>
    </row>
    <row r="229" spans="2:23" ht="16.5" hidden="1" x14ac:dyDescent="0.45">
      <c r="B229" t="str">
        <f t="shared" si="9"/>
        <v>Pendeln - Linienbus (Nahverkehr)</v>
      </c>
      <c r="C229" t="s">
        <v>208</v>
      </c>
      <c r="D229" s="15">
        <f>IF(ISBLANK('Refsz-Emissionen'!E125), "", 'Refsz-Emissionen'!E125)</f>
        <v>0</v>
      </c>
      <c r="E229" s="15">
        <f>IF(ISBLANK('Refsz-Emissionen'!F125), "", 'Refsz-Emissionen'!F125)</f>
        <v>0</v>
      </c>
      <c r="F229" s="15">
        <f>IF(ISBLANK('Refsz-Emissionen'!G125), "", 'Refsz-Emissionen'!G125)</f>
        <v>0</v>
      </c>
      <c r="G229" s="15">
        <f>IF(ISBLANK('Refsz-Emissionen'!H125), "", 'Refsz-Emissionen'!H125)</f>
        <v>0</v>
      </c>
      <c r="H229" s="15">
        <f>IF(ISBLANK('Refsz-Emissionen'!I125), "", 'Refsz-Emissionen'!I125)</f>
        <v>0</v>
      </c>
      <c r="I229" s="15">
        <f>IF(ISBLANK('Refsz-Emissionen'!J125), "", 'Refsz-Emissionen'!J125)</f>
        <v>0</v>
      </c>
      <c r="J229" s="15">
        <f>IF(ISBLANK('Refsz-Emissionen'!K125), "", 'Refsz-Emissionen'!K125)</f>
        <v>0</v>
      </c>
      <c r="K229" s="15">
        <f>IF(ISBLANK('Refsz-Emissionen'!L125), "", 'Refsz-Emissionen'!L125)</f>
        <v>0</v>
      </c>
      <c r="L229" s="15">
        <f>IF(ISBLANK('Refsz-Emissionen'!M125), "", 'Refsz-Emissionen'!M125)</f>
        <v>0</v>
      </c>
      <c r="M229" s="15">
        <f>IF(ISBLANK('Refsz-Emissionen'!N125), "", 'Refsz-Emissionen'!N125)</f>
        <v>0</v>
      </c>
      <c r="N229" s="15">
        <f>IF(ISBLANK('Refsz-Emissionen'!O125), "", 'Refsz-Emissionen'!O125)</f>
        <v>0</v>
      </c>
      <c r="O229" s="15">
        <f>IF(ISBLANK('Refsz-Emissionen'!P125), "", 'Refsz-Emissionen'!P125)</f>
        <v>0</v>
      </c>
      <c r="P229" s="15">
        <f>IF(ISBLANK('Refsz-Emissionen'!Q125), "", 'Refsz-Emissionen'!Q125)</f>
        <v>0</v>
      </c>
      <c r="Q229" s="15">
        <f>IF(ISBLANK('Refsz-Emissionen'!R125), "", 'Refsz-Emissionen'!R125)</f>
        <v>0</v>
      </c>
      <c r="R229" s="15">
        <f>IF(ISBLANK('Refsz-Emissionen'!S125), "", 'Refsz-Emissionen'!S125)</f>
        <v>0</v>
      </c>
      <c r="S229" s="15">
        <f>IF(ISBLANK('Refsz-Emissionen'!T125), "", 'Refsz-Emissionen'!T125)</f>
        <v>0</v>
      </c>
      <c r="T229" s="15">
        <f>IF(ISBLANK('Refsz-Emissionen'!U125), "", 'Refsz-Emissionen'!U125)</f>
        <v>0</v>
      </c>
      <c r="U229" s="15">
        <f>IF(ISBLANK('Refsz-Emissionen'!V125), "", 'Refsz-Emissionen'!V125)</f>
        <v>0</v>
      </c>
      <c r="V229" s="15">
        <f>IF(ISBLANK('Refsz-Emissionen'!W125), "", 'Refsz-Emissionen'!W125)</f>
        <v>0</v>
      </c>
      <c r="W229" s="15">
        <f>IF(ISBLANK('Refsz-Emissionen'!X125), "", 'Refsz-Emissionen'!X125)</f>
        <v>0</v>
      </c>
    </row>
    <row r="230" spans="2:23" ht="16.5" hidden="1" x14ac:dyDescent="0.45">
      <c r="B230" t="str">
        <f t="shared" si="9"/>
        <v>Pendeln - PKW (alle Antriebsarten)</v>
      </c>
      <c r="C230" t="s">
        <v>208</v>
      </c>
      <c r="D230" s="15">
        <f>IF(ISBLANK('Refsz-Emissionen'!E126), "", 'Refsz-Emissionen'!E126)</f>
        <v>0</v>
      </c>
      <c r="E230" s="15">
        <f>IF(ISBLANK('Refsz-Emissionen'!F126), "", 'Refsz-Emissionen'!F126)</f>
        <v>0</v>
      </c>
      <c r="F230" s="15">
        <f>IF(ISBLANK('Refsz-Emissionen'!G126), "", 'Refsz-Emissionen'!G126)</f>
        <v>0</v>
      </c>
      <c r="G230" s="15">
        <f>IF(ISBLANK('Refsz-Emissionen'!H126), "", 'Refsz-Emissionen'!H126)</f>
        <v>0</v>
      </c>
      <c r="H230" s="15">
        <f>IF(ISBLANK('Refsz-Emissionen'!I126), "", 'Refsz-Emissionen'!I126)</f>
        <v>0</v>
      </c>
      <c r="I230" s="15">
        <f>IF(ISBLANK('Refsz-Emissionen'!J126), "", 'Refsz-Emissionen'!J126)</f>
        <v>0</v>
      </c>
      <c r="J230" s="15">
        <f>IF(ISBLANK('Refsz-Emissionen'!K126), "", 'Refsz-Emissionen'!K126)</f>
        <v>0</v>
      </c>
      <c r="K230" s="15">
        <f>IF(ISBLANK('Refsz-Emissionen'!L126), "", 'Refsz-Emissionen'!L126)</f>
        <v>0</v>
      </c>
      <c r="L230" s="15">
        <f>IF(ISBLANK('Refsz-Emissionen'!M126), "", 'Refsz-Emissionen'!M126)</f>
        <v>0</v>
      </c>
      <c r="M230" s="15">
        <f>IF(ISBLANK('Refsz-Emissionen'!N126), "", 'Refsz-Emissionen'!N126)</f>
        <v>0</v>
      </c>
      <c r="N230" s="15">
        <f>IF(ISBLANK('Refsz-Emissionen'!O126), "", 'Refsz-Emissionen'!O126)</f>
        <v>0</v>
      </c>
      <c r="O230" s="15">
        <f>IF(ISBLANK('Refsz-Emissionen'!P126), "", 'Refsz-Emissionen'!P126)</f>
        <v>0</v>
      </c>
      <c r="P230" s="15">
        <f>IF(ISBLANK('Refsz-Emissionen'!Q126), "", 'Refsz-Emissionen'!Q126)</f>
        <v>0</v>
      </c>
      <c r="Q230" s="15">
        <f>IF(ISBLANK('Refsz-Emissionen'!R126), "", 'Refsz-Emissionen'!R126)</f>
        <v>0</v>
      </c>
      <c r="R230" s="15">
        <f>IF(ISBLANK('Refsz-Emissionen'!S126), "", 'Refsz-Emissionen'!S126)</f>
        <v>0</v>
      </c>
      <c r="S230" s="15">
        <f>IF(ISBLANK('Refsz-Emissionen'!T126), "", 'Refsz-Emissionen'!T126)</f>
        <v>0</v>
      </c>
      <c r="T230" s="15">
        <f>IF(ISBLANK('Refsz-Emissionen'!U126), "", 'Refsz-Emissionen'!U126)</f>
        <v>0</v>
      </c>
      <c r="U230" s="15">
        <f>IF(ISBLANK('Refsz-Emissionen'!V126), "", 'Refsz-Emissionen'!V126)</f>
        <v>0</v>
      </c>
      <c r="V230" s="15">
        <f>IF(ISBLANK('Refsz-Emissionen'!W126), "", 'Refsz-Emissionen'!W126)</f>
        <v>0</v>
      </c>
      <c r="W230" s="15">
        <f>IF(ISBLANK('Refsz-Emissionen'!X126), "", 'Refsz-Emissionen'!X126)</f>
        <v>0</v>
      </c>
    </row>
    <row r="231" spans="2:23" ht="16.5" hidden="1" x14ac:dyDescent="0.45">
      <c r="B231" t="str">
        <f t="shared" si="9"/>
        <v>Pendeln - PKW (Diesel)</v>
      </c>
      <c r="C231" t="s">
        <v>208</v>
      </c>
      <c r="D231" s="15">
        <f>IF(ISBLANK('Refsz-Emissionen'!E127), "", 'Refsz-Emissionen'!E127)</f>
        <v>0</v>
      </c>
      <c r="E231" s="15">
        <f>IF(ISBLANK('Refsz-Emissionen'!F127), "", 'Refsz-Emissionen'!F127)</f>
        <v>0</v>
      </c>
      <c r="F231" s="15">
        <f>IF(ISBLANK('Refsz-Emissionen'!G127), "", 'Refsz-Emissionen'!G127)</f>
        <v>0</v>
      </c>
      <c r="G231" s="15">
        <f>IF(ISBLANK('Refsz-Emissionen'!H127), "", 'Refsz-Emissionen'!H127)</f>
        <v>0</v>
      </c>
      <c r="H231" s="15">
        <f>IF(ISBLANK('Refsz-Emissionen'!I127), "", 'Refsz-Emissionen'!I127)</f>
        <v>0</v>
      </c>
      <c r="I231" s="15">
        <f>IF(ISBLANK('Refsz-Emissionen'!J127), "", 'Refsz-Emissionen'!J127)</f>
        <v>0</v>
      </c>
      <c r="J231" s="15">
        <f>IF(ISBLANK('Refsz-Emissionen'!K127), "", 'Refsz-Emissionen'!K127)</f>
        <v>0</v>
      </c>
      <c r="K231" s="15">
        <f>IF(ISBLANK('Refsz-Emissionen'!L127), "", 'Refsz-Emissionen'!L127)</f>
        <v>0</v>
      </c>
      <c r="L231" s="15">
        <f>IF(ISBLANK('Refsz-Emissionen'!M127), "", 'Refsz-Emissionen'!M127)</f>
        <v>0</v>
      </c>
      <c r="M231" s="15">
        <f>IF(ISBLANK('Refsz-Emissionen'!N127), "", 'Refsz-Emissionen'!N127)</f>
        <v>0</v>
      </c>
      <c r="N231" s="15">
        <f>IF(ISBLANK('Refsz-Emissionen'!O127), "", 'Refsz-Emissionen'!O127)</f>
        <v>0</v>
      </c>
      <c r="O231" s="15">
        <f>IF(ISBLANK('Refsz-Emissionen'!P127), "", 'Refsz-Emissionen'!P127)</f>
        <v>0</v>
      </c>
      <c r="P231" s="15">
        <f>IF(ISBLANK('Refsz-Emissionen'!Q127), "", 'Refsz-Emissionen'!Q127)</f>
        <v>0</v>
      </c>
      <c r="Q231" s="15">
        <f>IF(ISBLANK('Refsz-Emissionen'!R127), "", 'Refsz-Emissionen'!R127)</f>
        <v>0</v>
      </c>
      <c r="R231" s="15">
        <f>IF(ISBLANK('Refsz-Emissionen'!S127), "", 'Refsz-Emissionen'!S127)</f>
        <v>0</v>
      </c>
      <c r="S231" s="15">
        <f>IF(ISBLANK('Refsz-Emissionen'!T127), "", 'Refsz-Emissionen'!T127)</f>
        <v>0</v>
      </c>
      <c r="T231" s="15">
        <f>IF(ISBLANK('Refsz-Emissionen'!U127), "", 'Refsz-Emissionen'!U127)</f>
        <v>0</v>
      </c>
      <c r="U231" s="15">
        <f>IF(ISBLANK('Refsz-Emissionen'!V127), "", 'Refsz-Emissionen'!V127)</f>
        <v>0</v>
      </c>
      <c r="V231" s="15">
        <f>IF(ISBLANK('Refsz-Emissionen'!W127), "", 'Refsz-Emissionen'!W127)</f>
        <v>0</v>
      </c>
      <c r="W231" s="15">
        <f>IF(ISBLANK('Refsz-Emissionen'!X127), "", 'Refsz-Emissionen'!X127)</f>
        <v>0</v>
      </c>
    </row>
    <row r="232" spans="2:23" ht="16.5" hidden="1" x14ac:dyDescent="0.45">
      <c r="B232" t="str">
        <f t="shared" si="9"/>
        <v>Pendeln - PKW (Benzin)</v>
      </c>
      <c r="C232" t="s">
        <v>208</v>
      </c>
      <c r="D232" s="15">
        <f>IF(ISBLANK('Refsz-Emissionen'!E128), "", 'Refsz-Emissionen'!E128)</f>
        <v>0</v>
      </c>
      <c r="E232" s="15">
        <f>IF(ISBLANK('Refsz-Emissionen'!F128), "", 'Refsz-Emissionen'!F128)</f>
        <v>0</v>
      </c>
      <c r="F232" s="15">
        <f>IF(ISBLANK('Refsz-Emissionen'!G128), "", 'Refsz-Emissionen'!G128)</f>
        <v>0</v>
      </c>
      <c r="G232" s="15">
        <f>IF(ISBLANK('Refsz-Emissionen'!H128), "", 'Refsz-Emissionen'!H128)</f>
        <v>0</v>
      </c>
      <c r="H232" s="15">
        <f>IF(ISBLANK('Refsz-Emissionen'!I128), "", 'Refsz-Emissionen'!I128)</f>
        <v>0</v>
      </c>
      <c r="I232" s="15">
        <f>IF(ISBLANK('Refsz-Emissionen'!J128), "", 'Refsz-Emissionen'!J128)</f>
        <v>0</v>
      </c>
      <c r="J232" s="15">
        <f>IF(ISBLANK('Refsz-Emissionen'!K128), "", 'Refsz-Emissionen'!K128)</f>
        <v>0</v>
      </c>
      <c r="K232" s="15">
        <f>IF(ISBLANK('Refsz-Emissionen'!L128), "", 'Refsz-Emissionen'!L128)</f>
        <v>0</v>
      </c>
      <c r="L232" s="15">
        <f>IF(ISBLANK('Refsz-Emissionen'!M128), "", 'Refsz-Emissionen'!M128)</f>
        <v>0</v>
      </c>
      <c r="M232" s="15">
        <f>IF(ISBLANK('Refsz-Emissionen'!N128), "", 'Refsz-Emissionen'!N128)</f>
        <v>0</v>
      </c>
      <c r="N232" s="15">
        <f>IF(ISBLANK('Refsz-Emissionen'!O128), "", 'Refsz-Emissionen'!O128)</f>
        <v>0</v>
      </c>
      <c r="O232" s="15">
        <f>IF(ISBLANK('Refsz-Emissionen'!P128), "", 'Refsz-Emissionen'!P128)</f>
        <v>0</v>
      </c>
      <c r="P232" s="15">
        <f>IF(ISBLANK('Refsz-Emissionen'!Q128), "", 'Refsz-Emissionen'!Q128)</f>
        <v>0</v>
      </c>
      <c r="Q232" s="15">
        <f>IF(ISBLANK('Refsz-Emissionen'!R128), "", 'Refsz-Emissionen'!R128)</f>
        <v>0</v>
      </c>
      <c r="R232" s="15">
        <f>IF(ISBLANK('Refsz-Emissionen'!S128), "", 'Refsz-Emissionen'!S128)</f>
        <v>0</v>
      </c>
      <c r="S232" s="15">
        <f>IF(ISBLANK('Refsz-Emissionen'!T128), "", 'Refsz-Emissionen'!T128)</f>
        <v>0</v>
      </c>
      <c r="T232" s="15">
        <f>IF(ISBLANK('Refsz-Emissionen'!U128), "", 'Refsz-Emissionen'!U128)</f>
        <v>0</v>
      </c>
      <c r="U232" s="15">
        <f>IF(ISBLANK('Refsz-Emissionen'!V128), "", 'Refsz-Emissionen'!V128)</f>
        <v>0</v>
      </c>
      <c r="V232" s="15">
        <f>IF(ISBLANK('Refsz-Emissionen'!W128), "", 'Refsz-Emissionen'!W128)</f>
        <v>0</v>
      </c>
      <c r="W232" s="15">
        <f>IF(ISBLANK('Refsz-Emissionen'!X128), "", 'Refsz-Emissionen'!X128)</f>
        <v>0</v>
      </c>
    </row>
    <row r="233" spans="2:23" ht="16.5" hidden="1" x14ac:dyDescent="0.45">
      <c r="B233" t="str">
        <f t="shared" si="9"/>
        <v>Pendeln - PKW (E-Auto/ BEV)</v>
      </c>
      <c r="C233" t="s">
        <v>208</v>
      </c>
      <c r="D233" s="15">
        <f>IF(ISBLANK('Refsz-Emissionen'!E129), "", 'Refsz-Emissionen'!E129)</f>
        <v>0</v>
      </c>
      <c r="E233" s="15">
        <f>IF(ISBLANK('Refsz-Emissionen'!F129), "", 'Refsz-Emissionen'!F129)</f>
        <v>0</v>
      </c>
      <c r="F233" s="15">
        <f>IF(ISBLANK('Refsz-Emissionen'!G129), "", 'Refsz-Emissionen'!G129)</f>
        <v>0</v>
      </c>
      <c r="G233" s="15">
        <f>IF(ISBLANK('Refsz-Emissionen'!H129), "", 'Refsz-Emissionen'!H129)</f>
        <v>0</v>
      </c>
      <c r="H233" s="15">
        <f>IF(ISBLANK('Refsz-Emissionen'!I129), "", 'Refsz-Emissionen'!I129)</f>
        <v>0</v>
      </c>
      <c r="I233" s="15">
        <f>IF(ISBLANK('Refsz-Emissionen'!J129), "", 'Refsz-Emissionen'!J129)</f>
        <v>0</v>
      </c>
      <c r="J233" s="15">
        <f>IF(ISBLANK('Refsz-Emissionen'!K129), "", 'Refsz-Emissionen'!K129)</f>
        <v>0</v>
      </c>
      <c r="K233" s="15">
        <f>IF(ISBLANK('Refsz-Emissionen'!L129), "", 'Refsz-Emissionen'!L129)</f>
        <v>0</v>
      </c>
      <c r="L233" s="15">
        <f>IF(ISBLANK('Refsz-Emissionen'!M129), "", 'Refsz-Emissionen'!M129)</f>
        <v>0</v>
      </c>
      <c r="M233" s="15">
        <f>IF(ISBLANK('Refsz-Emissionen'!N129), "", 'Refsz-Emissionen'!N129)</f>
        <v>0</v>
      </c>
      <c r="N233" s="15">
        <f>IF(ISBLANK('Refsz-Emissionen'!O129), "", 'Refsz-Emissionen'!O129)</f>
        <v>0</v>
      </c>
      <c r="O233" s="15">
        <f>IF(ISBLANK('Refsz-Emissionen'!P129), "", 'Refsz-Emissionen'!P129)</f>
        <v>0</v>
      </c>
      <c r="P233" s="15">
        <f>IF(ISBLANK('Refsz-Emissionen'!Q129), "", 'Refsz-Emissionen'!Q129)</f>
        <v>0</v>
      </c>
      <c r="Q233" s="15">
        <f>IF(ISBLANK('Refsz-Emissionen'!R129), "", 'Refsz-Emissionen'!R129)</f>
        <v>0</v>
      </c>
      <c r="R233" s="15">
        <f>IF(ISBLANK('Refsz-Emissionen'!S129), "", 'Refsz-Emissionen'!S129)</f>
        <v>0</v>
      </c>
      <c r="S233" s="15">
        <f>IF(ISBLANK('Refsz-Emissionen'!T129), "", 'Refsz-Emissionen'!T129)</f>
        <v>0</v>
      </c>
      <c r="T233" s="15">
        <f>IF(ISBLANK('Refsz-Emissionen'!U129), "", 'Refsz-Emissionen'!U129)</f>
        <v>0</v>
      </c>
      <c r="U233" s="15">
        <f>IF(ISBLANK('Refsz-Emissionen'!V129), "", 'Refsz-Emissionen'!V129)</f>
        <v>0</v>
      </c>
      <c r="V233" s="15">
        <f>IF(ISBLANK('Refsz-Emissionen'!W129), "", 'Refsz-Emissionen'!W129)</f>
        <v>0</v>
      </c>
      <c r="W233" s="15">
        <f>IF(ISBLANK('Refsz-Emissionen'!X129), "", 'Refsz-Emissionen'!X129)</f>
        <v>0</v>
      </c>
    </row>
    <row r="234" spans="2:23" ht="16.5" hidden="1" x14ac:dyDescent="0.45">
      <c r="B234" t="str">
        <f t="shared" si="9"/>
        <v>Pendeln - PKW (Wasserstoff/ FCEV)</v>
      </c>
      <c r="C234" t="s">
        <v>208</v>
      </c>
      <c r="D234" s="15">
        <f>IF(ISBLANK('Refsz-Emissionen'!E130), "", 'Refsz-Emissionen'!E130)</f>
        <v>0</v>
      </c>
      <c r="E234" s="15">
        <f>IF(ISBLANK('Refsz-Emissionen'!F130), "", 'Refsz-Emissionen'!F130)</f>
        <v>0</v>
      </c>
      <c r="F234" s="15">
        <f>IF(ISBLANK('Refsz-Emissionen'!G130), "", 'Refsz-Emissionen'!G130)</f>
        <v>0</v>
      </c>
      <c r="G234" s="15">
        <f>IF(ISBLANK('Refsz-Emissionen'!H130), "", 'Refsz-Emissionen'!H130)</f>
        <v>0</v>
      </c>
      <c r="H234" s="15">
        <f>IF(ISBLANK('Refsz-Emissionen'!I130), "", 'Refsz-Emissionen'!I130)</f>
        <v>0</v>
      </c>
      <c r="I234" s="15">
        <f>IF(ISBLANK('Refsz-Emissionen'!J130), "", 'Refsz-Emissionen'!J130)</f>
        <v>0</v>
      </c>
      <c r="J234" s="15">
        <f>IF(ISBLANK('Refsz-Emissionen'!K130), "", 'Refsz-Emissionen'!K130)</f>
        <v>0</v>
      </c>
      <c r="K234" s="15">
        <f>IF(ISBLANK('Refsz-Emissionen'!L130), "", 'Refsz-Emissionen'!L130)</f>
        <v>0</v>
      </c>
      <c r="L234" s="15">
        <f>IF(ISBLANK('Refsz-Emissionen'!M130), "", 'Refsz-Emissionen'!M130)</f>
        <v>0</v>
      </c>
      <c r="M234" s="15">
        <f>IF(ISBLANK('Refsz-Emissionen'!N130), "", 'Refsz-Emissionen'!N130)</f>
        <v>0</v>
      </c>
      <c r="N234" s="15">
        <f>IF(ISBLANK('Refsz-Emissionen'!O130), "", 'Refsz-Emissionen'!O130)</f>
        <v>0</v>
      </c>
      <c r="O234" s="15">
        <f>IF(ISBLANK('Refsz-Emissionen'!P130), "", 'Refsz-Emissionen'!P130)</f>
        <v>0</v>
      </c>
      <c r="P234" s="15">
        <f>IF(ISBLANK('Refsz-Emissionen'!Q130), "", 'Refsz-Emissionen'!Q130)</f>
        <v>0</v>
      </c>
      <c r="Q234" s="15">
        <f>IF(ISBLANK('Refsz-Emissionen'!R130), "", 'Refsz-Emissionen'!R130)</f>
        <v>0</v>
      </c>
      <c r="R234" s="15">
        <f>IF(ISBLANK('Refsz-Emissionen'!S130), "", 'Refsz-Emissionen'!S130)</f>
        <v>0</v>
      </c>
      <c r="S234" s="15">
        <f>IF(ISBLANK('Refsz-Emissionen'!T130), "", 'Refsz-Emissionen'!T130)</f>
        <v>0</v>
      </c>
      <c r="T234" s="15">
        <f>IF(ISBLANK('Refsz-Emissionen'!U130), "", 'Refsz-Emissionen'!U130)</f>
        <v>0</v>
      </c>
      <c r="U234" s="15">
        <f>IF(ISBLANK('Refsz-Emissionen'!V130), "", 'Refsz-Emissionen'!V130)</f>
        <v>0</v>
      </c>
      <c r="V234" s="15">
        <f>IF(ISBLANK('Refsz-Emissionen'!W130), "", 'Refsz-Emissionen'!W130)</f>
        <v>0</v>
      </c>
      <c r="W234" s="15">
        <f>IF(ISBLANK('Refsz-Emissionen'!X130), "", 'Refsz-Emissionen'!X130)</f>
        <v>0</v>
      </c>
    </row>
    <row r="235" spans="2:23" ht="16.5" hidden="1" x14ac:dyDescent="0.45">
      <c r="B235" t="str">
        <f t="shared" si="9"/>
        <v>Pendeln - PKW (CNG)</v>
      </c>
      <c r="C235" t="s">
        <v>208</v>
      </c>
      <c r="D235" s="15">
        <f>IF(ISBLANK('Refsz-Emissionen'!E133), "", 'Refsz-Emissionen'!E133)</f>
        <v>0</v>
      </c>
      <c r="E235" s="15">
        <f>IF(ISBLANK('Refsz-Emissionen'!F133), "", 'Refsz-Emissionen'!F133)</f>
        <v>0</v>
      </c>
      <c r="F235" s="15">
        <f>IF(ISBLANK('Refsz-Emissionen'!G133), "", 'Refsz-Emissionen'!G133)</f>
        <v>0</v>
      </c>
      <c r="G235" s="15">
        <f>IF(ISBLANK('Refsz-Emissionen'!H133), "", 'Refsz-Emissionen'!H133)</f>
        <v>0</v>
      </c>
      <c r="H235" s="15">
        <f>IF(ISBLANK('Refsz-Emissionen'!I133), "", 'Refsz-Emissionen'!I133)</f>
        <v>0</v>
      </c>
      <c r="I235" s="15">
        <f>IF(ISBLANK('Refsz-Emissionen'!J133), "", 'Refsz-Emissionen'!J133)</f>
        <v>0</v>
      </c>
      <c r="J235" s="15">
        <f>IF(ISBLANK('Refsz-Emissionen'!K133), "", 'Refsz-Emissionen'!K133)</f>
        <v>0</v>
      </c>
      <c r="K235" s="15">
        <f>IF(ISBLANK('Refsz-Emissionen'!L133), "", 'Refsz-Emissionen'!L133)</f>
        <v>0</v>
      </c>
      <c r="L235" s="15">
        <f>IF(ISBLANK('Refsz-Emissionen'!M133), "", 'Refsz-Emissionen'!M133)</f>
        <v>0</v>
      </c>
      <c r="M235" s="15">
        <f>IF(ISBLANK('Refsz-Emissionen'!N133), "", 'Refsz-Emissionen'!N133)</f>
        <v>0</v>
      </c>
      <c r="N235" s="15">
        <f>IF(ISBLANK('Refsz-Emissionen'!O133), "", 'Refsz-Emissionen'!O133)</f>
        <v>0</v>
      </c>
      <c r="O235" s="15">
        <f>IF(ISBLANK('Refsz-Emissionen'!P133), "", 'Refsz-Emissionen'!P133)</f>
        <v>0</v>
      </c>
      <c r="P235" s="15">
        <f>IF(ISBLANK('Refsz-Emissionen'!Q133), "", 'Refsz-Emissionen'!Q133)</f>
        <v>0</v>
      </c>
      <c r="Q235" s="15">
        <f>IF(ISBLANK('Refsz-Emissionen'!R133), "", 'Refsz-Emissionen'!R133)</f>
        <v>0</v>
      </c>
      <c r="R235" s="15">
        <f>IF(ISBLANK('Refsz-Emissionen'!S133), "", 'Refsz-Emissionen'!S133)</f>
        <v>0</v>
      </c>
      <c r="S235" s="15">
        <f>IF(ISBLANK('Refsz-Emissionen'!T133), "", 'Refsz-Emissionen'!T133)</f>
        <v>0</v>
      </c>
      <c r="T235" s="15">
        <f>IF(ISBLANK('Refsz-Emissionen'!U133), "", 'Refsz-Emissionen'!U133)</f>
        <v>0</v>
      </c>
      <c r="U235" s="15">
        <f>IF(ISBLANK('Refsz-Emissionen'!V133), "", 'Refsz-Emissionen'!V133)</f>
        <v>0</v>
      </c>
      <c r="V235" s="15">
        <f>IF(ISBLANK('Refsz-Emissionen'!W133), "", 'Refsz-Emissionen'!W133)</f>
        <v>0</v>
      </c>
      <c r="W235" s="15">
        <f>IF(ISBLANK('Refsz-Emissionen'!X133), "", 'Refsz-Emissionen'!X133)</f>
        <v>0</v>
      </c>
    </row>
    <row r="236" spans="2:23" ht="16.5" hidden="1" x14ac:dyDescent="0.45">
      <c r="B236" t="str">
        <f t="shared" si="9"/>
        <v>Pendeln - Fahrrad</v>
      </c>
      <c r="C236" t="s">
        <v>208</v>
      </c>
      <c r="D236" s="15">
        <f>IF(ISBLANK('Refsz-Emissionen'!E134), "", 'Refsz-Emissionen'!E134)</f>
        <v>0</v>
      </c>
      <c r="E236" s="15">
        <f>IF(ISBLANK('Refsz-Emissionen'!F134), "", 'Refsz-Emissionen'!F134)</f>
        <v>0</v>
      </c>
      <c r="F236" s="15">
        <f>IF(ISBLANK('Refsz-Emissionen'!G134), "", 'Refsz-Emissionen'!G134)</f>
        <v>0</v>
      </c>
      <c r="G236" s="15">
        <f>IF(ISBLANK('Refsz-Emissionen'!H134), "", 'Refsz-Emissionen'!H134)</f>
        <v>0</v>
      </c>
      <c r="H236" s="15">
        <f>IF(ISBLANK('Refsz-Emissionen'!I134), "", 'Refsz-Emissionen'!I134)</f>
        <v>0</v>
      </c>
      <c r="I236" s="15">
        <f>IF(ISBLANK('Refsz-Emissionen'!J134), "", 'Refsz-Emissionen'!J134)</f>
        <v>0</v>
      </c>
      <c r="J236" s="15">
        <f>IF(ISBLANK('Refsz-Emissionen'!K134), "", 'Refsz-Emissionen'!K134)</f>
        <v>0</v>
      </c>
      <c r="K236" s="15">
        <f>IF(ISBLANK('Refsz-Emissionen'!L134), "", 'Refsz-Emissionen'!L134)</f>
        <v>0</v>
      </c>
      <c r="L236" s="15">
        <f>IF(ISBLANK('Refsz-Emissionen'!M134), "", 'Refsz-Emissionen'!M134)</f>
        <v>0</v>
      </c>
      <c r="M236" s="15">
        <f>IF(ISBLANK('Refsz-Emissionen'!N134), "", 'Refsz-Emissionen'!N134)</f>
        <v>0</v>
      </c>
      <c r="N236" s="15">
        <f>IF(ISBLANK('Refsz-Emissionen'!O134), "", 'Refsz-Emissionen'!O134)</f>
        <v>0</v>
      </c>
      <c r="O236" s="15">
        <f>IF(ISBLANK('Refsz-Emissionen'!P134), "", 'Refsz-Emissionen'!P134)</f>
        <v>0</v>
      </c>
      <c r="P236" s="15">
        <f>IF(ISBLANK('Refsz-Emissionen'!Q134), "", 'Refsz-Emissionen'!Q134)</f>
        <v>0</v>
      </c>
      <c r="Q236" s="15">
        <f>IF(ISBLANK('Refsz-Emissionen'!R134), "", 'Refsz-Emissionen'!R134)</f>
        <v>0</v>
      </c>
      <c r="R236" s="15">
        <f>IF(ISBLANK('Refsz-Emissionen'!S134), "", 'Refsz-Emissionen'!S134)</f>
        <v>0</v>
      </c>
      <c r="S236" s="15">
        <f>IF(ISBLANK('Refsz-Emissionen'!T134), "", 'Refsz-Emissionen'!T134)</f>
        <v>0</v>
      </c>
      <c r="T236" s="15">
        <f>IF(ISBLANK('Refsz-Emissionen'!U134), "", 'Refsz-Emissionen'!U134)</f>
        <v>0</v>
      </c>
      <c r="U236" s="15">
        <f>IF(ISBLANK('Refsz-Emissionen'!V134), "", 'Refsz-Emissionen'!V134)</f>
        <v>0</v>
      </c>
      <c r="V236" s="15">
        <f>IF(ISBLANK('Refsz-Emissionen'!W134), "", 'Refsz-Emissionen'!W134)</f>
        <v>0</v>
      </c>
      <c r="W236" s="15">
        <f>IF(ISBLANK('Refsz-Emissionen'!X134), "", 'Refsz-Emissionen'!X134)</f>
        <v>0</v>
      </c>
    </row>
    <row r="237" spans="2:23" ht="16.5" hidden="1" x14ac:dyDescent="0.45">
      <c r="B237" t="str">
        <f t="shared" si="9"/>
        <v>Pendeln - zu Fuß</v>
      </c>
      <c r="C237" t="s">
        <v>208</v>
      </c>
      <c r="D237" s="15">
        <f>IF(ISBLANK('Refsz-Emissionen'!E136), "", 'Refsz-Emissionen'!E136)</f>
        <v>0</v>
      </c>
      <c r="E237" s="15">
        <f>IF(ISBLANK('Refsz-Emissionen'!F136), "", 'Refsz-Emissionen'!F136)</f>
        <v>0</v>
      </c>
      <c r="F237" s="15">
        <f>IF(ISBLANK('Refsz-Emissionen'!G136), "", 'Refsz-Emissionen'!G136)</f>
        <v>0</v>
      </c>
      <c r="G237" s="15">
        <f>IF(ISBLANK('Refsz-Emissionen'!H136), "", 'Refsz-Emissionen'!H136)</f>
        <v>0</v>
      </c>
      <c r="H237" s="15">
        <f>IF(ISBLANK('Refsz-Emissionen'!I136), "", 'Refsz-Emissionen'!I136)</f>
        <v>0</v>
      </c>
      <c r="I237" s="15">
        <f>IF(ISBLANK('Refsz-Emissionen'!J136), "", 'Refsz-Emissionen'!J136)</f>
        <v>0</v>
      </c>
      <c r="J237" s="15">
        <f>IF(ISBLANK('Refsz-Emissionen'!K136), "", 'Refsz-Emissionen'!K136)</f>
        <v>0</v>
      </c>
      <c r="K237" s="15">
        <f>IF(ISBLANK('Refsz-Emissionen'!L136), "", 'Refsz-Emissionen'!L136)</f>
        <v>0</v>
      </c>
      <c r="L237" s="15">
        <f>IF(ISBLANK('Refsz-Emissionen'!M136), "", 'Refsz-Emissionen'!M136)</f>
        <v>0</v>
      </c>
      <c r="M237" s="15">
        <f>IF(ISBLANK('Refsz-Emissionen'!N136), "", 'Refsz-Emissionen'!N136)</f>
        <v>0</v>
      </c>
      <c r="N237" s="15">
        <f>IF(ISBLANK('Refsz-Emissionen'!O136), "", 'Refsz-Emissionen'!O136)</f>
        <v>0</v>
      </c>
      <c r="O237" s="15">
        <f>IF(ISBLANK('Refsz-Emissionen'!P136), "", 'Refsz-Emissionen'!P136)</f>
        <v>0</v>
      </c>
      <c r="P237" s="15">
        <f>IF(ISBLANK('Refsz-Emissionen'!Q136), "", 'Refsz-Emissionen'!Q136)</f>
        <v>0</v>
      </c>
      <c r="Q237" s="15">
        <f>IF(ISBLANK('Refsz-Emissionen'!R136), "", 'Refsz-Emissionen'!R136)</f>
        <v>0</v>
      </c>
      <c r="R237" s="15">
        <f>IF(ISBLANK('Refsz-Emissionen'!S136), "", 'Refsz-Emissionen'!S136)</f>
        <v>0</v>
      </c>
      <c r="S237" s="15">
        <f>IF(ISBLANK('Refsz-Emissionen'!T136), "", 'Refsz-Emissionen'!T136)</f>
        <v>0</v>
      </c>
      <c r="T237" s="15">
        <f>IF(ISBLANK('Refsz-Emissionen'!U136), "", 'Refsz-Emissionen'!U136)</f>
        <v>0</v>
      </c>
      <c r="U237" s="15">
        <f>IF(ISBLANK('Refsz-Emissionen'!V136), "", 'Refsz-Emissionen'!V136)</f>
        <v>0</v>
      </c>
      <c r="V237" s="15">
        <f>IF(ISBLANK('Refsz-Emissionen'!W136), "", 'Refsz-Emissionen'!W136)</f>
        <v>0</v>
      </c>
      <c r="W237" s="15">
        <f>IF(ISBLANK('Refsz-Emissionen'!X136), "", 'Refsz-Emissionen'!X136)</f>
        <v>0</v>
      </c>
    </row>
    <row r="238" spans="2:23" ht="16.5" hidden="1" x14ac:dyDescent="0.45">
      <c r="B238" t="str">
        <f t="shared" si="9"/>
        <v>Studierendenreisen (Incoming) - Flugreisen</v>
      </c>
      <c r="C238" t="s">
        <v>208</v>
      </c>
      <c r="D238" s="15">
        <f>IF(ISBLANK('Refsz-Emissionen'!E138), "", 'Refsz-Emissionen'!E138)</f>
        <v>0</v>
      </c>
      <c r="E238" s="15">
        <f>IF(ISBLANK('Refsz-Emissionen'!F138), "", 'Refsz-Emissionen'!F138)</f>
        <v>0</v>
      </c>
      <c r="F238" s="15">
        <f>IF(ISBLANK('Refsz-Emissionen'!G138), "", 'Refsz-Emissionen'!G138)</f>
        <v>0</v>
      </c>
      <c r="G238" s="15">
        <f>IF(ISBLANK('Refsz-Emissionen'!H138), "", 'Refsz-Emissionen'!H138)</f>
        <v>0</v>
      </c>
      <c r="H238" s="15">
        <f>IF(ISBLANK('Refsz-Emissionen'!I138), "", 'Refsz-Emissionen'!I138)</f>
        <v>0</v>
      </c>
      <c r="I238" s="15">
        <f>IF(ISBLANK('Refsz-Emissionen'!J138), "", 'Refsz-Emissionen'!J138)</f>
        <v>0</v>
      </c>
      <c r="J238" s="15">
        <f>IF(ISBLANK('Refsz-Emissionen'!K138), "", 'Refsz-Emissionen'!K138)</f>
        <v>0</v>
      </c>
      <c r="K238" s="15">
        <f>IF(ISBLANK('Refsz-Emissionen'!L138), "", 'Refsz-Emissionen'!L138)</f>
        <v>0</v>
      </c>
      <c r="L238" s="15">
        <f>IF(ISBLANK('Refsz-Emissionen'!M138), "", 'Refsz-Emissionen'!M138)</f>
        <v>0</v>
      </c>
      <c r="M238" s="15">
        <f>IF(ISBLANK('Refsz-Emissionen'!N138), "", 'Refsz-Emissionen'!N138)</f>
        <v>0</v>
      </c>
      <c r="N238" s="15">
        <f>IF(ISBLANK('Refsz-Emissionen'!O138), "", 'Refsz-Emissionen'!O138)</f>
        <v>0</v>
      </c>
      <c r="O238" s="15">
        <f>IF(ISBLANK('Refsz-Emissionen'!P138), "", 'Refsz-Emissionen'!P138)</f>
        <v>0</v>
      </c>
      <c r="P238" s="15">
        <f>IF(ISBLANK('Refsz-Emissionen'!Q138), "", 'Refsz-Emissionen'!Q138)</f>
        <v>0</v>
      </c>
      <c r="Q238" s="15">
        <f>IF(ISBLANK('Refsz-Emissionen'!R138), "", 'Refsz-Emissionen'!R138)</f>
        <v>0</v>
      </c>
      <c r="R238" s="15">
        <f>IF(ISBLANK('Refsz-Emissionen'!S138), "", 'Refsz-Emissionen'!S138)</f>
        <v>0</v>
      </c>
      <c r="S238" s="15">
        <f>IF(ISBLANK('Refsz-Emissionen'!T138), "", 'Refsz-Emissionen'!T138)</f>
        <v>0</v>
      </c>
      <c r="T238" s="15">
        <f>IF(ISBLANK('Refsz-Emissionen'!U138), "", 'Refsz-Emissionen'!U138)</f>
        <v>0</v>
      </c>
      <c r="U238" s="15">
        <f>IF(ISBLANK('Refsz-Emissionen'!V138), "", 'Refsz-Emissionen'!V138)</f>
        <v>0</v>
      </c>
      <c r="V238" s="15">
        <f>IF(ISBLANK('Refsz-Emissionen'!W138), "", 'Refsz-Emissionen'!W138)</f>
        <v>0</v>
      </c>
      <c r="W238" s="15">
        <f>IF(ISBLANK('Refsz-Emissionen'!X138), "", 'Refsz-Emissionen'!X138)</f>
        <v>0</v>
      </c>
    </row>
    <row r="239" spans="2:23" ht="16.5" hidden="1" x14ac:dyDescent="0.45">
      <c r="B239" t="str">
        <f t="shared" si="9"/>
        <v>Studierendenreisen (Incoming) - Eisenbahn (Nahverkehr)</v>
      </c>
      <c r="C239" t="s">
        <v>208</v>
      </c>
      <c r="D239" s="15">
        <f>IF(ISBLANK('Refsz-Emissionen'!E139), "", 'Refsz-Emissionen'!E139)</f>
        <v>0</v>
      </c>
      <c r="E239" s="15">
        <f>IF(ISBLANK('Refsz-Emissionen'!F139), "", 'Refsz-Emissionen'!F139)</f>
        <v>0</v>
      </c>
      <c r="F239" s="15">
        <f>IF(ISBLANK('Refsz-Emissionen'!G139), "", 'Refsz-Emissionen'!G139)</f>
        <v>0</v>
      </c>
      <c r="G239" s="15">
        <f>IF(ISBLANK('Refsz-Emissionen'!H139), "", 'Refsz-Emissionen'!H139)</f>
        <v>0</v>
      </c>
      <c r="H239" s="15">
        <f>IF(ISBLANK('Refsz-Emissionen'!I139), "", 'Refsz-Emissionen'!I139)</f>
        <v>0</v>
      </c>
      <c r="I239" s="15">
        <f>IF(ISBLANK('Refsz-Emissionen'!J139), "", 'Refsz-Emissionen'!J139)</f>
        <v>0</v>
      </c>
      <c r="J239" s="15">
        <f>IF(ISBLANK('Refsz-Emissionen'!K139), "", 'Refsz-Emissionen'!K139)</f>
        <v>0</v>
      </c>
      <c r="K239" s="15">
        <f>IF(ISBLANK('Refsz-Emissionen'!L139), "", 'Refsz-Emissionen'!L139)</f>
        <v>0</v>
      </c>
      <c r="L239" s="15">
        <f>IF(ISBLANK('Refsz-Emissionen'!M139), "", 'Refsz-Emissionen'!M139)</f>
        <v>0</v>
      </c>
      <c r="M239" s="15">
        <f>IF(ISBLANK('Refsz-Emissionen'!N139), "", 'Refsz-Emissionen'!N139)</f>
        <v>0</v>
      </c>
      <c r="N239" s="15">
        <f>IF(ISBLANK('Refsz-Emissionen'!O139), "", 'Refsz-Emissionen'!O139)</f>
        <v>0</v>
      </c>
      <c r="O239" s="15">
        <f>IF(ISBLANK('Refsz-Emissionen'!P139), "", 'Refsz-Emissionen'!P139)</f>
        <v>0</v>
      </c>
      <c r="P239" s="15">
        <f>IF(ISBLANK('Refsz-Emissionen'!Q139), "", 'Refsz-Emissionen'!Q139)</f>
        <v>0</v>
      </c>
      <c r="Q239" s="15">
        <f>IF(ISBLANK('Refsz-Emissionen'!R139), "", 'Refsz-Emissionen'!R139)</f>
        <v>0</v>
      </c>
      <c r="R239" s="15">
        <f>IF(ISBLANK('Refsz-Emissionen'!S139), "", 'Refsz-Emissionen'!S139)</f>
        <v>0</v>
      </c>
      <c r="S239" s="15">
        <f>IF(ISBLANK('Refsz-Emissionen'!T139), "", 'Refsz-Emissionen'!T139)</f>
        <v>0</v>
      </c>
      <c r="T239" s="15">
        <f>IF(ISBLANK('Refsz-Emissionen'!U139), "", 'Refsz-Emissionen'!U139)</f>
        <v>0</v>
      </c>
      <c r="U239" s="15">
        <f>IF(ISBLANK('Refsz-Emissionen'!V139), "", 'Refsz-Emissionen'!V139)</f>
        <v>0</v>
      </c>
      <c r="V239" s="15">
        <f>IF(ISBLANK('Refsz-Emissionen'!W139), "", 'Refsz-Emissionen'!W139)</f>
        <v>0</v>
      </c>
      <c r="W239" s="15">
        <f>IF(ISBLANK('Refsz-Emissionen'!X139), "", 'Refsz-Emissionen'!X139)</f>
        <v>0</v>
      </c>
    </row>
    <row r="240" spans="2:23" ht="16.5" hidden="1" x14ac:dyDescent="0.45">
      <c r="B240" t="str">
        <f t="shared" si="9"/>
        <v>Studierendenreisen (Incoming) - Privater PKW (alle Antriebsarten)</v>
      </c>
      <c r="C240" t="s">
        <v>208</v>
      </c>
      <c r="D240" s="15">
        <f>IF(ISBLANK('Refsz-Emissionen'!E140), "", 'Refsz-Emissionen'!E140)</f>
        <v>0</v>
      </c>
      <c r="E240" s="15">
        <f>IF(ISBLANK('Refsz-Emissionen'!F140), "", 'Refsz-Emissionen'!F140)</f>
        <v>0</v>
      </c>
      <c r="F240" s="15">
        <f>IF(ISBLANK('Refsz-Emissionen'!G140), "", 'Refsz-Emissionen'!G140)</f>
        <v>0</v>
      </c>
      <c r="G240" s="15">
        <f>IF(ISBLANK('Refsz-Emissionen'!H140), "", 'Refsz-Emissionen'!H140)</f>
        <v>0</v>
      </c>
      <c r="H240" s="15">
        <f>IF(ISBLANK('Refsz-Emissionen'!I140), "", 'Refsz-Emissionen'!I140)</f>
        <v>0</v>
      </c>
      <c r="I240" s="15">
        <f>IF(ISBLANK('Refsz-Emissionen'!J140), "", 'Refsz-Emissionen'!J140)</f>
        <v>0</v>
      </c>
      <c r="J240" s="15">
        <f>IF(ISBLANK('Refsz-Emissionen'!K140), "", 'Refsz-Emissionen'!K140)</f>
        <v>0</v>
      </c>
      <c r="K240" s="15">
        <f>IF(ISBLANK('Refsz-Emissionen'!L140), "", 'Refsz-Emissionen'!L140)</f>
        <v>0</v>
      </c>
      <c r="L240" s="15">
        <f>IF(ISBLANK('Refsz-Emissionen'!M140), "", 'Refsz-Emissionen'!M140)</f>
        <v>0</v>
      </c>
      <c r="M240" s="15">
        <f>IF(ISBLANK('Refsz-Emissionen'!N140), "", 'Refsz-Emissionen'!N140)</f>
        <v>0</v>
      </c>
      <c r="N240" s="15">
        <f>IF(ISBLANK('Refsz-Emissionen'!O140), "", 'Refsz-Emissionen'!O140)</f>
        <v>0</v>
      </c>
      <c r="O240" s="15">
        <f>IF(ISBLANK('Refsz-Emissionen'!P140), "", 'Refsz-Emissionen'!P140)</f>
        <v>0</v>
      </c>
      <c r="P240" s="15">
        <f>IF(ISBLANK('Refsz-Emissionen'!Q140), "", 'Refsz-Emissionen'!Q140)</f>
        <v>0</v>
      </c>
      <c r="Q240" s="15">
        <f>IF(ISBLANK('Refsz-Emissionen'!R140), "", 'Refsz-Emissionen'!R140)</f>
        <v>0</v>
      </c>
      <c r="R240" s="15">
        <f>IF(ISBLANK('Refsz-Emissionen'!S140), "", 'Refsz-Emissionen'!S140)</f>
        <v>0</v>
      </c>
      <c r="S240" s="15">
        <f>IF(ISBLANK('Refsz-Emissionen'!T140), "", 'Refsz-Emissionen'!T140)</f>
        <v>0</v>
      </c>
      <c r="T240" s="15">
        <f>IF(ISBLANK('Refsz-Emissionen'!U140), "", 'Refsz-Emissionen'!U140)</f>
        <v>0</v>
      </c>
      <c r="U240" s="15">
        <f>IF(ISBLANK('Refsz-Emissionen'!V140), "", 'Refsz-Emissionen'!V140)</f>
        <v>0</v>
      </c>
      <c r="V240" s="15">
        <f>IF(ISBLANK('Refsz-Emissionen'!W140), "", 'Refsz-Emissionen'!W140)</f>
        <v>0</v>
      </c>
      <c r="W240" s="15">
        <f>IF(ISBLANK('Refsz-Emissionen'!X140), "", 'Refsz-Emissionen'!X140)</f>
        <v>0</v>
      </c>
    </row>
    <row r="241" spans="2:23" ht="16.5" hidden="1" x14ac:dyDescent="0.45">
      <c r="B241" t="str">
        <f t="shared" si="9"/>
        <v>An- und Abreise von Gästen - Flugreisen</v>
      </c>
      <c r="C241" t="s">
        <v>208</v>
      </c>
      <c r="D241" s="15">
        <f>IF(ISBLANK('Refsz-Emissionen'!E142), "", 'Refsz-Emissionen'!E142)</f>
        <v>0</v>
      </c>
      <c r="E241" s="15">
        <f>IF(ISBLANK('Refsz-Emissionen'!F142), "", 'Refsz-Emissionen'!F142)</f>
        <v>0</v>
      </c>
      <c r="F241" s="15">
        <f>IF(ISBLANK('Refsz-Emissionen'!G142), "", 'Refsz-Emissionen'!G142)</f>
        <v>0</v>
      </c>
      <c r="G241" s="15">
        <f>IF(ISBLANK('Refsz-Emissionen'!H142), "", 'Refsz-Emissionen'!H142)</f>
        <v>0</v>
      </c>
      <c r="H241" s="15">
        <f>IF(ISBLANK('Refsz-Emissionen'!I142), "", 'Refsz-Emissionen'!I142)</f>
        <v>0</v>
      </c>
      <c r="I241" s="15">
        <f>IF(ISBLANK('Refsz-Emissionen'!J142), "", 'Refsz-Emissionen'!J142)</f>
        <v>0</v>
      </c>
      <c r="J241" s="15">
        <f>IF(ISBLANK('Refsz-Emissionen'!K142), "", 'Refsz-Emissionen'!K142)</f>
        <v>0</v>
      </c>
      <c r="K241" s="15">
        <f>IF(ISBLANK('Refsz-Emissionen'!L142), "", 'Refsz-Emissionen'!L142)</f>
        <v>0</v>
      </c>
      <c r="L241" s="15">
        <f>IF(ISBLANK('Refsz-Emissionen'!M142), "", 'Refsz-Emissionen'!M142)</f>
        <v>0</v>
      </c>
      <c r="M241" s="15">
        <f>IF(ISBLANK('Refsz-Emissionen'!N142), "", 'Refsz-Emissionen'!N142)</f>
        <v>0</v>
      </c>
      <c r="N241" s="15">
        <f>IF(ISBLANK('Refsz-Emissionen'!O142), "", 'Refsz-Emissionen'!O142)</f>
        <v>0</v>
      </c>
      <c r="O241" s="15">
        <f>IF(ISBLANK('Refsz-Emissionen'!P142), "", 'Refsz-Emissionen'!P142)</f>
        <v>0</v>
      </c>
      <c r="P241" s="15">
        <f>IF(ISBLANK('Refsz-Emissionen'!Q142), "", 'Refsz-Emissionen'!Q142)</f>
        <v>0</v>
      </c>
      <c r="Q241" s="15">
        <f>IF(ISBLANK('Refsz-Emissionen'!R142), "", 'Refsz-Emissionen'!R142)</f>
        <v>0</v>
      </c>
      <c r="R241" s="15">
        <f>IF(ISBLANK('Refsz-Emissionen'!S142), "", 'Refsz-Emissionen'!S142)</f>
        <v>0</v>
      </c>
      <c r="S241" s="15">
        <f>IF(ISBLANK('Refsz-Emissionen'!T142), "", 'Refsz-Emissionen'!T142)</f>
        <v>0</v>
      </c>
      <c r="T241" s="15">
        <f>IF(ISBLANK('Refsz-Emissionen'!U142), "", 'Refsz-Emissionen'!U142)</f>
        <v>0</v>
      </c>
      <c r="U241" s="15">
        <f>IF(ISBLANK('Refsz-Emissionen'!V142), "", 'Refsz-Emissionen'!V142)</f>
        <v>0</v>
      </c>
      <c r="V241" s="15">
        <f>IF(ISBLANK('Refsz-Emissionen'!W142), "", 'Refsz-Emissionen'!W142)</f>
        <v>0</v>
      </c>
      <c r="W241" s="15">
        <f>IF(ISBLANK('Refsz-Emissionen'!X142), "", 'Refsz-Emissionen'!X142)</f>
        <v>0</v>
      </c>
    </row>
    <row r="242" spans="2:23" ht="16.5" hidden="1" x14ac:dyDescent="0.45">
      <c r="B242" t="str">
        <f t="shared" si="9"/>
        <v>An- und Abreise von Gästen - Eisenbahn (Nahverkehr)</v>
      </c>
      <c r="C242" t="s">
        <v>208</v>
      </c>
      <c r="D242" s="15">
        <f>IF(ISBLANK('Refsz-Emissionen'!E143), "", 'Refsz-Emissionen'!E143)</f>
        <v>0</v>
      </c>
      <c r="E242" s="15">
        <f>IF(ISBLANK('Refsz-Emissionen'!F143), "", 'Refsz-Emissionen'!F143)</f>
        <v>0</v>
      </c>
      <c r="F242" s="15">
        <f>IF(ISBLANK('Refsz-Emissionen'!G143), "", 'Refsz-Emissionen'!G143)</f>
        <v>0</v>
      </c>
      <c r="G242" s="15">
        <f>IF(ISBLANK('Refsz-Emissionen'!H143), "", 'Refsz-Emissionen'!H143)</f>
        <v>0</v>
      </c>
      <c r="H242" s="15">
        <f>IF(ISBLANK('Refsz-Emissionen'!I143), "", 'Refsz-Emissionen'!I143)</f>
        <v>0</v>
      </c>
      <c r="I242" s="15">
        <f>IF(ISBLANK('Refsz-Emissionen'!J143), "", 'Refsz-Emissionen'!J143)</f>
        <v>0</v>
      </c>
      <c r="J242" s="15">
        <f>IF(ISBLANK('Refsz-Emissionen'!K143), "", 'Refsz-Emissionen'!K143)</f>
        <v>0</v>
      </c>
      <c r="K242" s="15">
        <f>IF(ISBLANK('Refsz-Emissionen'!L143), "", 'Refsz-Emissionen'!L143)</f>
        <v>0</v>
      </c>
      <c r="L242" s="15">
        <f>IF(ISBLANK('Refsz-Emissionen'!M143), "", 'Refsz-Emissionen'!M143)</f>
        <v>0</v>
      </c>
      <c r="M242" s="15">
        <f>IF(ISBLANK('Refsz-Emissionen'!N143), "", 'Refsz-Emissionen'!N143)</f>
        <v>0</v>
      </c>
      <c r="N242" s="15">
        <f>IF(ISBLANK('Refsz-Emissionen'!O143), "", 'Refsz-Emissionen'!O143)</f>
        <v>0</v>
      </c>
      <c r="O242" s="15">
        <f>IF(ISBLANK('Refsz-Emissionen'!P143), "", 'Refsz-Emissionen'!P143)</f>
        <v>0</v>
      </c>
      <c r="P242" s="15">
        <f>IF(ISBLANK('Refsz-Emissionen'!Q143), "", 'Refsz-Emissionen'!Q143)</f>
        <v>0</v>
      </c>
      <c r="Q242" s="15">
        <f>IF(ISBLANK('Refsz-Emissionen'!R143), "", 'Refsz-Emissionen'!R143)</f>
        <v>0</v>
      </c>
      <c r="R242" s="15">
        <f>IF(ISBLANK('Refsz-Emissionen'!S143), "", 'Refsz-Emissionen'!S143)</f>
        <v>0</v>
      </c>
      <c r="S242" s="15">
        <f>IF(ISBLANK('Refsz-Emissionen'!T143), "", 'Refsz-Emissionen'!T143)</f>
        <v>0</v>
      </c>
      <c r="T242" s="15">
        <f>IF(ISBLANK('Refsz-Emissionen'!U143), "", 'Refsz-Emissionen'!U143)</f>
        <v>0</v>
      </c>
      <c r="U242" s="15">
        <f>IF(ISBLANK('Refsz-Emissionen'!V143), "", 'Refsz-Emissionen'!V143)</f>
        <v>0</v>
      </c>
      <c r="V242" s="15">
        <f>IF(ISBLANK('Refsz-Emissionen'!W143), "", 'Refsz-Emissionen'!W143)</f>
        <v>0</v>
      </c>
      <c r="W242" s="15">
        <f>IF(ISBLANK('Refsz-Emissionen'!X143), "", 'Refsz-Emissionen'!X143)</f>
        <v>0</v>
      </c>
    </row>
    <row r="243" spans="2:23" ht="16.5" hidden="1" x14ac:dyDescent="0.45">
      <c r="B243" t="str">
        <f t="shared" si="9"/>
        <v>An- und Abreise von Gästen - Privater PKW (alle Antriebsarten)</v>
      </c>
      <c r="C243" t="s">
        <v>208</v>
      </c>
      <c r="D243" s="15">
        <f>IF(ISBLANK('Refsz-Emissionen'!E144), "", 'Refsz-Emissionen'!E144)</f>
        <v>0</v>
      </c>
      <c r="E243" s="15">
        <f>IF(ISBLANK('Refsz-Emissionen'!F144), "", 'Refsz-Emissionen'!F144)</f>
        <v>0</v>
      </c>
      <c r="F243" s="15">
        <f>IF(ISBLANK('Refsz-Emissionen'!G144), "", 'Refsz-Emissionen'!G144)</f>
        <v>0</v>
      </c>
      <c r="G243" s="15">
        <f>IF(ISBLANK('Refsz-Emissionen'!H144), "", 'Refsz-Emissionen'!H144)</f>
        <v>0</v>
      </c>
      <c r="H243" s="15">
        <f>IF(ISBLANK('Refsz-Emissionen'!I144), "", 'Refsz-Emissionen'!I144)</f>
        <v>0</v>
      </c>
      <c r="I243" s="15">
        <f>IF(ISBLANK('Refsz-Emissionen'!J144), "", 'Refsz-Emissionen'!J144)</f>
        <v>0</v>
      </c>
      <c r="J243" s="15">
        <f>IF(ISBLANK('Refsz-Emissionen'!K144), "", 'Refsz-Emissionen'!K144)</f>
        <v>0</v>
      </c>
      <c r="K243" s="15">
        <f>IF(ISBLANK('Refsz-Emissionen'!L144), "", 'Refsz-Emissionen'!L144)</f>
        <v>0</v>
      </c>
      <c r="L243" s="15">
        <f>IF(ISBLANK('Refsz-Emissionen'!M144), "", 'Refsz-Emissionen'!M144)</f>
        <v>0</v>
      </c>
      <c r="M243" s="15">
        <f>IF(ISBLANK('Refsz-Emissionen'!N144), "", 'Refsz-Emissionen'!N144)</f>
        <v>0</v>
      </c>
      <c r="N243" s="15">
        <f>IF(ISBLANK('Refsz-Emissionen'!O144), "", 'Refsz-Emissionen'!O144)</f>
        <v>0</v>
      </c>
      <c r="O243" s="15">
        <f>IF(ISBLANK('Refsz-Emissionen'!P144), "", 'Refsz-Emissionen'!P144)</f>
        <v>0</v>
      </c>
      <c r="P243" s="15">
        <f>IF(ISBLANK('Refsz-Emissionen'!Q144), "", 'Refsz-Emissionen'!Q144)</f>
        <v>0</v>
      </c>
      <c r="Q243" s="15">
        <f>IF(ISBLANK('Refsz-Emissionen'!R144), "", 'Refsz-Emissionen'!R144)</f>
        <v>0</v>
      </c>
      <c r="R243" s="15">
        <f>IF(ISBLANK('Refsz-Emissionen'!S144), "", 'Refsz-Emissionen'!S144)</f>
        <v>0</v>
      </c>
      <c r="S243" s="15">
        <f>IF(ISBLANK('Refsz-Emissionen'!T144), "", 'Refsz-Emissionen'!T144)</f>
        <v>0</v>
      </c>
      <c r="T243" s="15">
        <f>IF(ISBLANK('Refsz-Emissionen'!U144), "", 'Refsz-Emissionen'!U144)</f>
        <v>0</v>
      </c>
      <c r="U243" s="15">
        <f>IF(ISBLANK('Refsz-Emissionen'!V144), "", 'Refsz-Emissionen'!V144)</f>
        <v>0</v>
      </c>
      <c r="V243" s="15">
        <f>IF(ISBLANK('Refsz-Emissionen'!W144), "", 'Refsz-Emissionen'!W144)</f>
        <v>0</v>
      </c>
      <c r="W243" s="15">
        <f>IF(ISBLANK('Refsz-Emissionen'!X144), "", 'Refsz-Emissionen'!X144)</f>
        <v>0</v>
      </c>
    </row>
    <row r="244" spans="2:23" ht="16.5" hidden="1" x14ac:dyDescent="0.45">
      <c r="B244" s="25" t="s">
        <v>43</v>
      </c>
      <c r="C244" s="25" t="s">
        <v>208</v>
      </c>
      <c r="D244" s="15">
        <f>SUBTOTAL(109,Modal_Split_Verkehrsmittel51[2015])</f>
        <v>0</v>
      </c>
      <c r="E244" s="15">
        <f>SUBTOTAL(109,Modal_Split_Verkehrsmittel51[2016])</f>
        <v>0</v>
      </c>
      <c r="F244" s="15">
        <f>SUBTOTAL(109,Modal_Split_Verkehrsmittel51[2017])</f>
        <v>0</v>
      </c>
      <c r="G244" s="15">
        <f>SUBTOTAL(109,Modal_Split_Verkehrsmittel51[2018])</f>
        <v>0</v>
      </c>
      <c r="H244" s="15">
        <f>SUBTOTAL(109,Modal_Split_Verkehrsmittel51[2019])</f>
        <v>0</v>
      </c>
      <c r="I244" s="15">
        <f>SUBTOTAL(109,Modal_Split_Verkehrsmittel51[2020])</f>
        <v>0</v>
      </c>
      <c r="J244" s="15">
        <f>SUBTOTAL(109,Modal_Split_Verkehrsmittel51[2021])</f>
        <v>0</v>
      </c>
      <c r="K244" s="15">
        <f>SUBTOTAL(109,Modal_Split_Verkehrsmittel51[2022])</f>
        <v>0</v>
      </c>
      <c r="L244" s="15">
        <f>SUBTOTAL(109,Modal_Split_Verkehrsmittel51[2023])</f>
        <v>0</v>
      </c>
      <c r="M244" s="15">
        <f>SUBTOTAL(109,Modal_Split_Verkehrsmittel51[2024])</f>
        <v>0</v>
      </c>
      <c r="N244" s="15">
        <f>SUBTOTAL(109,Modal_Split_Verkehrsmittel51[2025])</f>
        <v>0</v>
      </c>
      <c r="O244" s="15">
        <f>SUBTOTAL(109,Modal_Split_Verkehrsmittel51[2026])</f>
        <v>0</v>
      </c>
      <c r="P244" s="15">
        <f>SUBTOTAL(109,Modal_Split_Verkehrsmittel51[2027])</f>
        <v>0</v>
      </c>
      <c r="Q244" s="15">
        <f>SUBTOTAL(109,Modal_Split_Verkehrsmittel51[2028])</f>
        <v>0</v>
      </c>
      <c r="R244" s="15">
        <f>SUBTOTAL(109,Modal_Split_Verkehrsmittel51[2029])</f>
        <v>0</v>
      </c>
      <c r="S244" s="15">
        <f>SUBTOTAL(109,Modal_Split_Verkehrsmittel51[2030])</f>
        <v>0</v>
      </c>
      <c r="T244" s="15">
        <f>SUBTOTAL(109,Modal_Split_Verkehrsmittel51[2035])</f>
        <v>0</v>
      </c>
      <c r="U244" s="15">
        <f>SUBTOTAL(109,Modal_Split_Verkehrsmittel51[2040])</f>
        <v>0</v>
      </c>
      <c r="V244" s="15">
        <f>SUBTOTAL(109,Modal_Split_Verkehrsmittel51[2045])</f>
        <v>0</v>
      </c>
      <c r="W244" s="15">
        <f>SUBTOTAL(109,Modal_Split_Verkehrsmittel51[2050])</f>
        <v>0</v>
      </c>
    </row>
    <row r="246" spans="2:23" ht="15.5" x14ac:dyDescent="0.35">
      <c r="B246" s="6" t="s">
        <v>533</v>
      </c>
    </row>
    <row r="247" spans="2:23" x14ac:dyDescent="0.35">
      <c r="B247" t="s">
        <v>265</v>
      </c>
      <c r="C247" t="s">
        <v>2</v>
      </c>
      <c r="D247" t="s">
        <v>3</v>
      </c>
      <c r="E247" t="s">
        <v>4</v>
      </c>
      <c r="F247" t="s">
        <v>5</v>
      </c>
      <c r="G247" t="s">
        <v>6</v>
      </c>
      <c r="H247" t="s">
        <v>7</v>
      </c>
      <c r="I247" t="s">
        <v>8</v>
      </c>
      <c r="J247" t="s">
        <v>9</v>
      </c>
      <c r="K247" t="s">
        <v>10</v>
      </c>
      <c r="L247" t="s">
        <v>11</v>
      </c>
      <c r="M247" t="s">
        <v>12</v>
      </c>
      <c r="N247" t="s">
        <v>13</v>
      </c>
      <c r="O247" t="s">
        <v>14</v>
      </c>
      <c r="P247" t="s">
        <v>232</v>
      </c>
      <c r="Q247" t="s">
        <v>233</v>
      </c>
      <c r="R247" t="s">
        <v>234</v>
      </c>
      <c r="S247" t="s">
        <v>15</v>
      </c>
      <c r="T247" t="s">
        <v>16</v>
      </c>
      <c r="U247" t="s">
        <v>17</v>
      </c>
      <c r="V247" t="s">
        <v>18</v>
      </c>
      <c r="W247" t="s">
        <v>19</v>
      </c>
    </row>
    <row r="248" spans="2:23" ht="16.5" x14ac:dyDescent="0.45">
      <c r="B248" t="str">
        <f t="shared" ref="B248:B254" si="10">B188</f>
        <v>Fuhrpark</v>
      </c>
      <c r="C248" t="s">
        <v>208</v>
      </c>
      <c r="D248" s="15">
        <f>SUM(D202:D206)</f>
        <v>0</v>
      </c>
      <c r="E248" s="15">
        <f t="shared" ref="E248:W248" si="11">SUM(E202:E206)</f>
        <v>0</v>
      </c>
      <c r="F248" s="15">
        <f t="shared" si="11"/>
        <v>0</v>
      </c>
      <c r="G248" s="15">
        <f t="shared" si="11"/>
        <v>0</v>
      </c>
      <c r="H248" s="15">
        <f t="shared" si="11"/>
        <v>0</v>
      </c>
      <c r="I248" s="15">
        <f t="shared" si="11"/>
        <v>0</v>
      </c>
      <c r="J248" s="15">
        <f t="shared" si="11"/>
        <v>0</v>
      </c>
      <c r="K248" s="15">
        <f t="shared" si="11"/>
        <v>0</v>
      </c>
      <c r="L248" s="15">
        <f t="shared" si="11"/>
        <v>0</v>
      </c>
      <c r="M248" s="15">
        <f t="shared" si="11"/>
        <v>0</v>
      </c>
      <c r="N248" s="15">
        <f t="shared" si="11"/>
        <v>0</v>
      </c>
      <c r="O248" s="15">
        <f t="shared" si="11"/>
        <v>0</v>
      </c>
      <c r="P248" s="15">
        <f t="shared" si="11"/>
        <v>0</v>
      </c>
      <c r="Q248" s="15">
        <f t="shared" si="11"/>
        <v>0</v>
      </c>
      <c r="R248" s="15">
        <f t="shared" si="11"/>
        <v>0</v>
      </c>
      <c r="S248" s="15">
        <f t="shared" si="11"/>
        <v>0</v>
      </c>
      <c r="T248" s="15">
        <f t="shared" si="11"/>
        <v>0</v>
      </c>
      <c r="U248" s="15">
        <f t="shared" si="11"/>
        <v>0</v>
      </c>
      <c r="V248" s="15">
        <f t="shared" si="11"/>
        <v>0</v>
      </c>
      <c r="W248" s="15">
        <f t="shared" si="11"/>
        <v>0</v>
      </c>
    </row>
    <row r="249" spans="2:23" ht="16.5" x14ac:dyDescent="0.45">
      <c r="B249" t="str">
        <f t="shared" si="10"/>
        <v>DR</v>
      </c>
      <c r="C249" t="s">
        <v>208</v>
      </c>
      <c r="D249" s="15">
        <f>SUM(D207:D220)</f>
        <v>0</v>
      </c>
      <c r="E249" s="15">
        <f t="shared" ref="E249:W249" si="12">SUM(E207:E220)</f>
        <v>0</v>
      </c>
      <c r="F249" s="15">
        <f t="shared" si="12"/>
        <v>0</v>
      </c>
      <c r="G249" s="15">
        <f t="shared" si="12"/>
        <v>0</v>
      </c>
      <c r="H249" s="15">
        <f t="shared" si="12"/>
        <v>0</v>
      </c>
      <c r="I249" s="15">
        <f t="shared" si="12"/>
        <v>0</v>
      </c>
      <c r="J249" s="15">
        <f t="shared" si="12"/>
        <v>0</v>
      </c>
      <c r="K249" s="15">
        <f t="shared" si="12"/>
        <v>0</v>
      </c>
      <c r="L249" s="15">
        <f t="shared" si="12"/>
        <v>0</v>
      </c>
      <c r="M249" s="15">
        <f t="shared" si="12"/>
        <v>0</v>
      </c>
      <c r="N249" s="15">
        <f t="shared" si="12"/>
        <v>0</v>
      </c>
      <c r="O249" s="15">
        <f t="shared" si="12"/>
        <v>0</v>
      </c>
      <c r="P249" s="15">
        <f t="shared" si="12"/>
        <v>0</v>
      </c>
      <c r="Q249" s="15">
        <f t="shared" si="12"/>
        <v>0</v>
      </c>
      <c r="R249" s="15">
        <f t="shared" si="12"/>
        <v>0</v>
      </c>
      <c r="S249" s="15">
        <f t="shared" si="12"/>
        <v>0</v>
      </c>
      <c r="T249" s="15">
        <f t="shared" si="12"/>
        <v>0</v>
      </c>
      <c r="U249" s="15">
        <f t="shared" si="12"/>
        <v>0</v>
      </c>
      <c r="V249" s="15">
        <f t="shared" si="12"/>
        <v>0</v>
      </c>
      <c r="W249" s="15">
        <f t="shared" si="12"/>
        <v>0</v>
      </c>
    </row>
    <row r="250" spans="2:23" ht="16.5" x14ac:dyDescent="0.45">
      <c r="B250" t="str">
        <f t="shared" si="10"/>
        <v>Studierendenreisen (Outgoing)</v>
      </c>
      <c r="C250" t="s">
        <v>208</v>
      </c>
      <c r="D250" s="15">
        <f>SUM(D221:D223)</f>
        <v>0</v>
      </c>
      <c r="E250" s="15">
        <f t="shared" ref="E250:W250" si="13">SUM(E221:E223)</f>
        <v>0</v>
      </c>
      <c r="F250" s="15">
        <f t="shared" si="13"/>
        <v>0</v>
      </c>
      <c r="G250" s="15">
        <f t="shared" si="13"/>
        <v>0</v>
      </c>
      <c r="H250" s="15">
        <f t="shared" si="13"/>
        <v>0</v>
      </c>
      <c r="I250" s="15">
        <f t="shared" si="13"/>
        <v>0</v>
      </c>
      <c r="J250" s="15">
        <f t="shared" si="13"/>
        <v>0</v>
      </c>
      <c r="K250" s="15">
        <f t="shared" si="13"/>
        <v>0</v>
      </c>
      <c r="L250" s="15">
        <f t="shared" si="13"/>
        <v>0</v>
      </c>
      <c r="M250" s="15">
        <f t="shared" si="13"/>
        <v>0</v>
      </c>
      <c r="N250" s="15">
        <f t="shared" si="13"/>
        <v>0</v>
      </c>
      <c r="O250" s="15">
        <f t="shared" si="13"/>
        <v>0</v>
      </c>
      <c r="P250" s="15">
        <f t="shared" si="13"/>
        <v>0</v>
      </c>
      <c r="Q250" s="15">
        <f t="shared" si="13"/>
        <v>0</v>
      </c>
      <c r="R250" s="15">
        <f t="shared" si="13"/>
        <v>0</v>
      </c>
      <c r="S250" s="15">
        <f t="shared" si="13"/>
        <v>0</v>
      </c>
      <c r="T250" s="15">
        <f t="shared" si="13"/>
        <v>0</v>
      </c>
      <c r="U250" s="15">
        <f t="shared" si="13"/>
        <v>0</v>
      </c>
      <c r="V250" s="15">
        <f t="shared" si="13"/>
        <v>0</v>
      </c>
      <c r="W250" s="15">
        <f t="shared" si="13"/>
        <v>0</v>
      </c>
    </row>
    <row r="251" spans="2:23" ht="16.5" x14ac:dyDescent="0.45">
      <c r="B251" t="str">
        <f t="shared" si="10"/>
        <v>Exkursionen</v>
      </c>
      <c r="C251" t="s">
        <v>208</v>
      </c>
      <c r="D251" s="15">
        <f>SUM(D224:D226)</f>
        <v>0</v>
      </c>
      <c r="E251" s="15">
        <f t="shared" ref="E251:W251" si="14">SUM(E224:E226)</f>
        <v>0</v>
      </c>
      <c r="F251" s="15">
        <f t="shared" si="14"/>
        <v>0</v>
      </c>
      <c r="G251" s="15">
        <f t="shared" si="14"/>
        <v>0</v>
      </c>
      <c r="H251" s="15">
        <f t="shared" si="14"/>
        <v>0</v>
      </c>
      <c r="I251" s="15">
        <f t="shared" si="14"/>
        <v>0</v>
      </c>
      <c r="J251" s="15">
        <f t="shared" si="14"/>
        <v>0</v>
      </c>
      <c r="K251" s="15">
        <f t="shared" si="14"/>
        <v>0</v>
      </c>
      <c r="L251" s="15">
        <f t="shared" si="14"/>
        <v>0</v>
      </c>
      <c r="M251" s="15">
        <f t="shared" si="14"/>
        <v>0</v>
      </c>
      <c r="N251" s="15">
        <f t="shared" si="14"/>
        <v>0</v>
      </c>
      <c r="O251" s="15">
        <f t="shared" si="14"/>
        <v>0</v>
      </c>
      <c r="P251" s="15">
        <f t="shared" si="14"/>
        <v>0</v>
      </c>
      <c r="Q251" s="15">
        <f t="shared" si="14"/>
        <v>0</v>
      </c>
      <c r="R251" s="15">
        <f t="shared" si="14"/>
        <v>0</v>
      </c>
      <c r="S251" s="15">
        <f t="shared" si="14"/>
        <v>0</v>
      </c>
      <c r="T251" s="15">
        <f t="shared" si="14"/>
        <v>0</v>
      </c>
      <c r="U251" s="15">
        <f t="shared" si="14"/>
        <v>0</v>
      </c>
      <c r="V251" s="15">
        <f t="shared" si="14"/>
        <v>0</v>
      </c>
      <c r="W251" s="15">
        <f t="shared" si="14"/>
        <v>0</v>
      </c>
    </row>
    <row r="252" spans="2:23" ht="16.5" x14ac:dyDescent="0.45">
      <c r="B252" t="str">
        <f t="shared" si="10"/>
        <v>Pendeln</v>
      </c>
      <c r="C252" t="s">
        <v>208</v>
      </c>
      <c r="D252" s="15">
        <f>SUM(D227:D237)</f>
        <v>0</v>
      </c>
      <c r="E252" s="15">
        <f t="shared" ref="E252:W252" si="15">SUM(E227:E237)</f>
        <v>0</v>
      </c>
      <c r="F252" s="15">
        <f t="shared" si="15"/>
        <v>0</v>
      </c>
      <c r="G252" s="15">
        <f t="shared" si="15"/>
        <v>0</v>
      </c>
      <c r="H252" s="15">
        <f t="shared" si="15"/>
        <v>0</v>
      </c>
      <c r="I252" s="15">
        <f t="shared" si="15"/>
        <v>0</v>
      </c>
      <c r="J252" s="15">
        <f t="shared" si="15"/>
        <v>0</v>
      </c>
      <c r="K252" s="15">
        <f t="shared" si="15"/>
        <v>0</v>
      </c>
      <c r="L252" s="15">
        <f t="shared" si="15"/>
        <v>0</v>
      </c>
      <c r="M252" s="15">
        <f t="shared" si="15"/>
        <v>0</v>
      </c>
      <c r="N252" s="15">
        <f t="shared" si="15"/>
        <v>0</v>
      </c>
      <c r="O252" s="15">
        <f t="shared" si="15"/>
        <v>0</v>
      </c>
      <c r="P252" s="15">
        <f t="shared" si="15"/>
        <v>0</v>
      </c>
      <c r="Q252" s="15">
        <f t="shared" si="15"/>
        <v>0</v>
      </c>
      <c r="R252" s="15">
        <f t="shared" si="15"/>
        <v>0</v>
      </c>
      <c r="S252" s="15">
        <f t="shared" si="15"/>
        <v>0</v>
      </c>
      <c r="T252" s="15">
        <f t="shared" si="15"/>
        <v>0</v>
      </c>
      <c r="U252" s="15">
        <f t="shared" si="15"/>
        <v>0</v>
      </c>
      <c r="V252" s="15">
        <f t="shared" si="15"/>
        <v>0</v>
      </c>
      <c r="W252" s="15">
        <f t="shared" si="15"/>
        <v>0</v>
      </c>
    </row>
    <row r="253" spans="2:23" ht="16.5" x14ac:dyDescent="0.45">
      <c r="B253" t="str">
        <f t="shared" si="10"/>
        <v>Studierendenreisen (Incoming)</v>
      </c>
      <c r="C253" t="s">
        <v>208</v>
      </c>
      <c r="D253" s="15">
        <f>SUM(D238:D240)</f>
        <v>0</v>
      </c>
      <c r="E253" s="15">
        <f t="shared" ref="E253:W253" si="16">SUM(E238:E240)</f>
        <v>0</v>
      </c>
      <c r="F253" s="15">
        <f t="shared" si="16"/>
        <v>0</v>
      </c>
      <c r="G253" s="15">
        <f t="shared" si="16"/>
        <v>0</v>
      </c>
      <c r="H253" s="15">
        <f t="shared" si="16"/>
        <v>0</v>
      </c>
      <c r="I253" s="15">
        <f t="shared" si="16"/>
        <v>0</v>
      </c>
      <c r="J253" s="15">
        <f t="shared" si="16"/>
        <v>0</v>
      </c>
      <c r="K253" s="15">
        <f t="shared" si="16"/>
        <v>0</v>
      </c>
      <c r="L253" s="15">
        <f t="shared" si="16"/>
        <v>0</v>
      </c>
      <c r="M253" s="15">
        <f t="shared" si="16"/>
        <v>0</v>
      </c>
      <c r="N253" s="15">
        <f t="shared" si="16"/>
        <v>0</v>
      </c>
      <c r="O253" s="15">
        <f t="shared" si="16"/>
        <v>0</v>
      </c>
      <c r="P253" s="15">
        <f t="shared" si="16"/>
        <v>0</v>
      </c>
      <c r="Q253" s="15">
        <f t="shared" si="16"/>
        <v>0</v>
      </c>
      <c r="R253" s="15">
        <f t="shared" si="16"/>
        <v>0</v>
      </c>
      <c r="S253" s="15">
        <f t="shared" si="16"/>
        <v>0</v>
      </c>
      <c r="T253" s="15">
        <f t="shared" si="16"/>
        <v>0</v>
      </c>
      <c r="U253" s="15">
        <f t="shared" si="16"/>
        <v>0</v>
      </c>
      <c r="V253" s="15">
        <f t="shared" si="16"/>
        <v>0</v>
      </c>
      <c r="W253" s="15">
        <f t="shared" si="16"/>
        <v>0</v>
      </c>
    </row>
    <row r="254" spans="2:23" ht="16.5" x14ac:dyDescent="0.45">
      <c r="B254" t="str">
        <f t="shared" si="10"/>
        <v>An- und Abreise von Gästen</v>
      </c>
      <c r="C254" t="s">
        <v>208</v>
      </c>
      <c r="D254" s="15">
        <f>SUM(D241:D243)</f>
        <v>0</v>
      </c>
      <c r="E254" s="15">
        <f t="shared" ref="E254:W254" si="17">SUM(E241:E243)</f>
        <v>0</v>
      </c>
      <c r="F254" s="15">
        <f t="shared" si="17"/>
        <v>0</v>
      </c>
      <c r="G254" s="15">
        <f t="shared" si="17"/>
        <v>0</v>
      </c>
      <c r="H254" s="15">
        <f t="shared" si="17"/>
        <v>0</v>
      </c>
      <c r="I254" s="15">
        <f t="shared" si="17"/>
        <v>0</v>
      </c>
      <c r="J254" s="15">
        <f t="shared" si="17"/>
        <v>0</v>
      </c>
      <c r="K254" s="15">
        <f t="shared" si="17"/>
        <v>0</v>
      </c>
      <c r="L254" s="15">
        <f t="shared" si="17"/>
        <v>0</v>
      </c>
      <c r="M254" s="15">
        <f t="shared" si="17"/>
        <v>0</v>
      </c>
      <c r="N254" s="15">
        <f t="shared" si="17"/>
        <v>0</v>
      </c>
      <c r="O254" s="15">
        <f t="shared" si="17"/>
        <v>0</v>
      </c>
      <c r="P254" s="15">
        <f t="shared" si="17"/>
        <v>0</v>
      </c>
      <c r="Q254" s="15">
        <f t="shared" si="17"/>
        <v>0</v>
      </c>
      <c r="R254" s="15">
        <f t="shared" si="17"/>
        <v>0</v>
      </c>
      <c r="S254" s="15">
        <f t="shared" si="17"/>
        <v>0</v>
      </c>
      <c r="T254" s="15">
        <f t="shared" si="17"/>
        <v>0</v>
      </c>
      <c r="U254" s="15">
        <f t="shared" si="17"/>
        <v>0</v>
      </c>
      <c r="V254" s="15">
        <f t="shared" si="17"/>
        <v>0</v>
      </c>
      <c r="W254" s="15">
        <f t="shared" si="17"/>
        <v>0</v>
      </c>
    </row>
    <row r="255" spans="2:23" ht="16.5" x14ac:dyDescent="0.45">
      <c r="B255" s="25" t="s">
        <v>43</v>
      </c>
      <c r="C255" s="25" t="s">
        <v>208</v>
      </c>
      <c r="D255" s="15">
        <f>SUBTOTAL(109,Modal_Split_Gruppen52[2015])</f>
        <v>0</v>
      </c>
      <c r="E255" s="15">
        <f>SUBTOTAL(109,Modal_Split_Gruppen52[2016])</f>
        <v>0</v>
      </c>
      <c r="F255" s="15">
        <f>SUBTOTAL(109,Modal_Split_Gruppen52[2017])</f>
        <v>0</v>
      </c>
      <c r="G255" s="15">
        <f>SUBTOTAL(109,Modal_Split_Gruppen52[2018])</f>
        <v>0</v>
      </c>
      <c r="H255" s="15">
        <f>SUBTOTAL(109,Modal_Split_Gruppen52[2019])</f>
        <v>0</v>
      </c>
      <c r="I255" s="15">
        <f>SUBTOTAL(109,Modal_Split_Gruppen52[2020])</f>
        <v>0</v>
      </c>
      <c r="J255" s="15">
        <f>SUBTOTAL(109,Modal_Split_Gruppen52[2021])</f>
        <v>0</v>
      </c>
      <c r="K255" s="15">
        <f>SUBTOTAL(109,Modal_Split_Gruppen52[2022])</f>
        <v>0</v>
      </c>
      <c r="L255" s="15">
        <f>SUBTOTAL(109,Modal_Split_Gruppen52[2023])</f>
        <v>0</v>
      </c>
      <c r="M255" s="15">
        <f>SUBTOTAL(109,Modal_Split_Gruppen52[2024])</f>
        <v>0</v>
      </c>
      <c r="N255" s="15">
        <f>SUBTOTAL(109,Modal_Split_Gruppen52[2025])</f>
        <v>0</v>
      </c>
      <c r="O255" s="15">
        <f>SUBTOTAL(109,Modal_Split_Gruppen52[2026])</f>
        <v>0</v>
      </c>
      <c r="P255" s="15">
        <f>SUBTOTAL(109,Modal_Split_Gruppen52[2027])</f>
        <v>0</v>
      </c>
      <c r="Q255" s="15">
        <f>SUBTOTAL(109,Modal_Split_Gruppen52[2028])</f>
        <v>0</v>
      </c>
      <c r="R255" s="15">
        <f>SUBTOTAL(109,Modal_Split_Gruppen52[2029])</f>
        <v>0</v>
      </c>
      <c r="S255" s="15">
        <f>SUBTOTAL(109,Modal_Split_Gruppen52[2030])</f>
        <v>0</v>
      </c>
      <c r="T255" s="15">
        <f>SUBTOTAL(109,Modal_Split_Gruppen52[2035])</f>
        <v>0</v>
      </c>
      <c r="U255" s="15">
        <f>SUBTOTAL(109,Modal_Split_Gruppen52[2040])</f>
        <v>0</v>
      </c>
      <c r="V255" s="15">
        <f>SUBTOTAL(109,Modal_Split_Gruppen52[2045])</f>
        <v>0</v>
      </c>
      <c r="W255" s="15">
        <f>SUBTOTAL(109,Modal_Split_Gruppen52[2050])</f>
        <v>0</v>
      </c>
    </row>
    <row r="258" spans="2:2" x14ac:dyDescent="0.35">
      <c r="B258" s="1"/>
    </row>
  </sheetData>
  <conditionalFormatting sqref="K17:W19">
    <cfRule type="expression" dxfId="1043" priority="1">
      <formula>K$16&gt;=$C$15</formula>
    </cfRule>
  </conditionalFormatting>
  <hyperlinks>
    <hyperlink ref="B6" location="'KliMax-Auswertung'!B12" display="   1. Grunddaten" xr:uid="{506731D7-71EE-4A73-9DBC-7659701E4BE4}"/>
    <hyperlink ref="B7" location="'KliMax-Auswertung'!B23" display="   2. Gesamtemissionen / Daten für die Berichterstattung" xr:uid="{47F1774B-56D5-4A52-8BDF-DBC177FFDED6}"/>
    <hyperlink ref="B8" location="'KliMax-Auswertung'!B119" display="3. Auswertung der Mobilität" xr:uid="{131F9EBE-EAF4-41A4-B0A1-19E0E7662413}"/>
    <hyperlink ref="B9" location="'KliMax-Auswertung'!B119" display="      3.1 Mobilitätsemissionen im Vergleich" xr:uid="{F2E18787-01DB-45CF-9AE2-D42C98516733}"/>
    <hyperlink ref="B10" location="'KliMax-Auswertung'!B137" display="      3.2 Zurückgelegte Kilometer" xr:uid="{697AB1F4-11B7-4011-9E95-54E2C268AB6A}"/>
    <hyperlink ref="B11" location="'KliMax-Auswertung'!B197" display="      3.3 Mobilitätsemissionen" xr:uid="{D05DE932-B6D7-455F-A523-FF2600C48C90}"/>
    <hyperlink ref="B1" location="Startseite!B1" tooltip="Zurück zur Einleitung" display="Zur Startseite" xr:uid="{BE1E256E-5C6F-4324-97B9-B67A68345A2F}"/>
    <hyperlink ref="E1" r:id="rId1" tooltip="Kontakt zur Autorin" display="Kontakt zur Autorin" xr:uid="{16BCC787-03A9-4E8F-863F-2FD7FC4BC0E8}"/>
  </hyperlinks>
  <pageMargins left="0.7" right="0.7" top="0.78740157499999996" bottom="0.78740157499999996" header="0.3" footer="0.3"/>
  <pageSetup paperSize="9" orientation="portrait" r:id="rId2"/>
  <ignoredErrors>
    <ignoredError sqref="E34:F34" numberStoredAsText="1"/>
  </ignoredErrors>
  <drawing r:id="rId3"/>
  <tableParts count="5">
    <tablePart r:id="rId4"/>
    <tablePart r:id="rId5"/>
    <tablePart r:id="rId6"/>
    <tablePart r:id="rId7"/>
    <tablePart r:id="rId8"/>
  </tableParts>
  <extLst>
    <ext xmlns:x14="http://schemas.microsoft.com/office/spreadsheetml/2009/9/main" uri="{CCE6A557-97BC-4b89-ADB6-D9C93CAAB3DF}">
      <x14:dataValidations xmlns:xm="http://schemas.microsoft.com/office/excel/2006/main" count="1">
        <x14:dataValidation type="list" allowBlank="1" showInputMessage="1" showErrorMessage="1" xr:uid="{73DD1A87-83F5-4885-9AA4-9A2CF7E7C212}">
          <x14:formula1>
            <xm:f>Datengüte!$C$21:$V$21</xm:f>
          </x14:formula1>
          <xm:sqref>C65 C14:C15 E48:F48 D34:F34 C122:E122 C129:E129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802BB-082B-4D87-A092-FD55E6A756DD}">
  <sheetPr>
    <tabColor rgb="FFFFC000"/>
  </sheetPr>
  <dimension ref="B1:Z438"/>
  <sheetViews>
    <sheetView showGridLines="0" zoomScale="92" zoomScaleNormal="130" workbookViewId="0">
      <pane xSplit="3" ySplit="1" topLeftCell="D2" activePane="bottomRight" state="frozen"/>
      <selection pane="topRight" activeCell="D1" sqref="D1"/>
      <selection pane="bottomLeft" activeCell="A2" sqref="A2"/>
      <selection pane="bottomRight" activeCell="B1" sqref="B1"/>
    </sheetView>
  </sheetViews>
  <sheetFormatPr baseColWidth="10" defaultRowHeight="14.5" x14ac:dyDescent="0.35"/>
  <cols>
    <col min="1" max="1" width="2.54296875" customWidth="1"/>
    <col min="2" max="2" width="5.453125" customWidth="1"/>
    <col min="3" max="3" width="51.453125" customWidth="1"/>
    <col min="4" max="4" width="9.453125" customWidth="1"/>
    <col min="23" max="23" width="9.1796875" customWidth="1"/>
  </cols>
  <sheetData>
    <row r="1" spans="2:10" x14ac:dyDescent="0.35">
      <c r="B1" s="4" t="s">
        <v>553</v>
      </c>
      <c r="E1" s="3" t="s">
        <v>590</v>
      </c>
      <c r="J1" s="28"/>
    </row>
    <row r="3" spans="2:10" ht="18.5" x14ac:dyDescent="0.45">
      <c r="B3" s="26" t="s">
        <v>263</v>
      </c>
    </row>
    <row r="5" spans="2:10" ht="15.5" x14ac:dyDescent="0.35">
      <c r="B5" s="6" t="s">
        <v>0</v>
      </c>
    </row>
    <row r="6" spans="2:10" x14ac:dyDescent="0.35">
      <c r="B6" t="s">
        <v>513</v>
      </c>
    </row>
    <row r="7" spans="2:10" x14ac:dyDescent="0.35">
      <c r="B7" s="28" t="s">
        <v>517</v>
      </c>
    </row>
    <row r="8" spans="2:10" x14ac:dyDescent="0.35">
      <c r="B8" s="28" t="s">
        <v>518</v>
      </c>
    </row>
    <row r="9" spans="2:10" x14ac:dyDescent="0.35">
      <c r="B9" t="s">
        <v>514</v>
      </c>
    </row>
    <row r="10" spans="2:10" x14ac:dyDescent="0.35">
      <c r="B10" s="28" t="s">
        <v>515</v>
      </c>
    </row>
    <row r="11" spans="2:10" x14ac:dyDescent="0.35">
      <c r="B11" s="28" t="s">
        <v>516</v>
      </c>
    </row>
    <row r="13" spans="2:10" hidden="1" x14ac:dyDescent="0.35"/>
    <row r="14" spans="2:10" hidden="1" x14ac:dyDescent="0.35"/>
    <row r="15" spans="2:10" hidden="1" x14ac:dyDescent="0.35"/>
    <row r="16" spans="2:10" hidden="1" x14ac:dyDescent="0.35"/>
    <row r="17" hidden="1" x14ac:dyDescent="0.35"/>
    <row r="18" hidden="1" x14ac:dyDescent="0.35"/>
    <row r="19" hidden="1" x14ac:dyDescent="0.35"/>
    <row r="20" hidden="1" x14ac:dyDescent="0.35"/>
    <row r="21" hidden="1" x14ac:dyDescent="0.35"/>
    <row r="22" hidden="1" x14ac:dyDescent="0.35"/>
    <row r="23" hidden="1" x14ac:dyDescent="0.35"/>
    <row r="24" hidden="1" x14ac:dyDescent="0.35"/>
    <row r="25" hidden="1" x14ac:dyDescent="0.35"/>
    <row r="26" hidden="1" x14ac:dyDescent="0.35"/>
    <row r="27" hidden="1" x14ac:dyDescent="0.35"/>
    <row r="28" hidden="1" x14ac:dyDescent="0.35"/>
    <row r="29" hidden="1" x14ac:dyDescent="0.35"/>
    <row r="30" hidden="1" x14ac:dyDescent="0.35"/>
    <row r="31" hidden="1" x14ac:dyDescent="0.35"/>
    <row r="32" hidden="1" x14ac:dyDescent="0.35"/>
    <row r="33" spans="2:2" ht="15.5" hidden="1" x14ac:dyDescent="0.35">
      <c r="B33" s="6"/>
    </row>
    <row r="34" spans="2:2" ht="15.5" hidden="1" x14ac:dyDescent="0.35">
      <c r="B34" s="6"/>
    </row>
    <row r="35" spans="2:2" ht="15.5" hidden="1" x14ac:dyDescent="0.35">
      <c r="B35" s="6"/>
    </row>
    <row r="36" spans="2:2" ht="15.5" hidden="1" x14ac:dyDescent="0.35">
      <c r="B36" s="6"/>
    </row>
    <row r="37" spans="2:2" ht="15.5" hidden="1" x14ac:dyDescent="0.35">
      <c r="B37" s="6"/>
    </row>
    <row r="38" spans="2:2" ht="15.5" hidden="1" x14ac:dyDescent="0.35">
      <c r="B38" s="6"/>
    </row>
    <row r="39" spans="2:2" ht="15.5" hidden="1" x14ac:dyDescent="0.35">
      <c r="B39" s="6"/>
    </row>
    <row r="40" spans="2:2" ht="15.5" hidden="1" x14ac:dyDescent="0.35">
      <c r="B40" s="6"/>
    </row>
    <row r="41" spans="2:2" ht="15.5" hidden="1" x14ac:dyDescent="0.35">
      <c r="B41" s="6"/>
    </row>
    <row r="42" spans="2:2" hidden="1" x14ac:dyDescent="0.35">
      <c r="B42" s="39"/>
    </row>
    <row r="43" spans="2:2" hidden="1" x14ac:dyDescent="0.35"/>
    <row r="44" spans="2:2" ht="15.5" hidden="1" x14ac:dyDescent="0.35">
      <c r="B44" s="6"/>
    </row>
    <row r="45" spans="2:2" ht="15.5" hidden="1" x14ac:dyDescent="0.35">
      <c r="B45" s="6"/>
    </row>
    <row r="46" spans="2:2" hidden="1" x14ac:dyDescent="0.35"/>
    <row r="47" spans="2:2" hidden="1" x14ac:dyDescent="0.35"/>
    <row r="48" spans="2:2" hidden="1" x14ac:dyDescent="0.35"/>
    <row r="50" spans="2:26" ht="15.5" x14ac:dyDescent="0.35">
      <c r="B50" s="6" t="s">
        <v>475</v>
      </c>
    </row>
    <row r="51" spans="2:26" ht="15.5" x14ac:dyDescent="0.35">
      <c r="B51" s="6"/>
    </row>
    <row r="52" spans="2:26" ht="15.5" x14ac:dyDescent="0.35">
      <c r="B52" s="6"/>
    </row>
    <row r="53" spans="2:26" ht="15.5" x14ac:dyDescent="0.35">
      <c r="B53" s="6"/>
    </row>
    <row r="54" spans="2:26" hidden="1" x14ac:dyDescent="0.35"/>
    <row r="55" spans="2:26" hidden="1" x14ac:dyDescent="0.35">
      <c r="B55" s="1" t="s">
        <v>27</v>
      </c>
    </row>
    <row r="56" spans="2:26" hidden="1" x14ac:dyDescent="0.35">
      <c r="B56" s="46" t="s">
        <v>266</v>
      </c>
      <c r="C56" s="46"/>
    </row>
    <row r="57" spans="2:26" hidden="1" x14ac:dyDescent="0.35"/>
    <row r="58" spans="2:26" hidden="1" x14ac:dyDescent="0.35"/>
    <row r="59" spans="2:26" ht="15.5" hidden="1" x14ac:dyDescent="0.35">
      <c r="B59" s="6" t="s">
        <v>476</v>
      </c>
    </row>
    <row r="60" spans="2:26" hidden="1" x14ac:dyDescent="0.35">
      <c r="B60" t="s">
        <v>42</v>
      </c>
      <c r="C60" s="15" t="s">
        <v>28</v>
      </c>
      <c r="D60" t="s">
        <v>2</v>
      </c>
      <c r="E60" t="s">
        <v>3</v>
      </c>
      <c r="F60" t="s">
        <v>4</v>
      </c>
      <c r="G60" t="s">
        <v>5</v>
      </c>
      <c r="H60" t="s">
        <v>6</v>
      </c>
      <c r="I60" t="s">
        <v>7</v>
      </c>
      <c r="J60" t="s">
        <v>8</v>
      </c>
      <c r="K60" t="s">
        <v>9</v>
      </c>
      <c r="L60" t="s">
        <v>10</v>
      </c>
      <c r="M60" t="s">
        <v>11</v>
      </c>
      <c r="N60" t="s">
        <v>12</v>
      </c>
      <c r="O60" t="s">
        <v>13</v>
      </c>
      <c r="P60" t="s">
        <v>14</v>
      </c>
      <c r="Q60" t="s">
        <v>232</v>
      </c>
      <c r="R60" t="s">
        <v>233</v>
      </c>
      <c r="S60" t="s">
        <v>234</v>
      </c>
      <c r="T60" t="s">
        <v>15</v>
      </c>
      <c r="U60" t="s">
        <v>16</v>
      </c>
      <c r="V60" t="s">
        <v>17</v>
      </c>
      <c r="W60" t="s">
        <v>18</v>
      </c>
      <c r="X60" t="s">
        <v>19</v>
      </c>
      <c r="Y60" t="s">
        <v>49</v>
      </c>
      <c r="Z60" s="10"/>
    </row>
    <row r="61" spans="2:26" ht="16.5" hidden="1" x14ac:dyDescent="0.45">
      <c r="B61" s="15">
        <v>1</v>
      </c>
      <c r="C61" s="20" t="str">
        <f>Refsz_Verbräuche[[#This Row],[Datenpunkt]]</f>
        <v>Elektrischer Strom (Bundesmix)</v>
      </c>
      <c r="D61" t="s">
        <v>208</v>
      </c>
      <c r="E61" s="15">
        <f>IF((OR(ISNUMBER(Refsz_Verbräuche[[#This Row],[2015]]),ISNUMBER('Refsz-Verbräuche'!E62),ISNUMBER('Refsz-Verbräuche'!E63),ISNUMBER('Refsz-Verbräuche'!E64),ISNUMBER('Refsz-Verbräuche'!E65), ISNUMBER('Refsz-Verbräuche'!E66), ISNUMBER('Refsz-Verbräuche'!E67), ISNUMBER('Refsz-Verbräuche'!E68), ISNUMBER('Refsz-Verbräuche'!E69), ISNUMBER('Refsz-Verbräuche'!E70), ISNUMBER('Refsz-Verbräuche'!E71))), (SUM('Refsz-Verbräuche'!E61:E71)*Emissionsfaktoren[[#This Row],[2015]]/1000)+'Strommix &amp; BHKW'!D207+'Strommix &amp; BHKW'!D227+'Strommix &amp; BHKW'!D233+'Strommix &amp; BHKW'!D239, 0)</f>
        <v>0</v>
      </c>
      <c r="F61" s="15">
        <f>IF((OR(ISNUMBER(Refsz_Verbräuche[[#This Row],[2016]]),ISNUMBER('Refsz-Verbräuche'!F62),ISNUMBER('Refsz-Verbräuche'!F63),ISNUMBER('Refsz-Verbräuche'!F64),ISNUMBER('Refsz-Verbräuche'!F65), ISNUMBER('Refsz-Verbräuche'!F66), ISNUMBER('Refsz-Verbräuche'!F67), ISNUMBER('Refsz-Verbräuche'!F68), ISNUMBER('Refsz-Verbräuche'!F69), ISNUMBER('Refsz-Verbräuche'!F70), ISNUMBER('Refsz-Verbräuche'!F71))), (SUM('Refsz-Verbräuche'!F61:F71)*Emissionsfaktoren[[#This Row],[2016]]/1000)+'Strommix &amp; BHKW'!E207+'Strommix &amp; BHKW'!E227+'Strommix &amp; BHKW'!E233+'Strommix &amp; BHKW'!E239, 0)</f>
        <v>0</v>
      </c>
      <c r="G61" s="15">
        <f>IF((OR(ISNUMBER(Refsz_Verbräuche[[#This Row],[2017]]),ISNUMBER('Refsz-Verbräuche'!G62),ISNUMBER('Refsz-Verbräuche'!G63),ISNUMBER('Refsz-Verbräuche'!G64),ISNUMBER('Refsz-Verbräuche'!G65), ISNUMBER('Refsz-Verbräuche'!G66), ISNUMBER('Refsz-Verbräuche'!G67), ISNUMBER('Refsz-Verbräuche'!G68), ISNUMBER('Refsz-Verbräuche'!G69), ISNUMBER('Refsz-Verbräuche'!G70), ISNUMBER('Refsz-Verbräuche'!G71))), (SUM('Refsz-Verbräuche'!G61:G71)*Emissionsfaktoren[[#This Row],[2017]]/1000)+'Strommix &amp; BHKW'!F207+'Strommix &amp; BHKW'!F227+'Strommix &amp; BHKW'!F233+'Strommix &amp; BHKW'!F239, 0)</f>
        <v>0</v>
      </c>
      <c r="H61" s="15">
        <f>IF((OR(ISNUMBER(Refsz_Verbräuche[[#This Row],[2018]]),ISNUMBER('Refsz-Verbräuche'!H62),ISNUMBER('Refsz-Verbräuche'!H63),ISNUMBER('Refsz-Verbräuche'!H64),ISNUMBER('Refsz-Verbräuche'!H65), ISNUMBER('Refsz-Verbräuche'!H66), ISNUMBER('Refsz-Verbräuche'!H67), ISNUMBER('Refsz-Verbräuche'!H68), ISNUMBER('Refsz-Verbräuche'!H69), ISNUMBER('Refsz-Verbräuche'!H70), ISNUMBER('Refsz-Verbräuche'!H71))), (SUM('Refsz-Verbräuche'!H61:H71)*Emissionsfaktoren[[#This Row],[2018]]/1000)+'Strommix &amp; BHKW'!G207+'Strommix &amp; BHKW'!G227+'Strommix &amp; BHKW'!G233+'Strommix &amp; BHKW'!G239, 0)</f>
        <v>0</v>
      </c>
      <c r="I61" s="15">
        <f>IF((OR(ISNUMBER(Refsz_Verbräuche[[#This Row],[2019]]),ISNUMBER('Refsz-Verbräuche'!I62),ISNUMBER('Refsz-Verbräuche'!I63),ISNUMBER('Refsz-Verbräuche'!I64),ISNUMBER('Refsz-Verbräuche'!I65), ISNUMBER('Refsz-Verbräuche'!I66), ISNUMBER('Refsz-Verbräuche'!I67), ISNUMBER('Refsz-Verbräuche'!I68), ISNUMBER('Refsz-Verbräuche'!I69), ISNUMBER('Refsz-Verbräuche'!I70), ISNUMBER('Refsz-Verbräuche'!I71))), (SUM('Refsz-Verbräuche'!I61:I71)*Emissionsfaktoren[[#This Row],[2019]]/1000)+'Strommix &amp; BHKW'!H207+'Strommix &amp; BHKW'!H227+'Strommix &amp; BHKW'!H233+'Strommix &amp; BHKW'!H239, 0)</f>
        <v>0</v>
      </c>
      <c r="J61" s="15">
        <f>IF((OR(ISNUMBER(Refsz_Verbräuche[[#This Row],[2020]]),ISNUMBER('Refsz-Verbräuche'!J62),ISNUMBER('Refsz-Verbräuche'!J63),ISNUMBER('Refsz-Verbräuche'!J64),ISNUMBER('Refsz-Verbräuche'!J65), ISNUMBER('Refsz-Verbräuche'!J66), ISNUMBER('Refsz-Verbräuche'!J67), ISNUMBER('Refsz-Verbräuche'!J68), ISNUMBER('Refsz-Verbräuche'!J69), ISNUMBER('Refsz-Verbräuche'!J70), ISNUMBER('Refsz-Verbräuche'!J71))), (SUM('Refsz-Verbräuche'!J61:J71)*Emissionsfaktoren[[#This Row],[2020]]/1000)+'Strommix &amp; BHKW'!I207+'Strommix &amp; BHKW'!I227+'Strommix &amp; BHKW'!I233+'Strommix &amp; BHKW'!I239, 0)</f>
        <v>0</v>
      </c>
      <c r="K61" s="15">
        <f>IF((OR(ISNUMBER(Refsz_Verbräuche[[#This Row],[2021]]),ISNUMBER('Refsz-Verbräuche'!K62),ISNUMBER('Refsz-Verbräuche'!K63),ISNUMBER('Refsz-Verbräuche'!K64),ISNUMBER('Refsz-Verbräuche'!K65), ISNUMBER('Refsz-Verbräuche'!K66), ISNUMBER('Refsz-Verbräuche'!K67), ISNUMBER('Refsz-Verbräuche'!K68), ISNUMBER('Refsz-Verbräuche'!K69), ISNUMBER('Refsz-Verbräuche'!K70), ISNUMBER('Refsz-Verbräuche'!K71))), (SUM('Refsz-Verbräuche'!K61:K71)*Emissionsfaktoren[[#This Row],[2021]]/1000)+'Strommix &amp; BHKW'!J207+'Strommix &amp; BHKW'!J227+'Strommix &amp; BHKW'!J233+'Strommix &amp; BHKW'!J239, 0)</f>
        <v>0</v>
      </c>
      <c r="L61" s="15">
        <f>IF((OR(ISNUMBER(Refsz_Verbräuche[[#This Row],[2022]]),ISNUMBER('Refsz-Verbräuche'!L62),ISNUMBER('Refsz-Verbräuche'!L63),ISNUMBER('Refsz-Verbräuche'!L64),ISNUMBER('Refsz-Verbräuche'!L65), ISNUMBER('Refsz-Verbräuche'!L66), ISNUMBER('Refsz-Verbräuche'!L67), ISNUMBER('Refsz-Verbräuche'!L68), ISNUMBER('Refsz-Verbräuche'!L69), ISNUMBER('Refsz-Verbräuche'!L70), ISNUMBER('Refsz-Verbräuche'!L71))), (SUM('Refsz-Verbräuche'!L61:L71)*Emissionsfaktoren[[#This Row],[2022]]/1000)+'Strommix &amp; BHKW'!K207+'Strommix &amp; BHKW'!K227+'Strommix &amp; BHKW'!K233+'Strommix &amp; BHKW'!K239, 0)</f>
        <v>0</v>
      </c>
      <c r="M61" s="15">
        <f>IF((OR(ISNUMBER(Refsz_Verbräuche[[#This Row],[2023]]),ISNUMBER('Refsz-Verbräuche'!M62),ISNUMBER('Refsz-Verbräuche'!M63),ISNUMBER('Refsz-Verbräuche'!M64),ISNUMBER('Refsz-Verbräuche'!M65), ISNUMBER('Refsz-Verbräuche'!M66), ISNUMBER('Refsz-Verbräuche'!M67), ISNUMBER('Refsz-Verbräuche'!M68), ISNUMBER('Refsz-Verbräuche'!M69), ISNUMBER('Refsz-Verbräuche'!M70), ISNUMBER('Refsz-Verbräuche'!M71))), (SUM('Refsz-Verbräuche'!M61:M71)*Emissionsfaktoren[[#This Row],[2023]]/1000)+'Strommix &amp; BHKW'!L207+'Strommix &amp; BHKW'!L227+'Strommix &amp; BHKW'!L233+'Strommix &amp; BHKW'!L239, 0)</f>
        <v>0</v>
      </c>
      <c r="N61" s="15">
        <f>IF((OR(ISNUMBER(Refsz_Verbräuche[[#This Row],[2024]]),ISNUMBER('Refsz-Verbräuche'!N62),ISNUMBER('Refsz-Verbräuche'!N63),ISNUMBER('Refsz-Verbräuche'!N64),ISNUMBER('Refsz-Verbräuche'!N65), ISNUMBER('Refsz-Verbräuche'!N66), ISNUMBER('Refsz-Verbräuche'!N67), ISNUMBER('Refsz-Verbräuche'!N68), ISNUMBER('Refsz-Verbräuche'!N69), ISNUMBER('Refsz-Verbräuche'!N70), ISNUMBER('Refsz-Verbräuche'!N71))), (SUM('Refsz-Verbräuche'!N61:N71)*Emissionsfaktoren[[#This Row],[2024]]/1000)+'Strommix &amp; BHKW'!M207+'Strommix &amp; BHKW'!M227+'Strommix &amp; BHKW'!M233+'Strommix &amp; BHKW'!M239, 0)</f>
        <v>0</v>
      </c>
      <c r="O61" s="15">
        <f>IF((OR(ISNUMBER(Refsz_Verbräuche[[#This Row],[2025]]),ISNUMBER('Refsz-Verbräuche'!O62),ISNUMBER('Refsz-Verbräuche'!O63),ISNUMBER('Refsz-Verbräuche'!O64),ISNUMBER('Refsz-Verbräuche'!O65), ISNUMBER('Refsz-Verbräuche'!O66), ISNUMBER('Refsz-Verbräuche'!O67), ISNUMBER('Refsz-Verbräuche'!O68), ISNUMBER('Refsz-Verbräuche'!O69), ISNUMBER('Refsz-Verbräuche'!O70), ISNUMBER('Refsz-Verbräuche'!O71))), (SUM('Refsz-Verbräuche'!O61:O71)*Emissionsfaktoren[[#This Row],[2025]]/1000)+'Strommix &amp; BHKW'!N207+'Strommix &amp; BHKW'!N227+'Strommix &amp; BHKW'!N233+'Strommix &amp; BHKW'!N239, 0)</f>
        <v>0</v>
      </c>
      <c r="P61" s="15">
        <f>IF((OR(ISNUMBER(Refsz_Verbräuche[[#This Row],[2026]]),ISNUMBER('Refsz-Verbräuche'!P62),ISNUMBER('Refsz-Verbräuche'!P63),ISNUMBER('Refsz-Verbräuche'!P64),ISNUMBER('Refsz-Verbräuche'!P65), ISNUMBER('Refsz-Verbräuche'!P66), ISNUMBER('Refsz-Verbräuche'!P67), ISNUMBER('Refsz-Verbräuche'!P68), ISNUMBER('Refsz-Verbräuche'!P69), ISNUMBER('Refsz-Verbräuche'!P70), ISNUMBER('Refsz-Verbräuche'!P71))), (SUM('Refsz-Verbräuche'!P61:P71)*Emissionsfaktoren[[#This Row],[2026]]/1000)+'Strommix &amp; BHKW'!O207+'Strommix &amp; BHKW'!O227+'Strommix &amp; BHKW'!O233+'Strommix &amp; BHKW'!O239, 0)</f>
        <v>0</v>
      </c>
      <c r="Q61" s="15">
        <f>IF((OR(ISNUMBER(Refsz_Verbräuche[[#This Row],[2027]]),ISNUMBER('Refsz-Verbräuche'!Q62),ISNUMBER('Refsz-Verbräuche'!Q63),ISNUMBER('Refsz-Verbräuche'!Q64),ISNUMBER('Refsz-Verbräuche'!Q65), ISNUMBER('Refsz-Verbräuche'!Q66), ISNUMBER('Refsz-Verbräuche'!Q67), ISNUMBER('Refsz-Verbräuche'!Q68), ISNUMBER('Refsz-Verbräuche'!Q69), ISNUMBER('Refsz-Verbräuche'!Q70), ISNUMBER('Refsz-Verbräuche'!Q71))), (SUM('Refsz-Verbräuche'!Q61:Q71)*Emissionsfaktoren[[#This Row],[2027]]/1000)+'Strommix &amp; BHKW'!P207+'Strommix &amp; BHKW'!P227+'Strommix &amp; BHKW'!P233+'Strommix &amp; BHKW'!P239, 0)</f>
        <v>0</v>
      </c>
      <c r="R61" s="15">
        <f>IF((OR(ISNUMBER(Refsz_Verbräuche[[#This Row],[2028]]),ISNUMBER('Refsz-Verbräuche'!R62),ISNUMBER('Refsz-Verbräuche'!R63),ISNUMBER('Refsz-Verbräuche'!R64),ISNUMBER('Refsz-Verbräuche'!R65), ISNUMBER('Refsz-Verbräuche'!R66), ISNUMBER('Refsz-Verbräuche'!R67), ISNUMBER('Refsz-Verbräuche'!R68), ISNUMBER('Refsz-Verbräuche'!R69), ISNUMBER('Refsz-Verbräuche'!R70), ISNUMBER('Refsz-Verbräuche'!R71))), (SUM('Refsz-Verbräuche'!R61:R71)*Emissionsfaktoren[[#This Row],[2028]]/1000)+'Strommix &amp; BHKW'!Q207+'Strommix &amp; BHKW'!Q227+'Strommix &amp; BHKW'!Q233+'Strommix &amp; BHKW'!Q239, 0)</f>
        <v>0</v>
      </c>
      <c r="S61" s="15">
        <f>IF((OR(ISNUMBER(Refsz_Verbräuche[[#This Row],[2029]]),ISNUMBER('Refsz-Verbräuche'!S62),ISNUMBER('Refsz-Verbräuche'!S63),ISNUMBER('Refsz-Verbräuche'!S64),ISNUMBER('Refsz-Verbräuche'!S65), ISNUMBER('Refsz-Verbräuche'!S66), ISNUMBER('Refsz-Verbräuche'!S67), ISNUMBER('Refsz-Verbräuche'!S68), ISNUMBER('Refsz-Verbräuche'!S69), ISNUMBER('Refsz-Verbräuche'!S70), ISNUMBER('Refsz-Verbräuche'!S71))), (SUM('Refsz-Verbräuche'!S61:S71)*Emissionsfaktoren[[#This Row],[2029]]/1000)+'Strommix &amp; BHKW'!R207+'Strommix &amp; BHKW'!R227+'Strommix &amp; BHKW'!R233+'Strommix &amp; BHKW'!R239, 0)</f>
        <v>0</v>
      </c>
      <c r="T61" s="15">
        <f>IF((OR(ISNUMBER(Refsz_Verbräuche[[#This Row],[2030]]),ISNUMBER('Refsz-Verbräuche'!T62),ISNUMBER('Refsz-Verbräuche'!T63),ISNUMBER('Refsz-Verbräuche'!T64),ISNUMBER('Refsz-Verbräuche'!T65), ISNUMBER('Refsz-Verbräuche'!T66), ISNUMBER('Refsz-Verbräuche'!T67), ISNUMBER('Refsz-Verbräuche'!T68), ISNUMBER('Refsz-Verbräuche'!T69), ISNUMBER('Refsz-Verbräuche'!T70), ISNUMBER('Refsz-Verbräuche'!T71))), (SUM('Refsz-Verbräuche'!T61:T71)*Emissionsfaktoren[[#This Row],[2030]]/1000)+'Strommix &amp; BHKW'!S207+'Strommix &amp; BHKW'!S227+'Strommix &amp; BHKW'!S233+'Strommix &amp; BHKW'!S239, 0)</f>
        <v>0</v>
      </c>
      <c r="U61" s="15">
        <f>IF((OR(ISNUMBER(Refsz_Verbräuche[[#This Row],[2035]]),ISNUMBER('Refsz-Verbräuche'!U62),ISNUMBER('Refsz-Verbräuche'!U63),ISNUMBER('Refsz-Verbräuche'!U64),ISNUMBER('Refsz-Verbräuche'!U65), ISNUMBER('Refsz-Verbräuche'!U66), ISNUMBER('Refsz-Verbräuche'!U67), ISNUMBER('Refsz-Verbräuche'!U68), ISNUMBER('Refsz-Verbräuche'!U69), ISNUMBER('Refsz-Verbräuche'!U70), ISNUMBER('Refsz-Verbräuche'!U71))), (SUM('Refsz-Verbräuche'!U61:U71)*Emissionsfaktoren[[#This Row],[2035]]/1000)+'Strommix &amp; BHKW'!T207+'Strommix &amp; BHKW'!T227+'Strommix &amp; BHKW'!T233+'Strommix &amp; BHKW'!T239, 0)</f>
        <v>0</v>
      </c>
      <c r="V61" s="15">
        <f>IF((OR(ISNUMBER(Refsz_Verbräuche[[#This Row],[2040]]),ISNUMBER('Refsz-Verbräuche'!V62),ISNUMBER('Refsz-Verbräuche'!V63),ISNUMBER('Refsz-Verbräuche'!V64),ISNUMBER('Refsz-Verbräuche'!V65), ISNUMBER('Refsz-Verbräuche'!V66), ISNUMBER('Refsz-Verbräuche'!V67), ISNUMBER('Refsz-Verbräuche'!V68), ISNUMBER('Refsz-Verbräuche'!V69), ISNUMBER('Refsz-Verbräuche'!V70), ISNUMBER('Refsz-Verbräuche'!V71))), (SUM('Refsz-Verbräuche'!V61:V71)*Emissionsfaktoren[[#This Row],[2040]]/1000)+'Strommix &amp; BHKW'!U207+'Strommix &amp; BHKW'!U227+'Strommix &amp; BHKW'!U233+'Strommix &amp; BHKW'!U239, 0)</f>
        <v>0</v>
      </c>
      <c r="W61" s="15">
        <f>IF((OR(ISNUMBER(Refsz_Verbräuche[[#This Row],[2045]]),ISNUMBER('Refsz-Verbräuche'!W62),ISNUMBER('Refsz-Verbräuche'!W63),ISNUMBER('Refsz-Verbräuche'!W64),ISNUMBER('Refsz-Verbräuche'!W65), ISNUMBER('Refsz-Verbräuche'!W66), ISNUMBER('Refsz-Verbräuche'!W67), ISNUMBER('Refsz-Verbräuche'!W68), ISNUMBER('Refsz-Verbräuche'!W69), ISNUMBER('Refsz-Verbräuche'!W70), ISNUMBER('Refsz-Verbräuche'!W71))), (SUM('Refsz-Verbräuche'!W61:W71)*Emissionsfaktoren[[#This Row],[2045]]/1000)+'Strommix &amp; BHKW'!V207+'Strommix &amp; BHKW'!V227+'Strommix &amp; BHKW'!V233+'Strommix &amp; BHKW'!V239, 0)</f>
        <v>0</v>
      </c>
      <c r="X61" s="15">
        <f>IF((OR(ISNUMBER(Refsz_Verbräuche[[#This Row],[2050]]),ISNUMBER('Refsz-Verbräuche'!X62),ISNUMBER('Refsz-Verbräuche'!X63),ISNUMBER('Refsz-Verbräuche'!X64),ISNUMBER('Refsz-Verbräuche'!X65), ISNUMBER('Refsz-Verbräuche'!X66), ISNUMBER('Refsz-Verbräuche'!X67), ISNUMBER('Refsz-Verbräuche'!X68), ISNUMBER('Refsz-Verbräuche'!X69), ISNUMBER('Refsz-Verbräuche'!X70), ISNUMBER('Refsz-Verbräuche'!X71))), (SUM('Refsz-Verbräuche'!X61:X71)*Emissionsfaktoren[[#This Row],[2050]]/1000)+'Strommix &amp; BHKW'!W207+'Strommix &amp; BHKW'!W227+'Strommix &amp; BHKW'!W233+'Strommix &amp; BHKW'!W239, 0)</f>
        <v>0</v>
      </c>
      <c r="Z61" s="10"/>
    </row>
    <row r="62" spans="2:26" ht="16.5" hidden="1" x14ac:dyDescent="0.45">
      <c r="B62" s="15">
        <v>2</v>
      </c>
      <c r="C62" s="20" t="str">
        <f>Refsz_Verbräuche[[#This Row],[Datenpunkt]]</f>
        <v>Elektrischer Strom (Bundesmix KS80)</v>
      </c>
      <c r="D62" t="s">
        <v>208</v>
      </c>
      <c r="E62" s="15">
        <v>0</v>
      </c>
      <c r="F62" s="15">
        <v>0</v>
      </c>
      <c r="G62" s="15">
        <v>0</v>
      </c>
      <c r="H62" s="15">
        <v>0</v>
      </c>
      <c r="I62" s="15">
        <v>0</v>
      </c>
      <c r="J62" s="15">
        <v>0</v>
      </c>
      <c r="K62" s="15">
        <v>0</v>
      </c>
      <c r="L62" s="15">
        <v>0</v>
      </c>
      <c r="M62" s="15">
        <v>0</v>
      </c>
      <c r="N62" s="15">
        <v>0</v>
      </c>
      <c r="O62" s="15">
        <v>0</v>
      </c>
      <c r="P62" s="15">
        <v>0</v>
      </c>
      <c r="Q62" s="15">
        <v>0</v>
      </c>
      <c r="R62" s="15">
        <v>0</v>
      </c>
      <c r="S62" s="15">
        <v>0</v>
      </c>
      <c r="T62" s="15">
        <v>0</v>
      </c>
      <c r="U62" s="15">
        <v>0</v>
      </c>
      <c r="V62" s="15">
        <v>0</v>
      </c>
      <c r="W62" s="15">
        <v>0</v>
      </c>
      <c r="X62" s="15">
        <v>0</v>
      </c>
      <c r="Z62" s="10"/>
    </row>
    <row r="63" spans="2:26" ht="16.5" hidden="1" x14ac:dyDescent="0.45">
      <c r="B63" s="15">
        <v>3</v>
      </c>
      <c r="C63" s="20" t="str">
        <f>Refsz_Verbräuche[[#This Row],[Datenpunkt]]</f>
        <v>Elektrischer Strom (individueller Strommix Einrichtung 1)</v>
      </c>
      <c r="D63" t="s">
        <v>208</v>
      </c>
      <c r="E63" s="15">
        <v>0</v>
      </c>
      <c r="F63" s="15">
        <v>0</v>
      </c>
      <c r="G63" s="15">
        <v>0</v>
      </c>
      <c r="H63" s="15">
        <v>0</v>
      </c>
      <c r="I63" s="15">
        <v>0</v>
      </c>
      <c r="J63" s="15">
        <v>0</v>
      </c>
      <c r="K63" s="15">
        <v>0</v>
      </c>
      <c r="L63" s="15">
        <v>0</v>
      </c>
      <c r="M63" s="15">
        <v>0</v>
      </c>
      <c r="N63" s="15">
        <v>0</v>
      </c>
      <c r="O63" s="15">
        <v>0</v>
      </c>
      <c r="P63" s="15">
        <v>0</v>
      </c>
      <c r="Q63" s="15">
        <v>0</v>
      </c>
      <c r="R63" s="15">
        <v>0</v>
      </c>
      <c r="S63" s="15">
        <v>0</v>
      </c>
      <c r="T63" s="15">
        <v>0</v>
      </c>
      <c r="U63" s="15">
        <v>0</v>
      </c>
      <c r="V63" s="15">
        <v>0</v>
      </c>
      <c r="W63" s="15">
        <v>0</v>
      </c>
      <c r="X63" s="15">
        <v>0</v>
      </c>
      <c r="Z63" s="17"/>
    </row>
    <row r="64" spans="2:26" ht="16.5" hidden="1" x14ac:dyDescent="0.45">
      <c r="B64" s="15">
        <v>4</v>
      </c>
      <c r="C64" s="20" t="str">
        <f>Refsz_Verbräuche[[#This Row],[Datenpunkt]]</f>
        <v>Elektrischer Strom (individueller Strommix Einrichtung 2)</v>
      </c>
      <c r="D64" t="s">
        <v>208</v>
      </c>
      <c r="E64" s="15">
        <v>0</v>
      </c>
      <c r="F64" s="15">
        <v>0</v>
      </c>
      <c r="G64" s="15">
        <v>0</v>
      </c>
      <c r="H64" s="15">
        <v>0</v>
      </c>
      <c r="I64" s="15">
        <v>0</v>
      </c>
      <c r="J64" s="15">
        <v>0</v>
      </c>
      <c r="K64" s="15">
        <v>0</v>
      </c>
      <c r="L64" s="15">
        <v>0</v>
      </c>
      <c r="M64" s="15">
        <v>0</v>
      </c>
      <c r="N64" s="15">
        <v>0</v>
      </c>
      <c r="O64" s="15">
        <v>0</v>
      </c>
      <c r="P64" s="15">
        <v>0</v>
      </c>
      <c r="Q64" s="15">
        <v>0</v>
      </c>
      <c r="R64" s="15">
        <v>0</v>
      </c>
      <c r="S64" s="15">
        <v>0</v>
      </c>
      <c r="T64" s="15">
        <v>0</v>
      </c>
      <c r="U64" s="15">
        <v>0</v>
      </c>
      <c r="V64" s="15">
        <v>0</v>
      </c>
      <c r="W64" s="15">
        <v>0</v>
      </c>
      <c r="X64" s="15">
        <v>0</v>
      </c>
      <c r="Z64" s="16"/>
    </row>
    <row r="65" spans="2:26" ht="16.5" hidden="1" x14ac:dyDescent="0.45">
      <c r="B65" s="15">
        <v>5</v>
      </c>
      <c r="C65" s="20" t="str">
        <f>Refsz_Verbräuche[[#This Row],[Datenpunkt]]</f>
        <v>Elektrischer Strom (individueller Strommix Einrichtung 3)</v>
      </c>
      <c r="D65" t="s">
        <v>208</v>
      </c>
      <c r="E65" s="15">
        <v>0</v>
      </c>
      <c r="F65" s="15">
        <v>0</v>
      </c>
      <c r="G65" s="15">
        <v>0</v>
      </c>
      <c r="H65" s="15">
        <v>0</v>
      </c>
      <c r="I65" s="15">
        <v>0</v>
      </c>
      <c r="J65" s="15">
        <v>0</v>
      </c>
      <c r="K65" s="15">
        <v>0</v>
      </c>
      <c r="L65" s="15">
        <v>0</v>
      </c>
      <c r="M65" s="15">
        <v>0</v>
      </c>
      <c r="N65" s="15">
        <v>0</v>
      </c>
      <c r="O65" s="15">
        <v>0</v>
      </c>
      <c r="P65" s="15">
        <v>0</v>
      </c>
      <c r="Q65" s="15">
        <v>0</v>
      </c>
      <c r="R65" s="15">
        <v>0</v>
      </c>
      <c r="S65" s="15">
        <v>0</v>
      </c>
      <c r="T65" s="15">
        <v>0</v>
      </c>
      <c r="U65" s="15">
        <v>0</v>
      </c>
      <c r="V65" s="15">
        <v>0</v>
      </c>
      <c r="W65" s="15">
        <v>0</v>
      </c>
      <c r="X65" s="15">
        <v>0</v>
      </c>
      <c r="Z65" s="18"/>
    </row>
    <row r="66" spans="2:26" ht="16.5" hidden="1" x14ac:dyDescent="0.45">
      <c r="B66" s="15">
        <v>6</v>
      </c>
      <c r="C66" s="20" t="str">
        <f>Refsz_Verbräuche[[#This Row],[Datenpunkt]]</f>
        <v>Elektrischer Strom (individueller Strommix Einrichtung 4)</v>
      </c>
      <c r="D66" t="s">
        <v>208</v>
      </c>
      <c r="E66" s="15">
        <v>0</v>
      </c>
      <c r="F66" s="15">
        <v>0</v>
      </c>
      <c r="G66" s="15">
        <v>0</v>
      </c>
      <c r="H66" s="15">
        <v>0</v>
      </c>
      <c r="I66" s="15">
        <v>0</v>
      </c>
      <c r="J66" s="15">
        <v>0</v>
      </c>
      <c r="K66" s="15">
        <v>0</v>
      </c>
      <c r="L66" s="15">
        <v>0</v>
      </c>
      <c r="M66" s="15">
        <v>0</v>
      </c>
      <c r="N66" s="15">
        <v>0</v>
      </c>
      <c r="O66" s="15">
        <v>0</v>
      </c>
      <c r="P66" s="15">
        <v>0</v>
      </c>
      <c r="Q66" s="15">
        <v>0</v>
      </c>
      <c r="R66" s="15">
        <v>0</v>
      </c>
      <c r="S66" s="15">
        <v>0</v>
      </c>
      <c r="T66" s="15">
        <v>0</v>
      </c>
      <c r="U66" s="15">
        <v>0</v>
      </c>
      <c r="V66" s="15">
        <v>0</v>
      </c>
      <c r="W66" s="15">
        <v>0</v>
      </c>
      <c r="X66" s="15">
        <v>0</v>
      </c>
      <c r="Z66" s="18"/>
    </row>
    <row r="67" spans="2:26" ht="16.5" hidden="1" x14ac:dyDescent="0.45">
      <c r="B67" s="15">
        <v>7</v>
      </c>
      <c r="C67" s="20" t="str">
        <f>Refsz_Verbräuche[[#This Row],[Datenpunkt]]</f>
        <v>Elektrischer Strom (individueller Strommix Einrichtung 5)</v>
      </c>
      <c r="D67" t="s">
        <v>208</v>
      </c>
      <c r="E67" s="15">
        <v>0</v>
      </c>
      <c r="F67" s="15">
        <v>0</v>
      </c>
      <c r="G67" s="15">
        <v>0</v>
      </c>
      <c r="H67" s="15">
        <v>0</v>
      </c>
      <c r="I67" s="15">
        <v>0</v>
      </c>
      <c r="J67" s="15">
        <v>0</v>
      </c>
      <c r="K67" s="15">
        <v>0</v>
      </c>
      <c r="L67" s="15">
        <v>0</v>
      </c>
      <c r="M67" s="15">
        <v>0</v>
      </c>
      <c r="N67" s="15">
        <v>0</v>
      </c>
      <c r="O67" s="15">
        <v>0</v>
      </c>
      <c r="P67" s="15">
        <v>0</v>
      </c>
      <c r="Q67" s="15">
        <v>0</v>
      </c>
      <c r="R67" s="15">
        <v>0</v>
      </c>
      <c r="S67" s="15">
        <v>0</v>
      </c>
      <c r="T67" s="15">
        <v>0</v>
      </c>
      <c r="U67" s="15">
        <v>0</v>
      </c>
      <c r="V67" s="15">
        <v>0</v>
      </c>
      <c r="W67" s="15">
        <v>0</v>
      </c>
      <c r="X67" s="15">
        <v>0</v>
      </c>
      <c r="Z67" s="16"/>
    </row>
    <row r="68" spans="2:26" ht="16.5" hidden="1" x14ac:dyDescent="0.45">
      <c r="B68" s="15">
        <v>8</v>
      </c>
      <c r="C68" s="20" t="str">
        <f>Refsz_Verbräuche[[#This Row],[Datenpunkt]]</f>
        <v>Elektrischer Strom (individueller Strommix Einrichtung 6)</v>
      </c>
      <c r="D68" t="s">
        <v>208</v>
      </c>
      <c r="E68" s="15">
        <v>0</v>
      </c>
      <c r="F68" s="15">
        <v>0</v>
      </c>
      <c r="G68" s="15">
        <v>0</v>
      </c>
      <c r="H68" s="15">
        <v>0</v>
      </c>
      <c r="I68" s="15">
        <v>0</v>
      </c>
      <c r="J68" s="15">
        <v>0</v>
      </c>
      <c r="K68" s="15">
        <v>0</v>
      </c>
      <c r="L68" s="15">
        <v>0</v>
      </c>
      <c r="M68" s="15">
        <v>0</v>
      </c>
      <c r="N68" s="15">
        <v>0</v>
      </c>
      <c r="O68" s="15">
        <v>0</v>
      </c>
      <c r="P68" s="15">
        <v>0</v>
      </c>
      <c r="Q68" s="15">
        <v>0</v>
      </c>
      <c r="R68" s="15">
        <v>0</v>
      </c>
      <c r="S68" s="15">
        <v>0</v>
      </c>
      <c r="T68" s="15">
        <v>0</v>
      </c>
      <c r="U68" s="15">
        <v>0</v>
      </c>
      <c r="V68" s="15">
        <v>0</v>
      </c>
      <c r="W68" s="15">
        <v>0</v>
      </c>
      <c r="X68" s="15">
        <v>0</v>
      </c>
      <c r="Z68" s="19"/>
    </row>
    <row r="69" spans="2:26" ht="16.5" hidden="1" x14ac:dyDescent="0.45">
      <c r="B69" s="15">
        <v>9</v>
      </c>
      <c r="C69" s="20" t="str">
        <f>Refsz_Verbräuche[[#This Row],[Datenpunkt]]</f>
        <v>Elektrischer Strom (BHKW)</v>
      </c>
      <c r="D69" t="s">
        <v>208</v>
      </c>
      <c r="E69" s="15">
        <v>0</v>
      </c>
      <c r="F69" s="15">
        <v>0</v>
      </c>
      <c r="G69" s="15">
        <v>0</v>
      </c>
      <c r="H69" s="15">
        <v>0</v>
      </c>
      <c r="I69" s="15">
        <v>0</v>
      </c>
      <c r="J69" s="15">
        <v>0</v>
      </c>
      <c r="K69" s="15">
        <v>0</v>
      </c>
      <c r="L69" s="15">
        <v>0</v>
      </c>
      <c r="M69" s="15">
        <v>0</v>
      </c>
      <c r="N69" s="15">
        <v>0</v>
      </c>
      <c r="O69" s="15">
        <v>0</v>
      </c>
      <c r="P69" s="15">
        <v>0</v>
      </c>
      <c r="Q69" s="15">
        <v>0</v>
      </c>
      <c r="R69" s="15">
        <v>0</v>
      </c>
      <c r="S69" s="15">
        <v>0</v>
      </c>
      <c r="T69" s="15">
        <v>0</v>
      </c>
      <c r="U69" s="15">
        <v>0</v>
      </c>
      <c r="V69" s="15">
        <v>0</v>
      </c>
      <c r="W69" s="15">
        <v>0</v>
      </c>
      <c r="X69" s="15">
        <v>0</v>
      </c>
      <c r="Z69" s="19"/>
    </row>
    <row r="70" spans="2:26" ht="16.5" hidden="1" x14ac:dyDescent="0.45">
      <c r="B70" s="15">
        <v>10</v>
      </c>
      <c r="C70" s="20" t="str">
        <f>Refsz_Verbräuche[[#This Row],[Datenpunkt]]</f>
        <v>Elektrischer Strom (Ökostrom)</v>
      </c>
      <c r="D70" t="s">
        <v>208</v>
      </c>
      <c r="E70" s="15">
        <v>0</v>
      </c>
      <c r="F70" s="15">
        <v>0</v>
      </c>
      <c r="G70" s="15">
        <v>0</v>
      </c>
      <c r="H70" s="15">
        <v>0</v>
      </c>
      <c r="I70" s="15">
        <v>0</v>
      </c>
      <c r="J70" s="15">
        <v>0</v>
      </c>
      <c r="K70" s="15">
        <v>0</v>
      </c>
      <c r="L70" s="15">
        <v>0</v>
      </c>
      <c r="M70" s="15">
        <v>0</v>
      </c>
      <c r="N70" s="15">
        <v>0</v>
      </c>
      <c r="O70" s="15">
        <v>0</v>
      </c>
      <c r="P70" s="15">
        <v>0</v>
      </c>
      <c r="Q70" s="15">
        <v>0</v>
      </c>
      <c r="R70" s="15">
        <v>0</v>
      </c>
      <c r="S70" s="15">
        <v>0</v>
      </c>
      <c r="T70" s="15">
        <v>0</v>
      </c>
      <c r="U70" s="15">
        <v>0</v>
      </c>
      <c r="V70" s="15">
        <v>0</v>
      </c>
      <c r="W70" s="15">
        <v>0</v>
      </c>
      <c r="X70" s="15">
        <v>0</v>
      </c>
      <c r="Z70" s="10"/>
    </row>
    <row r="71" spans="2:26" ht="16.5" hidden="1" x14ac:dyDescent="0.45">
      <c r="B71" s="15">
        <v>11</v>
      </c>
      <c r="C71" s="20" t="str">
        <f>Refsz_Verbräuche[[#This Row],[Datenpunkt]]</f>
        <v>Elektrischer Strom (PV-Eigennutzung)</v>
      </c>
      <c r="D71" t="s">
        <v>208</v>
      </c>
      <c r="E71" s="15">
        <v>0</v>
      </c>
      <c r="F71" s="15">
        <v>0</v>
      </c>
      <c r="G71" s="15">
        <v>0</v>
      </c>
      <c r="H71" s="15">
        <v>0</v>
      </c>
      <c r="I71" s="15">
        <v>0</v>
      </c>
      <c r="J71" s="15">
        <v>0</v>
      </c>
      <c r="K71" s="15">
        <v>0</v>
      </c>
      <c r="L71" s="15">
        <v>0</v>
      </c>
      <c r="M71" s="15">
        <v>0</v>
      </c>
      <c r="N71" s="15">
        <v>0</v>
      </c>
      <c r="O71" s="15">
        <v>0</v>
      </c>
      <c r="P71" s="15">
        <v>0</v>
      </c>
      <c r="Q71" s="15">
        <v>0</v>
      </c>
      <c r="R71" s="15">
        <v>0</v>
      </c>
      <c r="S71" s="15">
        <v>0</v>
      </c>
      <c r="T71" s="15">
        <v>0</v>
      </c>
      <c r="U71" s="15">
        <v>0</v>
      </c>
      <c r="V71" s="15">
        <v>0</v>
      </c>
      <c r="W71" s="15">
        <v>0</v>
      </c>
      <c r="X71" s="15">
        <v>0</v>
      </c>
      <c r="Z71" s="10"/>
    </row>
    <row r="72" spans="2:26" ht="16.5" hidden="1" x14ac:dyDescent="0.45">
      <c r="B72" s="15">
        <v>12</v>
      </c>
      <c r="C72" s="20" t="str">
        <f>Refsz_Verbräuche[[#This Row],[Datenpunkt]]</f>
        <v>Wärme (Erdgas)</v>
      </c>
      <c r="D72" t="s">
        <v>208</v>
      </c>
      <c r="E72" s="15">
        <f>IF(ISNUMBER(Refsz_Verbräuche[[#This Row],[2015]]), Refsz_Verbräuche[[#This Row],[2015]]*Emissionsfaktoren[[#This Row],[2015]]/1000, 0)</f>
        <v>0</v>
      </c>
      <c r="F72" s="15">
        <f>IF(ISNUMBER(Refsz_Verbräuche[[#This Row],[2016]]), Refsz_Verbräuche[[#This Row],[2016]]*Emissionsfaktoren[[#This Row],[2016]]/1000, 0)</f>
        <v>0</v>
      </c>
      <c r="G72" s="15">
        <f>IF(ISNUMBER(Refsz_Verbräuche[[#This Row],[2017]]), Refsz_Verbräuche[[#This Row],[2017]]*Emissionsfaktoren[[#This Row],[2017]]/1000, 0)</f>
        <v>0</v>
      </c>
      <c r="H72" s="15">
        <f>IF(ISNUMBER(Refsz_Verbräuche[[#This Row],[2018]]), Refsz_Verbräuche[[#This Row],[2018]]*Emissionsfaktoren[[#This Row],[2018]]/1000, 0)</f>
        <v>0</v>
      </c>
      <c r="I72" s="15">
        <f>IF(ISNUMBER(Refsz_Verbräuche[[#This Row],[2019]]), Refsz_Verbräuche[[#This Row],[2019]]*Emissionsfaktoren[[#This Row],[2019]]/1000, 0)</f>
        <v>0</v>
      </c>
      <c r="J72" s="15">
        <f>IF(ISNUMBER(Refsz_Verbräuche[[#This Row],[2020]]), Refsz_Verbräuche[[#This Row],[2020]]*Emissionsfaktoren[[#This Row],[2020]]/1000, 0)</f>
        <v>0</v>
      </c>
      <c r="K72" s="15">
        <f>IF(ISNUMBER(Refsz_Verbräuche[[#This Row],[2021]]), Refsz_Verbräuche[[#This Row],[2021]]*Emissionsfaktoren[[#This Row],[2021]]/1000, 0)</f>
        <v>0</v>
      </c>
      <c r="L72" s="15">
        <f>IF(ISNUMBER(Refsz_Verbräuche[[#This Row],[2022]]), Refsz_Verbräuche[[#This Row],[2022]]*Emissionsfaktoren[[#This Row],[2022]]/1000, 0)</f>
        <v>0</v>
      </c>
      <c r="M72" s="15">
        <f>IF(ISNUMBER(Refsz_Verbräuche[[#This Row],[2023]]), Refsz_Verbräuche[[#This Row],[2023]]*Emissionsfaktoren[[#This Row],[2023]]/1000, 0)</f>
        <v>0</v>
      </c>
      <c r="N72" s="15">
        <f>IF(ISNUMBER(Refsz_Verbräuche[[#This Row],[2024]]), Refsz_Verbräuche[[#This Row],[2024]]*Emissionsfaktoren[[#This Row],[2024]]/1000, 0)</f>
        <v>0</v>
      </c>
      <c r="O72" s="15">
        <f>IF(ISNUMBER(Refsz_Verbräuche[[#This Row],[2025]]), Refsz_Verbräuche[[#This Row],[2025]]*Emissionsfaktoren[[#This Row],[2025]]/1000, 0)</f>
        <v>0</v>
      </c>
      <c r="P72" s="15">
        <f>IF(ISNUMBER(Refsz_Verbräuche[[#This Row],[2026]]), Refsz_Verbräuche[[#This Row],[2026]]*Emissionsfaktoren[[#This Row],[2026]]/1000, 0)</f>
        <v>0</v>
      </c>
      <c r="Q72" s="15">
        <f>IF(ISNUMBER(Refsz_Verbräuche[[#This Row],[2027]]), Refsz_Verbräuche[[#This Row],[2027]]*Emissionsfaktoren[[#This Row],[2027]]/1000, 0)</f>
        <v>0</v>
      </c>
      <c r="R72" s="15">
        <f>IF(ISNUMBER(Refsz_Verbräuche[[#This Row],[2028]]), Refsz_Verbräuche[[#This Row],[2028]]*Emissionsfaktoren[[#This Row],[2028]]/1000, 0)</f>
        <v>0</v>
      </c>
      <c r="S72" s="15">
        <f>IF(ISNUMBER(Refsz_Verbräuche[[#This Row],[2029]]), Refsz_Verbräuche[[#This Row],[2029]]*Emissionsfaktoren[[#This Row],[2029]]/1000, 0)</f>
        <v>0</v>
      </c>
      <c r="T72" s="15">
        <f>IF(ISNUMBER(Refsz_Verbräuche[[#This Row],[2030]]), Refsz_Verbräuche[[#This Row],[2030]]*Emissionsfaktoren[[#This Row],[2030]]/1000, 0)</f>
        <v>0</v>
      </c>
      <c r="U72" s="15">
        <f>IF(ISNUMBER(Refsz_Verbräuche[[#This Row],[2035]]), Refsz_Verbräuche[[#This Row],[2035]]*Emissionsfaktoren[[#This Row],[2035]]/1000, 0)</f>
        <v>0</v>
      </c>
      <c r="V72" s="15">
        <f>IF(ISNUMBER(Refsz_Verbräuche[[#This Row],[2040]]), Refsz_Verbräuche[[#This Row],[2040]]*Emissionsfaktoren[[#This Row],[2040]]/1000, 0)</f>
        <v>0</v>
      </c>
      <c r="W72" s="15">
        <f>IF(ISNUMBER(Refsz_Verbräuche[[#This Row],[2045]]), Refsz_Verbräuche[[#This Row],[2045]]*Emissionsfaktoren[[#This Row],[2045]]/1000, 0)</f>
        <v>0</v>
      </c>
      <c r="X72" s="15">
        <f>IF(ISNUMBER(Refsz_Verbräuche[[#This Row],[2050]]), Refsz_Verbräuche[[#This Row],[2050]]*Emissionsfaktoren[[#This Row],[2050]]/1000, 0)</f>
        <v>0</v>
      </c>
      <c r="Z72" s="10"/>
    </row>
    <row r="73" spans="2:26" ht="16.5" hidden="1" x14ac:dyDescent="0.45">
      <c r="B73" s="15">
        <v>13</v>
      </c>
      <c r="C73" s="20" t="str">
        <f>Refsz_Verbräuche[[#This Row],[Datenpunkt]]</f>
        <v>Wärme (BHKW)</v>
      </c>
      <c r="D73" t="s">
        <v>208</v>
      </c>
      <c r="E73" s="15">
        <f>'Strommix &amp; BHKW'!D206+'Strommix &amp; BHKW'!D228+'Strommix &amp; BHKW'!D234+'Strommix &amp; BHKW'!D240</f>
        <v>0</v>
      </c>
      <c r="F73" s="15">
        <f>'Strommix &amp; BHKW'!E206+'Strommix &amp; BHKW'!E228+'Strommix &amp; BHKW'!E234+'Strommix &amp; BHKW'!E240</f>
        <v>0</v>
      </c>
      <c r="G73" s="15">
        <f>'Strommix &amp; BHKW'!F206+'Strommix &amp; BHKW'!F228+'Strommix &amp; BHKW'!F234+'Strommix &amp; BHKW'!F240</f>
        <v>0</v>
      </c>
      <c r="H73" s="15">
        <f>'Strommix &amp; BHKW'!G206+'Strommix &amp; BHKW'!G228+'Strommix &amp; BHKW'!G234+'Strommix &amp; BHKW'!G240</f>
        <v>0</v>
      </c>
      <c r="I73" s="15">
        <f>'Strommix &amp; BHKW'!H206+'Strommix &amp; BHKW'!H228+'Strommix &amp; BHKW'!H234+'Strommix &amp; BHKW'!H240</f>
        <v>0</v>
      </c>
      <c r="J73" s="15">
        <f>'Strommix &amp; BHKW'!I206+'Strommix &amp; BHKW'!I228+'Strommix &amp; BHKW'!I234+'Strommix &amp; BHKW'!I240</f>
        <v>0</v>
      </c>
      <c r="K73" s="15">
        <f>'Strommix &amp; BHKW'!J206+'Strommix &amp; BHKW'!J228+'Strommix &amp; BHKW'!J234+'Strommix &amp; BHKW'!J240</f>
        <v>0</v>
      </c>
      <c r="L73" s="15">
        <f>'Strommix &amp; BHKW'!K206+'Strommix &amp; BHKW'!K228+'Strommix &amp; BHKW'!K234+'Strommix &amp; BHKW'!K240</f>
        <v>0</v>
      </c>
      <c r="M73" s="15">
        <f>'Strommix &amp; BHKW'!L206+'Strommix &amp; BHKW'!L228+'Strommix &amp; BHKW'!L234+'Strommix &amp; BHKW'!L240</f>
        <v>0</v>
      </c>
      <c r="N73" s="15">
        <f>'Strommix &amp; BHKW'!M206+'Strommix &amp; BHKW'!M228+'Strommix &amp; BHKW'!M234+'Strommix &amp; BHKW'!M240</f>
        <v>0</v>
      </c>
      <c r="O73" s="15">
        <f>'Strommix &amp; BHKW'!N206+'Strommix &amp; BHKW'!N228+'Strommix &amp; BHKW'!N234+'Strommix &amp; BHKW'!N240</f>
        <v>0</v>
      </c>
      <c r="P73" s="15">
        <f>'Strommix &amp; BHKW'!O206+'Strommix &amp; BHKW'!O228+'Strommix &amp; BHKW'!O234+'Strommix &amp; BHKW'!O240</f>
        <v>0</v>
      </c>
      <c r="Q73" s="15">
        <f>'Strommix &amp; BHKW'!P206+'Strommix &amp; BHKW'!P228+'Strommix &amp; BHKW'!P234+'Strommix &amp; BHKW'!P240</f>
        <v>0</v>
      </c>
      <c r="R73" s="15">
        <f>'Strommix &amp; BHKW'!Q206+'Strommix &amp; BHKW'!Q228+'Strommix &amp; BHKW'!Q234+'Strommix &amp; BHKW'!Q240</f>
        <v>0</v>
      </c>
      <c r="S73" s="15">
        <f>'Strommix &amp; BHKW'!R206+'Strommix &amp; BHKW'!R228+'Strommix &amp; BHKW'!R234+'Strommix &amp; BHKW'!R240</f>
        <v>0</v>
      </c>
      <c r="T73" s="15">
        <f>'Strommix &amp; BHKW'!S206+'Strommix &amp; BHKW'!S228+'Strommix &amp; BHKW'!S234+'Strommix &amp; BHKW'!S240</f>
        <v>0</v>
      </c>
      <c r="U73" s="15">
        <f>'Strommix &amp; BHKW'!T206+'Strommix &amp; BHKW'!T228+'Strommix &amp; BHKW'!T234+'Strommix &amp; BHKW'!T240</f>
        <v>0</v>
      </c>
      <c r="V73" s="15">
        <f>'Strommix &amp; BHKW'!U206+'Strommix &amp; BHKW'!U228+'Strommix &amp; BHKW'!U234+'Strommix &amp; BHKW'!U240</f>
        <v>0</v>
      </c>
      <c r="W73" s="15">
        <f>'Strommix &amp; BHKW'!V206+'Strommix &amp; BHKW'!V228+'Strommix &amp; BHKW'!V234+'Strommix &amp; BHKW'!V240</f>
        <v>0</v>
      </c>
      <c r="X73" s="15">
        <f>'Strommix &amp; BHKW'!W206+'Strommix &amp; BHKW'!W228+'Strommix &amp; BHKW'!W234+'Strommix &amp; BHKW'!W240</f>
        <v>0</v>
      </c>
      <c r="Z73" s="10"/>
    </row>
    <row r="74" spans="2:26" ht="16.5" hidden="1" x14ac:dyDescent="0.45">
      <c r="B74" s="15">
        <v>14</v>
      </c>
      <c r="C74" s="20" t="str">
        <f>Refsz_Verbräuche[[#This Row],[Datenpunkt]]</f>
        <v>Wärme (Biogas)</v>
      </c>
      <c r="D74" t="s">
        <v>208</v>
      </c>
      <c r="E74" s="15">
        <f>IF(ISNUMBER(Refsz_Verbräuche[[#This Row],[2015]]), Refsz_Verbräuche[[#This Row],[2015]]*Emissionsfaktoren[[#This Row],[2015]]/1000, 0)</f>
        <v>0</v>
      </c>
      <c r="F74" s="15">
        <f>IF(ISNUMBER(Refsz_Verbräuche[[#This Row],[2016]]), Refsz_Verbräuche[[#This Row],[2016]]*Emissionsfaktoren[[#This Row],[2016]]/1000, 0)</f>
        <v>0</v>
      </c>
      <c r="G74" s="15">
        <f>IF(ISNUMBER(Refsz_Verbräuche[[#This Row],[2017]]), Refsz_Verbräuche[[#This Row],[2017]]*Emissionsfaktoren[[#This Row],[2017]]/1000, 0)</f>
        <v>0</v>
      </c>
      <c r="H74" s="15">
        <f>IF(ISNUMBER(Refsz_Verbräuche[[#This Row],[2018]]), Refsz_Verbräuche[[#This Row],[2018]]*Emissionsfaktoren[[#This Row],[2018]]/1000, 0)</f>
        <v>0</v>
      </c>
      <c r="I74" s="15">
        <f>IF(ISNUMBER(Refsz_Verbräuche[[#This Row],[2019]]), Refsz_Verbräuche[[#This Row],[2019]]*Emissionsfaktoren[[#This Row],[2019]]/1000, 0)</f>
        <v>0</v>
      </c>
      <c r="J74" s="15">
        <f>IF(ISNUMBER(Refsz_Verbräuche[[#This Row],[2020]]), Refsz_Verbräuche[[#This Row],[2020]]*Emissionsfaktoren[[#This Row],[2020]]/1000, 0)</f>
        <v>0</v>
      </c>
      <c r="K74" s="15">
        <f>IF(ISNUMBER(Refsz_Verbräuche[[#This Row],[2021]]), Refsz_Verbräuche[[#This Row],[2021]]*Emissionsfaktoren[[#This Row],[2021]]/1000, 0)</f>
        <v>0</v>
      </c>
      <c r="L74" s="15">
        <f>IF(ISNUMBER(Refsz_Verbräuche[[#This Row],[2022]]), Refsz_Verbräuche[[#This Row],[2022]]*Emissionsfaktoren[[#This Row],[2022]]/1000, 0)</f>
        <v>0</v>
      </c>
      <c r="M74" s="15">
        <f>IF(ISNUMBER(Refsz_Verbräuche[[#This Row],[2023]]), Refsz_Verbräuche[[#This Row],[2023]]*Emissionsfaktoren[[#This Row],[2023]]/1000, 0)</f>
        <v>0</v>
      </c>
      <c r="N74" s="15">
        <f>IF(ISNUMBER(Refsz_Verbräuche[[#This Row],[2024]]), Refsz_Verbräuche[[#This Row],[2024]]*Emissionsfaktoren[[#This Row],[2024]]/1000, 0)</f>
        <v>0</v>
      </c>
      <c r="O74" s="15">
        <f>IF(ISNUMBER(Refsz_Verbräuche[[#This Row],[2025]]), Refsz_Verbräuche[[#This Row],[2025]]*Emissionsfaktoren[[#This Row],[2025]]/1000, 0)</f>
        <v>0</v>
      </c>
      <c r="P74" s="15">
        <f>IF(ISNUMBER(Refsz_Verbräuche[[#This Row],[2026]]), Refsz_Verbräuche[[#This Row],[2026]]*Emissionsfaktoren[[#This Row],[2026]]/1000, 0)</f>
        <v>0</v>
      </c>
      <c r="Q74" s="15">
        <f>IF(ISNUMBER(Refsz_Verbräuche[[#This Row],[2027]]), Refsz_Verbräuche[[#This Row],[2027]]*Emissionsfaktoren[[#This Row],[2027]]/1000, 0)</f>
        <v>0</v>
      </c>
      <c r="R74" s="15">
        <f>IF(ISNUMBER(Refsz_Verbräuche[[#This Row],[2028]]), Refsz_Verbräuche[[#This Row],[2028]]*Emissionsfaktoren[[#This Row],[2028]]/1000, 0)</f>
        <v>0</v>
      </c>
      <c r="S74" s="15">
        <f>IF(ISNUMBER(Refsz_Verbräuche[[#This Row],[2029]]), Refsz_Verbräuche[[#This Row],[2029]]*Emissionsfaktoren[[#This Row],[2029]]/1000, 0)</f>
        <v>0</v>
      </c>
      <c r="T74" s="15">
        <f>IF(ISNUMBER(Refsz_Verbräuche[[#This Row],[2030]]), Refsz_Verbräuche[[#This Row],[2030]]*Emissionsfaktoren[[#This Row],[2030]]/1000, 0)</f>
        <v>0</v>
      </c>
      <c r="U74" s="15">
        <f>IF(ISNUMBER(Refsz_Verbräuche[[#This Row],[2035]]), Refsz_Verbräuche[[#This Row],[2035]]*Emissionsfaktoren[[#This Row],[2035]]/1000, 0)</f>
        <v>0</v>
      </c>
      <c r="V74" s="15">
        <f>IF(ISNUMBER(Refsz_Verbräuche[[#This Row],[2040]]), Refsz_Verbräuche[[#This Row],[2040]]*Emissionsfaktoren[[#This Row],[2040]]/1000, 0)</f>
        <v>0</v>
      </c>
      <c r="W74" s="15">
        <f>IF(ISNUMBER(Refsz_Verbräuche[[#This Row],[2045]]), Refsz_Verbräuche[[#This Row],[2045]]*Emissionsfaktoren[[#This Row],[2045]]/1000, 0)</f>
        <v>0</v>
      </c>
      <c r="X74" s="15">
        <f>IF(ISNUMBER(Refsz_Verbräuche[[#This Row],[2050]]), Refsz_Verbräuche[[#This Row],[2050]]*Emissionsfaktoren[[#This Row],[2050]]/1000, 0)</f>
        <v>0</v>
      </c>
      <c r="Z74" s="10"/>
    </row>
    <row r="75" spans="2:26" ht="16.5" hidden="1" x14ac:dyDescent="0.45">
      <c r="B75" s="15">
        <v>15</v>
      </c>
      <c r="C75" s="20" t="str">
        <f>Refsz_Verbräuche[[#This Row],[Datenpunkt]]</f>
        <v>Wärme (individueller Emissionsfaktor)</v>
      </c>
      <c r="D75" t="s">
        <v>208</v>
      </c>
      <c r="E75" s="15">
        <f>IF(ISNUMBER(Refsz_Verbräuche[[#This Row],[2015]]), Refsz_Verbräuche[[#This Row],[2015]]*Emissionsfaktoren[[#This Row],[2015]]/1000, 0)</f>
        <v>0</v>
      </c>
      <c r="F75" s="15">
        <f>IF(ISNUMBER(Refsz_Verbräuche[[#This Row],[2016]]), Refsz_Verbräuche[[#This Row],[2016]]*Emissionsfaktoren[[#This Row],[2016]]/1000, 0)</f>
        <v>0</v>
      </c>
      <c r="G75" s="15">
        <f>IF(ISNUMBER(Refsz_Verbräuche[[#This Row],[2017]]), Refsz_Verbräuche[[#This Row],[2017]]*Emissionsfaktoren[[#This Row],[2017]]/1000, 0)</f>
        <v>0</v>
      </c>
      <c r="H75" s="15">
        <f>IF(ISNUMBER(Refsz_Verbräuche[[#This Row],[2018]]), Refsz_Verbräuche[[#This Row],[2018]]*Emissionsfaktoren[[#This Row],[2018]]/1000, 0)</f>
        <v>0</v>
      </c>
      <c r="I75" s="15">
        <f>IF(ISNUMBER(Refsz_Verbräuche[[#This Row],[2019]]), Refsz_Verbräuche[[#This Row],[2019]]*Emissionsfaktoren[[#This Row],[2019]]/1000, 0)</f>
        <v>0</v>
      </c>
      <c r="J75" s="15">
        <f>IF(ISNUMBER(Refsz_Verbräuche[[#This Row],[2020]]), Refsz_Verbräuche[[#This Row],[2020]]*Emissionsfaktoren[[#This Row],[2020]]/1000, 0)</f>
        <v>0</v>
      </c>
      <c r="K75" s="15">
        <f>IF(ISNUMBER(Refsz_Verbräuche[[#This Row],[2021]]), Refsz_Verbräuche[[#This Row],[2021]]*Emissionsfaktoren[[#This Row],[2021]]/1000, 0)</f>
        <v>0</v>
      </c>
      <c r="L75" s="15">
        <f>IF(ISNUMBER(Refsz_Verbräuche[[#This Row],[2022]]), Refsz_Verbräuche[[#This Row],[2022]]*Emissionsfaktoren[[#This Row],[2022]]/1000, 0)</f>
        <v>0</v>
      </c>
      <c r="M75" s="15">
        <f>IF(ISNUMBER(Refsz_Verbräuche[[#This Row],[2023]]), Refsz_Verbräuche[[#This Row],[2023]]*Emissionsfaktoren[[#This Row],[2023]]/1000, 0)</f>
        <v>0</v>
      </c>
      <c r="N75" s="15">
        <f>IF(ISNUMBER(Refsz_Verbräuche[[#This Row],[2024]]), Refsz_Verbräuche[[#This Row],[2024]]*Emissionsfaktoren[[#This Row],[2024]]/1000, 0)</f>
        <v>0</v>
      </c>
      <c r="O75" s="15">
        <f>IF(ISNUMBER(Refsz_Verbräuche[[#This Row],[2025]]), Refsz_Verbräuche[[#This Row],[2025]]*Emissionsfaktoren[[#This Row],[2025]]/1000, 0)</f>
        <v>0</v>
      </c>
      <c r="P75" s="15">
        <f>IF(ISNUMBER(Refsz_Verbräuche[[#This Row],[2026]]), Refsz_Verbräuche[[#This Row],[2026]]*Emissionsfaktoren[[#This Row],[2026]]/1000, 0)</f>
        <v>0</v>
      </c>
      <c r="Q75" s="15">
        <f>IF(ISNUMBER(Refsz_Verbräuche[[#This Row],[2027]]), Refsz_Verbräuche[[#This Row],[2027]]*Emissionsfaktoren[[#This Row],[2027]]/1000, 0)</f>
        <v>0</v>
      </c>
      <c r="R75" s="15">
        <f>IF(ISNUMBER(Refsz_Verbräuche[[#This Row],[2028]]), Refsz_Verbräuche[[#This Row],[2028]]*Emissionsfaktoren[[#This Row],[2028]]/1000, 0)</f>
        <v>0</v>
      </c>
      <c r="S75" s="15">
        <f>IF(ISNUMBER(Refsz_Verbräuche[[#This Row],[2029]]), Refsz_Verbräuche[[#This Row],[2029]]*Emissionsfaktoren[[#This Row],[2029]]/1000, 0)</f>
        <v>0</v>
      </c>
      <c r="T75" s="15">
        <f>IF(ISNUMBER(Refsz_Verbräuche[[#This Row],[2030]]), Refsz_Verbräuche[[#This Row],[2030]]*Emissionsfaktoren[[#This Row],[2030]]/1000, 0)</f>
        <v>0</v>
      </c>
      <c r="U75" s="15">
        <f>IF(ISNUMBER(Refsz_Verbräuche[[#This Row],[2035]]), Refsz_Verbräuche[[#This Row],[2035]]*Emissionsfaktoren[[#This Row],[2035]]/1000, 0)</f>
        <v>0</v>
      </c>
      <c r="V75" s="15">
        <f>IF(ISNUMBER(Refsz_Verbräuche[[#This Row],[2040]]), Refsz_Verbräuche[[#This Row],[2040]]*Emissionsfaktoren[[#This Row],[2040]]/1000, 0)</f>
        <v>0</v>
      </c>
      <c r="W75" s="15">
        <f>IF(ISNUMBER(Refsz_Verbräuche[[#This Row],[2045]]), Refsz_Verbräuche[[#This Row],[2045]]*Emissionsfaktoren[[#This Row],[2045]]/1000, 0)</f>
        <v>0</v>
      </c>
      <c r="X75" s="15">
        <f>IF(ISNUMBER(Refsz_Verbräuche[[#This Row],[2050]]), Refsz_Verbräuche[[#This Row],[2050]]*Emissionsfaktoren[[#This Row],[2050]]/1000, 0)</f>
        <v>0</v>
      </c>
      <c r="Z75" s="10"/>
    </row>
    <row r="76" spans="2:26" ht="16.5" hidden="1" x14ac:dyDescent="0.45">
      <c r="B76" s="15">
        <v>16</v>
      </c>
      <c r="C76" s="20" t="str">
        <f>Refsz_Verbräuche[[#This Row],[Datenpunkt]]</f>
        <v>Wärme (Holzhackschnitzel)</v>
      </c>
      <c r="D76" t="s">
        <v>208</v>
      </c>
      <c r="E76" s="15">
        <f>IF(ISNUMBER(Refsz_Verbräuche[[#This Row],[2015]]), Refsz_Verbräuche[[#This Row],[2015]]*Emissionsfaktoren[[#This Row],[2015]]/1000, 0)</f>
        <v>0</v>
      </c>
      <c r="F76" s="15">
        <f>IF(ISNUMBER(Refsz_Verbräuche[[#This Row],[2016]]), Refsz_Verbräuche[[#This Row],[2016]]*Emissionsfaktoren[[#This Row],[2016]]/1000, 0)</f>
        <v>0</v>
      </c>
      <c r="G76" s="15">
        <f>IF(ISNUMBER(Refsz_Verbräuche[[#This Row],[2017]]), Refsz_Verbräuche[[#This Row],[2017]]*Emissionsfaktoren[[#This Row],[2017]]/1000, 0)</f>
        <v>0</v>
      </c>
      <c r="H76" s="15">
        <f>IF(ISNUMBER(Refsz_Verbräuche[[#This Row],[2018]]), Refsz_Verbräuche[[#This Row],[2018]]*Emissionsfaktoren[[#This Row],[2018]]/1000, 0)</f>
        <v>0</v>
      </c>
      <c r="I76" s="15">
        <f>IF(ISNUMBER(Refsz_Verbräuche[[#This Row],[2019]]), Refsz_Verbräuche[[#This Row],[2019]]*Emissionsfaktoren[[#This Row],[2019]]/1000, 0)</f>
        <v>0</v>
      </c>
      <c r="J76" s="15">
        <f>IF(ISNUMBER(Refsz_Verbräuche[[#This Row],[2020]]), Refsz_Verbräuche[[#This Row],[2020]]*Emissionsfaktoren[[#This Row],[2020]]/1000, 0)</f>
        <v>0</v>
      </c>
      <c r="K76" s="15">
        <f>IF(ISNUMBER(Refsz_Verbräuche[[#This Row],[2021]]), Refsz_Verbräuche[[#This Row],[2021]]*Emissionsfaktoren[[#This Row],[2021]]/1000, 0)</f>
        <v>0</v>
      </c>
      <c r="L76" s="15">
        <f>IF(ISNUMBER(Refsz_Verbräuche[[#This Row],[2022]]), Refsz_Verbräuche[[#This Row],[2022]]*Emissionsfaktoren[[#This Row],[2022]]/1000, 0)</f>
        <v>0</v>
      </c>
      <c r="M76" s="15">
        <f>IF(ISNUMBER(Refsz_Verbräuche[[#This Row],[2023]]), Refsz_Verbräuche[[#This Row],[2023]]*Emissionsfaktoren[[#This Row],[2023]]/1000, 0)</f>
        <v>0</v>
      </c>
      <c r="N76" s="15">
        <f>IF(ISNUMBER(Refsz_Verbräuche[[#This Row],[2024]]), Refsz_Verbräuche[[#This Row],[2024]]*Emissionsfaktoren[[#This Row],[2024]]/1000, 0)</f>
        <v>0</v>
      </c>
      <c r="O76" s="15">
        <f>IF(ISNUMBER(Refsz_Verbräuche[[#This Row],[2025]]), Refsz_Verbräuche[[#This Row],[2025]]*Emissionsfaktoren[[#This Row],[2025]]/1000, 0)</f>
        <v>0</v>
      </c>
      <c r="P76" s="15">
        <f>IF(ISNUMBER(Refsz_Verbräuche[[#This Row],[2026]]), Refsz_Verbräuche[[#This Row],[2026]]*Emissionsfaktoren[[#This Row],[2026]]/1000, 0)</f>
        <v>0</v>
      </c>
      <c r="Q76" s="15">
        <f>IF(ISNUMBER(Refsz_Verbräuche[[#This Row],[2027]]), Refsz_Verbräuche[[#This Row],[2027]]*Emissionsfaktoren[[#This Row],[2027]]/1000, 0)</f>
        <v>0</v>
      </c>
      <c r="R76" s="15">
        <f>IF(ISNUMBER(Refsz_Verbräuche[[#This Row],[2028]]), Refsz_Verbräuche[[#This Row],[2028]]*Emissionsfaktoren[[#This Row],[2028]]/1000, 0)</f>
        <v>0</v>
      </c>
      <c r="S76" s="15">
        <f>IF(ISNUMBER(Refsz_Verbräuche[[#This Row],[2029]]), Refsz_Verbräuche[[#This Row],[2029]]*Emissionsfaktoren[[#This Row],[2029]]/1000, 0)</f>
        <v>0</v>
      </c>
      <c r="T76" s="15">
        <f>IF(ISNUMBER(Refsz_Verbräuche[[#This Row],[2030]]), Refsz_Verbräuche[[#This Row],[2030]]*Emissionsfaktoren[[#This Row],[2030]]/1000, 0)</f>
        <v>0</v>
      </c>
      <c r="U76" s="15">
        <f>IF(ISNUMBER(Refsz_Verbräuche[[#This Row],[2035]]), Refsz_Verbräuche[[#This Row],[2035]]*Emissionsfaktoren[[#This Row],[2035]]/1000, 0)</f>
        <v>0</v>
      </c>
      <c r="V76" s="15">
        <f>IF(ISNUMBER(Refsz_Verbräuche[[#This Row],[2040]]), Refsz_Verbräuche[[#This Row],[2040]]*Emissionsfaktoren[[#This Row],[2040]]/1000, 0)</f>
        <v>0</v>
      </c>
      <c r="W76" s="15">
        <f>IF(ISNUMBER(Refsz_Verbräuche[[#This Row],[2045]]), Refsz_Verbräuche[[#This Row],[2045]]*Emissionsfaktoren[[#This Row],[2045]]/1000, 0)</f>
        <v>0</v>
      </c>
      <c r="X76" s="15">
        <f>IF(ISNUMBER(Refsz_Verbräuche[[#This Row],[2050]]), Refsz_Verbräuche[[#This Row],[2050]]*Emissionsfaktoren[[#This Row],[2050]]/1000, 0)</f>
        <v>0</v>
      </c>
      <c r="Z76" s="10"/>
    </row>
    <row r="77" spans="2:26" ht="16.5" hidden="1" x14ac:dyDescent="0.45">
      <c r="B77" s="15">
        <v>17</v>
      </c>
      <c r="C77" s="20" t="str">
        <f>Refsz_Verbräuche[[#This Row],[Datenpunkt]]</f>
        <v>Wärme (Holzpellets, 10kW/kleinere Zentralheizung)</v>
      </c>
      <c r="D77" t="s">
        <v>208</v>
      </c>
      <c r="E77" s="15">
        <f>IF(ISNUMBER(Refsz_Verbräuche[[#This Row],[2015]]), Refsz_Verbräuche[[#This Row],[2015]]*Emissionsfaktoren[[#This Row],[2015]]/1000, 0)</f>
        <v>0</v>
      </c>
      <c r="F77" s="15">
        <f>IF(ISNUMBER(Refsz_Verbräuche[[#This Row],[2016]]), Refsz_Verbräuche[[#This Row],[2016]]*Emissionsfaktoren[[#This Row],[2016]]/1000, 0)</f>
        <v>0</v>
      </c>
      <c r="G77" s="15">
        <f>IF(ISNUMBER(Refsz_Verbräuche[[#This Row],[2017]]), Refsz_Verbräuche[[#This Row],[2017]]*Emissionsfaktoren[[#This Row],[2017]]/1000, 0)</f>
        <v>0</v>
      </c>
      <c r="H77" s="15">
        <f>IF(ISNUMBER(Refsz_Verbräuche[[#This Row],[2018]]), Refsz_Verbräuche[[#This Row],[2018]]*Emissionsfaktoren[[#This Row],[2018]]/1000, 0)</f>
        <v>0</v>
      </c>
      <c r="I77" s="15">
        <f>IF(ISNUMBER(Refsz_Verbräuche[[#This Row],[2019]]), Refsz_Verbräuche[[#This Row],[2019]]*Emissionsfaktoren[[#This Row],[2019]]/1000, 0)</f>
        <v>0</v>
      </c>
      <c r="J77" s="15">
        <f>IF(ISNUMBER(Refsz_Verbräuche[[#This Row],[2020]]), Refsz_Verbräuche[[#This Row],[2020]]*Emissionsfaktoren[[#This Row],[2020]]/1000, 0)</f>
        <v>0</v>
      </c>
      <c r="K77" s="15">
        <f>IF(ISNUMBER(Refsz_Verbräuche[[#This Row],[2021]]), Refsz_Verbräuche[[#This Row],[2021]]*Emissionsfaktoren[[#This Row],[2021]]/1000, 0)</f>
        <v>0</v>
      </c>
      <c r="L77" s="15">
        <f>IF(ISNUMBER(Refsz_Verbräuche[[#This Row],[2022]]), Refsz_Verbräuche[[#This Row],[2022]]*Emissionsfaktoren[[#This Row],[2022]]/1000, 0)</f>
        <v>0</v>
      </c>
      <c r="M77" s="15">
        <f>IF(ISNUMBER(Refsz_Verbräuche[[#This Row],[2023]]), Refsz_Verbräuche[[#This Row],[2023]]*Emissionsfaktoren[[#This Row],[2023]]/1000, 0)</f>
        <v>0</v>
      </c>
      <c r="N77" s="15">
        <f>IF(ISNUMBER(Refsz_Verbräuche[[#This Row],[2024]]), Refsz_Verbräuche[[#This Row],[2024]]*Emissionsfaktoren[[#This Row],[2024]]/1000, 0)</f>
        <v>0</v>
      </c>
      <c r="O77" s="15">
        <f>IF(ISNUMBER(Refsz_Verbräuche[[#This Row],[2025]]), Refsz_Verbräuche[[#This Row],[2025]]*Emissionsfaktoren[[#This Row],[2025]]/1000, 0)</f>
        <v>0</v>
      </c>
      <c r="P77" s="15">
        <f>IF(ISNUMBER(Refsz_Verbräuche[[#This Row],[2026]]), Refsz_Verbräuche[[#This Row],[2026]]*Emissionsfaktoren[[#This Row],[2026]]/1000, 0)</f>
        <v>0</v>
      </c>
      <c r="Q77" s="15">
        <f>IF(ISNUMBER(Refsz_Verbräuche[[#This Row],[2027]]), Refsz_Verbräuche[[#This Row],[2027]]*Emissionsfaktoren[[#This Row],[2027]]/1000, 0)</f>
        <v>0</v>
      </c>
      <c r="R77" s="15">
        <f>IF(ISNUMBER(Refsz_Verbräuche[[#This Row],[2028]]), Refsz_Verbräuche[[#This Row],[2028]]*Emissionsfaktoren[[#This Row],[2028]]/1000, 0)</f>
        <v>0</v>
      </c>
      <c r="S77" s="15">
        <f>IF(ISNUMBER(Refsz_Verbräuche[[#This Row],[2029]]), Refsz_Verbräuche[[#This Row],[2029]]*Emissionsfaktoren[[#This Row],[2029]]/1000, 0)</f>
        <v>0</v>
      </c>
      <c r="T77" s="15">
        <f>IF(ISNUMBER(Refsz_Verbräuche[[#This Row],[2030]]), Refsz_Verbräuche[[#This Row],[2030]]*Emissionsfaktoren[[#This Row],[2030]]/1000, 0)</f>
        <v>0</v>
      </c>
      <c r="U77" s="15">
        <f>IF(ISNUMBER(Refsz_Verbräuche[[#This Row],[2035]]), Refsz_Verbräuche[[#This Row],[2035]]*Emissionsfaktoren[[#This Row],[2035]]/1000, 0)</f>
        <v>0</v>
      </c>
      <c r="V77" s="15">
        <f>IF(ISNUMBER(Refsz_Verbräuche[[#This Row],[2040]]), Refsz_Verbräuche[[#This Row],[2040]]*Emissionsfaktoren[[#This Row],[2040]]/1000, 0)</f>
        <v>0</v>
      </c>
      <c r="W77" s="15">
        <f>IF(ISNUMBER(Refsz_Verbräuche[[#This Row],[2045]]), Refsz_Verbräuche[[#This Row],[2045]]*Emissionsfaktoren[[#This Row],[2045]]/1000, 0)</f>
        <v>0</v>
      </c>
      <c r="X77" s="15">
        <f>IF(ISNUMBER(Refsz_Verbräuche[[#This Row],[2050]]), Refsz_Verbräuche[[#This Row],[2050]]*Emissionsfaktoren[[#This Row],[2050]]/1000, 0)</f>
        <v>0</v>
      </c>
      <c r="Z77" s="10"/>
    </row>
    <row r="78" spans="2:26" ht="16.5" hidden="1" x14ac:dyDescent="0.45">
      <c r="B78" s="15">
        <v>18</v>
      </c>
      <c r="C78" s="20" t="str">
        <f>Refsz_Verbräuche[[#This Row],[Datenpunkt]]</f>
        <v>Wärme (Holzpellets, 50kW/größere Zentralheizung)</v>
      </c>
      <c r="D78" t="s">
        <v>208</v>
      </c>
      <c r="E78" s="15">
        <f>IF(ISNUMBER(Refsz_Verbräuche[[#This Row],[2015]]), Refsz_Verbräuche[[#This Row],[2015]]*Emissionsfaktoren[[#This Row],[2015]]/1000, 0)</f>
        <v>0</v>
      </c>
      <c r="F78" s="15">
        <f>IF(ISNUMBER(Refsz_Verbräuche[[#This Row],[2016]]), Refsz_Verbräuche[[#This Row],[2016]]*Emissionsfaktoren[[#This Row],[2016]]/1000, 0)</f>
        <v>0</v>
      </c>
      <c r="G78" s="15">
        <f>IF(ISNUMBER(Refsz_Verbräuche[[#This Row],[2017]]), Refsz_Verbräuche[[#This Row],[2017]]*Emissionsfaktoren[[#This Row],[2017]]/1000, 0)</f>
        <v>0</v>
      </c>
      <c r="H78" s="15">
        <f>IF(ISNUMBER(Refsz_Verbräuche[[#This Row],[2018]]), Refsz_Verbräuche[[#This Row],[2018]]*Emissionsfaktoren[[#This Row],[2018]]/1000, 0)</f>
        <v>0</v>
      </c>
      <c r="I78" s="15">
        <f>IF(ISNUMBER(Refsz_Verbräuche[[#This Row],[2019]]), Refsz_Verbräuche[[#This Row],[2019]]*Emissionsfaktoren[[#This Row],[2019]]/1000, 0)</f>
        <v>0</v>
      </c>
      <c r="J78" s="15">
        <f>IF(ISNUMBER(Refsz_Verbräuche[[#This Row],[2020]]), Refsz_Verbräuche[[#This Row],[2020]]*Emissionsfaktoren[[#This Row],[2020]]/1000, 0)</f>
        <v>0</v>
      </c>
      <c r="K78" s="15">
        <f>IF(ISNUMBER(Refsz_Verbräuche[[#This Row],[2021]]), Refsz_Verbräuche[[#This Row],[2021]]*Emissionsfaktoren[[#This Row],[2021]]/1000, 0)</f>
        <v>0</v>
      </c>
      <c r="L78" s="15">
        <f>IF(ISNUMBER(Refsz_Verbräuche[[#This Row],[2022]]), Refsz_Verbräuche[[#This Row],[2022]]*Emissionsfaktoren[[#This Row],[2022]]/1000, 0)</f>
        <v>0</v>
      </c>
      <c r="M78" s="15">
        <f>IF(ISNUMBER(Refsz_Verbräuche[[#This Row],[2023]]), Refsz_Verbräuche[[#This Row],[2023]]*Emissionsfaktoren[[#This Row],[2023]]/1000, 0)</f>
        <v>0</v>
      </c>
      <c r="N78" s="15">
        <f>IF(ISNUMBER(Refsz_Verbräuche[[#This Row],[2024]]), Refsz_Verbräuche[[#This Row],[2024]]*Emissionsfaktoren[[#This Row],[2024]]/1000, 0)</f>
        <v>0</v>
      </c>
      <c r="O78" s="15">
        <f>IF(ISNUMBER(Refsz_Verbräuche[[#This Row],[2025]]), Refsz_Verbräuche[[#This Row],[2025]]*Emissionsfaktoren[[#This Row],[2025]]/1000, 0)</f>
        <v>0</v>
      </c>
      <c r="P78" s="15">
        <f>IF(ISNUMBER(Refsz_Verbräuche[[#This Row],[2026]]), Refsz_Verbräuche[[#This Row],[2026]]*Emissionsfaktoren[[#This Row],[2026]]/1000, 0)</f>
        <v>0</v>
      </c>
      <c r="Q78" s="15">
        <f>IF(ISNUMBER(Refsz_Verbräuche[[#This Row],[2027]]), Refsz_Verbräuche[[#This Row],[2027]]*Emissionsfaktoren[[#This Row],[2027]]/1000, 0)</f>
        <v>0</v>
      </c>
      <c r="R78" s="15">
        <f>IF(ISNUMBER(Refsz_Verbräuche[[#This Row],[2028]]), Refsz_Verbräuche[[#This Row],[2028]]*Emissionsfaktoren[[#This Row],[2028]]/1000, 0)</f>
        <v>0</v>
      </c>
      <c r="S78" s="15">
        <f>IF(ISNUMBER(Refsz_Verbräuche[[#This Row],[2029]]), Refsz_Verbräuche[[#This Row],[2029]]*Emissionsfaktoren[[#This Row],[2029]]/1000, 0)</f>
        <v>0</v>
      </c>
      <c r="T78" s="15">
        <f>IF(ISNUMBER(Refsz_Verbräuche[[#This Row],[2030]]), Refsz_Verbräuche[[#This Row],[2030]]*Emissionsfaktoren[[#This Row],[2030]]/1000, 0)</f>
        <v>0</v>
      </c>
      <c r="U78" s="15">
        <f>IF(ISNUMBER(Refsz_Verbräuche[[#This Row],[2035]]), Refsz_Verbräuche[[#This Row],[2035]]*Emissionsfaktoren[[#This Row],[2035]]/1000, 0)</f>
        <v>0</v>
      </c>
      <c r="V78" s="15">
        <f>IF(ISNUMBER(Refsz_Verbräuche[[#This Row],[2040]]), Refsz_Verbräuche[[#This Row],[2040]]*Emissionsfaktoren[[#This Row],[2040]]/1000, 0)</f>
        <v>0</v>
      </c>
      <c r="W78" s="15">
        <f>IF(ISNUMBER(Refsz_Verbräuche[[#This Row],[2045]]), Refsz_Verbräuche[[#This Row],[2045]]*Emissionsfaktoren[[#This Row],[2045]]/1000, 0)</f>
        <v>0</v>
      </c>
      <c r="X78" s="15">
        <f>IF(ISNUMBER(Refsz_Verbräuche[[#This Row],[2050]]), Refsz_Verbräuche[[#This Row],[2050]]*Emissionsfaktoren[[#This Row],[2050]]/1000, 0)</f>
        <v>0</v>
      </c>
      <c r="Z78" s="10"/>
    </row>
    <row r="79" spans="2:26" ht="16.5" hidden="1" x14ac:dyDescent="0.45">
      <c r="B79" s="15">
        <v>19</v>
      </c>
      <c r="C79" s="20" t="str">
        <f>Refsz_Verbräuche[[#This Row],[Datenpunkt]]</f>
        <v>Wärme (Fernwärme Mix)</v>
      </c>
      <c r="D79" t="s">
        <v>208</v>
      </c>
      <c r="E79" s="15">
        <f>IF(ISNUMBER(Refsz_Verbräuche[[#This Row],[2015]]), Refsz_Verbräuche[[#This Row],[2015]]*Emissionsfaktoren[[#This Row],[2015]]/1000, 0)</f>
        <v>0</v>
      </c>
      <c r="F79" s="15">
        <f>IF(ISNUMBER(Refsz_Verbräuche[[#This Row],[2016]]), Refsz_Verbräuche[[#This Row],[2016]]*Emissionsfaktoren[[#This Row],[2016]]/1000, 0)</f>
        <v>0</v>
      </c>
      <c r="G79" s="15">
        <f>IF(ISNUMBER(Refsz_Verbräuche[[#This Row],[2017]]), Refsz_Verbräuche[[#This Row],[2017]]*Emissionsfaktoren[[#This Row],[2017]]/1000, 0)</f>
        <v>0</v>
      </c>
      <c r="H79" s="15">
        <f>IF(ISNUMBER(Refsz_Verbräuche[[#This Row],[2018]]), Refsz_Verbräuche[[#This Row],[2018]]*Emissionsfaktoren[[#This Row],[2018]]/1000, 0)</f>
        <v>0</v>
      </c>
      <c r="I79" s="15">
        <f>IF(ISNUMBER(Refsz_Verbräuche[[#This Row],[2019]]), Refsz_Verbräuche[[#This Row],[2019]]*Emissionsfaktoren[[#This Row],[2019]]/1000, 0)</f>
        <v>0</v>
      </c>
      <c r="J79" s="15">
        <f>IF(ISNUMBER(Refsz_Verbräuche[[#This Row],[2020]]), Refsz_Verbräuche[[#This Row],[2020]]*Emissionsfaktoren[[#This Row],[2020]]/1000, 0)</f>
        <v>0</v>
      </c>
      <c r="K79" s="15">
        <f>IF(ISNUMBER(Refsz_Verbräuche[[#This Row],[2021]]), Refsz_Verbräuche[[#This Row],[2021]]*Emissionsfaktoren[[#This Row],[2021]]/1000, 0)</f>
        <v>0</v>
      </c>
      <c r="L79" s="15">
        <f>IF(ISNUMBER(Refsz_Verbräuche[[#This Row],[2022]]), Refsz_Verbräuche[[#This Row],[2022]]*Emissionsfaktoren[[#This Row],[2022]]/1000, 0)</f>
        <v>0</v>
      </c>
      <c r="M79" s="15">
        <f>IF(ISNUMBER(Refsz_Verbräuche[[#This Row],[2023]]), Refsz_Verbräuche[[#This Row],[2023]]*Emissionsfaktoren[[#This Row],[2023]]/1000, 0)</f>
        <v>0</v>
      </c>
      <c r="N79" s="15">
        <f>IF(ISNUMBER(Refsz_Verbräuche[[#This Row],[2024]]), Refsz_Verbräuche[[#This Row],[2024]]*Emissionsfaktoren[[#This Row],[2024]]/1000, 0)</f>
        <v>0</v>
      </c>
      <c r="O79" s="15">
        <f>IF(ISNUMBER(Refsz_Verbräuche[[#This Row],[2025]]), Refsz_Verbräuche[[#This Row],[2025]]*Emissionsfaktoren[[#This Row],[2025]]/1000, 0)</f>
        <v>0</v>
      </c>
      <c r="P79" s="15">
        <f>IF(ISNUMBER(Refsz_Verbräuche[[#This Row],[2026]]), Refsz_Verbräuche[[#This Row],[2026]]*Emissionsfaktoren[[#This Row],[2026]]/1000, 0)</f>
        <v>0</v>
      </c>
      <c r="Q79" s="15">
        <f>IF(ISNUMBER(Refsz_Verbräuche[[#This Row],[2027]]), Refsz_Verbräuche[[#This Row],[2027]]*Emissionsfaktoren[[#This Row],[2027]]/1000, 0)</f>
        <v>0</v>
      </c>
      <c r="R79" s="15">
        <f>IF(ISNUMBER(Refsz_Verbräuche[[#This Row],[2028]]), Refsz_Verbräuche[[#This Row],[2028]]*Emissionsfaktoren[[#This Row],[2028]]/1000, 0)</f>
        <v>0</v>
      </c>
      <c r="S79" s="15">
        <f>IF(ISNUMBER(Refsz_Verbräuche[[#This Row],[2029]]), Refsz_Verbräuche[[#This Row],[2029]]*Emissionsfaktoren[[#This Row],[2029]]/1000, 0)</f>
        <v>0</v>
      </c>
      <c r="T79" s="15">
        <f>IF(ISNUMBER(Refsz_Verbräuche[[#This Row],[2030]]), Refsz_Verbräuche[[#This Row],[2030]]*Emissionsfaktoren[[#This Row],[2030]]/1000, 0)</f>
        <v>0</v>
      </c>
      <c r="U79" s="15">
        <f>IF(ISNUMBER(Refsz_Verbräuche[[#This Row],[2035]]), Refsz_Verbräuche[[#This Row],[2035]]*Emissionsfaktoren[[#This Row],[2035]]/1000, 0)</f>
        <v>0</v>
      </c>
      <c r="V79" s="15">
        <f>IF(ISNUMBER(Refsz_Verbräuche[[#This Row],[2040]]), Refsz_Verbräuche[[#This Row],[2040]]*Emissionsfaktoren[[#This Row],[2040]]/1000, 0)</f>
        <v>0</v>
      </c>
      <c r="W79" s="15">
        <f>IF(ISNUMBER(Refsz_Verbräuche[[#This Row],[2045]]), Refsz_Verbräuche[[#This Row],[2045]]*Emissionsfaktoren[[#This Row],[2045]]/1000, 0)</f>
        <v>0</v>
      </c>
      <c r="X79" s="15">
        <f>IF(ISNUMBER(Refsz_Verbräuche[[#This Row],[2050]]), Refsz_Verbräuche[[#This Row],[2050]]*Emissionsfaktoren[[#This Row],[2050]]/1000, 0)</f>
        <v>0</v>
      </c>
      <c r="Z79" s="10"/>
    </row>
    <row r="80" spans="2:26" ht="16.5" hidden="1" x14ac:dyDescent="0.45">
      <c r="B80" s="15">
        <v>20</v>
      </c>
      <c r="C80" s="20" t="str">
        <f>Refsz_Verbräuche[[#This Row],[Datenpunkt]]</f>
        <v>Wärme (Fernwärme Abfall)</v>
      </c>
      <c r="D80" t="s">
        <v>208</v>
      </c>
      <c r="E80" s="15">
        <f>IF(ISNUMBER(Refsz_Verbräuche[[#This Row],[2015]]), Refsz_Verbräuche[[#This Row],[2015]]*Emissionsfaktoren[[#This Row],[2015]]/1000, 0)</f>
        <v>0</v>
      </c>
      <c r="F80" s="15">
        <f>IF(ISNUMBER(Refsz_Verbräuche[[#This Row],[2016]]), Refsz_Verbräuche[[#This Row],[2016]]*Emissionsfaktoren[[#This Row],[2016]]/1000, 0)</f>
        <v>0</v>
      </c>
      <c r="G80" s="15">
        <f>IF(ISNUMBER(Refsz_Verbräuche[[#This Row],[2017]]), Refsz_Verbräuche[[#This Row],[2017]]*Emissionsfaktoren[[#This Row],[2017]]/1000, 0)</f>
        <v>0</v>
      </c>
      <c r="H80" s="15">
        <f>IF(ISNUMBER(Refsz_Verbräuche[[#This Row],[2018]]), Refsz_Verbräuche[[#This Row],[2018]]*Emissionsfaktoren[[#This Row],[2018]]/1000, 0)</f>
        <v>0</v>
      </c>
      <c r="I80" s="15">
        <f>IF(ISNUMBER(Refsz_Verbräuche[[#This Row],[2019]]), Refsz_Verbräuche[[#This Row],[2019]]*Emissionsfaktoren[[#This Row],[2019]]/1000, 0)</f>
        <v>0</v>
      </c>
      <c r="J80" s="15">
        <f>IF(ISNUMBER(Refsz_Verbräuche[[#This Row],[2020]]), Refsz_Verbräuche[[#This Row],[2020]]*Emissionsfaktoren[[#This Row],[2020]]/1000, 0)</f>
        <v>0</v>
      </c>
      <c r="K80" s="15">
        <f>IF(ISNUMBER(Refsz_Verbräuche[[#This Row],[2021]]), Refsz_Verbräuche[[#This Row],[2021]]*Emissionsfaktoren[[#This Row],[2021]]/1000, 0)</f>
        <v>0</v>
      </c>
      <c r="L80" s="15">
        <f>IF(ISNUMBER(Refsz_Verbräuche[[#This Row],[2022]]), Refsz_Verbräuche[[#This Row],[2022]]*Emissionsfaktoren[[#This Row],[2022]]/1000, 0)</f>
        <v>0</v>
      </c>
      <c r="M80" s="15">
        <f>IF(ISNUMBER(Refsz_Verbräuche[[#This Row],[2023]]), Refsz_Verbräuche[[#This Row],[2023]]*Emissionsfaktoren[[#This Row],[2023]]/1000, 0)</f>
        <v>0</v>
      </c>
      <c r="N80" s="15">
        <f>IF(ISNUMBER(Refsz_Verbräuche[[#This Row],[2024]]), Refsz_Verbräuche[[#This Row],[2024]]*Emissionsfaktoren[[#This Row],[2024]]/1000, 0)</f>
        <v>0</v>
      </c>
      <c r="O80" s="15">
        <f>IF(ISNUMBER(Refsz_Verbräuche[[#This Row],[2025]]), Refsz_Verbräuche[[#This Row],[2025]]*Emissionsfaktoren[[#This Row],[2025]]/1000, 0)</f>
        <v>0</v>
      </c>
      <c r="P80" s="15">
        <f>IF(ISNUMBER(Refsz_Verbräuche[[#This Row],[2026]]), Refsz_Verbräuche[[#This Row],[2026]]*Emissionsfaktoren[[#This Row],[2026]]/1000, 0)</f>
        <v>0</v>
      </c>
      <c r="Q80" s="15">
        <f>IF(ISNUMBER(Refsz_Verbräuche[[#This Row],[2027]]), Refsz_Verbräuche[[#This Row],[2027]]*Emissionsfaktoren[[#This Row],[2027]]/1000, 0)</f>
        <v>0</v>
      </c>
      <c r="R80" s="15">
        <f>IF(ISNUMBER(Refsz_Verbräuche[[#This Row],[2028]]), Refsz_Verbräuche[[#This Row],[2028]]*Emissionsfaktoren[[#This Row],[2028]]/1000, 0)</f>
        <v>0</v>
      </c>
      <c r="S80" s="15">
        <f>IF(ISNUMBER(Refsz_Verbräuche[[#This Row],[2029]]), Refsz_Verbräuche[[#This Row],[2029]]*Emissionsfaktoren[[#This Row],[2029]]/1000, 0)</f>
        <v>0</v>
      </c>
      <c r="T80" s="15">
        <f>IF(ISNUMBER(Refsz_Verbräuche[[#This Row],[2030]]), Refsz_Verbräuche[[#This Row],[2030]]*Emissionsfaktoren[[#This Row],[2030]]/1000, 0)</f>
        <v>0</v>
      </c>
      <c r="U80" s="15">
        <f>IF(ISNUMBER(Refsz_Verbräuche[[#This Row],[2035]]), Refsz_Verbräuche[[#This Row],[2035]]*Emissionsfaktoren[[#This Row],[2035]]/1000, 0)</f>
        <v>0</v>
      </c>
      <c r="V80" s="15">
        <f>IF(ISNUMBER(Refsz_Verbräuche[[#This Row],[2040]]), Refsz_Verbräuche[[#This Row],[2040]]*Emissionsfaktoren[[#This Row],[2040]]/1000, 0)</f>
        <v>0</v>
      </c>
      <c r="W80" s="15">
        <f>IF(ISNUMBER(Refsz_Verbräuche[[#This Row],[2045]]), Refsz_Verbräuche[[#This Row],[2045]]*Emissionsfaktoren[[#This Row],[2045]]/1000, 0)</f>
        <v>0</v>
      </c>
      <c r="X80" s="15">
        <f>IF(ISNUMBER(Refsz_Verbräuche[[#This Row],[2050]]), Refsz_Verbräuche[[#This Row],[2050]]*Emissionsfaktoren[[#This Row],[2050]]/1000, 0)</f>
        <v>0</v>
      </c>
      <c r="Z80" s="10"/>
    </row>
    <row r="81" spans="2:26" ht="16.5" hidden="1" x14ac:dyDescent="0.45">
      <c r="B81" s="15">
        <v>21</v>
      </c>
      <c r="C81" s="20" t="str">
        <f>Refsz_Verbräuche[[#This Row],[Datenpunkt]]</f>
        <v>Wärme (Heizöl)</v>
      </c>
      <c r="D81" t="s">
        <v>208</v>
      </c>
      <c r="E81" s="15">
        <f>IF(ISNUMBER(Refsz_Verbräuche[[#This Row],[2015]]), Refsz_Verbräuche[[#This Row],[2015]]*Emissionsfaktoren[[#This Row],[2015]]/1000, 0)</f>
        <v>0</v>
      </c>
      <c r="F81" s="15">
        <f>IF(ISNUMBER(Refsz_Verbräuche[[#This Row],[2016]]), Refsz_Verbräuche[[#This Row],[2016]]*Emissionsfaktoren[[#This Row],[2016]]/1000, 0)</f>
        <v>0</v>
      </c>
      <c r="G81" s="15">
        <f>IF(ISNUMBER(Refsz_Verbräuche[[#This Row],[2017]]), Refsz_Verbräuche[[#This Row],[2017]]*Emissionsfaktoren[[#This Row],[2017]]/1000, 0)</f>
        <v>0</v>
      </c>
      <c r="H81" s="15">
        <f>IF(ISNUMBER(Refsz_Verbräuche[[#This Row],[2018]]), Refsz_Verbräuche[[#This Row],[2018]]*Emissionsfaktoren[[#This Row],[2018]]/1000, 0)</f>
        <v>0</v>
      </c>
      <c r="I81" s="15">
        <f>IF(ISNUMBER(Refsz_Verbräuche[[#This Row],[2019]]), Refsz_Verbräuche[[#This Row],[2019]]*Emissionsfaktoren[[#This Row],[2019]]/1000, 0)</f>
        <v>0</v>
      </c>
      <c r="J81" s="15">
        <f>IF(ISNUMBER(Refsz_Verbräuche[[#This Row],[2020]]), Refsz_Verbräuche[[#This Row],[2020]]*Emissionsfaktoren[[#This Row],[2020]]/1000, 0)</f>
        <v>0</v>
      </c>
      <c r="K81" s="15">
        <f>IF(ISNUMBER(Refsz_Verbräuche[[#This Row],[2021]]), Refsz_Verbräuche[[#This Row],[2021]]*Emissionsfaktoren[[#This Row],[2021]]/1000, 0)</f>
        <v>0</v>
      </c>
      <c r="L81" s="15">
        <f>IF(ISNUMBER(Refsz_Verbräuche[[#This Row],[2022]]), Refsz_Verbräuche[[#This Row],[2022]]*Emissionsfaktoren[[#This Row],[2022]]/1000, 0)</f>
        <v>0</v>
      </c>
      <c r="M81" s="15">
        <f>IF(ISNUMBER(Refsz_Verbräuche[[#This Row],[2023]]), Refsz_Verbräuche[[#This Row],[2023]]*Emissionsfaktoren[[#This Row],[2023]]/1000, 0)</f>
        <v>0</v>
      </c>
      <c r="N81" s="15">
        <f>IF(ISNUMBER(Refsz_Verbräuche[[#This Row],[2024]]), Refsz_Verbräuche[[#This Row],[2024]]*Emissionsfaktoren[[#This Row],[2024]]/1000, 0)</f>
        <v>0</v>
      </c>
      <c r="O81" s="15">
        <f>IF(ISNUMBER(Refsz_Verbräuche[[#This Row],[2025]]), Refsz_Verbräuche[[#This Row],[2025]]*Emissionsfaktoren[[#This Row],[2025]]/1000, 0)</f>
        <v>0</v>
      </c>
      <c r="P81" s="15">
        <f>IF(ISNUMBER(Refsz_Verbräuche[[#This Row],[2026]]), Refsz_Verbräuche[[#This Row],[2026]]*Emissionsfaktoren[[#This Row],[2026]]/1000, 0)</f>
        <v>0</v>
      </c>
      <c r="Q81" s="15">
        <f>IF(ISNUMBER(Refsz_Verbräuche[[#This Row],[2027]]), Refsz_Verbräuche[[#This Row],[2027]]*Emissionsfaktoren[[#This Row],[2027]]/1000, 0)</f>
        <v>0</v>
      </c>
      <c r="R81" s="15">
        <f>IF(ISNUMBER(Refsz_Verbräuche[[#This Row],[2028]]), Refsz_Verbräuche[[#This Row],[2028]]*Emissionsfaktoren[[#This Row],[2028]]/1000, 0)</f>
        <v>0</v>
      </c>
      <c r="S81" s="15">
        <f>IF(ISNUMBER(Refsz_Verbräuche[[#This Row],[2029]]), Refsz_Verbräuche[[#This Row],[2029]]*Emissionsfaktoren[[#This Row],[2029]]/1000, 0)</f>
        <v>0</v>
      </c>
      <c r="T81" s="15">
        <f>IF(ISNUMBER(Refsz_Verbräuche[[#This Row],[2030]]), Refsz_Verbräuche[[#This Row],[2030]]*Emissionsfaktoren[[#This Row],[2030]]/1000, 0)</f>
        <v>0</v>
      </c>
      <c r="U81" s="15">
        <f>IF(ISNUMBER(Refsz_Verbräuche[[#This Row],[2035]]), Refsz_Verbräuche[[#This Row],[2035]]*Emissionsfaktoren[[#This Row],[2035]]/1000, 0)</f>
        <v>0</v>
      </c>
      <c r="V81" s="15">
        <f>IF(ISNUMBER(Refsz_Verbräuche[[#This Row],[2040]]), Refsz_Verbräuche[[#This Row],[2040]]*Emissionsfaktoren[[#This Row],[2040]]/1000, 0)</f>
        <v>0</v>
      </c>
      <c r="W81" s="15">
        <f>IF(ISNUMBER(Refsz_Verbräuche[[#This Row],[2045]]), Refsz_Verbräuche[[#This Row],[2045]]*Emissionsfaktoren[[#This Row],[2045]]/1000, 0)</f>
        <v>0</v>
      </c>
      <c r="X81" s="15">
        <f>IF(ISNUMBER(Refsz_Verbräuche[[#This Row],[2050]]), Refsz_Verbräuche[[#This Row],[2050]]*Emissionsfaktoren[[#This Row],[2050]]/1000, 0)</f>
        <v>0</v>
      </c>
      <c r="Z81" s="10"/>
    </row>
    <row r="82" spans="2:26" ht="16.5" hidden="1" x14ac:dyDescent="0.45">
      <c r="B82" s="15">
        <v>22</v>
      </c>
      <c r="C82" s="20" t="str">
        <f>Refsz_Verbräuche[[#This Row],[Datenpunkt]]</f>
        <v>Wärme (Solarthermie)</v>
      </c>
      <c r="D82" t="s">
        <v>208</v>
      </c>
      <c r="E82" s="15">
        <f>IF(ISNUMBER(Refsz_Verbräuche[[#This Row],[2015]]), Refsz_Verbräuche[[#This Row],[2015]]*Emissionsfaktoren[[#This Row],[2015]]/1000, 0)</f>
        <v>0</v>
      </c>
      <c r="F82" s="15">
        <f>IF(ISNUMBER(Refsz_Verbräuche[[#This Row],[2016]]), Refsz_Verbräuche[[#This Row],[2016]]*Emissionsfaktoren[[#This Row],[2016]]/1000, 0)</f>
        <v>0</v>
      </c>
      <c r="G82" s="15">
        <f>IF(ISNUMBER(Refsz_Verbräuche[[#This Row],[2017]]), Refsz_Verbräuche[[#This Row],[2017]]*Emissionsfaktoren[[#This Row],[2017]]/1000, 0)</f>
        <v>0</v>
      </c>
      <c r="H82" s="15">
        <f>IF(ISNUMBER(Refsz_Verbräuche[[#This Row],[2018]]), Refsz_Verbräuche[[#This Row],[2018]]*Emissionsfaktoren[[#This Row],[2018]]/1000, 0)</f>
        <v>0</v>
      </c>
      <c r="I82" s="15">
        <f>IF(ISNUMBER(Refsz_Verbräuche[[#This Row],[2019]]), Refsz_Verbräuche[[#This Row],[2019]]*Emissionsfaktoren[[#This Row],[2019]]/1000, 0)</f>
        <v>0</v>
      </c>
      <c r="J82" s="15">
        <f>IF(ISNUMBER(Refsz_Verbräuche[[#This Row],[2020]]), Refsz_Verbräuche[[#This Row],[2020]]*Emissionsfaktoren[[#This Row],[2020]]/1000, 0)</f>
        <v>0</v>
      </c>
      <c r="K82" s="15">
        <f>IF(ISNUMBER(Refsz_Verbräuche[[#This Row],[2021]]), Refsz_Verbräuche[[#This Row],[2021]]*Emissionsfaktoren[[#This Row],[2021]]/1000, 0)</f>
        <v>0</v>
      </c>
      <c r="L82" s="15">
        <f>IF(ISNUMBER(Refsz_Verbräuche[[#This Row],[2022]]), Refsz_Verbräuche[[#This Row],[2022]]*Emissionsfaktoren[[#This Row],[2022]]/1000, 0)</f>
        <v>0</v>
      </c>
      <c r="M82" s="15">
        <f>IF(ISNUMBER(Refsz_Verbräuche[[#This Row],[2023]]), Refsz_Verbräuche[[#This Row],[2023]]*Emissionsfaktoren[[#This Row],[2023]]/1000, 0)</f>
        <v>0</v>
      </c>
      <c r="N82" s="15">
        <f>IF(ISNUMBER(Refsz_Verbräuche[[#This Row],[2024]]), Refsz_Verbräuche[[#This Row],[2024]]*Emissionsfaktoren[[#This Row],[2024]]/1000, 0)</f>
        <v>0</v>
      </c>
      <c r="O82" s="15">
        <f>IF(ISNUMBER(Refsz_Verbräuche[[#This Row],[2025]]), Refsz_Verbräuche[[#This Row],[2025]]*Emissionsfaktoren[[#This Row],[2025]]/1000, 0)</f>
        <v>0</v>
      </c>
      <c r="P82" s="15">
        <f>IF(ISNUMBER(Refsz_Verbräuche[[#This Row],[2026]]), Refsz_Verbräuche[[#This Row],[2026]]*Emissionsfaktoren[[#This Row],[2026]]/1000, 0)</f>
        <v>0</v>
      </c>
      <c r="Q82" s="15">
        <f>IF(ISNUMBER(Refsz_Verbräuche[[#This Row],[2027]]), Refsz_Verbräuche[[#This Row],[2027]]*Emissionsfaktoren[[#This Row],[2027]]/1000, 0)</f>
        <v>0</v>
      </c>
      <c r="R82" s="15">
        <f>IF(ISNUMBER(Refsz_Verbräuche[[#This Row],[2028]]), Refsz_Verbräuche[[#This Row],[2028]]*Emissionsfaktoren[[#This Row],[2028]]/1000, 0)</f>
        <v>0</v>
      </c>
      <c r="S82" s="15">
        <f>IF(ISNUMBER(Refsz_Verbräuche[[#This Row],[2029]]), Refsz_Verbräuche[[#This Row],[2029]]*Emissionsfaktoren[[#This Row],[2029]]/1000, 0)</f>
        <v>0</v>
      </c>
      <c r="T82" s="15">
        <f>IF(ISNUMBER(Refsz_Verbräuche[[#This Row],[2030]]), Refsz_Verbräuche[[#This Row],[2030]]*Emissionsfaktoren[[#This Row],[2030]]/1000, 0)</f>
        <v>0</v>
      </c>
      <c r="U82" s="15">
        <f>IF(ISNUMBER(Refsz_Verbräuche[[#This Row],[2035]]), Refsz_Verbräuche[[#This Row],[2035]]*Emissionsfaktoren[[#This Row],[2035]]/1000, 0)</f>
        <v>0</v>
      </c>
      <c r="V82" s="15">
        <f>IF(ISNUMBER(Refsz_Verbräuche[[#This Row],[2040]]), Refsz_Verbräuche[[#This Row],[2040]]*Emissionsfaktoren[[#This Row],[2040]]/1000, 0)</f>
        <v>0</v>
      </c>
      <c r="W82" s="15">
        <f>IF(ISNUMBER(Refsz_Verbräuche[[#This Row],[2045]]), Refsz_Verbräuche[[#This Row],[2045]]*Emissionsfaktoren[[#This Row],[2045]]/1000, 0)</f>
        <v>0</v>
      </c>
      <c r="X82" s="15">
        <f>IF(ISNUMBER(Refsz_Verbräuche[[#This Row],[2050]]), Refsz_Verbräuche[[#This Row],[2050]]*Emissionsfaktoren[[#This Row],[2050]]/1000, 0)</f>
        <v>0</v>
      </c>
      <c r="Z82" s="10"/>
    </row>
    <row r="83" spans="2:26" ht="16.5" hidden="1" x14ac:dyDescent="0.45">
      <c r="B83" s="15">
        <v>23</v>
      </c>
      <c r="C83" s="20" t="str">
        <f>Refsz_Verbräuche[[#This Row],[Datenpunkt]]</f>
        <v>Wärme (Sole-Wasser-Wärmepumpe; Bundesstrommix)</v>
      </c>
      <c r="D83" t="s">
        <v>208</v>
      </c>
      <c r="E83" s="15">
        <f>IF(ISNUMBER(Refsz_Verbräuche[[#This Row],[2015]]), Refsz_Verbräuche[[#This Row],[2015]]*Emissionsfaktoren[[#This Row],[2015]]/1000, 0)</f>
        <v>0</v>
      </c>
      <c r="F83" s="15">
        <f>IF(ISNUMBER(Refsz_Verbräuche[[#This Row],[2016]]), Refsz_Verbräuche[[#This Row],[2016]]*Emissionsfaktoren[[#This Row],[2016]]/1000, 0)</f>
        <v>0</v>
      </c>
      <c r="G83" s="15">
        <f>IF(ISNUMBER(Refsz_Verbräuche[[#This Row],[2017]]), Refsz_Verbräuche[[#This Row],[2017]]*Emissionsfaktoren[[#This Row],[2017]]/1000, 0)</f>
        <v>0</v>
      </c>
      <c r="H83" s="15">
        <f>IF(ISNUMBER(Refsz_Verbräuche[[#This Row],[2018]]), Refsz_Verbräuche[[#This Row],[2018]]*Emissionsfaktoren[[#This Row],[2018]]/1000, 0)</f>
        <v>0</v>
      </c>
      <c r="I83" s="15">
        <f>IF(ISNUMBER(Refsz_Verbräuche[[#This Row],[2019]]), Refsz_Verbräuche[[#This Row],[2019]]*Emissionsfaktoren[[#This Row],[2019]]/1000, 0)</f>
        <v>0</v>
      </c>
      <c r="J83" s="15">
        <f>IF(ISNUMBER(Refsz_Verbräuche[[#This Row],[2020]]), Refsz_Verbräuche[[#This Row],[2020]]*Emissionsfaktoren[[#This Row],[2020]]/1000, 0)</f>
        <v>0</v>
      </c>
      <c r="K83" s="15">
        <f>IF(ISNUMBER(Refsz_Verbräuche[[#This Row],[2021]]), Refsz_Verbräuche[[#This Row],[2021]]*Emissionsfaktoren[[#This Row],[2021]]/1000, 0)</f>
        <v>0</v>
      </c>
      <c r="L83" s="15">
        <f>IF(ISNUMBER(Refsz_Verbräuche[[#This Row],[2022]]), Refsz_Verbräuche[[#This Row],[2022]]*Emissionsfaktoren[[#This Row],[2022]]/1000, 0)</f>
        <v>0</v>
      </c>
      <c r="M83" s="15">
        <f>IF(ISNUMBER(Refsz_Verbräuche[[#This Row],[2023]]), Refsz_Verbräuche[[#This Row],[2023]]*Emissionsfaktoren[[#This Row],[2023]]/1000, 0)</f>
        <v>0</v>
      </c>
      <c r="N83" s="15">
        <f>IF(ISNUMBER(Refsz_Verbräuche[[#This Row],[2024]]), Refsz_Verbräuche[[#This Row],[2024]]*Emissionsfaktoren[[#This Row],[2024]]/1000, 0)</f>
        <v>0</v>
      </c>
      <c r="O83" s="15">
        <f>IF(ISNUMBER(Refsz_Verbräuche[[#This Row],[2025]]), Refsz_Verbräuche[[#This Row],[2025]]*Emissionsfaktoren[[#This Row],[2025]]/1000, 0)</f>
        <v>0</v>
      </c>
      <c r="P83" s="15">
        <f>IF(ISNUMBER(Refsz_Verbräuche[[#This Row],[2026]]), Refsz_Verbräuche[[#This Row],[2026]]*Emissionsfaktoren[[#This Row],[2026]]/1000, 0)</f>
        <v>0</v>
      </c>
      <c r="Q83" s="15">
        <f>IF(ISNUMBER(Refsz_Verbräuche[[#This Row],[2027]]), Refsz_Verbräuche[[#This Row],[2027]]*Emissionsfaktoren[[#This Row],[2027]]/1000, 0)</f>
        <v>0</v>
      </c>
      <c r="R83" s="15">
        <f>IF(ISNUMBER(Refsz_Verbräuche[[#This Row],[2028]]), Refsz_Verbräuche[[#This Row],[2028]]*Emissionsfaktoren[[#This Row],[2028]]/1000, 0)</f>
        <v>0</v>
      </c>
      <c r="S83" s="15">
        <f>IF(ISNUMBER(Refsz_Verbräuche[[#This Row],[2029]]), Refsz_Verbräuche[[#This Row],[2029]]*Emissionsfaktoren[[#This Row],[2029]]/1000, 0)</f>
        <v>0</v>
      </c>
      <c r="T83" s="15">
        <f>IF(ISNUMBER(Refsz_Verbräuche[[#This Row],[2030]]), Refsz_Verbräuche[[#This Row],[2030]]*Emissionsfaktoren[[#This Row],[2030]]/1000, 0)</f>
        <v>0</v>
      </c>
      <c r="U83" s="15">
        <f>IF(ISNUMBER(Refsz_Verbräuche[[#This Row],[2035]]), Refsz_Verbräuche[[#This Row],[2035]]*Emissionsfaktoren[[#This Row],[2035]]/1000, 0)</f>
        <v>0</v>
      </c>
      <c r="V83" s="15">
        <f>IF(ISNUMBER(Refsz_Verbräuche[[#This Row],[2040]]), Refsz_Verbräuche[[#This Row],[2040]]*Emissionsfaktoren[[#This Row],[2040]]/1000, 0)</f>
        <v>0</v>
      </c>
      <c r="W83" s="15">
        <f>IF(ISNUMBER(Refsz_Verbräuche[[#This Row],[2045]]), Refsz_Verbräuche[[#This Row],[2045]]*Emissionsfaktoren[[#This Row],[2045]]/1000, 0)</f>
        <v>0</v>
      </c>
      <c r="X83" s="15">
        <f>IF(ISNUMBER(Refsz_Verbräuche[[#This Row],[2050]]), Refsz_Verbräuche[[#This Row],[2050]]*Emissionsfaktoren[[#This Row],[2050]]/1000, 0)</f>
        <v>0</v>
      </c>
      <c r="Z83" s="10"/>
    </row>
    <row r="84" spans="2:26" ht="16.5" hidden="1" x14ac:dyDescent="0.45">
      <c r="B84" s="15">
        <v>24</v>
      </c>
      <c r="C84" s="20" t="str">
        <f>Refsz_Verbräuche[[#This Row],[Datenpunkt]]</f>
        <v>Wärme (Sole-Wasser-Wärmepumpe; Ökostrom)</v>
      </c>
      <c r="D84" t="s">
        <v>208</v>
      </c>
      <c r="E84" s="15">
        <f>IF(ISNUMBER(Refsz_Verbräuche[[#This Row],[2015]]), Refsz_Verbräuche[[#This Row],[2015]]*Emissionsfaktoren[[#This Row],[2015]]/1000, 0)</f>
        <v>0</v>
      </c>
      <c r="F84" s="15">
        <f>IF(ISNUMBER(Refsz_Verbräuche[[#This Row],[2016]]), Refsz_Verbräuche[[#This Row],[2016]]*Emissionsfaktoren[[#This Row],[2016]]/1000, 0)</f>
        <v>0</v>
      </c>
      <c r="G84" s="15">
        <f>IF(ISNUMBER(Refsz_Verbräuche[[#This Row],[2017]]), Refsz_Verbräuche[[#This Row],[2017]]*Emissionsfaktoren[[#This Row],[2017]]/1000, 0)</f>
        <v>0</v>
      </c>
      <c r="H84" s="15">
        <f>IF(ISNUMBER(Refsz_Verbräuche[[#This Row],[2018]]), Refsz_Verbräuche[[#This Row],[2018]]*Emissionsfaktoren[[#This Row],[2018]]/1000, 0)</f>
        <v>0</v>
      </c>
      <c r="I84" s="15">
        <f>IF(ISNUMBER(Refsz_Verbräuche[[#This Row],[2019]]), Refsz_Verbräuche[[#This Row],[2019]]*Emissionsfaktoren[[#This Row],[2019]]/1000, 0)</f>
        <v>0</v>
      </c>
      <c r="J84" s="15">
        <f>IF(ISNUMBER(Refsz_Verbräuche[[#This Row],[2020]]), Refsz_Verbräuche[[#This Row],[2020]]*Emissionsfaktoren[[#This Row],[2020]]/1000, 0)</f>
        <v>0</v>
      </c>
      <c r="K84" s="15">
        <f>IF(ISNUMBER(Refsz_Verbräuche[[#This Row],[2021]]), Refsz_Verbräuche[[#This Row],[2021]]*Emissionsfaktoren[[#This Row],[2021]]/1000, 0)</f>
        <v>0</v>
      </c>
      <c r="L84" s="15">
        <f>IF(ISNUMBER(Refsz_Verbräuche[[#This Row],[2022]]), Refsz_Verbräuche[[#This Row],[2022]]*Emissionsfaktoren[[#This Row],[2022]]/1000, 0)</f>
        <v>0</v>
      </c>
      <c r="M84" s="15">
        <f>IF(ISNUMBER(Refsz_Verbräuche[[#This Row],[2023]]), Refsz_Verbräuche[[#This Row],[2023]]*Emissionsfaktoren[[#This Row],[2023]]/1000, 0)</f>
        <v>0</v>
      </c>
      <c r="N84" s="15">
        <f>IF(ISNUMBER(Refsz_Verbräuche[[#This Row],[2024]]), Refsz_Verbräuche[[#This Row],[2024]]*Emissionsfaktoren[[#This Row],[2024]]/1000, 0)</f>
        <v>0</v>
      </c>
      <c r="O84" s="15">
        <f>IF(ISNUMBER(Refsz_Verbräuche[[#This Row],[2025]]), Refsz_Verbräuche[[#This Row],[2025]]*Emissionsfaktoren[[#This Row],[2025]]/1000, 0)</f>
        <v>0</v>
      </c>
      <c r="P84" s="15">
        <f>IF(ISNUMBER(Refsz_Verbräuche[[#This Row],[2026]]), Refsz_Verbräuche[[#This Row],[2026]]*Emissionsfaktoren[[#This Row],[2026]]/1000, 0)</f>
        <v>0</v>
      </c>
      <c r="Q84" s="15">
        <f>IF(ISNUMBER(Refsz_Verbräuche[[#This Row],[2027]]), Refsz_Verbräuche[[#This Row],[2027]]*Emissionsfaktoren[[#This Row],[2027]]/1000, 0)</f>
        <v>0</v>
      </c>
      <c r="R84" s="15">
        <f>IF(ISNUMBER(Refsz_Verbräuche[[#This Row],[2028]]), Refsz_Verbräuche[[#This Row],[2028]]*Emissionsfaktoren[[#This Row],[2028]]/1000, 0)</f>
        <v>0</v>
      </c>
      <c r="S84" s="15">
        <f>IF(ISNUMBER(Refsz_Verbräuche[[#This Row],[2029]]), Refsz_Verbräuche[[#This Row],[2029]]*Emissionsfaktoren[[#This Row],[2029]]/1000, 0)</f>
        <v>0</v>
      </c>
      <c r="T84" s="15">
        <f>IF(ISNUMBER(Refsz_Verbräuche[[#This Row],[2030]]), Refsz_Verbräuche[[#This Row],[2030]]*Emissionsfaktoren[[#This Row],[2030]]/1000, 0)</f>
        <v>0</v>
      </c>
      <c r="U84" s="15">
        <f>IF(ISNUMBER(Refsz_Verbräuche[[#This Row],[2035]]), Refsz_Verbräuche[[#This Row],[2035]]*Emissionsfaktoren[[#This Row],[2035]]/1000, 0)</f>
        <v>0</v>
      </c>
      <c r="V84" s="15">
        <f>IF(ISNUMBER(Refsz_Verbräuche[[#This Row],[2040]]), Refsz_Verbräuche[[#This Row],[2040]]*Emissionsfaktoren[[#This Row],[2040]]/1000, 0)</f>
        <v>0</v>
      </c>
      <c r="W84" s="15">
        <f>IF(ISNUMBER(Refsz_Verbräuche[[#This Row],[2045]]), Refsz_Verbräuche[[#This Row],[2045]]*Emissionsfaktoren[[#This Row],[2045]]/1000, 0)</f>
        <v>0</v>
      </c>
      <c r="X84" s="15">
        <f>IF(ISNUMBER(Refsz_Verbräuche[[#This Row],[2050]]), Refsz_Verbräuche[[#This Row],[2050]]*Emissionsfaktoren[[#This Row],[2050]]/1000, 0)</f>
        <v>0</v>
      </c>
      <c r="Z84" s="10"/>
    </row>
    <row r="85" spans="2:26" ht="16.5" hidden="1" x14ac:dyDescent="0.45">
      <c r="B85" s="15">
        <v>25</v>
      </c>
      <c r="C85" s="20" t="str">
        <f>Refsz_Verbräuche[[#This Row],[Datenpunkt]]</f>
        <v>Wärme (individuelle Wärmepumpe)</v>
      </c>
      <c r="D85" t="s">
        <v>208</v>
      </c>
      <c r="E85" s="15">
        <f>IF(ISNUMBER(Refsz_Verbräuche[[#This Row],[2015]]), Refsz_Verbräuche[[#This Row],[2015]]*Emissionsfaktoren[[#This Row],[2015]]/1000, 0)</f>
        <v>0</v>
      </c>
      <c r="F85" s="15">
        <f>IF(ISNUMBER(Refsz_Verbräuche[[#This Row],[2016]]), Refsz_Verbräuche[[#This Row],[2016]]*Emissionsfaktoren[[#This Row],[2016]]/1000, 0)</f>
        <v>0</v>
      </c>
      <c r="G85" s="15">
        <f>IF(ISNUMBER(Refsz_Verbräuche[[#This Row],[2017]]), Refsz_Verbräuche[[#This Row],[2017]]*Emissionsfaktoren[[#This Row],[2017]]/1000, 0)</f>
        <v>0</v>
      </c>
      <c r="H85" s="15">
        <f>IF(ISNUMBER(Refsz_Verbräuche[[#This Row],[2018]]), Refsz_Verbräuche[[#This Row],[2018]]*Emissionsfaktoren[[#This Row],[2018]]/1000, 0)</f>
        <v>0</v>
      </c>
      <c r="I85" s="15">
        <f>IF(ISNUMBER(Refsz_Verbräuche[[#This Row],[2019]]), Refsz_Verbräuche[[#This Row],[2019]]*Emissionsfaktoren[[#This Row],[2019]]/1000, 0)</f>
        <v>0</v>
      </c>
      <c r="J85" s="15">
        <f>IF(ISNUMBER(Refsz_Verbräuche[[#This Row],[2020]]), Refsz_Verbräuche[[#This Row],[2020]]*Emissionsfaktoren[[#This Row],[2020]]/1000, 0)</f>
        <v>0</v>
      </c>
      <c r="K85" s="15">
        <f>IF(ISNUMBER(Refsz_Verbräuche[[#This Row],[2021]]), Refsz_Verbräuche[[#This Row],[2021]]*Emissionsfaktoren[[#This Row],[2021]]/1000, 0)</f>
        <v>0</v>
      </c>
      <c r="L85" s="15">
        <f>IF(ISNUMBER(Refsz_Verbräuche[[#This Row],[2022]]), Refsz_Verbräuche[[#This Row],[2022]]*Emissionsfaktoren[[#This Row],[2022]]/1000, 0)</f>
        <v>0</v>
      </c>
      <c r="M85" s="15">
        <f>IF(ISNUMBER(Refsz_Verbräuche[[#This Row],[2023]]), Refsz_Verbräuche[[#This Row],[2023]]*Emissionsfaktoren[[#This Row],[2023]]/1000, 0)</f>
        <v>0</v>
      </c>
      <c r="N85" s="15">
        <f>IF(ISNUMBER(Refsz_Verbräuche[[#This Row],[2024]]), Refsz_Verbräuche[[#This Row],[2024]]*Emissionsfaktoren[[#This Row],[2024]]/1000, 0)</f>
        <v>0</v>
      </c>
      <c r="O85" s="15">
        <f>IF(ISNUMBER(Refsz_Verbräuche[[#This Row],[2025]]), Refsz_Verbräuche[[#This Row],[2025]]*Emissionsfaktoren[[#This Row],[2025]]/1000, 0)</f>
        <v>0</v>
      </c>
      <c r="P85" s="15">
        <f>IF(ISNUMBER(Refsz_Verbräuche[[#This Row],[2026]]), Refsz_Verbräuche[[#This Row],[2026]]*Emissionsfaktoren[[#This Row],[2026]]/1000, 0)</f>
        <v>0</v>
      </c>
      <c r="Q85" s="15">
        <f>IF(ISNUMBER(Refsz_Verbräuche[[#This Row],[2027]]), Refsz_Verbräuche[[#This Row],[2027]]*Emissionsfaktoren[[#This Row],[2027]]/1000, 0)</f>
        <v>0</v>
      </c>
      <c r="R85" s="15">
        <f>IF(ISNUMBER(Refsz_Verbräuche[[#This Row],[2028]]), Refsz_Verbräuche[[#This Row],[2028]]*Emissionsfaktoren[[#This Row],[2028]]/1000, 0)</f>
        <v>0</v>
      </c>
      <c r="S85" s="15">
        <f>IF(ISNUMBER(Refsz_Verbräuche[[#This Row],[2029]]), Refsz_Verbräuche[[#This Row],[2029]]*Emissionsfaktoren[[#This Row],[2029]]/1000, 0)</f>
        <v>0</v>
      </c>
      <c r="T85" s="15">
        <f>IF(ISNUMBER(Refsz_Verbräuche[[#This Row],[2030]]), Refsz_Verbräuche[[#This Row],[2030]]*Emissionsfaktoren[[#This Row],[2030]]/1000, 0)</f>
        <v>0</v>
      </c>
      <c r="U85" s="15">
        <f>IF(ISNUMBER(Refsz_Verbräuche[[#This Row],[2035]]), Refsz_Verbräuche[[#This Row],[2035]]*Emissionsfaktoren[[#This Row],[2035]]/1000, 0)</f>
        <v>0</v>
      </c>
      <c r="V85" s="15">
        <f>IF(ISNUMBER(Refsz_Verbräuche[[#This Row],[2040]]), Refsz_Verbräuche[[#This Row],[2040]]*Emissionsfaktoren[[#This Row],[2040]]/1000, 0)</f>
        <v>0</v>
      </c>
      <c r="W85" s="15">
        <f>IF(ISNUMBER(Refsz_Verbräuche[[#This Row],[2045]]), Refsz_Verbräuche[[#This Row],[2045]]*Emissionsfaktoren[[#This Row],[2045]]/1000, 0)</f>
        <v>0</v>
      </c>
      <c r="X85" s="15">
        <f>IF(ISNUMBER(Refsz_Verbräuche[[#This Row],[2050]]), Refsz_Verbräuche[[#This Row],[2050]]*Emissionsfaktoren[[#This Row],[2050]]/1000, 0)</f>
        <v>0</v>
      </c>
      <c r="Z85" s="10"/>
    </row>
    <row r="86" spans="2:26" ht="16.5" hidden="1" x14ac:dyDescent="0.45">
      <c r="B86" s="15">
        <v>26</v>
      </c>
      <c r="C86" s="20" t="str">
        <f>Refsz_Verbräuche[[#This Row],[Datenpunkt]]</f>
        <v>Kältemittel (R22)</v>
      </c>
      <c r="D86" t="s">
        <v>208</v>
      </c>
      <c r="E86" s="15">
        <f>IF(ISNUMBER(Refsz_Verbräuche[[#This Row],[2015]]), Refsz_Verbräuche[[#This Row],[2015]]*Emissionsfaktoren[[#This Row],[2015]]/1000, 0)</f>
        <v>0</v>
      </c>
      <c r="F86" s="15">
        <f>IF(ISNUMBER(Refsz_Verbräuche[[#This Row],[2016]]), Refsz_Verbräuche[[#This Row],[2016]]*Emissionsfaktoren[[#This Row],[2016]]/1000, 0)</f>
        <v>0</v>
      </c>
      <c r="G86" s="15">
        <f>IF(ISNUMBER(Refsz_Verbräuche[[#This Row],[2017]]), Refsz_Verbräuche[[#This Row],[2017]]*Emissionsfaktoren[[#This Row],[2017]]/1000, 0)</f>
        <v>0</v>
      </c>
      <c r="H86" s="15">
        <f>IF(ISNUMBER(Refsz_Verbräuche[[#This Row],[2018]]), Refsz_Verbräuche[[#This Row],[2018]]*Emissionsfaktoren[[#This Row],[2018]]/1000, 0)</f>
        <v>0</v>
      </c>
      <c r="I86" s="15">
        <f>IF(ISNUMBER(Refsz_Verbräuche[[#This Row],[2019]]), Refsz_Verbräuche[[#This Row],[2019]]*Emissionsfaktoren[[#This Row],[2019]]/1000, 0)</f>
        <v>0</v>
      </c>
      <c r="J86" s="15">
        <f>IF(ISNUMBER(Refsz_Verbräuche[[#This Row],[2020]]), Refsz_Verbräuche[[#This Row],[2020]]*Emissionsfaktoren[[#This Row],[2020]]/1000, 0)</f>
        <v>0</v>
      </c>
      <c r="K86" s="15">
        <f>IF(ISNUMBER(Refsz_Verbräuche[[#This Row],[2021]]), Refsz_Verbräuche[[#This Row],[2021]]*Emissionsfaktoren[[#This Row],[2021]]/1000, 0)</f>
        <v>0</v>
      </c>
      <c r="L86" s="15">
        <f>IF(ISNUMBER(Refsz_Verbräuche[[#This Row],[2022]]), Refsz_Verbräuche[[#This Row],[2022]]*Emissionsfaktoren[[#This Row],[2022]]/1000, 0)</f>
        <v>0</v>
      </c>
      <c r="M86" s="15">
        <f>IF(ISNUMBER(Refsz_Verbräuche[[#This Row],[2023]]), Refsz_Verbräuche[[#This Row],[2023]]*Emissionsfaktoren[[#This Row],[2023]]/1000, 0)</f>
        <v>0</v>
      </c>
      <c r="N86" s="15">
        <f>IF(ISNUMBER(Refsz_Verbräuche[[#This Row],[2024]]), Refsz_Verbräuche[[#This Row],[2024]]*Emissionsfaktoren[[#This Row],[2024]]/1000, 0)</f>
        <v>0</v>
      </c>
      <c r="O86" s="15">
        <f>IF(ISNUMBER(Refsz_Verbräuche[[#This Row],[2025]]), Refsz_Verbräuche[[#This Row],[2025]]*Emissionsfaktoren[[#This Row],[2025]]/1000, 0)</f>
        <v>0</v>
      </c>
      <c r="P86" s="15">
        <f>IF(ISNUMBER(Refsz_Verbräuche[[#This Row],[2026]]), Refsz_Verbräuche[[#This Row],[2026]]*Emissionsfaktoren[[#This Row],[2026]]/1000, 0)</f>
        <v>0</v>
      </c>
      <c r="Q86" s="15">
        <f>IF(ISNUMBER(Refsz_Verbräuche[[#This Row],[2027]]), Refsz_Verbräuche[[#This Row],[2027]]*Emissionsfaktoren[[#This Row],[2027]]/1000, 0)</f>
        <v>0</v>
      </c>
      <c r="R86" s="15">
        <f>IF(ISNUMBER(Refsz_Verbräuche[[#This Row],[2028]]), Refsz_Verbräuche[[#This Row],[2028]]*Emissionsfaktoren[[#This Row],[2028]]/1000, 0)</f>
        <v>0</v>
      </c>
      <c r="S86" s="15">
        <f>IF(ISNUMBER(Refsz_Verbräuche[[#This Row],[2029]]), Refsz_Verbräuche[[#This Row],[2029]]*Emissionsfaktoren[[#This Row],[2029]]/1000, 0)</f>
        <v>0</v>
      </c>
      <c r="T86" s="15">
        <f>IF(ISNUMBER(Refsz_Verbräuche[[#This Row],[2030]]), Refsz_Verbräuche[[#This Row],[2030]]*Emissionsfaktoren[[#This Row],[2030]]/1000, 0)</f>
        <v>0</v>
      </c>
      <c r="U86" s="15">
        <f>IF(ISNUMBER(Refsz_Verbräuche[[#This Row],[2035]]), Refsz_Verbräuche[[#This Row],[2035]]*Emissionsfaktoren[[#This Row],[2035]]/1000, 0)</f>
        <v>0</v>
      </c>
      <c r="V86" s="15">
        <f>IF(ISNUMBER(Refsz_Verbräuche[[#This Row],[2040]]), Refsz_Verbräuche[[#This Row],[2040]]*Emissionsfaktoren[[#This Row],[2040]]/1000, 0)</f>
        <v>0</v>
      </c>
      <c r="W86" s="15">
        <f>IF(ISNUMBER(Refsz_Verbräuche[[#This Row],[2045]]), Refsz_Verbräuche[[#This Row],[2045]]*Emissionsfaktoren[[#This Row],[2045]]/1000, 0)</f>
        <v>0</v>
      </c>
      <c r="X86" s="15">
        <f>IF(ISNUMBER(Refsz_Verbräuche[[#This Row],[2050]]), Refsz_Verbräuche[[#This Row],[2050]]*Emissionsfaktoren[[#This Row],[2050]]/1000, 0)</f>
        <v>0</v>
      </c>
      <c r="Z86" s="10"/>
    </row>
    <row r="87" spans="2:26" ht="16.5" hidden="1" x14ac:dyDescent="0.45">
      <c r="B87" s="15">
        <v>27</v>
      </c>
      <c r="C87" s="20" t="str">
        <f>Refsz_Verbräuche[[#This Row],[Datenpunkt]]</f>
        <v>Kältemittel (R134A)</v>
      </c>
      <c r="D87" t="s">
        <v>208</v>
      </c>
      <c r="E87" s="15">
        <f>IF(ISNUMBER(Refsz_Verbräuche[[#This Row],[2015]]), Refsz_Verbräuche[[#This Row],[2015]]*Emissionsfaktoren[[#This Row],[2015]]/1000, 0)</f>
        <v>0</v>
      </c>
      <c r="F87" s="15">
        <f>IF(ISNUMBER(Refsz_Verbräuche[[#This Row],[2016]]), Refsz_Verbräuche[[#This Row],[2016]]*Emissionsfaktoren[[#This Row],[2016]]/1000, 0)</f>
        <v>0</v>
      </c>
      <c r="G87" s="15">
        <f>IF(ISNUMBER(Refsz_Verbräuche[[#This Row],[2017]]), Refsz_Verbräuche[[#This Row],[2017]]*Emissionsfaktoren[[#This Row],[2017]]/1000, 0)</f>
        <v>0</v>
      </c>
      <c r="H87" s="15">
        <f>IF(ISNUMBER(Refsz_Verbräuche[[#This Row],[2018]]), Refsz_Verbräuche[[#This Row],[2018]]*Emissionsfaktoren[[#This Row],[2018]]/1000, 0)</f>
        <v>0</v>
      </c>
      <c r="I87" s="15">
        <f>IF(ISNUMBER(Refsz_Verbräuche[[#This Row],[2019]]), Refsz_Verbräuche[[#This Row],[2019]]*Emissionsfaktoren[[#This Row],[2019]]/1000, 0)</f>
        <v>0</v>
      </c>
      <c r="J87" s="15">
        <f>IF(ISNUMBER(Refsz_Verbräuche[[#This Row],[2020]]), Refsz_Verbräuche[[#This Row],[2020]]*Emissionsfaktoren[[#This Row],[2020]]/1000, 0)</f>
        <v>0</v>
      </c>
      <c r="K87" s="15">
        <f>IF(ISNUMBER(Refsz_Verbräuche[[#This Row],[2021]]), Refsz_Verbräuche[[#This Row],[2021]]*Emissionsfaktoren[[#This Row],[2021]]/1000, 0)</f>
        <v>0</v>
      </c>
      <c r="L87" s="15">
        <f>IF(ISNUMBER(Refsz_Verbräuche[[#This Row],[2022]]), Refsz_Verbräuche[[#This Row],[2022]]*Emissionsfaktoren[[#This Row],[2022]]/1000, 0)</f>
        <v>0</v>
      </c>
      <c r="M87" s="15">
        <f>IF(ISNUMBER(Refsz_Verbräuche[[#This Row],[2023]]), Refsz_Verbräuche[[#This Row],[2023]]*Emissionsfaktoren[[#This Row],[2023]]/1000, 0)</f>
        <v>0</v>
      </c>
      <c r="N87" s="15">
        <f>IF(ISNUMBER(Refsz_Verbräuche[[#This Row],[2024]]), Refsz_Verbräuche[[#This Row],[2024]]*Emissionsfaktoren[[#This Row],[2024]]/1000, 0)</f>
        <v>0</v>
      </c>
      <c r="O87" s="15">
        <f>IF(ISNUMBER(Refsz_Verbräuche[[#This Row],[2025]]), Refsz_Verbräuche[[#This Row],[2025]]*Emissionsfaktoren[[#This Row],[2025]]/1000, 0)</f>
        <v>0</v>
      </c>
      <c r="P87" s="15">
        <f>IF(ISNUMBER(Refsz_Verbräuche[[#This Row],[2026]]), Refsz_Verbräuche[[#This Row],[2026]]*Emissionsfaktoren[[#This Row],[2026]]/1000, 0)</f>
        <v>0</v>
      </c>
      <c r="Q87" s="15">
        <f>IF(ISNUMBER(Refsz_Verbräuche[[#This Row],[2027]]), Refsz_Verbräuche[[#This Row],[2027]]*Emissionsfaktoren[[#This Row],[2027]]/1000, 0)</f>
        <v>0</v>
      </c>
      <c r="R87" s="15">
        <f>IF(ISNUMBER(Refsz_Verbräuche[[#This Row],[2028]]), Refsz_Verbräuche[[#This Row],[2028]]*Emissionsfaktoren[[#This Row],[2028]]/1000, 0)</f>
        <v>0</v>
      </c>
      <c r="S87" s="15">
        <f>IF(ISNUMBER(Refsz_Verbräuche[[#This Row],[2029]]), Refsz_Verbräuche[[#This Row],[2029]]*Emissionsfaktoren[[#This Row],[2029]]/1000, 0)</f>
        <v>0</v>
      </c>
      <c r="T87" s="15">
        <f>IF(ISNUMBER(Refsz_Verbräuche[[#This Row],[2030]]), Refsz_Verbräuche[[#This Row],[2030]]*Emissionsfaktoren[[#This Row],[2030]]/1000, 0)</f>
        <v>0</v>
      </c>
      <c r="U87" s="15">
        <f>IF(ISNUMBER(Refsz_Verbräuche[[#This Row],[2035]]), Refsz_Verbräuche[[#This Row],[2035]]*Emissionsfaktoren[[#This Row],[2035]]/1000, 0)</f>
        <v>0</v>
      </c>
      <c r="V87" s="15">
        <f>IF(ISNUMBER(Refsz_Verbräuche[[#This Row],[2040]]), Refsz_Verbräuche[[#This Row],[2040]]*Emissionsfaktoren[[#This Row],[2040]]/1000, 0)</f>
        <v>0</v>
      </c>
      <c r="W87" s="15">
        <f>IF(ISNUMBER(Refsz_Verbräuche[[#This Row],[2045]]), Refsz_Verbräuche[[#This Row],[2045]]*Emissionsfaktoren[[#This Row],[2045]]/1000, 0)</f>
        <v>0</v>
      </c>
      <c r="X87" s="15">
        <f>IF(ISNUMBER(Refsz_Verbräuche[[#This Row],[2050]]), Refsz_Verbräuche[[#This Row],[2050]]*Emissionsfaktoren[[#This Row],[2050]]/1000, 0)</f>
        <v>0</v>
      </c>
      <c r="Z87" s="10"/>
    </row>
    <row r="88" spans="2:26" ht="16.5" hidden="1" x14ac:dyDescent="0.45">
      <c r="B88" s="15">
        <v>28</v>
      </c>
      <c r="C88" s="20" t="str">
        <f>Refsz_Verbräuche[[#This Row],[Datenpunkt]]</f>
        <v>Kältemittel (R404A)</v>
      </c>
      <c r="D88" t="s">
        <v>208</v>
      </c>
      <c r="E88" s="15">
        <f>IF(ISNUMBER(Refsz_Verbräuche[[#This Row],[2015]]), Refsz_Verbräuche[[#This Row],[2015]]*Emissionsfaktoren[[#This Row],[2015]]/1000, 0)</f>
        <v>0</v>
      </c>
      <c r="F88" s="15">
        <f>IF(ISNUMBER(Refsz_Verbräuche[[#This Row],[2016]]), Refsz_Verbräuche[[#This Row],[2016]]*Emissionsfaktoren[[#This Row],[2016]]/1000, 0)</f>
        <v>0</v>
      </c>
      <c r="G88" s="15">
        <f>IF(ISNUMBER(Refsz_Verbräuche[[#This Row],[2017]]), Refsz_Verbräuche[[#This Row],[2017]]*Emissionsfaktoren[[#This Row],[2017]]/1000, 0)</f>
        <v>0</v>
      </c>
      <c r="H88" s="15">
        <f>IF(ISNUMBER(Refsz_Verbräuche[[#This Row],[2018]]), Refsz_Verbräuche[[#This Row],[2018]]*Emissionsfaktoren[[#This Row],[2018]]/1000, 0)</f>
        <v>0</v>
      </c>
      <c r="I88" s="15">
        <f>IF(ISNUMBER(Refsz_Verbräuche[[#This Row],[2019]]), Refsz_Verbräuche[[#This Row],[2019]]*Emissionsfaktoren[[#This Row],[2019]]/1000, 0)</f>
        <v>0</v>
      </c>
      <c r="J88" s="15">
        <f>IF(ISNUMBER(Refsz_Verbräuche[[#This Row],[2020]]), Refsz_Verbräuche[[#This Row],[2020]]*Emissionsfaktoren[[#This Row],[2020]]/1000, 0)</f>
        <v>0</v>
      </c>
      <c r="K88" s="15">
        <f>IF(ISNUMBER(Refsz_Verbräuche[[#This Row],[2021]]), Refsz_Verbräuche[[#This Row],[2021]]*Emissionsfaktoren[[#This Row],[2021]]/1000, 0)</f>
        <v>0</v>
      </c>
      <c r="L88" s="15">
        <f>IF(ISNUMBER(Refsz_Verbräuche[[#This Row],[2022]]), Refsz_Verbräuche[[#This Row],[2022]]*Emissionsfaktoren[[#This Row],[2022]]/1000, 0)</f>
        <v>0</v>
      </c>
      <c r="M88" s="15">
        <f>IF(ISNUMBER(Refsz_Verbräuche[[#This Row],[2023]]), Refsz_Verbräuche[[#This Row],[2023]]*Emissionsfaktoren[[#This Row],[2023]]/1000, 0)</f>
        <v>0</v>
      </c>
      <c r="N88" s="15">
        <f>IF(ISNUMBER(Refsz_Verbräuche[[#This Row],[2024]]), Refsz_Verbräuche[[#This Row],[2024]]*Emissionsfaktoren[[#This Row],[2024]]/1000, 0)</f>
        <v>0</v>
      </c>
      <c r="O88" s="15">
        <f>IF(ISNUMBER(Refsz_Verbräuche[[#This Row],[2025]]), Refsz_Verbräuche[[#This Row],[2025]]*Emissionsfaktoren[[#This Row],[2025]]/1000, 0)</f>
        <v>0</v>
      </c>
      <c r="P88" s="15">
        <f>IF(ISNUMBER(Refsz_Verbräuche[[#This Row],[2026]]), Refsz_Verbräuche[[#This Row],[2026]]*Emissionsfaktoren[[#This Row],[2026]]/1000, 0)</f>
        <v>0</v>
      </c>
      <c r="Q88" s="15">
        <f>IF(ISNUMBER(Refsz_Verbräuche[[#This Row],[2027]]), Refsz_Verbräuche[[#This Row],[2027]]*Emissionsfaktoren[[#This Row],[2027]]/1000, 0)</f>
        <v>0</v>
      </c>
      <c r="R88" s="15">
        <f>IF(ISNUMBER(Refsz_Verbräuche[[#This Row],[2028]]), Refsz_Verbräuche[[#This Row],[2028]]*Emissionsfaktoren[[#This Row],[2028]]/1000, 0)</f>
        <v>0</v>
      </c>
      <c r="S88" s="15">
        <f>IF(ISNUMBER(Refsz_Verbräuche[[#This Row],[2029]]), Refsz_Verbräuche[[#This Row],[2029]]*Emissionsfaktoren[[#This Row],[2029]]/1000, 0)</f>
        <v>0</v>
      </c>
      <c r="T88" s="15">
        <f>IF(ISNUMBER(Refsz_Verbräuche[[#This Row],[2030]]), Refsz_Verbräuche[[#This Row],[2030]]*Emissionsfaktoren[[#This Row],[2030]]/1000, 0)</f>
        <v>0</v>
      </c>
      <c r="U88" s="15">
        <f>IF(ISNUMBER(Refsz_Verbräuche[[#This Row],[2035]]), Refsz_Verbräuche[[#This Row],[2035]]*Emissionsfaktoren[[#This Row],[2035]]/1000, 0)</f>
        <v>0</v>
      </c>
      <c r="V88" s="15">
        <f>IF(ISNUMBER(Refsz_Verbräuche[[#This Row],[2040]]), Refsz_Verbräuche[[#This Row],[2040]]*Emissionsfaktoren[[#This Row],[2040]]/1000, 0)</f>
        <v>0</v>
      </c>
      <c r="W88" s="15">
        <f>IF(ISNUMBER(Refsz_Verbräuche[[#This Row],[2045]]), Refsz_Verbräuche[[#This Row],[2045]]*Emissionsfaktoren[[#This Row],[2045]]/1000, 0)</f>
        <v>0</v>
      </c>
      <c r="X88" s="15">
        <f>IF(ISNUMBER(Refsz_Verbräuche[[#This Row],[2050]]), Refsz_Verbräuche[[#This Row],[2050]]*Emissionsfaktoren[[#This Row],[2050]]/1000, 0)</f>
        <v>0</v>
      </c>
      <c r="Z88" s="10"/>
    </row>
    <row r="89" spans="2:26" ht="16.5" hidden="1" x14ac:dyDescent="0.45">
      <c r="B89" s="15">
        <v>29</v>
      </c>
      <c r="C89" s="20" t="str">
        <f>Refsz_Verbräuche[[#This Row],[Datenpunkt]]</f>
        <v>Kältemittel (R410A)</v>
      </c>
      <c r="D89" t="s">
        <v>208</v>
      </c>
      <c r="E89" s="15">
        <f>IF(ISNUMBER(Refsz_Verbräuche[[#This Row],[2015]]), Refsz_Verbräuche[[#This Row],[2015]]*Emissionsfaktoren[[#This Row],[2015]]/1000, 0)</f>
        <v>0</v>
      </c>
      <c r="F89" s="15">
        <f>IF(ISNUMBER(Refsz_Verbräuche[[#This Row],[2016]]), Refsz_Verbräuche[[#This Row],[2016]]*Emissionsfaktoren[[#This Row],[2016]]/1000, 0)</f>
        <v>0</v>
      </c>
      <c r="G89" s="15">
        <f>IF(ISNUMBER(Refsz_Verbräuche[[#This Row],[2017]]), Refsz_Verbräuche[[#This Row],[2017]]*Emissionsfaktoren[[#This Row],[2017]]/1000, 0)</f>
        <v>0</v>
      </c>
      <c r="H89" s="15">
        <f>IF(ISNUMBER(Refsz_Verbräuche[[#This Row],[2018]]), Refsz_Verbräuche[[#This Row],[2018]]*Emissionsfaktoren[[#This Row],[2018]]/1000, 0)</f>
        <v>0</v>
      </c>
      <c r="I89" s="15">
        <f>IF(ISNUMBER(Refsz_Verbräuche[[#This Row],[2019]]), Refsz_Verbräuche[[#This Row],[2019]]*Emissionsfaktoren[[#This Row],[2019]]/1000, 0)</f>
        <v>0</v>
      </c>
      <c r="J89" s="15">
        <f>IF(ISNUMBER(Refsz_Verbräuche[[#This Row],[2020]]), Refsz_Verbräuche[[#This Row],[2020]]*Emissionsfaktoren[[#This Row],[2020]]/1000, 0)</f>
        <v>0</v>
      </c>
      <c r="K89" s="15">
        <f>IF(ISNUMBER(Refsz_Verbräuche[[#This Row],[2021]]), Refsz_Verbräuche[[#This Row],[2021]]*Emissionsfaktoren[[#This Row],[2021]]/1000, 0)</f>
        <v>0</v>
      </c>
      <c r="L89" s="15">
        <f>IF(ISNUMBER(Refsz_Verbräuche[[#This Row],[2022]]), Refsz_Verbräuche[[#This Row],[2022]]*Emissionsfaktoren[[#This Row],[2022]]/1000, 0)</f>
        <v>0</v>
      </c>
      <c r="M89" s="15">
        <f>IF(ISNUMBER(Refsz_Verbräuche[[#This Row],[2023]]), Refsz_Verbräuche[[#This Row],[2023]]*Emissionsfaktoren[[#This Row],[2023]]/1000, 0)</f>
        <v>0</v>
      </c>
      <c r="N89" s="15">
        <f>IF(ISNUMBER(Refsz_Verbräuche[[#This Row],[2024]]), Refsz_Verbräuche[[#This Row],[2024]]*Emissionsfaktoren[[#This Row],[2024]]/1000, 0)</f>
        <v>0</v>
      </c>
      <c r="O89" s="15">
        <f>IF(ISNUMBER(Refsz_Verbräuche[[#This Row],[2025]]), Refsz_Verbräuche[[#This Row],[2025]]*Emissionsfaktoren[[#This Row],[2025]]/1000, 0)</f>
        <v>0</v>
      </c>
      <c r="P89" s="15">
        <f>IF(ISNUMBER(Refsz_Verbräuche[[#This Row],[2026]]), Refsz_Verbräuche[[#This Row],[2026]]*Emissionsfaktoren[[#This Row],[2026]]/1000, 0)</f>
        <v>0</v>
      </c>
      <c r="Q89" s="15">
        <f>IF(ISNUMBER(Refsz_Verbräuche[[#This Row],[2027]]), Refsz_Verbräuche[[#This Row],[2027]]*Emissionsfaktoren[[#This Row],[2027]]/1000, 0)</f>
        <v>0</v>
      </c>
      <c r="R89" s="15">
        <f>IF(ISNUMBER(Refsz_Verbräuche[[#This Row],[2028]]), Refsz_Verbräuche[[#This Row],[2028]]*Emissionsfaktoren[[#This Row],[2028]]/1000, 0)</f>
        <v>0</v>
      </c>
      <c r="S89" s="15">
        <f>IF(ISNUMBER(Refsz_Verbräuche[[#This Row],[2029]]), Refsz_Verbräuche[[#This Row],[2029]]*Emissionsfaktoren[[#This Row],[2029]]/1000, 0)</f>
        <v>0</v>
      </c>
      <c r="T89" s="15">
        <f>IF(ISNUMBER(Refsz_Verbräuche[[#This Row],[2030]]), Refsz_Verbräuche[[#This Row],[2030]]*Emissionsfaktoren[[#This Row],[2030]]/1000, 0)</f>
        <v>0</v>
      </c>
      <c r="U89" s="15">
        <f>IF(ISNUMBER(Refsz_Verbräuche[[#This Row],[2035]]), Refsz_Verbräuche[[#This Row],[2035]]*Emissionsfaktoren[[#This Row],[2035]]/1000, 0)</f>
        <v>0</v>
      </c>
      <c r="V89" s="15">
        <f>IF(ISNUMBER(Refsz_Verbräuche[[#This Row],[2040]]), Refsz_Verbräuche[[#This Row],[2040]]*Emissionsfaktoren[[#This Row],[2040]]/1000, 0)</f>
        <v>0</v>
      </c>
      <c r="W89" s="15">
        <f>IF(ISNUMBER(Refsz_Verbräuche[[#This Row],[2045]]), Refsz_Verbräuche[[#This Row],[2045]]*Emissionsfaktoren[[#This Row],[2045]]/1000, 0)</f>
        <v>0</v>
      </c>
      <c r="X89" s="15">
        <f>IF(ISNUMBER(Refsz_Verbräuche[[#This Row],[2050]]), Refsz_Verbräuche[[#This Row],[2050]]*Emissionsfaktoren[[#This Row],[2050]]/1000, 0)</f>
        <v>0</v>
      </c>
      <c r="Z89" s="10"/>
    </row>
    <row r="90" spans="2:26" ht="16.5" hidden="1" x14ac:dyDescent="0.45">
      <c r="B90" s="15">
        <v>30</v>
      </c>
      <c r="C90" s="20">
        <f>Refsz_Verbräuche[[#This Row],[Datenpunkt]]</f>
        <v>0</v>
      </c>
      <c r="D90" t="s">
        <v>208</v>
      </c>
      <c r="E90" s="15">
        <f>IF(ISNUMBER(Refsz_Verbräuche[[#This Row],[2015]]), Refsz_Verbräuche[[#This Row],[2015]]*Emissionsfaktoren[[#This Row],[2015]]/1000, 0)</f>
        <v>0</v>
      </c>
      <c r="F90" s="15">
        <f>IF(ISNUMBER(Refsz_Verbräuche[[#This Row],[2016]]), Refsz_Verbräuche[[#This Row],[2016]]*Emissionsfaktoren[[#This Row],[2016]]/1000, 0)</f>
        <v>0</v>
      </c>
      <c r="G90" s="15">
        <f>IF(ISNUMBER(Refsz_Verbräuche[[#This Row],[2017]]), Refsz_Verbräuche[[#This Row],[2017]]*Emissionsfaktoren[[#This Row],[2017]]/1000, 0)</f>
        <v>0</v>
      </c>
      <c r="H90" s="15">
        <f>IF(ISNUMBER(Refsz_Verbräuche[[#This Row],[2018]]), Refsz_Verbräuche[[#This Row],[2018]]*Emissionsfaktoren[[#This Row],[2018]]/1000, 0)</f>
        <v>0</v>
      </c>
      <c r="I90" s="15">
        <f>IF(ISNUMBER(Refsz_Verbräuche[[#This Row],[2019]]), Refsz_Verbräuche[[#This Row],[2019]]*Emissionsfaktoren[[#This Row],[2019]]/1000, 0)</f>
        <v>0</v>
      </c>
      <c r="J90" s="15">
        <f>IF(ISNUMBER(Refsz_Verbräuche[[#This Row],[2020]]), Refsz_Verbräuche[[#This Row],[2020]]*Emissionsfaktoren[[#This Row],[2020]]/1000, 0)</f>
        <v>0</v>
      </c>
      <c r="K90" s="15">
        <f>IF(ISNUMBER(Refsz_Verbräuche[[#This Row],[2021]]), Refsz_Verbräuche[[#This Row],[2021]]*Emissionsfaktoren[[#This Row],[2021]]/1000, 0)</f>
        <v>0</v>
      </c>
      <c r="L90" s="15">
        <f>IF(ISNUMBER(Refsz_Verbräuche[[#This Row],[2022]]), Refsz_Verbräuche[[#This Row],[2022]]*Emissionsfaktoren[[#This Row],[2022]]/1000, 0)</f>
        <v>0</v>
      </c>
      <c r="M90" s="15">
        <f>IF(ISNUMBER(Refsz_Verbräuche[[#This Row],[2023]]), Refsz_Verbräuche[[#This Row],[2023]]*Emissionsfaktoren[[#This Row],[2023]]/1000, 0)</f>
        <v>0</v>
      </c>
      <c r="N90" s="15">
        <f>IF(ISNUMBER(Refsz_Verbräuche[[#This Row],[2024]]), Refsz_Verbräuche[[#This Row],[2024]]*Emissionsfaktoren[[#This Row],[2024]]/1000, 0)</f>
        <v>0</v>
      </c>
      <c r="O90" s="15">
        <f>IF(ISNUMBER(Refsz_Verbräuche[[#This Row],[2025]]), Refsz_Verbräuche[[#This Row],[2025]]*Emissionsfaktoren[[#This Row],[2025]]/1000, 0)</f>
        <v>0</v>
      </c>
      <c r="P90" s="15">
        <f>IF(ISNUMBER(Refsz_Verbräuche[[#This Row],[2026]]), Refsz_Verbräuche[[#This Row],[2026]]*Emissionsfaktoren[[#This Row],[2026]]/1000, 0)</f>
        <v>0</v>
      </c>
      <c r="Q90" s="15">
        <f>IF(ISNUMBER(Refsz_Verbräuche[[#This Row],[2027]]), Refsz_Verbräuche[[#This Row],[2027]]*Emissionsfaktoren[[#This Row],[2027]]/1000, 0)</f>
        <v>0</v>
      </c>
      <c r="R90" s="15">
        <f>IF(ISNUMBER(Refsz_Verbräuche[[#This Row],[2028]]), Refsz_Verbräuche[[#This Row],[2028]]*Emissionsfaktoren[[#This Row],[2028]]/1000, 0)</f>
        <v>0</v>
      </c>
      <c r="S90" s="15">
        <f>IF(ISNUMBER(Refsz_Verbräuche[[#This Row],[2029]]), Refsz_Verbräuche[[#This Row],[2029]]*Emissionsfaktoren[[#This Row],[2029]]/1000, 0)</f>
        <v>0</v>
      </c>
      <c r="T90" s="15">
        <f>IF(ISNUMBER(Refsz_Verbräuche[[#This Row],[2030]]), Refsz_Verbräuche[[#This Row],[2030]]*Emissionsfaktoren[[#This Row],[2030]]/1000, 0)</f>
        <v>0</v>
      </c>
      <c r="U90" s="15">
        <f>IF(ISNUMBER(Refsz_Verbräuche[[#This Row],[2035]]), Refsz_Verbräuche[[#This Row],[2035]]*Emissionsfaktoren[[#This Row],[2035]]/1000, 0)</f>
        <v>0</v>
      </c>
      <c r="V90" s="15">
        <f>IF(ISNUMBER(Refsz_Verbräuche[[#This Row],[2040]]), Refsz_Verbräuche[[#This Row],[2040]]*Emissionsfaktoren[[#This Row],[2040]]/1000, 0)</f>
        <v>0</v>
      </c>
      <c r="W90" s="15">
        <f>IF(ISNUMBER(Refsz_Verbräuche[[#This Row],[2045]]), Refsz_Verbräuche[[#This Row],[2045]]*Emissionsfaktoren[[#This Row],[2045]]/1000, 0)</f>
        <v>0</v>
      </c>
      <c r="X90" s="15">
        <f>IF(ISNUMBER(Refsz_Verbräuche[[#This Row],[2050]]), Refsz_Verbräuche[[#This Row],[2050]]*Emissionsfaktoren[[#This Row],[2050]]/1000, 0)</f>
        <v>0</v>
      </c>
    </row>
    <row r="91" spans="2:26" ht="16.5" hidden="1" x14ac:dyDescent="0.45">
      <c r="B91" s="15">
        <v>31</v>
      </c>
      <c r="C91" s="20" t="str">
        <f>Refsz_Verbräuche[[#This Row],[Datenpunkt]]</f>
        <v>Fuhrpark (Diesel)</v>
      </c>
      <c r="D91" t="s">
        <v>208</v>
      </c>
      <c r="E91" s="15">
        <f>IF(ISNUMBER(Refsz_Verbräuche[[#This Row],[2015]]), Refsz_Verbräuche[[#This Row],[2015]]*Emissionsfaktoren[[#This Row],[2015]]/1000, 0)</f>
        <v>0</v>
      </c>
      <c r="F91" s="15">
        <f>IF(ISNUMBER(Refsz_Verbräuche[[#This Row],[2016]]), Refsz_Verbräuche[[#This Row],[2016]]*Emissionsfaktoren[[#This Row],[2016]]/1000, 0)</f>
        <v>0</v>
      </c>
      <c r="G91" s="15">
        <f>IF(ISNUMBER(Refsz_Verbräuche[[#This Row],[2017]]), Refsz_Verbräuche[[#This Row],[2017]]*Emissionsfaktoren[[#This Row],[2017]]/1000, 0)</f>
        <v>0</v>
      </c>
      <c r="H91" s="15">
        <f>IF(ISNUMBER(Refsz_Verbräuche[[#This Row],[2018]]), Refsz_Verbräuche[[#This Row],[2018]]*Emissionsfaktoren[[#This Row],[2018]]/1000, 0)</f>
        <v>0</v>
      </c>
      <c r="I91" s="15">
        <f>IF(ISNUMBER(Refsz_Verbräuche[[#This Row],[2019]]), Refsz_Verbräuche[[#This Row],[2019]]*Emissionsfaktoren[[#This Row],[2019]]/1000, 0)</f>
        <v>0</v>
      </c>
      <c r="J91" s="15">
        <f>IF(ISNUMBER(Refsz_Verbräuche[[#This Row],[2020]]), Refsz_Verbräuche[[#This Row],[2020]]*Emissionsfaktoren[[#This Row],[2020]]/1000, 0)</f>
        <v>0</v>
      </c>
      <c r="K91" s="15">
        <f>IF(ISNUMBER(Refsz_Verbräuche[[#This Row],[2021]]), Refsz_Verbräuche[[#This Row],[2021]]*Emissionsfaktoren[[#This Row],[2021]]/1000, 0)</f>
        <v>0</v>
      </c>
      <c r="L91" s="15">
        <f>IF(ISNUMBER(Refsz_Verbräuche[[#This Row],[2022]]), Refsz_Verbräuche[[#This Row],[2022]]*Emissionsfaktoren[[#This Row],[2022]]/1000, 0)</f>
        <v>0</v>
      </c>
      <c r="M91" s="15">
        <f>IF(ISNUMBER(Refsz_Verbräuche[[#This Row],[2023]]), Refsz_Verbräuche[[#This Row],[2023]]*Emissionsfaktoren[[#This Row],[2023]]/1000, 0)</f>
        <v>0</v>
      </c>
      <c r="N91" s="15">
        <f>IF(ISNUMBER(Refsz_Verbräuche[[#This Row],[2024]]), Refsz_Verbräuche[[#This Row],[2024]]*Emissionsfaktoren[[#This Row],[2024]]/1000, 0)</f>
        <v>0</v>
      </c>
      <c r="O91" s="15">
        <f>IF(ISNUMBER(Refsz_Verbräuche[[#This Row],[2025]]), Refsz_Verbräuche[[#This Row],[2025]]*Emissionsfaktoren[[#This Row],[2025]]/1000, 0)</f>
        <v>0</v>
      </c>
      <c r="P91" s="15">
        <f>IF(ISNUMBER(Refsz_Verbräuche[[#This Row],[2026]]), Refsz_Verbräuche[[#This Row],[2026]]*Emissionsfaktoren[[#This Row],[2026]]/1000, 0)</f>
        <v>0</v>
      </c>
      <c r="Q91" s="15">
        <f>IF(ISNUMBER(Refsz_Verbräuche[[#This Row],[2027]]), Refsz_Verbräuche[[#This Row],[2027]]*Emissionsfaktoren[[#This Row],[2027]]/1000, 0)</f>
        <v>0</v>
      </c>
      <c r="R91" s="15">
        <f>IF(ISNUMBER(Refsz_Verbräuche[[#This Row],[2028]]), Refsz_Verbräuche[[#This Row],[2028]]*Emissionsfaktoren[[#This Row],[2028]]/1000, 0)</f>
        <v>0</v>
      </c>
      <c r="S91" s="15">
        <f>IF(ISNUMBER(Refsz_Verbräuche[[#This Row],[2029]]), Refsz_Verbräuche[[#This Row],[2029]]*Emissionsfaktoren[[#This Row],[2029]]/1000, 0)</f>
        <v>0</v>
      </c>
      <c r="T91" s="15">
        <f>IF(ISNUMBER(Refsz_Verbräuche[[#This Row],[2030]]), Refsz_Verbräuche[[#This Row],[2030]]*Emissionsfaktoren[[#This Row],[2030]]/1000, 0)</f>
        <v>0</v>
      </c>
      <c r="U91" s="15">
        <f>IF(ISNUMBER(Refsz_Verbräuche[[#This Row],[2035]]), Refsz_Verbräuche[[#This Row],[2035]]*Emissionsfaktoren[[#This Row],[2035]]/1000, 0)</f>
        <v>0</v>
      </c>
      <c r="V91" s="15">
        <f>IF(ISNUMBER(Refsz_Verbräuche[[#This Row],[2040]]), Refsz_Verbräuche[[#This Row],[2040]]*Emissionsfaktoren[[#This Row],[2040]]/1000, 0)</f>
        <v>0</v>
      </c>
      <c r="W91" s="15">
        <f>IF(ISNUMBER(Refsz_Verbräuche[[#This Row],[2045]]), Refsz_Verbräuche[[#This Row],[2045]]*Emissionsfaktoren[[#This Row],[2045]]/1000, 0)</f>
        <v>0</v>
      </c>
      <c r="X91" s="15">
        <f>IF(ISNUMBER(Refsz_Verbräuche[[#This Row],[2050]]), Refsz_Verbräuche[[#This Row],[2050]]*Emissionsfaktoren[[#This Row],[2050]]/1000, 0)</f>
        <v>0</v>
      </c>
    </row>
    <row r="92" spans="2:26" ht="16.5" hidden="1" x14ac:dyDescent="0.45">
      <c r="B92" s="15">
        <v>32</v>
      </c>
      <c r="C92" s="20" t="str">
        <f>Refsz_Verbräuche[[#This Row],[Datenpunkt]]</f>
        <v>Fuhrpark (Benzin)</v>
      </c>
      <c r="D92" t="s">
        <v>208</v>
      </c>
      <c r="E92" s="15">
        <f>IF(ISNUMBER(Refsz_Verbräuche[[#This Row],[2015]]), Refsz_Verbräuche[[#This Row],[2015]]*Emissionsfaktoren[[#This Row],[2015]]/1000, 0)</f>
        <v>0</v>
      </c>
      <c r="F92" s="15">
        <f>IF(ISNUMBER(Refsz_Verbräuche[[#This Row],[2016]]), Refsz_Verbräuche[[#This Row],[2016]]*Emissionsfaktoren[[#This Row],[2016]]/1000, 0)</f>
        <v>0</v>
      </c>
      <c r="G92" s="15">
        <f>IF(ISNUMBER(Refsz_Verbräuche[[#This Row],[2017]]), Refsz_Verbräuche[[#This Row],[2017]]*Emissionsfaktoren[[#This Row],[2017]]/1000, 0)</f>
        <v>0</v>
      </c>
      <c r="H92" s="15">
        <f>IF(ISNUMBER(Refsz_Verbräuche[[#This Row],[2018]]), Refsz_Verbräuche[[#This Row],[2018]]*Emissionsfaktoren[[#This Row],[2018]]/1000, 0)</f>
        <v>0</v>
      </c>
      <c r="I92" s="15">
        <f>IF(ISNUMBER(Refsz_Verbräuche[[#This Row],[2019]]), Refsz_Verbräuche[[#This Row],[2019]]*Emissionsfaktoren[[#This Row],[2019]]/1000, 0)</f>
        <v>0</v>
      </c>
      <c r="J92" s="15">
        <f>IF(ISNUMBER(Refsz_Verbräuche[[#This Row],[2020]]), Refsz_Verbräuche[[#This Row],[2020]]*Emissionsfaktoren[[#This Row],[2020]]/1000, 0)</f>
        <v>0</v>
      </c>
      <c r="K92" s="15">
        <f>IF(ISNUMBER(Refsz_Verbräuche[[#This Row],[2021]]), Refsz_Verbräuche[[#This Row],[2021]]*Emissionsfaktoren[[#This Row],[2021]]/1000, 0)</f>
        <v>0</v>
      </c>
      <c r="L92" s="15">
        <f>IF(ISNUMBER(Refsz_Verbräuche[[#This Row],[2022]]), Refsz_Verbräuche[[#This Row],[2022]]*Emissionsfaktoren[[#This Row],[2022]]/1000, 0)</f>
        <v>0</v>
      </c>
      <c r="M92" s="15">
        <f>IF(ISNUMBER(Refsz_Verbräuche[[#This Row],[2023]]), Refsz_Verbräuche[[#This Row],[2023]]*Emissionsfaktoren[[#This Row],[2023]]/1000, 0)</f>
        <v>0</v>
      </c>
      <c r="N92" s="15">
        <f>IF(ISNUMBER(Refsz_Verbräuche[[#This Row],[2024]]), Refsz_Verbräuche[[#This Row],[2024]]*Emissionsfaktoren[[#This Row],[2024]]/1000, 0)</f>
        <v>0</v>
      </c>
      <c r="O92" s="15">
        <f>IF(ISNUMBER(Refsz_Verbräuche[[#This Row],[2025]]), Refsz_Verbräuche[[#This Row],[2025]]*Emissionsfaktoren[[#This Row],[2025]]/1000, 0)</f>
        <v>0</v>
      </c>
      <c r="P92" s="15">
        <f>IF(ISNUMBER(Refsz_Verbräuche[[#This Row],[2026]]), Refsz_Verbräuche[[#This Row],[2026]]*Emissionsfaktoren[[#This Row],[2026]]/1000, 0)</f>
        <v>0</v>
      </c>
      <c r="Q92" s="15">
        <f>IF(ISNUMBER(Refsz_Verbräuche[[#This Row],[2027]]), Refsz_Verbräuche[[#This Row],[2027]]*Emissionsfaktoren[[#This Row],[2027]]/1000, 0)</f>
        <v>0</v>
      </c>
      <c r="R92" s="15">
        <f>IF(ISNUMBER(Refsz_Verbräuche[[#This Row],[2028]]), Refsz_Verbräuche[[#This Row],[2028]]*Emissionsfaktoren[[#This Row],[2028]]/1000, 0)</f>
        <v>0</v>
      </c>
      <c r="S92" s="15">
        <f>IF(ISNUMBER(Refsz_Verbräuche[[#This Row],[2029]]), Refsz_Verbräuche[[#This Row],[2029]]*Emissionsfaktoren[[#This Row],[2029]]/1000, 0)</f>
        <v>0</v>
      </c>
      <c r="T92" s="15">
        <f>IF(ISNUMBER(Refsz_Verbräuche[[#This Row],[2030]]), Refsz_Verbräuche[[#This Row],[2030]]*Emissionsfaktoren[[#This Row],[2030]]/1000, 0)</f>
        <v>0</v>
      </c>
      <c r="U92" s="15">
        <f>IF(ISNUMBER(Refsz_Verbräuche[[#This Row],[2035]]), Refsz_Verbräuche[[#This Row],[2035]]*Emissionsfaktoren[[#This Row],[2035]]/1000, 0)</f>
        <v>0</v>
      </c>
      <c r="V92" s="15">
        <f>IF(ISNUMBER(Refsz_Verbräuche[[#This Row],[2040]]), Refsz_Verbräuche[[#This Row],[2040]]*Emissionsfaktoren[[#This Row],[2040]]/1000, 0)</f>
        <v>0</v>
      </c>
      <c r="W92" s="15">
        <f>IF(ISNUMBER(Refsz_Verbräuche[[#This Row],[2045]]), Refsz_Verbräuche[[#This Row],[2045]]*Emissionsfaktoren[[#This Row],[2045]]/1000, 0)</f>
        <v>0</v>
      </c>
      <c r="X92" s="15">
        <f>IF(ISNUMBER(Refsz_Verbräuche[[#This Row],[2050]]), Refsz_Verbräuche[[#This Row],[2050]]*Emissionsfaktoren[[#This Row],[2050]]/1000, 0)</f>
        <v>0</v>
      </c>
    </row>
    <row r="93" spans="2:26" ht="16.5" hidden="1" x14ac:dyDescent="0.45">
      <c r="B93" s="15">
        <v>33</v>
      </c>
      <c r="C93" s="20" t="str">
        <f>Refsz_Verbräuche[[#This Row],[Datenpunkt]]</f>
        <v>Fuhrpark (E-Auto/ BEV)</v>
      </c>
      <c r="D93" t="s">
        <v>208</v>
      </c>
      <c r="E93" s="15">
        <f>IF(ISNUMBER(Refsz_Verbräuche[[#This Row],[2015]]), Refsz_Verbräuche[[#This Row],[2015]]*Emissionsfaktoren[[#This Row],[2015]]/1000, 0)</f>
        <v>0</v>
      </c>
      <c r="F93" s="15">
        <f>IF(ISNUMBER(Refsz_Verbräuche[[#This Row],[2016]]), Refsz_Verbräuche[[#This Row],[2016]]*Emissionsfaktoren[[#This Row],[2016]]/1000, 0)</f>
        <v>0</v>
      </c>
      <c r="G93" s="15">
        <f>IF(ISNUMBER(Refsz_Verbräuche[[#This Row],[2017]]), Refsz_Verbräuche[[#This Row],[2017]]*Emissionsfaktoren[[#This Row],[2017]]/1000, 0)</f>
        <v>0</v>
      </c>
      <c r="H93" s="15">
        <f>IF(ISNUMBER(Refsz_Verbräuche[[#This Row],[2018]]), Refsz_Verbräuche[[#This Row],[2018]]*Emissionsfaktoren[[#This Row],[2018]]/1000, 0)</f>
        <v>0</v>
      </c>
      <c r="I93" s="15">
        <f>IF(ISNUMBER(Refsz_Verbräuche[[#This Row],[2019]]), Refsz_Verbräuche[[#This Row],[2019]]*Emissionsfaktoren[[#This Row],[2019]]/1000, 0)</f>
        <v>0</v>
      </c>
      <c r="J93" s="15">
        <f>IF(ISNUMBER(Refsz_Verbräuche[[#This Row],[2020]]), Refsz_Verbräuche[[#This Row],[2020]]*Emissionsfaktoren[[#This Row],[2020]]/1000, 0)</f>
        <v>0</v>
      </c>
      <c r="K93" s="15">
        <f>IF(ISNUMBER(Refsz_Verbräuche[[#This Row],[2021]]), Refsz_Verbräuche[[#This Row],[2021]]*Emissionsfaktoren[[#This Row],[2021]]/1000, 0)</f>
        <v>0</v>
      </c>
      <c r="L93" s="15">
        <f>IF(ISNUMBER(Refsz_Verbräuche[[#This Row],[2022]]), Refsz_Verbräuche[[#This Row],[2022]]*Emissionsfaktoren[[#This Row],[2022]]/1000, 0)</f>
        <v>0</v>
      </c>
      <c r="M93" s="15">
        <f>IF(ISNUMBER(Refsz_Verbräuche[[#This Row],[2023]]), Refsz_Verbräuche[[#This Row],[2023]]*Emissionsfaktoren[[#This Row],[2023]]/1000, 0)</f>
        <v>0</v>
      </c>
      <c r="N93" s="15">
        <f>IF(ISNUMBER(Refsz_Verbräuche[[#This Row],[2024]]), Refsz_Verbräuche[[#This Row],[2024]]*Emissionsfaktoren[[#This Row],[2024]]/1000, 0)</f>
        <v>0</v>
      </c>
      <c r="O93" s="15">
        <f>IF(ISNUMBER(Refsz_Verbräuche[[#This Row],[2025]]), Refsz_Verbräuche[[#This Row],[2025]]*Emissionsfaktoren[[#This Row],[2025]]/1000, 0)</f>
        <v>0</v>
      </c>
      <c r="P93" s="15">
        <f>IF(ISNUMBER(Refsz_Verbräuche[[#This Row],[2026]]), Refsz_Verbräuche[[#This Row],[2026]]*Emissionsfaktoren[[#This Row],[2026]]/1000, 0)</f>
        <v>0</v>
      </c>
      <c r="Q93" s="15">
        <f>IF(ISNUMBER(Refsz_Verbräuche[[#This Row],[2027]]), Refsz_Verbräuche[[#This Row],[2027]]*Emissionsfaktoren[[#This Row],[2027]]/1000, 0)</f>
        <v>0</v>
      </c>
      <c r="R93" s="15">
        <f>IF(ISNUMBER(Refsz_Verbräuche[[#This Row],[2028]]), Refsz_Verbräuche[[#This Row],[2028]]*Emissionsfaktoren[[#This Row],[2028]]/1000, 0)</f>
        <v>0</v>
      </c>
      <c r="S93" s="15">
        <f>IF(ISNUMBER(Refsz_Verbräuche[[#This Row],[2029]]), Refsz_Verbräuche[[#This Row],[2029]]*Emissionsfaktoren[[#This Row],[2029]]/1000, 0)</f>
        <v>0</v>
      </c>
      <c r="T93" s="15">
        <f>IF(ISNUMBER(Refsz_Verbräuche[[#This Row],[2030]]), Refsz_Verbräuche[[#This Row],[2030]]*Emissionsfaktoren[[#This Row],[2030]]/1000, 0)</f>
        <v>0</v>
      </c>
      <c r="U93" s="15">
        <f>IF(ISNUMBER(Refsz_Verbräuche[[#This Row],[2035]]), Refsz_Verbräuche[[#This Row],[2035]]*Emissionsfaktoren[[#This Row],[2035]]/1000, 0)</f>
        <v>0</v>
      </c>
      <c r="V93" s="15">
        <f>IF(ISNUMBER(Refsz_Verbräuche[[#This Row],[2040]]), Refsz_Verbräuche[[#This Row],[2040]]*Emissionsfaktoren[[#This Row],[2040]]/1000, 0)</f>
        <v>0</v>
      </c>
      <c r="W93" s="15">
        <f>IF(ISNUMBER(Refsz_Verbräuche[[#This Row],[2045]]), Refsz_Verbräuche[[#This Row],[2045]]*Emissionsfaktoren[[#This Row],[2045]]/1000, 0)</f>
        <v>0</v>
      </c>
      <c r="X93" s="15">
        <f>IF(ISNUMBER(Refsz_Verbräuche[[#This Row],[2050]]), Refsz_Verbräuche[[#This Row],[2050]]*Emissionsfaktoren[[#This Row],[2050]]/1000, 0)</f>
        <v>0</v>
      </c>
    </row>
    <row r="94" spans="2:26" ht="16.5" hidden="1" x14ac:dyDescent="0.45">
      <c r="B94" s="15">
        <v>34</v>
      </c>
      <c r="C94" s="20" t="str">
        <f>Refsz_Verbräuche[[#This Row],[Datenpunkt]]</f>
        <v>Fuhrpark (Wasserstoff/ FCEV)</v>
      </c>
      <c r="D94" t="s">
        <v>208</v>
      </c>
      <c r="E94" s="15">
        <f>IF(ISNUMBER(Refsz_Verbräuche[[#This Row],[2015]]), Refsz_Verbräuche[[#This Row],[2015]]*Emissionsfaktoren[[#This Row],[2015]]/1000, 0)</f>
        <v>0</v>
      </c>
      <c r="F94" s="15">
        <f>IF(ISNUMBER(Refsz_Verbräuche[[#This Row],[2016]]), Refsz_Verbräuche[[#This Row],[2016]]*Emissionsfaktoren[[#This Row],[2016]]/1000, 0)</f>
        <v>0</v>
      </c>
      <c r="G94" s="15">
        <f>IF(ISNUMBER(Refsz_Verbräuche[[#This Row],[2017]]), Refsz_Verbräuche[[#This Row],[2017]]*Emissionsfaktoren[[#This Row],[2017]]/1000, 0)</f>
        <v>0</v>
      </c>
      <c r="H94" s="15">
        <f>IF(ISNUMBER(Refsz_Verbräuche[[#This Row],[2018]]), Refsz_Verbräuche[[#This Row],[2018]]*Emissionsfaktoren[[#This Row],[2018]]/1000, 0)</f>
        <v>0</v>
      </c>
      <c r="I94" s="15">
        <f>IF(ISNUMBER(Refsz_Verbräuche[[#This Row],[2019]]), Refsz_Verbräuche[[#This Row],[2019]]*Emissionsfaktoren[[#This Row],[2019]]/1000, 0)</f>
        <v>0</v>
      </c>
      <c r="J94" s="15">
        <f>IF(ISNUMBER(Refsz_Verbräuche[[#This Row],[2020]]), Refsz_Verbräuche[[#This Row],[2020]]*Emissionsfaktoren[[#This Row],[2020]]/1000, 0)</f>
        <v>0</v>
      </c>
      <c r="K94" s="15">
        <f>IF(ISNUMBER(Refsz_Verbräuche[[#This Row],[2021]]), Refsz_Verbräuche[[#This Row],[2021]]*Emissionsfaktoren[[#This Row],[2021]]/1000, 0)</f>
        <v>0</v>
      </c>
      <c r="L94" s="15">
        <f>IF(ISNUMBER(Refsz_Verbräuche[[#This Row],[2022]]), Refsz_Verbräuche[[#This Row],[2022]]*Emissionsfaktoren[[#This Row],[2022]]/1000, 0)</f>
        <v>0</v>
      </c>
      <c r="M94" s="15">
        <f>IF(ISNUMBER(Refsz_Verbräuche[[#This Row],[2023]]), Refsz_Verbräuche[[#This Row],[2023]]*Emissionsfaktoren[[#This Row],[2023]]/1000, 0)</f>
        <v>0</v>
      </c>
      <c r="N94" s="15">
        <f>IF(ISNUMBER(Refsz_Verbräuche[[#This Row],[2024]]), Refsz_Verbräuche[[#This Row],[2024]]*Emissionsfaktoren[[#This Row],[2024]]/1000, 0)</f>
        <v>0</v>
      </c>
      <c r="O94" s="15">
        <f>IF(ISNUMBER(Refsz_Verbräuche[[#This Row],[2025]]), Refsz_Verbräuche[[#This Row],[2025]]*Emissionsfaktoren[[#This Row],[2025]]/1000, 0)</f>
        <v>0</v>
      </c>
      <c r="P94" s="15">
        <f>IF(ISNUMBER(Refsz_Verbräuche[[#This Row],[2026]]), Refsz_Verbräuche[[#This Row],[2026]]*Emissionsfaktoren[[#This Row],[2026]]/1000, 0)</f>
        <v>0</v>
      </c>
      <c r="Q94" s="15">
        <f>IF(ISNUMBER(Refsz_Verbräuche[[#This Row],[2027]]), Refsz_Verbräuche[[#This Row],[2027]]*Emissionsfaktoren[[#This Row],[2027]]/1000, 0)</f>
        <v>0</v>
      </c>
      <c r="R94" s="15">
        <f>IF(ISNUMBER(Refsz_Verbräuche[[#This Row],[2028]]), Refsz_Verbräuche[[#This Row],[2028]]*Emissionsfaktoren[[#This Row],[2028]]/1000, 0)</f>
        <v>0</v>
      </c>
      <c r="S94" s="15">
        <f>IF(ISNUMBER(Refsz_Verbräuche[[#This Row],[2029]]), Refsz_Verbräuche[[#This Row],[2029]]*Emissionsfaktoren[[#This Row],[2029]]/1000, 0)</f>
        <v>0</v>
      </c>
      <c r="T94" s="15">
        <f>IF(ISNUMBER(Refsz_Verbräuche[[#This Row],[2030]]), Refsz_Verbräuche[[#This Row],[2030]]*Emissionsfaktoren[[#This Row],[2030]]/1000, 0)</f>
        <v>0</v>
      </c>
      <c r="U94" s="15">
        <f>IF(ISNUMBER(Refsz_Verbräuche[[#This Row],[2035]]), Refsz_Verbräuche[[#This Row],[2035]]*Emissionsfaktoren[[#This Row],[2035]]/1000, 0)</f>
        <v>0</v>
      </c>
      <c r="V94" s="15">
        <f>IF(ISNUMBER(Refsz_Verbräuche[[#This Row],[2040]]), Refsz_Verbräuche[[#This Row],[2040]]*Emissionsfaktoren[[#This Row],[2040]]/1000, 0)</f>
        <v>0</v>
      </c>
      <c r="W94" s="15">
        <f>IF(ISNUMBER(Refsz_Verbräuche[[#This Row],[2045]]), Refsz_Verbräuche[[#This Row],[2045]]*Emissionsfaktoren[[#This Row],[2045]]/1000, 0)</f>
        <v>0</v>
      </c>
      <c r="X94" s="15">
        <f>IF(ISNUMBER(Refsz_Verbräuche[[#This Row],[2050]]), Refsz_Verbräuche[[#This Row],[2050]]*Emissionsfaktoren[[#This Row],[2050]]/1000, 0)</f>
        <v>0</v>
      </c>
    </row>
    <row r="95" spans="2:26" ht="16.5" hidden="1" x14ac:dyDescent="0.45">
      <c r="B95" s="15">
        <v>35</v>
      </c>
      <c r="C95" s="20" t="str">
        <f>Refsz_Verbräuche[[#This Row],[Datenpunkt]]</f>
        <v>Fuhrpark (CNG)</v>
      </c>
      <c r="D95" t="s">
        <v>208</v>
      </c>
      <c r="E95" s="15">
        <f>IF(ISNUMBER(Refsz_Verbräuche[[#This Row],[2015]]), Refsz_Verbräuche[[#This Row],[2015]]*Emissionsfaktoren[[#This Row],[2015]]/1000, 0)</f>
        <v>0</v>
      </c>
      <c r="F95" s="15">
        <f>IF(ISNUMBER(Refsz_Verbräuche[[#This Row],[2016]]), Refsz_Verbräuche[[#This Row],[2016]]*Emissionsfaktoren[[#This Row],[2016]]/1000, 0)</f>
        <v>0</v>
      </c>
      <c r="G95" s="15">
        <f>IF(ISNUMBER(Refsz_Verbräuche[[#This Row],[2017]]), Refsz_Verbräuche[[#This Row],[2017]]*Emissionsfaktoren[[#This Row],[2017]]/1000, 0)</f>
        <v>0</v>
      </c>
      <c r="H95" s="15">
        <f>IF(ISNUMBER(Refsz_Verbräuche[[#This Row],[2018]]), Refsz_Verbräuche[[#This Row],[2018]]*Emissionsfaktoren[[#This Row],[2018]]/1000, 0)</f>
        <v>0</v>
      </c>
      <c r="I95" s="15">
        <f>IF(ISNUMBER(Refsz_Verbräuche[[#This Row],[2019]]), Refsz_Verbräuche[[#This Row],[2019]]*Emissionsfaktoren[[#This Row],[2019]]/1000, 0)</f>
        <v>0</v>
      </c>
      <c r="J95" s="15">
        <f>IF(ISNUMBER(Refsz_Verbräuche[[#This Row],[2020]]), Refsz_Verbräuche[[#This Row],[2020]]*Emissionsfaktoren[[#This Row],[2020]]/1000, 0)</f>
        <v>0</v>
      </c>
      <c r="K95" s="15">
        <f>IF(ISNUMBER(Refsz_Verbräuche[[#This Row],[2021]]), Refsz_Verbräuche[[#This Row],[2021]]*Emissionsfaktoren[[#This Row],[2021]]/1000, 0)</f>
        <v>0</v>
      </c>
      <c r="L95" s="15">
        <f>IF(ISNUMBER(Refsz_Verbräuche[[#This Row],[2022]]), Refsz_Verbräuche[[#This Row],[2022]]*Emissionsfaktoren[[#This Row],[2022]]/1000, 0)</f>
        <v>0</v>
      </c>
      <c r="M95" s="15">
        <f>IF(ISNUMBER(Refsz_Verbräuche[[#This Row],[2023]]), Refsz_Verbräuche[[#This Row],[2023]]*Emissionsfaktoren[[#This Row],[2023]]/1000, 0)</f>
        <v>0</v>
      </c>
      <c r="N95" s="15">
        <f>IF(ISNUMBER(Refsz_Verbräuche[[#This Row],[2024]]), Refsz_Verbräuche[[#This Row],[2024]]*Emissionsfaktoren[[#This Row],[2024]]/1000, 0)</f>
        <v>0</v>
      </c>
      <c r="O95" s="15">
        <f>IF(ISNUMBER(Refsz_Verbräuche[[#This Row],[2025]]), Refsz_Verbräuche[[#This Row],[2025]]*Emissionsfaktoren[[#This Row],[2025]]/1000, 0)</f>
        <v>0</v>
      </c>
      <c r="P95" s="15">
        <f>IF(ISNUMBER(Refsz_Verbräuche[[#This Row],[2026]]), Refsz_Verbräuche[[#This Row],[2026]]*Emissionsfaktoren[[#This Row],[2026]]/1000, 0)</f>
        <v>0</v>
      </c>
      <c r="Q95" s="15">
        <f>IF(ISNUMBER(Refsz_Verbräuche[[#This Row],[2027]]), Refsz_Verbräuche[[#This Row],[2027]]*Emissionsfaktoren[[#This Row],[2027]]/1000, 0)</f>
        <v>0</v>
      </c>
      <c r="R95" s="15">
        <f>IF(ISNUMBER(Refsz_Verbräuche[[#This Row],[2028]]), Refsz_Verbräuche[[#This Row],[2028]]*Emissionsfaktoren[[#This Row],[2028]]/1000, 0)</f>
        <v>0</v>
      </c>
      <c r="S95" s="15">
        <f>IF(ISNUMBER(Refsz_Verbräuche[[#This Row],[2029]]), Refsz_Verbräuche[[#This Row],[2029]]*Emissionsfaktoren[[#This Row],[2029]]/1000, 0)</f>
        <v>0</v>
      </c>
      <c r="T95" s="15">
        <f>IF(ISNUMBER(Refsz_Verbräuche[[#This Row],[2030]]), Refsz_Verbräuche[[#This Row],[2030]]*Emissionsfaktoren[[#This Row],[2030]]/1000, 0)</f>
        <v>0</v>
      </c>
      <c r="U95" s="15">
        <f>IF(ISNUMBER(Refsz_Verbräuche[[#This Row],[2035]]), Refsz_Verbräuche[[#This Row],[2035]]*Emissionsfaktoren[[#This Row],[2035]]/1000, 0)</f>
        <v>0</v>
      </c>
      <c r="V95" s="15">
        <f>IF(ISNUMBER(Refsz_Verbräuche[[#This Row],[2040]]), Refsz_Verbräuche[[#This Row],[2040]]*Emissionsfaktoren[[#This Row],[2040]]/1000, 0)</f>
        <v>0</v>
      </c>
      <c r="W95" s="15">
        <f>IF(ISNUMBER(Refsz_Verbräuche[[#This Row],[2045]]), Refsz_Verbräuche[[#This Row],[2045]]*Emissionsfaktoren[[#This Row],[2045]]/1000, 0)</f>
        <v>0</v>
      </c>
      <c r="X95" s="15">
        <f>IF(ISNUMBER(Refsz_Verbräuche[[#This Row],[2050]]), Refsz_Verbräuche[[#This Row],[2050]]*Emissionsfaktoren[[#This Row],[2050]]/1000, 0)</f>
        <v>0</v>
      </c>
    </row>
    <row r="96" spans="2:26" ht="16.5" hidden="1" x14ac:dyDescent="0.45">
      <c r="B96" s="15">
        <v>36</v>
      </c>
      <c r="C96" s="20" t="str">
        <f>Refsz_Verbräuche[[#This Row],[Datenpunkt]]</f>
        <v>Fuhrpark (Plug-In-Hybrid, PHEV)</v>
      </c>
      <c r="D96" t="s">
        <v>208</v>
      </c>
      <c r="E96" s="15">
        <f>IF(ISNUMBER(Refsz_Verbräuche[[#This Row],[2015]]), Refsz_Verbräuche[[#This Row],[2015]]*Emissionsfaktoren[[#This Row],[2015]]/1000, 0)</f>
        <v>0</v>
      </c>
      <c r="F96" s="15">
        <f>IF(ISNUMBER(Refsz_Verbräuche[[#This Row],[2016]]), Refsz_Verbräuche[[#This Row],[2016]]*Emissionsfaktoren[[#This Row],[2016]]/1000, 0)</f>
        <v>0</v>
      </c>
      <c r="G96" s="15">
        <f>IF(ISNUMBER(Refsz_Verbräuche[[#This Row],[2017]]), Refsz_Verbräuche[[#This Row],[2017]]*Emissionsfaktoren[[#This Row],[2017]]/1000, 0)</f>
        <v>0</v>
      </c>
      <c r="H96" s="15">
        <f>IF(ISNUMBER(Refsz_Verbräuche[[#This Row],[2018]]), Refsz_Verbräuche[[#This Row],[2018]]*Emissionsfaktoren[[#This Row],[2018]]/1000, 0)</f>
        <v>0</v>
      </c>
      <c r="I96" s="15">
        <f>IF(ISNUMBER(Refsz_Verbräuche[[#This Row],[2019]]), Refsz_Verbräuche[[#This Row],[2019]]*Emissionsfaktoren[[#This Row],[2019]]/1000, 0)</f>
        <v>0</v>
      </c>
      <c r="J96" s="15">
        <f>IF(ISNUMBER(Refsz_Verbräuche[[#This Row],[2020]]), Refsz_Verbräuche[[#This Row],[2020]]*Emissionsfaktoren[[#This Row],[2020]]/1000, 0)</f>
        <v>0</v>
      </c>
      <c r="K96" s="15">
        <f>IF(ISNUMBER(Refsz_Verbräuche[[#This Row],[2021]]), Refsz_Verbräuche[[#This Row],[2021]]*Emissionsfaktoren[[#This Row],[2021]]/1000, 0)</f>
        <v>0</v>
      </c>
      <c r="L96" s="15">
        <f>IF(ISNUMBER(Refsz_Verbräuche[[#This Row],[2022]]), Refsz_Verbräuche[[#This Row],[2022]]*Emissionsfaktoren[[#This Row],[2022]]/1000, 0)</f>
        <v>0</v>
      </c>
      <c r="M96" s="15">
        <f>IF(ISNUMBER(Refsz_Verbräuche[[#This Row],[2023]]), Refsz_Verbräuche[[#This Row],[2023]]*Emissionsfaktoren[[#This Row],[2023]]/1000, 0)</f>
        <v>0</v>
      </c>
      <c r="N96" s="15">
        <f>IF(ISNUMBER(Refsz_Verbräuche[[#This Row],[2024]]), Refsz_Verbräuche[[#This Row],[2024]]*Emissionsfaktoren[[#This Row],[2024]]/1000, 0)</f>
        <v>0</v>
      </c>
      <c r="O96" s="15">
        <f>IF(ISNUMBER(Refsz_Verbräuche[[#This Row],[2025]]), Refsz_Verbräuche[[#This Row],[2025]]*Emissionsfaktoren[[#This Row],[2025]]/1000, 0)</f>
        <v>0</v>
      </c>
      <c r="P96" s="15">
        <f>IF(ISNUMBER(Refsz_Verbräuche[[#This Row],[2026]]), Refsz_Verbräuche[[#This Row],[2026]]*Emissionsfaktoren[[#This Row],[2026]]/1000, 0)</f>
        <v>0</v>
      </c>
      <c r="Q96" s="15">
        <f>IF(ISNUMBER(Refsz_Verbräuche[[#This Row],[2027]]), Refsz_Verbräuche[[#This Row],[2027]]*Emissionsfaktoren[[#This Row],[2027]]/1000, 0)</f>
        <v>0</v>
      </c>
      <c r="R96" s="15">
        <f>IF(ISNUMBER(Refsz_Verbräuche[[#This Row],[2028]]), Refsz_Verbräuche[[#This Row],[2028]]*Emissionsfaktoren[[#This Row],[2028]]/1000, 0)</f>
        <v>0</v>
      </c>
      <c r="S96" s="15">
        <f>IF(ISNUMBER(Refsz_Verbräuche[[#This Row],[2029]]), Refsz_Verbräuche[[#This Row],[2029]]*Emissionsfaktoren[[#This Row],[2029]]/1000, 0)</f>
        <v>0</v>
      </c>
      <c r="T96" s="15">
        <f>IF(ISNUMBER(Refsz_Verbräuche[[#This Row],[2030]]), Refsz_Verbräuche[[#This Row],[2030]]*Emissionsfaktoren[[#This Row],[2030]]/1000, 0)</f>
        <v>0</v>
      </c>
      <c r="U96" s="15">
        <f>IF(ISNUMBER(Refsz_Verbräuche[[#This Row],[2035]]), Refsz_Verbräuche[[#This Row],[2035]]*Emissionsfaktoren[[#This Row],[2035]]/1000, 0)</f>
        <v>0</v>
      </c>
      <c r="V96" s="15">
        <f>IF(ISNUMBER(Refsz_Verbräuche[[#This Row],[2040]]), Refsz_Verbräuche[[#This Row],[2040]]*Emissionsfaktoren[[#This Row],[2040]]/1000, 0)</f>
        <v>0</v>
      </c>
      <c r="W96" s="15">
        <f>IF(ISNUMBER(Refsz_Verbräuche[[#This Row],[2045]]), Refsz_Verbräuche[[#This Row],[2045]]*Emissionsfaktoren[[#This Row],[2045]]/1000, 0)</f>
        <v>0</v>
      </c>
      <c r="X96" s="15">
        <f>IF(ISNUMBER(Refsz_Verbräuche[[#This Row],[2050]]), Refsz_Verbräuche[[#This Row],[2050]]*Emissionsfaktoren[[#This Row],[2050]]/1000, 0)</f>
        <v>0</v>
      </c>
    </row>
    <row r="97" spans="2:24" ht="16.5" hidden="1" x14ac:dyDescent="0.45">
      <c r="B97" s="15">
        <v>37</v>
      </c>
      <c r="C97" s="20">
        <f>Refsz_Verbräuche[[#This Row],[Datenpunkt]]</f>
        <v>0</v>
      </c>
      <c r="D97" t="s">
        <v>208</v>
      </c>
      <c r="E97" s="15">
        <f>IF(ISNUMBER(Refsz_Verbräuche[[#This Row],[2015]]), Refsz_Verbräuche[[#This Row],[2015]]*Emissionsfaktoren[[#This Row],[2015]]/1000, 0)</f>
        <v>0</v>
      </c>
      <c r="F97" s="15">
        <f>IF(ISNUMBER(Refsz_Verbräuche[[#This Row],[2016]]), Refsz_Verbräuche[[#This Row],[2016]]*Emissionsfaktoren[[#This Row],[2016]]/1000, 0)</f>
        <v>0</v>
      </c>
      <c r="G97" s="15">
        <f>IF(ISNUMBER(Refsz_Verbräuche[[#This Row],[2017]]), Refsz_Verbräuche[[#This Row],[2017]]*Emissionsfaktoren[[#This Row],[2017]]/1000, 0)</f>
        <v>0</v>
      </c>
      <c r="H97" s="15">
        <f>IF(ISNUMBER(Refsz_Verbräuche[[#This Row],[2018]]), Refsz_Verbräuche[[#This Row],[2018]]*Emissionsfaktoren[[#This Row],[2018]]/1000, 0)</f>
        <v>0</v>
      </c>
      <c r="I97" s="15">
        <f>IF(ISNUMBER(Refsz_Verbräuche[[#This Row],[2019]]), Refsz_Verbräuche[[#This Row],[2019]]*Emissionsfaktoren[[#This Row],[2019]]/1000, 0)</f>
        <v>0</v>
      </c>
      <c r="J97" s="15">
        <f>IF(ISNUMBER(Refsz_Verbräuche[[#This Row],[2020]]), Refsz_Verbräuche[[#This Row],[2020]]*Emissionsfaktoren[[#This Row],[2020]]/1000, 0)</f>
        <v>0</v>
      </c>
      <c r="K97" s="15">
        <f>IF(ISNUMBER(Refsz_Verbräuche[[#This Row],[2021]]), Refsz_Verbräuche[[#This Row],[2021]]*Emissionsfaktoren[[#This Row],[2021]]/1000, 0)</f>
        <v>0</v>
      </c>
      <c r="L97" s="15">
        <f>IF(ISNUMBER(Refsz_Verbräuche[[#This Row],[2022]]), Refsz_Verbräuche[[#This Row],[2022]]*Emissionsfaktoren[[#This Row],[2022]]/1000, 0)</f>
        <v>0</v>
      </c>
      <c r="M97" s="15">
        <f>IF(ISNUMBER(Refsz_Verbräuche[[#This Row],[2023]]), Refsz_Verbräuche[[#This Row],[2023]]*Emissionsfaktoren[[#This Row],[2023]]/1000, 0)</f>
        <v>0</v>
      </c>
      <c r="N97" s="15">
        <f>IF(ISNUMBER(Refsz_Verbräuche[[#This Row],[2024]]), Refsz_Verbräuche[[#This Row],[2024]]*Emissionsfaktoren[[#This Row],[2024]]/1000, 0)</f>
        <v>0</v>
      </c>
      <c r="O97" s="15">
        <f>IF(ISNUMBER(Refsz_Verbräuche[[#This Row],[2025]]), Refsz_Verbräuche[[#This Row],[2025]]*Emissionsfaktoren[[#This Row],[2025]]/1000, 0)</f>
        <v>0</v>
      </c>
      <c r="P97" s="15">
        <f>IF(ISNUMBER(Refsz_Verbräuche[[#This Row],[2026]]), Refsz_Verbräuche[[#This Row],[2026]]*Emissionsfaktoren[[#This Row],[2026]]/1000, 0)</f>
        <v>0</v>
      </c>
      <c r="Q97" s="15">
        <f>IF(ISNUMBER(Refsz_Verbräuche[[#This Row],[2027]]), Refsz_Verbräuche[[#This Row],[2027]]*Emissionsfaktoren[[#This Row],[2027]]/1000, 0)</f>
        <v>0</v>
      </c>
      <c r="R97" s="15">
        <f>IF(ISNUMBER(Refsz_Verbräuche[[#This Row],[2028]]), Refsz_Verbräuche[[#This Row],[2028]]*Emissionsfaktoren[[#This Row],[2028]]/1000, 0)</f>
        <v>0</v>
      </c>
      <c r="S97" s="15">
        <f>IF(ISNUMBER(Refsz_Verbräuche[[#This Row],[2029]]), Refsz_Verbräuche[[#This Row],[2029]]*Emissionsfaktoren[[#This Row],[2029]]/1000, 0)</f>
        <v>0</v>
      </c>
      <c r="T97" s="15">
        <f>IF(ISNUMBER(Refsz_Verbräuche[[#This Row],[2030]]), Refsz_Verbräuche[[#This Row],[2030]]*Emissionsfaktoren[[#This Row],[2030]]/1000, 0)</f>
        <v>0</v>
      </c>
      <c r="U97" s="15">
        <f>IF(ISNUMBER(Refsz_Verbräuche[[#This Row],[2035]]), Refsz_Verbräuche[[#This Row],[2035]]*Emissionsfaktoren[[#This Row],[2035]]/1000, 0)</f>
        <v>0</v>
      </c>
      <c r="V97" s="15">
        <f>IF(ISNUMBER(Refsz_Verbräuche[[#This Row],[2040]]), Refsz_Verbräuche[[#This Row],[2040]]*Emissionsfaktoren[[#This Row],[2040]]/1000, 0)</f>
        <v>0</v>
      </c>
      <c r="W97" s="15">
        <f>IF(ISNUMBER(Refsz_Verbräuche[[#This Row],[2045]]), Refsz_Verbräuche[[#This Row],[2045]]*Emissionsfaktoren[[#This Row],[2045]]/1000, 0)</f>
        <v>0</v>
      </c>
      <c r="X97" s="15">
        <f>IF(ISNUMBER(Refsz_Verbräuche[[#This Row],[2050]]), Refsz_Verbräuche[[#This Row],[2050]]*Emissionsfaktoren[[#This Row],[2050]]/1000, 0)</f>
        <v>0</v>
      </c>
    </row>
    <row r="98" spans="2:24" ht="16.5" hidden="1" x14ac:dyDescent="0.45">
      <c r="B98" s="15">
        <v>38</v>
      </c>
      <c r="C98" s="20" t="str">
        <f>Refsz_Verbräuche[[#This Row],[Datenpunkt]]</f>
        <v>DR - Flugreisen</v>
      </c>
      <c r="D98" t="s">
        <v>208</v>
      </c>
      <c r="E98" s="15">
        <f>IF(ISNUMBER(Refsz_Verbräuche[[#This Row],[2015]]), Refsz_Verbräuche[[#This Row],[2015]]*Emissionsfaktoren[[#This Row],[2015]]/1000, 0)</f>
        <v>0</v>
      </c>
      <c r="F98" s="15">
        <f>IF(ISNUMBER(Refsz_Verbräuche[[#This Row],[2016]]), Refsz_Verbräuche[[#This Row],[2016]]*Emissionsfaktoren[[#This Row],[2016]]/1000, 0)</f>
        <v>0</v>
      </c>
      <c r="G98" s="15">
        <f>IF(ISNUMBER(Refsz_Verbräuche[[#This Row],[2017]]), Refsz_Verbräuche[[#This Row],[2017]]*Emissionsfaktoren[[#This Row],[2017]]/1000, 0)</f>
        <v>0</v>
      </c>
      <c r="H98" s="15">
        <f>IF(ISNUMBER(Refsz_Verbräuche[[#This Row],[2018]]), Refsz_Verbräuche[[#This Row],[2018]]*Emissionsfaktoren[[#This Row],[2018]]/1000, 0)</f>
        <v>0</v>
      </c>
      <c r="I98" s="15">
        <f>IF(ISNUMBER(Refsz_Verbräuche[[#This Row],[2019]]), Refsz_Verbräuche[[#This Row],[2019]]*Emissionsfaktoren[[#This Row],[2019]]/1000, 0)</f>
        <v>0</v>
      </c>
      <c r="J98" s="15">
        <f>IF(ISNUMBER(Refsz_Verbräuche[[#This Row],[2020]]), Refsz_Verbräuche[[#This Row],[2020]]*Emissionsfaktoren[[#This Row],[2020]]/1000, 0)</f>
        <v>0</v>
      </c>
      <c r="K98" s="15">
        <f>IF(ISNUMBER(Refsz_Verbräuche[[#This Row],[2021]]), Refsz_Verbräuche[[#This Row],[2021]]*Emissionsfaktoren[[#This Row],[2021]]/1000, 0)</f>
        <v>0</v>
      </c>
      <c r="L98" s="15">
        <f>IF(ISNUMBER(Refsz_Verbräuche[[#This Row],[2022]]), Refsz_Verbräuche[[#This Row],[2022]]*Emissionsfaktoren[[#This Row],[2022]]/1000, 0)</f>
        <v>0</v>
      </c>
      <c r="M98" s="15">
        <f>IF(ISNUMBER(Refsz_Verbräuche[[#This Row],[2023]]), Refsz_Verbräuche[[#This Row],[2023]]*Emissionsfaktoren[[#This Row],[2023]]/1000, 0)</f>
        <v>0</v>
      </c>
      <c r="N98" s="15">
        <f>IF(ISNUMBER(Refsz_Verbräuche[[#This Row],[2024]]), Refsz_Verbräuche[[#This Row],[2024]]*Emissionsfaktoren[[#This Row],[2024]]/1000, 0)</f>
        <v>0</v>
      </c>
      <c r="O98" s="15">
        <f>IF(ISNUMBER(Refsz_Verbräuche[[#This Row],[2025]]), Refsz_Verbräuche[[#This Row],[2025]]*Emissionsfaktoren[[#This Row],[2025]]/1000, 0)</f>
        <v>0</v>
      </c>
      <c r="P98" s="15">
        <f>IF(ISNUMBER(Refsz_Verbräuche[[#This Row],[2026]]), Refsz_Verbräuche[[#This Row],[2026]]*Emissionsfaktoren[[#This Row],[2026]]/1000, 0)</f>
        <v>0</v>
      </c>
      <c r="Q98" s="15">
        <f>IF(ISNUMBER(Refsz_Verbräuche[[#This Row],[2027]]), Refsz_Verbräuche[[#This Row],[2027]]*Emissionsfaktoren[[#This Row],[2027]]/1000, 0)</f>
        <v>0</v>
      </c>
      <c r="R98" s="15">
        <f>IF(ISNUMBER(Refsz_Verbräuche[[#This Row],[2028]]), Refsz_Verbräuche[[#This Row],[2028]]*Emissionsfaktoren[[#This Row],[2028]]/1000, 0)</f>
        <v>0</v>
      </c>
      <c r="S98" s="15">
        <f>IF(ISNUMBER(Refsz_Verbräuche[[#This Row],[2029]]), Refsz_Verbräuche[[#This Row],[2029]]*Emissionsfaktoren[[#This Row],[2029]]/1000, 0)</f>
        <v>0</v>
      </c>
      <c r="T98" s="15">
        <f>IF(ISNUMBER(Refsz_Verbräuche[[#This Row],[2030]]), Refsz_Verbräuche[[#This Row],[2030]]*Emissionsfaktoren[[#This Row],[2030]]/1000, 0)</f>
        <v>0</v>
      </c>
      <c r="U98" s="15">
        <f>IF(ISNUMBER(Refsz_Verbräuche[[#This Row],[2035]]), Refsz_Verbräuche[[#This Row],[2035]]*Emissionsfaktoren[[#This Row],[2035]]/1000, 0)</f>
        <v>0</v>
      </c>
      <c r="V98" s="15">
        <f>IF(ISNUMBER(Refsz_Verbräuche[[#This Row],[2040]]), Refsz_Verbräuche[[#This Row],[2040]]*Emissionsfaktoren[[#This Row],[2040]]/1000, 0)</f>
        <v>0</v>
      </c>
      <c r="W98" s="15">
        <f>IF(ISNUMBER(Refsz_Verbräuche[[#This Row],[2045]]), Refsz_Verbräuche[[#This Row],[2045]]*Emissionsfaktoren[[#This Row],[2045]]/1000, 0)</f>
        <v>0</v>
      </c>
      <c r="X98" s="15">
        <f>IF(ISNUMBER(Refsz_Verbräuche[[#This Row],[2050]]), Refsz_Verbräuche[[#This Row],[2050]]*Emissionsfaktoren[[#This Row],[2050]]/1000, 0)</f>
        <v>0</v>
      </c>
    </row>
    <row r="99" spans="2:24" ht="16.5" hidden="1" x14ac:dyDescent="0.45">
      <c r="B99" s="15">
        <v>39</v>
      </c>
      <c r="C99" s="20" t="str">
        <f>Refsz_Verbräuche[[#This Row],[Datenpunkt]]</f>
        <v>DR - Eisenbahn (Fernverkehr)</v>
      </c>
      <c r="D99" t="s">
        <v>208</v>
      </c>
      <c r="E99" s="15">
        <f>IF(ISNUMBER(Refsz_Verbräuche[[#This Row],[2015]]), Refsz_Verbräuche[[#This Row],[2015]]*Emissionsfaktoren[[#This Row],[2015]]/1000, 0)</f>
        <v>0</v>
      </c>
      <c r="F99" s="15">
        <f>IF(ISNUMBER(Refsz_Verbräuche[[#This Row],[2016]]), Refsz_Verbräuche[[#This Row],[2016]]*Emissionsfaktoren[[#This Row],[2016]]/1000, 0)</f>
        <v>0</v>
      </c>
      <c r="G99" s="15">
        <f>IF(ISNUMBER(Refsz_Verbräuche[[#This Row],[2017]]), Refsz_Verbräuche[[#This Row],[2017]]*Emissionsfaktoren[[#This Row],[2017]]/1000, 0)</f>
        <v>0</v>
      </c>
      <c r="H99" s="15">
        <f>IF(ISNUMBER(Refsz_Verbräuche[[#This Row],[2018]]), Refsz_Verbräuche[[#This Row],[2018]]*Emissionsfaktoren[[#This Row],[2018]]/1000, 0)</f>
        <v>0</v>
      </c>
      <c r="I99" s="15">
        <f>IF(ISNUMBER(Refsz_Verbräuche[[#This Row],[2019]]), Refsz_Verbräuche[[#This Row],[2019]]*Emissionsfaktoren[[#This Row],[2019]]/1000, 0)</f>
        <v>0</v>
      </c>
      <c r="J99" s="15">
        <f>IF(ISNUMBER(Refsz_Verbräuche[[#This Row],[2020]]), Refsz_Verbräuche[[#This Row],[2020]]*Emissionsfaktoren[[#This Row],[2020]]/1000, 0)</f>
        <v>0</v>
      </c>
      <c r="K99" s="15">
        <f>IF(ISNUMBER(Refsz_Verbräuche[[#This Row],[2021]]), Refsz_Verbräuche[[#This Row],[2021]]*Emissionsfaktoren[[#This Row],[2021]]/1000, 0)</f>
        <v>0</v>
      </c>
      <c r="L99" s="15">
        <f>IF(ISNUMBER(Refsz_Verbräuche[[#This Row],[2022]]), Refsz_Verbräuche[[#This Row],[2022]]*Emissionsfaktoren[[#This Row],[2022]]/1000, 0)</f>
        <v>0</v>
      </c>
      <c r="M99" s="15">
        <f>IF(ISNUMBER(Refsz_Verbräuche[[#This Row],[2023]]), Refsz_Verbräuche[[#This Row],[2023]]*Emissionsfaktoren[[#This Row],[2023]]/1000, 0)</f>
        <v>0</v>
      </c>
      <c r="N99" s="15">
        <f>IF(ISNUMBER(Refsz_Verbräuche[[#This Row],[2024]]), Refsz_Verbräuche[[#This Row],[2024]]*Emissionsfaktoren[[#This Row],[2024]]/1000, 0)</f>
        <v>0</v>
      </c>
      <c r="O99" s="15">
        <f>IF(ISNUMBER(Refsz_Verbräuche[[#This Row],[2025]]), Refsz_Verbräuche[[#This Row],[2025]]*Emissionsfaktoren[[#This Row],[2025]]/1000, 0)</f>
        <v>0</v>
      </c>
      <c r="P99" s="15">
        <f>IF(ISNUMBER(Refsz_Verbräuche[[#This Row],[2026]]), Refsz_Verbräuche[[#This Row],[2026]]*Emissionsfaktoren[[#This Row],[2026]]/1000, 0)</f>
        <v>0</v>
      </c>
      <c r="Q99" s="15">
        <f>IF(ISNUMBER(Refsz_Verbräuche[[#This Row],[2027]]), Refsz_Verbräuche[[#This Row],[2027]]*Emissionsfaktoren[[#This Row],[2027]]/1000, 0)</f>
        <v>0</v>
      </c>
      <c r="R99" s="15">
        <f>IF(ISNUMBER(Refsz_Verbräuche[[#This Row],[2028]]), Refsz_Verbräuche[[#This Row],[2028]]*Emissionsfaktoren[[#This Row],[2028]]/1000, 0)</f>
        <v>0</v>
      </c>
      <c r="S99" s="15">
        <f>IF(ISNUMBER(Refsz_Verbräuche[[#This Row],[2029]]), Refsz_Verbräuche[[#This Row],[2029]]*Emissionsfaktoren[[#This Row],[2029]]/1000, 0)</f>
        <v>0</v>
      </c>
      <c r="T99" s="15">
        <f>IF(ISNUMBER(Refsz_Verbräuche[[#This Row],[2030]]), Refsz_Verbräuche[[#This Row],[2030]]*Emissionsfaktoren[[#This Row],[2030]]/1000, 0)</f>
        <v>0</v>
      </c>
      <c r="U99" s="15">
        <f>IF(ISNUMBER(Refsz_Verbräuche[[#This Row],[2035]]), Refsz_Verbräuche[[#This Row],[2035]]*Emissionsfaktoren[[#This Row],[2035]]/1000, 0)</f>
        <v>0</v>
      </c>
      <c r="V99" s="15">
        <f>IF(ISNUMBER(Refsz_Verbräuche[[#This Row],[2040]]), Refsz_Verbräuche[[#This Row],[2040]]*Emissionsfaktoren[[#This Row],[2040]]/1000, 0)</f>
        <v>0</v>
      </c>
      <c r="W99" s="15">
        <f>IF(ISNUMBER(Refsz_Verbräuche[[#This Row],[2045]]), Refsz_Verbräuche[[#This Row],[2045]]*Emissionsfaktoren[[#This Row],[2045]]/1000, 0)</f>
        <v>0</v>
      </c>
      <c r="X99" s="15">
        <f>IF(ISNUMBER(Refsz_Verbräuche[[#This Row],[2050]]), Refsz_Verbräuche[[#This Row],[2050]]*Emissionsfaktoren[[#This Row],[2050]]/1000, 0)</f>
        <v>0</v>
      </c>
    </row>
    <row r="100" spans="2:24" ht="16.5" hidden="1" x14ac:dyDescent="0.45">
      <c r="B100" s="15">
        <v>40</v>
      </c>
      <c r="C100" s="20" t="str">
        <f>Refsz_Verbräuche[[#This Row],[Datenpunkt]]</f>
        <v>DR - Eisenbahn (Nahverkehr)</v>
      </c>
      <c r="D100" t="s">
        <v>208</v>
      </c>
      <c r="E100" s="15">
        <f>IF(ISNUMBER(Refsz_Verbräuche[[#This Row],[2015]]), Refsz_Verbräuche[[#This Row],[2015]]*Emissionsfaktoren[[#This Row],[2015]]/1000, 0)</f>
        <v>0</v>
      </c>
      <c r="F100" s="15">
        <f>IF(ISNUMBER(Refsz_Verbräuche[[#This Row],[2016]]), Refsz_Verbräuche[[#This Row],[2016]]*Emissionsfaktoren[[#This Row],[2016]]/1000, 0)</f>
        <v>0</v>
      </c>
      <c r="G100" s="15">
        <f>IF(ISNUMBER(Refsz_Verbräuche[[#This Row],[2017]]), Refsz_Verbräuche[[#This Row],[2017]]*Emissionsfaktoren[[#This Row],[2017]]/1000, 0)</f>
        <v>0</v>
      </c>
      <c r="H100" s="15">
        <f>IF(ISNUMBER(Refsz_Verbräuche[[#This Row],[2018]]), Refsz_Verbräuche[[#This Row],[2018]]*Emissionsfaktoren[[#This Row],[2018]]/1000, 0)</f>
        <v>0</v>
      </c>
      <c r="I100" s="15">
        <f>IF(ISNUMBER(Refsz_Verbräuche[[#This Row],[2019]]), Refsz_Verbräuche[[#This Row],[2019]]*Emissionsfaktoren[[#This Row],[2019]]/1000, 0)</f>
        <v>0</v>
      </c>
      <c r="J100" s="15">
        <f>IF(ISNUMBER(Refsz_Verbräuche[[#This Row],[2020]]), Refsz_Verbräuche[[#This Row],[2020]]*Emissionsfaktoren[[#This Row],[2020]]/1000, 0)</f>
        <v>0</v>
      </c>
      <c r="K100" s="15">
        <f>IF(ISNUMBER(Refsz_Verbräuche[[#This Row],[2021]]), Refsz_Verbräuche[[#This Row],[2021]]*Emissionsfaktoren[[#This Row],[2021]]/1000, 0)</f>
        <v>0</v>
      </c>
      <c r="L100" s="15">
        <f>IF(ISNUMBER(Refsz_Verbräuche[[#This Row],[2022]]), Refsz_Verbräuche[[#This Row],[2022]]*Emissionsfaktoren[[#This Row],[2022]]/1000, 0)</f>
        <v>0</v>
      </c>
      <c r="M100" s="15">
        <f>IF(ISNUMBER(Refsz_Verbräuche[[#This Row],[2023]]), Refsz_Verbräuche[[#This Row],[2023]]*Emissionsfaktoren[[#This Row],[2023]]/1000, 0)</f>
        <v>0</v>
      </c>
      <c r="N100" s="15">
        <f>IF(ISNUMBER(Refsz_Verbräuche[[#This Row],[2024]]), Refsz_Verbräuche[[#This Row],[2024]]*Emissionsfaktoren[[#This Row],[2024]]/1000, 0)</f>
        <v>0</v>
      </c>
      <c r="O100" s="15">
        <f>IF(ISNUMBER(Refsz_Verbräuche[[#This Row],[2025]]), Refsz_Verbräuche[[#This Row],[2025]]*Emissionsfaktoren[[#This Row],[2025]]/1000, 0)</f>
        <v>0</v>
      </c>
      <c r="P100" s="15">
        <f>IF(ISNUMBER(Refsz_Verbräuche[[#This Row],[2026]]), Refsz_Verbräuche[[#This Row],[2026]]*Emissionsfaktoren[[#This Row],[2026]]/1000, 0)</f>
        <v>0</v>
      </c>
      <c r="Q100" s="15">
        <f>IF(ISNUMBER(Refsz_Verbräuche[[#This Row],[2027]]), Refsz_Verbräuche[[#This Row],[2027]]*Emissionsfaktoren[[#This Row],[2027]]/1000, 0)</f>
        <v>0</v>
      </c>
      <c r="R100" s="15">
        <f>IF(ISNUMBER(Refsz_Verbräuche[[#This Row],[2028]]), Refsz_Verbräuche[[#This Row],[2028]]*Emissionsfaktoren[[#This Row],[2028]]/1000, 0)</f>
        <v>0</v>
      </c>
      <c r="S100" s="15">
        <f>IF(ISNUMBER(Refsz_Verbräuche[[#This Row],[2029]]), Refsz_Verbräuche[[#This Row],[2029]]*Emissionsfaktoren[[#This Row],[2029]]/1000, 0)</f>
        <v>0</v>
      </c>
      <c r="T100" s="15">
        <f>IF(ISNUMBER(Refsz_Verbräuche[[#This Row],[2030]]), Refsz_Verbräuche[[#This Row],[2030]]*Emissionsfaktoren[[#This Row],[2030]]/1000, 0)</f>
        <v>0</v>
      </c>
      <c r="U100" s="15">
        <f>IF(ISNUMBER(Refsz_Verbräuche[[#This Row],[2035]]), Refsz_Verbräuche[[#This Row],[2035]]*Emissionsfaktoren[[#This Row],[2035]]/1000, 0)</f>
        <v>0</v>
      </c>
      <c r="V100" s="15">
        <f>IF(ISNUMBER(Refsz_Verbräuche[[#This Row],[2040]]), Refsz_Verbräuche[[#This Row],[2040]]*Emissionsfaktoren[[#This Row],[2040]]/1000, 0)</f>
        <v>0</v>
      </c>
      <c r="W100" s="15">
        <f>IF(ISNUMBER(Refsz_Verbräuche[[#This Row],[2045]]), Refsz_Verbräuche[[#This Row],[2045]]*Emissionsfaktoren[[#This Row],[2045]]/1000, 0)</f>
        <v>0</v>
      </c>
      <c r="X100" s="15">
        <f>IF(ISNUMBER(Refsz_Verbräuche[[#This Row],[2050]]), Refsz_Verbräuche[[#This Row],[2050]]*Emissionsfaktoren[[#This Row],[2050]]/1000, 0)</f>
        <v>0</v>
      </c>
    </row>
    <row r="101" spans="2:24" ht="16.5" hidden="1" x14ac:dyDescent="0.45">
      <c r="B101" s="15">
        <v>41</v>
      </c>
      <c r="C101" s="20" t="str">
        <f>Refsz_Verbräuche[[#This Row],[Datenpunkt]]</f>
        <v>DR - Reisebus, Linienbus (Fernverkehr)</v>
      </c>
      <c r="D101" t="s">
        <v>208</v>
      </c>
      <c r="E101" s="15">
        <f>IF(ISNUMBER(Refsz_Verbräuche[[#This Row],[2015]]), Refsz_Verbräuche[[#This Row],[2015]]*Emissionsfaktoren[[#This Row],[2015]]/1000, 0)</f>
        <v>0</v>
      </c>
      <c r="F101" s="15">
        <f>IF(ISNUMBER(Refsz_Verbräuche[[#This Row],[2016]]), Refsz_Verbräuche[[#This Row],[2016]]*Emissionsfaktoren[[#This Row],[2016]]/1000, 0)</f>
        <v>0</v>
      </c>
      <c r="G101" s="15">
        <f>IF(ISNUMBER(Refsz_Verbräuche[[#This Row],[2017]]), Refsz_Verbräuche[[#This Row],[2017]]*Emissionsfaktoren[[#This Row],[2017]]/1000, 0)</f>
        <v>0</v>
      </c>
      <c r="H101" s="15">
        <f>IF(ISNUMBER(Refsz_Verbräuche[[#This Row],[2018]]), Refsz_Verbräuche[[#This Row],[2018]]*Emissionsfaktoren[[#This Row],[2018]]/1000, 0)</f>
        <v>0</v>
      </c>
      <c r="I101" s="15">
        <f>IF(ISNUMBER(Refsz_Verbräuche[[#This Row],[2019]]), Refsz_Verbräuche[[#This Row],[2019]]*Emissionsfaktoren[[#This Row],[2019]]/1000, 0)</f>
        <v>0</v>
      </c>
      <c r="J101" s="15">
        <f>IF(ISNUMBER(Refsz_Verbräuche[[#This Row],[2020]]), Refsz_Verbräuche[[#This Row],[2020]]*Emissionsfaktoren[[#This Row],[2020]]/1000, 0)</f>
        <v>0</v>
      </c>
      <c r="K101" s="15">
        <f>IF(ISNUMBER(Refsz_Verbräuche[[#This Row],[2021]]), Refsz_Verbräuche[[#This Row],[2021]]*Emissionsfaktoren[[#This Row],[2021]]/1000, 0)</f>
        <v>0</v>
      </c>
      <c r="L101" s="15">
        <f>IF(ISNUMBER(Refsz_Verbräuche[[#This Row],[2022]]), Refsz_Verbräuche[[#This Row],[2022]]*Emissionsfaktoren[[#This Row],[2022]]/1000, 0)</f>
        <v>0</v>
      </c>
      <c r="M101" s="15">
        <f>IF(ISNUMBER(Refsz_Verbräuche[[#This Row],[2023]]), Refsz_Verbräuche[[#This Row],[2023]]*Emissionsfaktoren[[#This Row],[2023]]/1000, 0)</f>
        <v>0</v>
      </c>
      <c r="N101" s="15">
        <f>IF(ISNUMBER(Refsz_Verbräuche[[#This Row],[2024]]), Refsz_Verbräuche[[#This Row],[2024]]*Emissionsfaktoren[[#This Row],[2024]]/1000, 0)</f>
        <v>0</v>
      </c>
      <c r="O101" s="15">
        <f>IF(ISNUMBER(Refsz_Verbräuche[[#This Row],[2025]]), Refsz_Verbräuche[[#This Row],[2025]]*Emissionsfaktoren[[#This Row],[2025]]/1000, 0)</f>
        <v>0</v>
      </c>
      <c r="P101" s="15">
        <f>IF(ISNUMBER(Refsz_Verbräuche[[#This Row],[2026]]), Refsz_Verbräuche[[#This Row],[2026]]*Emissionsfaktoren[[#This Row],[2026]]/1000, 0)</f>
        <v>0</v>
      </c>
      <c r="Q101" s="15">
        <f>IF(ISNUMBER(Refsz_Verbräuche[[#This Row],[2027]]), Refsz_Verbräuche[[#This Row],[2027]]*Emissionsfaktoren[[#This Row],[2027]]/1000, 0)</f>
        <v>0</v>
      </c>
      <c r="R101" s="15">
        <f>IF(ISNUMBER(Refsz_Verbräuche[[#This Row],[2028]]), Refsz_Verbräuche[[#This Row],[2028]]*Emissionsfaktoren[[#This Row],[2028]]/1000, 0)</f>
        <v>0</v>
      </c>
      <c r="S101" s="15">
        <f>IF(ISNUMBER(Refsz_Verbräuche[[#This Row],[2029]]), Refsz_Verbräuche[[#This Row],[2029]]*Emissionsfaktoren[[#This Row],[2029]]/1000, 0)</f>
        <v>0</v>
      </c>
      <c r="T101" s="15">
        <f>IF(ISNUMBER(Refsz_Verbräuche[[#This Row],[2030]]), Refsz_Verbräuche[[#This Row],[2030]]*Emissionsfaktoren[[#This Row],[2030]]/1000, 0)</f>
        <v>0</v>
      </c>
      <c r="U101" s="15">
        <f>IF(ISNUMBER(Refsz_Verbräuche[[#This Row],[2035]]), Refsz_Verbräuche[[#This Row],[2035]]*Emissionsfaktoren[[#This Row],[2035]]/1000, 0)</f>
        <v>0</v>
      </c>
      <c r="V101" s="15">
        <f>IF(ISNUMBER(Refsz_Verbräuche[[#This Row],[2040]]), Refsz_Verbräuche[[#This Row],[2040]]*Emissionsfaktoren[[#This Row],[2040]]/1000, 0)</f>
        <v>0</v>
      </c>
      <c r="W101" s="15">
        <f>IF(ISNUMBER(Refsz_Verbräuche[[#This Row],[2045]]), Refsz_Verbräuche[[#This Row],[2045]]*Emissionsfaktoren[[#This Row],[2045]]/1000, 0)</f>
        <v>0</v>
      </c>
      <c r="X101" s="15">
        <f>IF(ISNUMBER(Refsz_Verbräuche[[#This Row],[2050]]), Refsz_Verbräuche[[#This Row],[2050]]*Emissionsfaktoren[[#This Row],[2050]]/1000, 0)</f>
        <v>0</v>
      </c>
    </row>
    <row r="102" spans="2:24" ht="16.5" hidden="1" x14ac:dyDescent="0.45">
      <c r="B102" s="15">
        <v>42</v>
      </c>
      <c r="C102" s="20" t="str">
        <f>Refsz_Verbräuche[[#This Row],[Datenpunkt]]</f>
        <v>DR - Linienbus (Nahverkehr)</v>
      </c>
      <c r="D102" t="s">
        <v>208</v>
      </c>
      <c r="E102" s="15">
        <f>IF(ISNUMBER(Refsz_Verbräuche[[#This Row],[2015]]), Refsz_Verbräuche[[#This Row],[2015]]*Emissionsfaktoren[[#This Row],[2015]]/1000, 0)</f>
        <v>0</v>
      </c>
      <c r="F102" s="15">
        <f>IF(ISNUMBER(Refsz_Verbräuche[[#This Row],[2016]]), Refsz_Verbräuche[[#This Row],[2016]]*Emissionsfaktoren[[#This Row],[2016]]/1000, 0)</f>
        <v>0</v>
      </c>
      <c r="G102" s="15">
        <f>IF(ISNUMBER(Refsz_Verbräuche[[#This Row],[2017]]), Refsz_Verbräuche[[#This Row],[2017]]*Emissionsfaktoren[[#This Row],[2017]]/1000, 0)</f>
        <v>0</v>
      </c>
      <c r="H102" s="15">
        <f>IF(ISNUMBER(Refsz_Verbräuche[[#This Row],[2018]]), Refsz_Verbräuche[[#This Row],[2018]]*Emissionsfaktoren[[#This Row],[2018]]/1000, 0)</f>
        <v>0</v>
      </c>
      <c r="I102" s="15">
        <f>IF(ISNUMBER(Refsz_Verbräuche[[#This Row],[2019]]), Refsz_Verbräuche[[#This Row],[2019]]*Emissionsfaktoren[[#This Row],[2019]]/1000, 0)</f>
        <v>0</v>
      </c>
      <c r="J102" s="15">
        <f>IF(ISNUMBER(Refsz_Verbräuche[[#This Row],[2020]]), Refsz_Verbräuche[[#This Row],[2020]]*Emissionsfaktoren[[#This Row],[2020]]/1000, 0)</f>
        <v>0</v>
      </c>
      <c r="K102" s="15">
        <f>IF(ISNUMBER(Refsz_Verbräuche[[#This Row],[2021]]), Refsz_Verbräuche[[#This Row],[2021]]*Emissionsfaktoren[[#This Row],[2021]]/1000, 0)</f>
        <v>0</v>
      </c>
      <c r="L102" s="15">
        <f>IF(ISNUMBER(Refsz_Verbräuche[[#This Row],[2022]]), Refsz_Verbräuche[[#This Row],[2022]]*Emissionsfaktoren[[#This Row],[2022]]/1000, 0)</f>
        <v>0</v>
      </c>
      <c r="M102" s="15">
        <f>IF(ISNUMBER(Refsz_Verbräuche[[#This Row],[2023]]), Refsz_Verbräuche[[#This Row],[2023]]*Emissionsfaktoren[[#This Row],[2023]]/1000, 0)</f>
        <v>0</v>
      </c>
      <c r="N102" s="15">
        <f>IF(ISNUMBER(Refsz_Verbräuche[[#This Row],[2024]]), Refsz_Verbräuche[[#This Row],[2024]]*Emissionsfaktoren[[#This Row],[2024]]/1000, 0)</f>
        <v>0</v>
      </c>
      <c r="O102" s="15">
        <f>IF(ISNUMBER(Refsz_Verbräuche[[#This Row],[2025]]), Refsz_Verbräuche[[#This Row],[2025]]*Emissionsfaktoren[[#This Row],[2025]]/1000, 0)</f>
        <v>0</v>
      </c>
      <c r="P102" s="15">
        <f>IF(ISNUMBER(Refsz_Verbräuche[[#This Row],[2026]]), Refsz_Verbräuche[[#This Row],[2026]]*Emissionsfaktoren[[#This Row],[2026]]/1000, 0)</f>
        <v>0</v>
      </c>
      <c r="Q102" s="15">
        <f>IF(ISNUMBER(Refsz_Verbräuche[[#This Row],[2027]]), Refsz_Verbräuche[[#This Row],[2027]]*Emissionsfaktoren[[#This Row],[2027]]/1000, 0)</f>
        <v>0</v>
      </c>
      <c r="R102" s="15">
        <f>IF(ISNUMBER(Refsz_Verbräuche[[#This Row],[2028]]), Refsz_Verbräuche[[#This Row],[2028]]*Emissionsfaktoren[[#This Row],[2028]]/1000, 0)</f>
        <v>0</v>
      </c>
      <c r="S102" s="15">
        <f>IF(ISNUMBER(Refsz_Verbräuche[[#This Row],[2029]]), Refsz_Verbräuche[[#This Row],[2029]]*Emissionsfaktoren[[#This Row],[2029]]/1000, 0)</f>
        <v>0</v>
      </c>
      <c r="T102" s="15">
        <f>IF(ISNUMBER(Refsz_Verbräuche[[#This Row],[2030]]), Refsz_Verbräuche[[#This Row],[2030]]*Emissionsfaktoren[[#This Row],[2030]]/1000, 0)</f>
        <v>0</v>
      </c>
      <c r="U102" s="15">
        <f>IF(ISNUMBER(Refsz_Verbräuche[[#This Row],[2035]]), Refsz_Verbräuche[[#This Row],[2035]]*Emissionsfaktoren[[#This Row],[2035]]/1000, 0)</f>
        <v>0</v>
      </c>
      <c r="V102" s="15">
        <f>IF(ISNUMBER(Refsz_Verbräuche[[#This Row],[2040]]), Refsz_Verbräuche[[#This Row],[2040]]*Emissionsfaktoren[[#This Row],[2040]]/1000, 0)</f>
        <v>0</v>
      </c>
      <c r="W102" s="15">
        <f>IF(ISNUMBER(Refsz_Verbräuche[[#This Row],[2045]]), Refsz_Verbräuche[[#This Row],[2045]]*Emissionsfaktoren[[#This Row],[2045]]/1000, 0)</f>
        <v>0</v>
      </c>
      <c r="X102" s="15">
        <f>IF(ISNUMBER(Refsz_Verbräuche[[#This Row],[2050]]), Refsz_Verbräuche[[#This Row],[2050]]*Emissionsfaktoren[[#This Row],[2050]]/1000, 0)</f>
        <v>0</v>
      </c>
    </row>
    <row r="103" spans="2:24" ht="16.5" hidden="1" x14ac:dyDescent="0.45">
      <c r="B103" s="15">
        <v>43</v>
      </c>
      <c r="C103" s="20" t="str">
        <f>Refsz_Verbräuche[[#This Row],[Datenpunkt]]</f>
        <v>DR - Privater PKW (alle Antriebsarten)</v>
      </c>
      <c r="D103" t="s">
        <v>208</v>
      </c>
      <c r="E103" s="15">
        <f>IF(ISNUMBER(Refsz_Verbräuche[[#This Row],[2015]]), Refsz_Verbräuche[[#This Row],[2015]]*Emissionsfaktoren[[#This Row],[2015]]/1000, 0)</f>
        <v>0</v>
      </c>
      <c r="F103" s="15">
        <f>IF(ISNUMBER(Refsz_Verbräuche[[#This Row],[2016]]), Refsz_Verbräuche[[#This Row],[2016]]*Emissionsfaktoren[[#This Row],[2016]]/1000, 0)</f>
        <v>0</v>
      </c>
      <c r="G103" s="15">
        <f>IF(ISNUMBER(Refsz_Verbräuche[[#This Row],[2017]]), Refsz_Verbräuche[[#This Row],[2017]]*Emissionsfaktoren[[#This Row],[2017]]/1000, 0)</f>
        <v>0</v>
      </c>
      <c r="H103" s="15">
        <f>IF(ISNUMBER(Refsz_Verbräuche[[#This Row],[2018]]), Refsz_Verbräuche[[#This Row],[2018]]*Emissionsfaktoren[[#This Row],[2018]]/1000, 0)</f>
        <v>0</v>
      </c>
      <c r="I103" s="15">
        <f>IF(ISNUMBER(Refsz_Verbräuche[[#This Row],[2019]]), Refsz_Verbräuche[[#This Row],[2019]]*Emissionsfaktoren[[#This Row],[2019]]/1000, 0)</f>
        <v>0</v>
      </c>
      <c r="J103" s="15">
        <f>IF(ISNUMBER(Refsz_Verbräuche[[#This Row],[2020]]), Refsz_Verbräuche[[#This Row],[2020]]*Emissionsfaktoren[[#This Row],[2020]]/1000, 0)</f>
        <v>0</v>
      </c>
      <c r="K103" s="15">
        <f>IF(ISNUMBER(Refsz_Verbräuche[[#This Row],[2021]]), Refsz_Verbräuche[[#This Row],[2021]]*Emissionsfaktoren[[#This Row],[2021]]/1000, 0)</f>
        <v>0</v>
      </c>
      <c r="L103" s="15">
        <f>IF(ISNUMBER(Refsz_Verbräuche[[#This Row],[2022]]), Refsz_Verbräuche[[#This Row],[2022]]*Emissionsfaktoren[[#This Row],[2022]]/1000, 0)</f>
        <v>0</v>
      </c>
      <c r="M103" s="15">
        <f>IF(ISNUMBER(Refsz_Verbräuche[[#This Row],[2023]]), Refsz_Verbräuche[[#This Row],[2023]]*Emissionsfaktoren[[#This Row],[2023]]/1000, 0)</f>
        <v>0</v>
      </c>
      <c r="N103" s="15">
        <f>IF(ISNUMBER(Refsz_Verbräuche[[#This Row],[2024]]), Refsz_Verbräuche[[#This Row],[2024]]*Emissionsfaktoren[[#This Row],[2024]]/1000, 0)</f>
        <v>0</v>
      </c>
      <c r="O103" s="15">
        <f>IF(ISNUMBER(Refsz_Verbräuche[[#This Row],[2025]]), Refsz_Verbräuche[[#This Row],[2025]]*Emissionsfaktoren[[#This Row],[2025]]/1000, 0)</f>
        <v>0</v>
      </c>
      <c r="P103" s="15">
        <f>IF(ISNUMBER(Refsz_Verbräuche[[#This Row],[2026]]), Refsz_Verbräuche[[#This Row],[2026]]*Emissionsfaktoren[[#This Row],[2026]]/1000, 0)</f>
        <v>0</v>
      </c>
      <c r="Q103" s="15">
        <f>IF(ISNUMBER(Refsz_Verbräuche[[#This Row],[2027]]), Refsz_Verbräuche[[#This Row],[2027]]*Emissionsfaktoren[[#This Row],[2027]]/1000, 0)</f>
        <v>0</v>
      </c>
      <c r="R103" s="15">
        <f>IF(ISNUMBER(Refsz_Verbräuche[[#This Row],[2028]]), Refsz_Verbräuche[[#This Row],[2028]]*Emissionsfaktoren[[#This Row],[2028]]/1000, 0)</f>
        <v>0</v>
      </c>
      <c r="S103" s="15">
        <f>IF(ISNUMBER(Refsz_Verbräuche[[#This Row],[2029]]), Refsz_Verbräuche[[#This Row],[2029]]*Emissionsfaktoren[[#This Row],[2029]]/1000, 0)</f>
        <v>0</v>
      </c>
      <c r="T103" s="15">
        <f>IF(ISNUMBER(Refsz_Verbräuche[[#This Row],[2030]]), Refsz_Verbräuche[[#This Row],[2030]]*Emissionsfaktoren[[#This Row],[2030]]/1000, 0)</f>
        <v>0</v>
      </c>
      <c r="U103" s="15">
        <f>IF(ISNUMBER(Refsz_Verbräuche[[#This Row],[2035]]), Refsz_Verbräuche[[#This Row],[2035]]*Emissionsfaktoren[[#This Row],[2035]]/1000, 0)</f>
        <v>0</v>
      </c>
      <c r="V103" s="15">
        <f>IF(ISNUMBER(Refsz_Verbräuche[[#This Row],[2040]]), Refsz_Verbräuche[[#This Row],[2040]]*Emissionsfaktoren[[#This Row],[2040]]/1000, 0)</f>
        <v>0</v>
      </c>
      <c r="W103" s="15">
        <f>IF(ISNUMBER(Refsz_Verbräuche[[#This Row],[2045]]), Refsz_Verbräuche[[#This Row],[2045]]*Emissionsfaktoren[[#This Row],[2045]]/1000, 0)</f>
        <v>0</v>
      </c>
      <c r="X103" s="15">
        <f>IF(ISNUMBER(Refsz_Verbräuche[[#This Row],[2050]]), Refsz_Verbräuche[[#This Row],[2050]]*Emissionsfaktoren[[#This Row],[2050]]/1000, 0)</f>
        <v>0</v>
      </c>
    </row>
    <row r="104" spans="2:24" ht="16.5" hidden="1" x14ac:dyDescent="0.45">
      <c r="B104" s="15">
        <v>44</v>
      </c>
      <c r="C104" s="20" t="str">
        <f>Refsz_Verbräuche[[#This Row],[Datenpunkt]]</f>
        <v>DR - Privater PKW (Diesel)</v>
      </c>
      <c r="D104" t="s">
        <v>208</v>
      </c>
      <c r="E104" s="15">
        <f>IF(ISNUMBER(Refsz_Verbräuche[[#This Row],[2015]]), Refsz_Verbräuche[[#This Row],[2015]]*Emissionsfaktoren[[#This Row],[2015]]/1000, 0)</f>
        <v>0</v>
      </c>
      <c r="F104" s="15">
        <f>IF(ISNUMBER(Refsz_Verbräuche[[#This Row],[2016]]), Refsz_Verbräuche[[#This Row],[2016]]*Emissionsfaktoren[[#This Row],[2016]]/1000, 0)</f>
        <v>0</v>
      </c>
      <c r="G104" s="15">
        <f>IF(ISNUMBER(Refsz_Verbräuche[[#This Row],[2017]]), Refsz_Verbräuche[[#This Row],[2017]]*Emissionsfaktoren[[#This Row],[2017]]/1000, 0)</f>
        <v>0</v>
      </c>
      <c r="H104" s="15">
        <f>IF(ISNUMBER(Refsz_Verbräuche[[#This Row],[2018]]), Refsz_Verbräuche[[#This Row],[2018]]*Emissionsfaktoren[[#This Row],[2018]]/1000, 0)</f>
        <v>0</v>
      </c>
      <c r="I104" s="15">
        <f>IF(ISNUMBER(Refsz_Verbräuche[[#This Row],[2019]]), Refsz_Verbräuche[[#This Row],[2019]]*Emissionsfaktoren[[#This Row],[2019]]/1000, 0)</f>
        <v>0</v>
      </c>
      <c r="J104" s="15">
        <f>IF(ISNUMBER(Refsz_Verbräuche[[#This Row],[2020]]), Refsz_Verbräuche[[#This Row],[2020]]*Emissionsfaktoren[[#This Row],[2020]]/1000, 0)</f>
        <v>0</v>
      </c>
      <c r="K104" s="15">
        <f>IF(ISNUMBER(Refsz_Verbräuche[[#This Row],[2021]]), Refsz_Verbräuche[[#This Row],[2021]]*Emissionsfaktoren[[#This Row],[2021]]/1000, 0)</f>
        <v>0</v>
      </c>
      <c r="L104" s="15">
        <f>IF(ISNUMBER(Refsz_Verbräuche[[#This Row],[2022]]), Refsz_Verbräuche[[#This Row],[2022]]*Emissionsfaktoren[[#This Row],[2022]]/1000, 0)</f>
        <v>0</v>
      </c>
      <c r="M104" s="15">
        <f>IF(ISNUMBER(Refsz_Verbräuche[[#This Row],[2023]]), Refsz_Verbräuche[[#This Row],[2023]]*Emissionsfaktoren[[#This Row],[2023]]/1000, 0)</f>
        <v>0</v>
      </c>
      <c r="N104" s="15">
        <f>IF(ISNUMBER(Refsz_Verbräuche[[#This Row],[2024]]), Refsz_Verbräuche[[#This Row],[2024]]*Emissionsfaktoren[[#This Row],[2024]]/1000, 0)</f>
        <v>0</v>
      </c>
      <c r="O104" s="15">
        <f>IF(ISNUMBER(Refsz_Verbräuche[[#This Row],[2025]]), Refsz_Verbräuche[[#This Row],[2025]]*Emissionsfaktoren[[#This Row],[2025]]/1000, 0)</f>
        <v>0</v>
      </c>
      <c r="P104" s="15">
        <f>IF(ISNUMBER(Refsz_Verbräuche[[#This Row],[2026]]), Refsz_Verbräuche[[#This Row],[2026]]*Emissionsfaktoren[[#This Row],[2026]]/1000, 0)</f>
        <v>0</v>
      </c>
      <c r="Q104" s="15">
        <f>IF(ISNUMBER(Refsz_Verbräuche[[#This Row],[2027]]), Refsz_Verbräuche[[#This Row],[2027]]*Emissionsfaktoren[[#This Row],[2027]]/1000, 0)</f>
        <v>0</v>
      </c>
      <c r="R104" s="15">
        <f>IF(ISNUMBER(Refsz_Verbräuche[[#This Row],[2028]]), Refsz_Verbräuche[[#This Row],[2028]]*Emissionsfaktoren[[#This Row],[2028]]/1000, 0)</f>
        <v>0</v>
      </c>
      <c r="S104" s="15">
        <f>IF(ISNUMBER(Refsz_Verbräuche[[#This Row],[2029]]), Refsz_Verbräuche[[#This Row],[2029]]*Emissionsfaktoren[[#This Row],[2029]]/1000, 0)</f>
        <v>0</v>
      </c>
      <c r="T104" s="15">
        <f>IF(ISNUMBER(Refsz_Verbräuche[[#This Row],[2030]]), Refsz_Verbräuche[[#This Row],[2030]]*Emissionsfaktoren[[#This Row],[2030]]/1000, 0)</f>
        <v>0</v>
      </c>
      <c r="U104" s="15">
        <f>IF(ISNUMBER(Refsz_Verbräuche[[#This Row],[2035]]), Refsz_Verbräuche[[#This Row],[2035]]*Emissionsfaktoren[[#This Row],[2035]]/1000, 0)</f>
        <v>0</v>
      </c>
      <c r="V104" s="15">
        <f>IF(ISNUMBER(Refsz_Verbräuche[[#This Row],[2040]]), Refsz_Verbräuche[[#This Row],[2040]]*Emissionsfaktoren[[#This Row],[2040]]/1000, 0)</f>
        <v>0</v>
      </c>
      <c r="W104" s="15">
        <f>IF(ISNUMBER(Refsz_Verbräuche[[#This Row],[2045]]), Refsz_Verbräuche[[#This Row],[2045]]*Emissionsfaktoren[[#This Row],[2045]]/1000, 0)</f>
        <v>0</v>
      </c>
      <c r="X104" s="15">
        <f>IF(ISNUMBER(Refsz_Verbräuche[[#This Row],[2050]]), Refsz_Verbräuche[[#This Row],[2050]]*Emissionsfaktoren[[#This Row],[2050]]/1000, 0)</f>
        <v>0</v>
      </c>
    </row>
    <row r="105" spans="2:24" ht="16.5" hidden="1" x14ac:dyDescent="0.45">
      <c r="B105" s="15">
        <v>45</v>
      </c>
      <c r="C105" s="20" t="str">
        <f>Refsz_Verbräuche[[#This Row],[Datenpunkt]]</f>
        <v>DR - Privater PKW (Benzin)</v>
      </c>
      <c r="D105" t="s">
        <v>208</v>
      </c>
      <c r="E105" s="15">
        <f>IF(ISNUMBER(Refsz_Verbräuche[[#This Row],[2015]]), Refsz_Verbräuche[[#This Row],[2015]]*Emissionsfaktoren[[#This Row],[2015]]/1000, 0)</f>
        <v>0</v>
      </c>
      <c r="F105" s="15">
        <f>IF(ISNUMBER(Refsz_Verbräuche[[#This Row],[2016]]), Refsz_Verbräuche[[#This Row],[2016]]*Emissionsfaktoren[[#This Row],[2016]]/1000, 0)</f>
        <v>0</v>
      </c>
      <c r="G105" s="15">
        <f>IF(ISNUMBER(Refsz_Verbräuche[[#This Row],[2017]]), Refsz_Verbräuche[[#This Row],[2017]]*Emissionsfaktoren[[#This Row],[2017]]/1000, 0)</f>
        <v>0</v>
      </c>
      <c r="H105" s="15">
        <f>IF(ISNUMBER(Refsz_Verbräuche[[#This Row],[2018]]), Refsz_Verbräuche[[#This Row],[2018]]*Emissionsfaktoren[[#This Row],[2018]]/1000, 0)</f>
        <v>0</v>
      </c>
      <c r="I105" s="15">
        <f>IF(ISNUMBER(Refsz_Verbräuche[[#This Row],[2019]]), Refsz_Verbräuche[[#This Row],[2019]]*Emissionsfaktoren[[#This Row],[2019]]/1000, 0)</f>
        <v>0</v>
      </c>
      <c r="J105" s="15">
        <f>IF(ISNUMBER(Refsz_Verbräuche[[#This Row],[2020]]), Refsz_Verbräuche[[#This Row],[2020]]*Emissionsfaktoren[[#This Row],[2020]]/1000, 0)</f>
        <v>0</v>
      </c>
      <c r="K105" s="15">
        <f>IF(ISNUMBER(Refsz_Verbräuche[[#This Row],[2021]]), Refsz_Verbräuche[[#This Row],[2021]]*Emissionsfaktoren[[#This Row],[2021]]/1000, 0)</f>
        <v>0</v>
      </c>
      <c r="L105" s="15">
        <f>IF(ISNUMBER(Refsz_Verbräuche[[#This Row],[2022]]), Refsz_Verbräuche[[#This Row],[2022]]*Emissionsfaktoren[[#This Row],[2022]]/1000, 0)</f>
        <v>0</v>
      </c>
      <c r="M105" s="15">
        <f>IF(ISNUMBER(Refsz_Verbräuche[[#This Row],[2023]]), Refsz_Verbräuche[[#This Row],[2023]]*Emissionsfaktoren[[#This Row],[2023]]/1000, 0)</f>
        <v>0</v>
      </c>
      <c r="N105" s="15">
        <f>IF(ISNUMBER(Refsz_Verbräuche[[#This Row],[2024]]), Refsz_Verbräuche[[#This Row],[2024]]*Emissionsfaktoren[[#This Row],[2024]]/1000, 0)</f>
        <v>0</v>
      </c>
      <c r="O105" s="15">
        <f>IF(ISNUMBER(Refsz_Verbräuche[[#This Row],[2025]]), Refsz_Verbräuche[[#This Row],[2025]]*Emissionsfaktoren[[#This Row],[2025]]/1000, 0)</f>
        <v>0</v>
      </c>
      <c r="P105" s="15">
        <f>IF(ISNUMBER(Refsz_Verbräuche[[#This Row],[2026]]), Refsz_Verbräuche[[#This Row],[2026]]*Emissionsfaktoren[[#This Row],[2026]]/1000, 0)</f>
        <v>0</v>
      </c>
      <c r="Q105" s="15">
        <f>IF(ISNUMBER(Refsz_Verbräuche[[#This Row],[2027]]), Refsz_Verbräuche[[#This Row],[2027]]*Emissionsfaktoren[[#This Row],[2027]]/1000, 0)</f>
        <v>0</v>
      </c>
      <c r="R105" s="15">
        <f>IF(ISNUMBER(Refsz_Verbräuche[[#This Row],[2028]]), Refsz_Verbräuche[[#This Row],[2028]]*Emissionsfaktoren[[#This Row],[2028]]/1000, 0)</f>
        <v>0</v>
      </c>
      <c r="S105" s="15">
        <f>IF(ISNUMBER(Refsz_Verbräuche[[#This Row],[2029]]), Refsz_Verbräuche[[#This Row],[2029]]*Emissionsfaktoren[[#This Row],[2029]]/1000, 0)</f>
        <v>0</v>
      </c>
      <c r="T105" s="15">
        <f>IF(ISNUMBER(Refsz_Verbräuche[[#This Row],[2030]]), Refsz_Verbräuche[[#This Row],[2030]]*Emissionsfaktoren[[#This Row],[2030]]/1000, 0)</f>
        <v>0</v>
      </c>
      <c r="U105" s="15">
        <f>IF(ISNUMBER(Refsz_Verbräuche[[#This Row],[2035]]), Refsz_Verbräuche[[#This Row],[2035]]*Emissionsfaktoren[[#This Row],[2035]]/1000, 0)</f>
        <v>0</v>
      </c>
      <c r="V105" s="15">
        <f>IF(ISNUMBER(Refsz_Verbräuche[[#This Row],[2040]]), Refsz_Verbräuche[[#This Row],[2040]]*Emissionsfaktoren[[#This Row],[2040]]/1000, 0)</f>
        <v>0</v>
      </c>
      <c r="W105" s="15">
        <f>IF(ISNUMBER(Refsz_Verbräuche[[#This Row],[2045]]), Refsz_Verbräuche[[#This Row],[2045]]*Emissionsfaktoren[[#This Row],[2045]]/1000, 0)</f>
        <v>0</v>
      </c>
      <c r="X105" s="15">
        <f>IF(ISNUMBER(Refsz_Verbräuche[[#This Row],[2050]]), Refsz_Verbräuche[[#This Row],[2050]]*Emissionsfaktoren[[#This Row],[2050]]/1000, 0)</f>
        <v>0</v>
      </c>
    </row>
    <row r="106" spans="2:24" ht="16.5" hidden="1" x14ac:dyDescent="0.45">
      <c r="B106" s="15">
        <v>46</v>
      </c>
      <c r="C106" s="20" t="str">
        <f>Refsz_Verbräuche[[#This Row],[Datenpunkt]]</f>
        <v>DR - Mietwägen (Diesel)</v>
      </c>
      <c r="D106" t="s">
        <v>208</v>
      </c>
      <c r="E106" s="15">
        <f>IF(ISNUMBER(Refsz_Verbräuche[[#This Row],[2015]]), Refsz_Verbräuche[[#This Row],[2015]]*Emissionsfaktoren[[#This Row],[2015]]/1000, 0)</f>
        <v>0</v>
      </c>
      <c r="F106" s="15">
        <f>IF(ISNUMBER(Refsz_Verbräuche[[#This Row],[2016]]), Refsz_Verbräuche[[#This Row],[2016]]*Emissionsfaktoren[[#This Row],[2016]]/1000, 0)</f>
        <v>0</v>
      </c>
      <c r="G106" s="15">
        <f>IF(ISNUMBER(Refsz_Verbräuche[[#This Row],[2017]]), Refsz_Verbräuche[[#This Row],[2017]]*Emissionsfaktoren[[#This Row],[2017]]/1000, 0)</f>
        <v>0</v>
      </c>
      <c r="H106" s="15">
        <f>IF(ISNUMBER(Refsz_Verbräuche[[#This Row],[2018]]), Refsz_Verbräuche[[#This Row],[2018]]*Emissionsfaktoren[[#This Row],[2018]]/1000, 0)</f>
        <v>0</v>
      </c>
      <c r="I106" s="15">
        <f>IF(ISNUMBER(Refsz_Verbräuche[[#This Row],[2019]]), Refsz_Verbräuche[[#This Row],[2019]]*Emissionsfaktoren[[#This Row],[2019]]/1000, 0)</f>
        <v>0</v>
      </c>
      <c r="J106" s="15">
        <f>IF(ISNUMBER(Refsz_Verbräuche[[#This Row],[2020]]), Refsz_Verbräuche[[#This Row],[2020]]*Emissionsfaktoren[[#This Row],[2020]]/1000, 0)</f>
        <v>0</v>
      </c>
      <c r="K106" s="15">
        <f>IF(ISNUMBER(Refsz_Verbräuche[[#This Row],[2021]]), Refsz_Verbräuche[[#This Row],[2021]]*Emissionsfaktoren[[#This Row],[2021]]/1000, 0)</f>
        <v>0</v>
      </c>
      <c r="L106" s="15">
        <f>IF(ISNUMBER(Refsz_Verbräuche[[#This Row],[2022]]), Refsz_Verbräuche[[#This Row],[2022]]*Emissionsfaktoren[[#This Row],[2022]]/1000, 0)</f>
        <v>0</v>
      </c>
      <c r="M106" s="15">
        <f>IF(ISNUMBER(Refsz_Verbräuche[[#This Row],[2023]]), Refsz_Verbräuche[[#This Row],[2023]]*Emissionsfaktoren[[#This Row],[2023]]/1000, 0)</f>
        <v>0</v>
      </c>
      <c r="N106" s="15">
        <f>IF(ISNUMBER(Refsz_Verbräuche[[#This Row],[2024]]), Refsz_Verbräuche[[#This Row],[2024]]*Emissionsfaktoren[[#This Row],[2024]]/1000, 0)</f>
        <v>0</v>
      </c>
      <c r="O106" s="15">
        <f>IF(ISNUMBER(Refsz_Verbräuche[[#This Row],[2025]]), Refsz_Verbräuche[[#This Row],[2025]]*Emissionsfaktoren[[#This Row],[2025]]/1000, 0)</f>
        <v>0</v>
      </c>
      <c r="P106" s="15">
        <f>IF(ISNUMBER(Refsz_Verbräuche[[#This Row],[2026]]), Refsz_Verbräuche[[#This Row],[2026]]*Emissionsfaktoren[[#This Row],[2026]]/1000, 0)</f>
        <v>0</v>
      </c>
      <c r="Q106" s="15">
        <f>IF(ISNUMBER(Refsz_Verbräuche[[#This Row],[2027]]), Refsz_Verbräuche[[#This Row],[2027]]*Emissionsfaktoren[[#This Row],[2027]]/1000, 0)</f>
        <v>0</v>
      </c>
      <c r="R106" s="15">
        <f>IF(ISNUMBER(Refsz_Verbräuche[[#This Row],[2028]]), Refsz_Verbräuche[[#This Row],[2028]]*Emissionsfaktoren[[#This Row],[2028]]/1000, 0)</f>
        <v>0</v>
      </c>
      <c r="S106" s="15">
        <f>IF(ISNUMBER(Refsz_Verbräuche[[#This Row],[2029]]), Refsz_Verbräuche[[#This Row],[2029]]*Emissionsfaktoren[[#This Row],[2029]]/1000, 0)</f>
        <v>0</v>
      </c>
      <c r="T106" s="15">
        <f>IF(ISNUMBER(Refsz_Verbräuche[[#This Row],[2030]]), Refsz_Verbräuche[[#This Row],[2030]]*Emissionsfaktoren[[#This Row],[2030]]/1000, 0)</f>
        <v>0</v>
      </c>
      <c r="U106" s="15">
        <f>IF(ISNUMBER(Refsz_Verbräuche[[#This Row],[2035]]), Refsz_Verbräuche[[#This Row],[2035]]*Emissionsfaktoren[[#This Row],[2035]]/1000, 0)</f>
        <v>0</v>
      </c>
      <c r="V106" s="15">
        <f>IF(ISNUMBER(Refsz_Verbräuche[[#This Row],[2040]]), Refsz_Verbräuche[[#This Row],[2040]]*Emissionsfaktoren[[#This Row],[2040]]/1000, 0)</f>
        <v>0</v>
      </c>
      <c r="W106" s="15">
        <f>IF(ISNUMBER(Refsz_Verbräuche[[#This Row],[2045]]), Refsz_Verbräuche[[#This Row],[2045]]*Emissionsfaktoren[[#This Row],[2045]]/1000, 0)</f>
        <v>0</v>
      </c>
      <c r="X106" s="15">
        <f>IF(ISNUMBER(Refsz_Verbräuche[[#This Row],[2050]]), Refsz_Verbräuche[[#This Row],[2050]]*Emissionsfaktoren[[#This Row],[2050]]/1000, 0)</f>
        <v>0</v>
      </c>
    </row>
    <row r="107" spans="2:24" ht="16.5" hidden="1" x14ac:dyDescent="0.45">
      <c r="B107" s="15">
        <v>47</v>
      </c>
      <c r="C107" s="20" t="str">
        <f>Refsz_Verbräuche[[#This Row],[Datenpunkt]]</f>
        <v>DR - Mietwägen (Benzin)</v>
      </c>
      <c r="D107" t="s">
        <v>208</v>
      </c>
      <c r="E107" s="15">
        <f>IF(ISNUMBER(Refsz_Verbräuche[[#This Row],[2015]]), Refsz_Verbräuche[[#This Row],[2015]]*Emissionsfaktoren[[#This Row],[2015]]/1000, 0)</f>
        <v>0</v>
      </c>
      <c r="F107" s="15">
        <f>IF(ISNUMBER(Refsz_Verbräuche[[#This Row],[2016]]), Refsz_Verbräuche[[#This Row],[2016]]*Emissionsfaktoren[[#This Row],[2016]]/1000, 0)</f>
        <v>0</v>
      </c>
      <c r="G107" s="15">
        <f>IF(ISNUMBER(Refsz_Verbräuche[[#This Row],[2017]]), Refsz_Verbräuche[[#This Row],[2017]]*Emissionsfaktoren[[#This Row],[2017]]/1000, 0)</f>
        <v>0</v>
      </c>
      <c r="H107" s="15">
        <f>IF(ISNUMBER(Refsz_Verbräuche[[#This Row],[2018]]), Refsz_Verbräuche[[#This Row],[2018]]*Emissionsfaktoren[[#This Row],[2018]]/1000, 0)</f>
        <v>0</v>
      </c>
      <c r="I107" s="15">
        <f>IF(ISNUMBER(Refsz_Verbräuche[[#This Row],[2019]]), Refsz_Verbräuche[[#This Row],[2019]]*Emissionsfaktoren[[#This Row],[2019]]/1000, 0)</f>
        <v>0</v>
      </c>
      <c r="J107" s="15">
        <f>IF(ISNUMBER(Refsz_Verbräuche[[#This Row],[2020]]), Refsz_Verbräuche[[#This Row],[2020]]*Emissionsfaktoren[[#This Row],[2020]]/1000, 0)</f>
        <v>0</v>
      </c>
      <c r="K107" s="15">
        <f>IF(ISNUMBER(Refsz_Verbräuche[[#This Row],[2021]]), Refsz_Verbräuche[[#This Row],[2021]]*Emissionsfaktoren[[#This Row],[2021]]/1000, 0)</f>
        <v>0</v>
      </c>
      <c r="L107" s="15">
        <f>IF(ISNUMBER(Refsz_Verbräuche[[#This Row],[2022]]), Refsz_Verbräuche[[#This Row],[2022]]*Emissionsfaktoren[[#This Row],[2022]]/1000, 0)</f>
        <v>0</v>
      </c>
      <c r="M107" s="15">
        <f>IF(ISNUMBER(Refsz_Verbräuche[[#This Row],[2023]]), Refsz_Verbräuche[[#This Row],[2023]]*Emissionsfaktoren[[#This Row],[2023]]/1000, 0)</f>
        <v>0</v>
      </c>
      <c r="N107" s="15">
        <f>IF(ISNUMBER(Refsz_Verbräuche[[#This Row],[2024]]), Refsz_Verbräuche[[#This Row],[2024]]*Emissionsfaktoren[[#This Row],[2024]]/1000, 0)</f>
        <v>0</v>
      </c>
      <c r="O107" s="15">
        <f>IF(ISNUMBER(Refsz_Verbräuche[[#This Row],[2025]]), Refsz_Verbräuche[[#This Row],[2025]]*Emissionsfaktoren[[#This Row],[2025]]/1000, 0)</f>
        <v>0</v>
      </c>
      <c r="P107" s="15">
        <f>IF(ISNUMBER(Refsz_Verbräuche[[#This Row],[2026]]), Refsz_Verbräuche[[#This Row],[2026]]*Emissionsfaktoren[[#This Row],[2026]]/1000, 0)</f>
        <v>0</v>
      </c>
      <c r="Q107" s="15">
        <f>IF(ISNUMBER(Refsz_Verbräuche[[#This Row],[2027]]), Refsz_Verbräuche[[#This Row],[2027]]*Emissionsfaktoren[[#This Row],[2027]]/1000, 0)</f>
        <v>0</v>
      </c>
      <c r="R107" s="15">
        <f>IF(ISNUMBER(Refsz_Verbräuche[[#This Row],[2028]]), Refsz_Verbräuche[[#This Row],[2028]]*Emissionsfaktoren[[#This Row],[2028]]/1000, 0)</f>
        <v>0</v>
      </c>
      <c r="S107" s="15">
        <f>IF(ISNUMBER(Refsz_Verbräuche[[#This Row],[2029]]), Refsz_Verbräuche[[#This Row],[2029]]*Emissionsfaktoren[[#This Row],[2029]]/1000, 0)</f>
        <v>0</v>
      </c>
      <c r="T107" s="15">
        <f>IF(ISNUMBER(Refsz_Verbräuche[[#This Row],[2030]]), Refsz_Verbräuche[[#This Row],[2030]]*Emissionsfaktoren[[#This Row],[2030]]/1000, 0)</f>
        <v>0</v>
      </c>
      <c r="U107" s="15">
        <f>IF(ISNUMBER(Refsz_Verbräuche[[#This Row],[2035]]), Refsz_Verbräuche[[#This Row],[2035]]*Emissionsfaktoren[[#This Row],[2035]]/1000, 0)</f>
        <v>0</v>
      </c>
      <c r="V107" s="15">
        <f>IF(ISNUMBER(Refsz_Verbräuche[[#This Row],[2040]]), Refsz_Verbräuche[[#This Row],[2040]]*Emissionsfaktoren[[#This Row],[2040]]/1000, 0)</f>
        <v>0</v>
      </c>
      <c r="W107" s="15">
        <f>IF(ISNUMBER(Refsz_Verbräuche[[#This Row],[2045]]), Refsz_Verbräuche[[#This Row],[2045]]*Emissionsfaktoren[[#This Row],[2045]]/1000, 0)</f>
        <v>0</v>
      </c>
      <c r="X107" s="15">
        <f>IF(ISNUMBER(Refsz_Verbräuche[[#This Row],[2050]]), Refsz_Verbräuche[[#This Row],[2050]]*Emissionsfaktoren[[#This Row],[2050]]/1000, 0)</f>
        <v>0</v>
      </c>
    </row>
    <row r="108" spans="2:24" ht="16.5" hidden="1" x14ac:dyDescent="0.45">
      <c r="B108" s="15">
        <v>48</v>
      </c>
      <c r="C108" s="20" t="str">
        <f>Refsz_Verbräuche[[#This Row],[Datenpunkt]]</f>
        <v>DR - Mietwägen (E-Auto/ BEV)</v>
      </c>
      <c r="D108" t="s">
        <v>208</v>
      </c>
      <c r="E108" s="15">
        <f>IF(ISNUMBER(Refsz_Verbräuche[[#This Row],[2015]]), Refsz_Verbräuche[[#This Row],[2015]]*Emissionsfaktoren[[#This Row],[2015]]/1000, 0)</f>
        <v>0</v>
      </c>
      <c r="F108" s="15">
        <f>IF(ISNUMBER(Refsz_Verbräuche[[#This Row],[2016]]), Refsz_Verbräuche[[#This Row],[2016]]*Emissionsfaktoren[[#This Row],[2016]]/1000, 0)</f>
        <v>0</v>
      </c>
      <c r="G108" s="15">
        <f>IF(ISNUMBER(Refsz_Verbräuche[[#This Row],[2017]]), Refsz_Verbräuche[[#This Row],[2017]]*Emissionsfaktoren[[#This Row],[2017]]/1000, 0)</f>
        <v>0</v>
      </c>
      <c r="H108" s="15">
        <f>IF(ISNUMBER(Refsz_Verbräuche[[#This Row],[2018]]), Refsz_Verbräuche[[#This Row],[2018]]*Emissionsfaktoren[[#This Row],[2018]]/1000, 0)</f>
        <v>0</v>
      </c>
      <c r="I108" s="15">
        <f>IF(ISNUMBER(Refsz_Verbräuche[[#This Row],[2019]]), Refsz_Verbräuche[[#This Row],[2019]]*Emissionsfaktoren[[#This Row],[2019]]/1000, 0)</f>
        <v>0</v>
      </c>
      <c r="J108" s="15">
        <f>IF(ISNUMBER(Refsz_Verbräuche[[#This Row],[2020]]), Refsz_Verbräuche[[#This Row],[2020]]*Emissionsfaktoren[[#This Row],[2020]]/1000, 0)</f>
        <v>0</v>
      </c>
      <c r="K108" s="15">
        <f>IF(ISNUMBER(Refsz_Verbräuche[[#This Row],[2021]]), Refsz_Verbräuche[[#This Row],[2021]]*Emissionsfaktoren[[#This Row],[2021]]/1000, 0)</f>
        <v>0</v>
      </c>
      <c r="L108" s="15">
        <f>IF(ISNUMBER(Refsz_Verbräuche[[#This Row],[2022]]), Refsz_Verbräuche[[#This Row],[2022]]*Emissionsfaktoren[[#This Row],[2022]]/1000, 0)</f>
        <v>0</v>
      </c>
      <c r="M108" s="15">
        <f>IF(ISNUMBER(Refsz_Verbräuche[[#This Row],[2023]]), Refsz_Verbräuche[[#This Row],[2023]]*Emissionsfaktoren[[#This Row],[2023]]/1000, 0)</f>
        <v>0</v>
      </c>
      <c r="N108" s="15">
        <f>IF(ISNUMBER(Refsz_Verbräuche[[#This Row],[2024]]), Refsz_Verbräuche[[#This Row],[2024]]*Emissionsfaktoren[[#This Row],[2024]]/1000, 0)</f>
        <v>0</v>
      </c>
      <c r="O108" s="15">
        <f>IF(ISNUMBER(Refsz_Verbräuche[[#This Row],[2025]]), Refsz_Verbräuche[[#This Row],[2025]]*Emissionsfaktoren[[#This Row],[2025]]/1000, 0)</f>
        <v>0</v>
      </c>
      <c r="P108" s="15">
        <f>IF(ISNUMBER(Refsz_Verbräuche[[#This Row],[2026]]), Refsz_Verbräuche[[#This Row],[2026]]*Emissionsfaktoren[[#This Row],[2026]]/1000, 0)</f>
        <v>0</v>
      </c>
      <c r="Q108" s="15">
        <f>IF(ISNUMBER(Refsz_Verbräuche[[#This Row],[2027]]), Refsz_Verbräuche[[#This Row],[2027]]*Emissionsfaktoren[[#This Row],[2027]]/1000, 0)</f>
        <v>0</v>
      </c>
      <c r="R108" s="15">
        <f>IF(ISNUMBER(Refsz_Verbräuche[[#This Row],[2028]]), Refsz_Verbräuche[[#This Row],[2028]]*Emissionsfaktoren[[#This Row],[2028]]/1000, 0)</f>
        <v>0</v>
      </c>
      <c r="S108" s="15">
        <f>IF(ISNUMBER(Refsz_Verbräuche[[#This Row],[2029]]), Refsz_Verbräuche[[#This Row],[2029]]*Emissionsfaktoren[[#This Row],[2029]]/1000, 0)</f>
        <v>0</v>
      </c>
      <c r="T108" s="15">
        <f>IF(ISNUMBER(Refsz_Verbräuche[[#This Row],[2030]]), Refsz_Verbräuche[[#This Row],[2030]]*Emissionsfaktoren[[#This Row],[2030]]/1000, 0)</f>
        <v>0</v>
      </c>
      <c r="U108" s="15">
        <f>IF(ISNUMBER(Refsz_Verbräuche[[#This Row],[2035]]), Refsz_Verbräuche[[#This Row],[2035]]*Emissionsfaktoren[[#This Row],[2035]]/1000, 0)</f>
        <v>0</v>
      </c>
      <c r="V108" s="15">
        <f>IF(ISNUMBER(Refsz_Verbräuche[[#This Row],[2040]]), Refsz_Verbräuche[[#This Row],[2040]]*Emissionsfaktoren[[#This Row],[2040]]/1000, 0)</f>
        <v>0</v>
      </c>
      <c r="W108" s="15">
        <f>IF(ISNUMBER(Refsz_Verbräuche[[#This Row],[2045]]), Refsz_Verbräuche[[#This Row],[2045]]*Emissionsfaktoren[[#This Row],[2045]]/1000, 0)</f>
        <v>0</v>
      </c>
      <c r="X108" s="15">
        <f>IF(ISNUMBER(Refsz_Verbräuche[[#This Row],[2050]]), Refsz_Verbräuche[[#This Row],[2050]]*Emissionsfaktoren[[#This Row],[2050]]/1000, 0)</f>
        <v>0</v>
      </c>
    </row>
    <row r="109" spans="2:24" ht="16.5" hidden="1" x14ac:dyDescent="0.45">
      <c r="B109" s="15">
        <v>49</v>
      </c>
      <c r="C109" s="20" t="str">
        <f>Refsz_Verbräuche[[#This Row],[Datenpunkt]]</f>
        <v>DR - Mietwägen (Wasserstoff/ FCEV)</v>
      </c>
      <c r="D109" t="s">
        <v>208</v>
      </c>
      <c r="E109" s="15">
        <f>IF(ISNUMBER(Refsz_Verbräuche[[#This Row],[2015]]), Refsz_Verbräuche[[#This Row],[2015]]*Emissionsfaktoren[[#This Row],[2015]]/1000, 0)</f>
        <v>0</v>
      </c>
      <c r="F109" s="15">
        <f>IF(ISNUMBER(Refsz_Verbräuche[[#This Row],[2016]]), Refsz_Verbräuche[[#This Row],[2016]]*Emissionsfaktoren[[#This Row],[2016]]/1000, 0)</f>
        <v>0</v>
      </c>
      <c r="G109" s="15">
        <f>IF(ISNUMBER(Refsz_Verbräuche[[#This Row],[2017]]), Refsz_Verbräuche[[#This Row],[2017]]*Emissionsfaktoren[[#This Row],[2017]]/1000, 0)</f>
        <v>0</v>
      </c>
      <c r="H109" s="15">
        <f>IF(ISNUMBER(Refsz_Verbräuche[[#This Row],[2018]]), Refsz_Verbräuche[[#This Row],[2018]]*Emissionsfaktoren[[#This Row],[2018]]/1000, 0)</f>
        <v>0</v>
      </c>
      <c r="I109" s="15">
        <f>IF(ISNUMBER(Refsz_Verbräuche[[#This Row],[2019]]), Refsz_Verbräuche[[#This Row],[2019]]*Emissionsfaktoren[[#This Row],[2019]]/1000, 0)</f>
        <v>0</v>
      </c>
      <c r="J109" s="15">
        <f>IF(ISNUMBER(Refsz_Verbräuche[[#This Row],[2020]]), Refsz_Verbräuche[[#This Row],[2020]]*Emissionsfaktoren[[#This Row],[2020]]/1000, 0)</f>
        <v>0</v>
      </c>
      <c r="K109" s="15">
        <f>IF(ISNUMBER(Refsz_Verbräuche[[#This Row],[2021]]), Refsz_Verbräuche[[#This Row],[2021]]*Emissionsfaktoren[[#This Row],[2021]]/1000, 0)</f>
        <v>0</v>
      </c>
      <c r="L109" s="15">
        <f>IF(ISNUMBER(Refsz_Verbräuche[[#This Row],[2022]]), Refsz_Verbräuche[[#This Row],[2022]]*Emissionsfaktoren[[#This Row],[2022]]/1000, 0)</f>
        <v>0</v>
      </c>
      <c r="M109" s="15">
        <f>IF(ISNUMBER(Refsz_Verbräuche[[#This Row],[2023]]), Refsz_Verbräuche[[#This Row],[2023]]*Emissionsfaktoren[[#This Row],[2023]]/1000, 0)</f>
        <v>0</v>
      </c>
      <c r="N109" s="15">
        <f>IF(ISNUMBER(Refsz_Verbräuche[[#This Row],[2024]]), Refsz_Verbräuche[[#This Row],[2024]]*Emissionsfaktoren[[#This Row],[2024]]/1000, 0)</f>
        <v>0</v>
      </c>
      <c r="O109" s="15">
        <f>IF(ISNUMBER(Refsz_Verbräuche[[#This Row],[2025]]), Refsz_Verbräuche[[#This Row],[2025]]*Emissionsfaktoren[[#This Row],[2025]]/1000, 0)</f>
        <v>0</v>
      </c>
      <c r="P109" s="15">
        <f>IF(ISNUMBER(Refsz_Verbräuche[[#This Row],[2026]]), Refsz_Verbräuche[[#This Row],[2026]]*Emissionsfaktoren[[#This Row],[2026]]/1000, 0)</f>
        <v>0</v>
      </c>
      <c r="Q109" s="15">
        <f>IF(ISNUMBER(Refsz_Verbräuche[[#This Row],[2027]]), Refsz_Verbräuche[[#This Row],[2027]]*Emissionsfaktoren[[#This Row],[2027]]/1000, 0)</f>
        <v>0</v>
      </c>
      <c r="R109" s="15">
        <f>IF(ISNUMBER(Refsz_Verbräuche[[#This Row],[2028]]), Refsz_Verbräuche[[#This Row],[2028]]*Emissionsfaktoren[[#This Row],[2028]]/1000, 0)</f>
        <v>0</v>
      </c>
      <c r="S109" s="15">
        <f>IF(ISNUMBER(Refsz_Verbräuche[[#This Row],[2029]]), Refsz_Verbräuche[[#This Row],[2029]]*Emissionsfaktoren[[#This Row],[2029]]/1000, 0)</f>
        <v>0</v>
      </c>
      <c r="T109" s="15">
        <f>IF(ISNUMBER(Refsz_Verbräuche[[#This Row],[2030]]), Refsz_Verbräuche[[#This Row],[2030]]*Emissionsfaktoren[[#This Row],[2030]]/1000, 0)</f>
        <v>0</v>
      </c>
      <c r="U109" s="15">
        <f>IF(ISNUMBER(Refsz_Verbräuche[[#This Row],[2035]]), Refsz_Verbräuche[[#This Row],[2035]]*Emissionsfaktoren[[#This Row],[2035]]/1000, 0)</f>
        <v>0</v>
      </c>
      <c r="V109" s="15">
        <f>IF(ISNUMBER(Refsz_Verbräuche[[#This Row],[2040]]), Refsz_Verbräuche[[#This Row],[2040]]*Emissionsfaktoren[[#This Row],[2040]]/1000, 0)</f>
        <v>0</v>
      </c>
      <c r="W109" s="15">
        <f>IF(ISNUMBER(Refsz_Verbräuche[[#This Row],[2045]]), Refsz_Verbräuche[[#This Row],[2045]]*Emissionsfaktoren[[#This Row],[2045]]/1000, 0)</f>
        <v>0</v>
      </c>
      <c r="X109" s="15">
        <f>IF(ISNUMBER(Refsz_Verbräuche[[#This Row],[2050]]), Refsz_Verbräuche[[#This Row],[2050]]*Emissionsfaktoren[[#This Row],[2050]]/1000, 0)</f>
        <v>0</v>
      </c>
    </row>
    <row r="110" spans="2:24" ht="16.5" hidden="1" x14ac:dyDescent="0.45">
      <c r="B110" s="15">
        <v>50</v>
      </c>
      <c r="C110" s="20" t="str">
        <f>Refsz_Verbräuche[[#This Row],[Datenpunkt]]</f>
        <v>DR - Mietwägen (CNG)</v>
      </c>
      <c r="D110" t="s">
        <v>208</v>
      </c>
      <c r="E110" s="15">
        <f>IF(ISNUMBER(Refsz_Verbräuche[[#This Row],[2015]]), Refsz_Verbräuche[[#This Row],[2015]]*Emissionsfaktoren[[#This Row],[2015]]/1000, 0)</f>
        <v>0</v>
      </c>
      <c r="F110" s="15">
        <f>IF(ISNUMBER(Refsz_Verbräuche[[#This Row],[2016]]), Refsz_Verbräuche[[#This Row],[2016]]*Emissionsfaktoren[[#This Row],[2016]]/1000, 0)</f>
        <v>0</v>
      </c>
      <c r="G110" s="15">
        <f>IF(ISNUMBER(Refsz_Verbräuche[[#This Row],[2017]]), Refsz_Verbräuche[[#This Row],[2017]]*Emissionsfaktoren[[#This Row],[2017]]/1000, 0)</f>
        <v>0</v>
      </c>
      <c r="H110" s="15">
        <f>IF(ISNUMBER(Refsz_Verbräuche[[#This Row],[2018]]), Refsz_Verbräuche[[#This Row],[2018]]*Emissionsfaktoren[[#This Row],[2018]]/1000, 0)</f>
        <v>0</v>
      </c>
      <c r="I110" s="15">
        <f>IF(ISNUMBER(Refsz_Verbräuche[[#This Row],[2019]]), Refsz_Verbräuche[[#This Row],[2019]]*Emissionsfaktoren[[#This Row],[2019]]/1000, 0)</f>
        <v>0</v>
      </c>
      <c r="J110" s="15">
        <f>IF(ISNUMBER(Refsz_Verbräuche[[#This Row],[2020]]), Refsz_Verbräuche[[#This Row],[2020]]*Emissionsfaktoren[[#This Row],[2020]]/1000, 0)</f>
        <v>0</v>
      </c>
      <c r="K110" s="15">
        <f>IF(ISNUMBER(Refsz_Verbräuche[[#This Row],[2021]]), Refsz_Verbräuche[[#This Row],[2021]]*Emissionsfaktoren[[#This Row],[2021]]/1000, 0)</f>
        <v>0</v>
      </c>
      <c r="L110" s="15">
        <f>IF(ISNUMBER(Refsz_Verbräuche[[#This Row],[2022]]), Refsz_Verbräuche[[#This Row],[2022]]*Emissionsfaktoren[[#This Row],[2022]]/1000, 0)</f>
        <v>0</v>
      </c>
      <c r="M110" s="15">
        <f>IF(ISNUMBER(Refsz_Verbräuche[[#This Row],[2023]]), Refsz_Verbräuche[[#This Row],[2023]]*Emissionsfaktoren[[#This Row],[2023]]/1000, 0)</f>
        <v>0</v>
      </c>
      <c r="N110" s="15">
        <f>IF(ISNUMBER(Refsz_Verbräuche[[#This Row],[2024]]), Refsz_Verbräuche[[#This Row],[2024]]*Emissionsfaktoren[[#This Row],[2024]]/1000, 0)</f>
        <v>0</v>
      </c>
      <c r="O110" s="15">
        <f>IF(ISNUMBER(Refsz_Verbräuche[[#This Row],[2025]]), Refsz_Verbräuche[[#This Row],[2025]]*Emissionsfaktoren[[#This Row],[2025]]/1000, 0)</f>
        <v>0</v>
      </c>
      <c r="P110" s="15">
        <f>IF(ISNUMBER(Refsz_Verbräuche[[#This Row],[2026]]), Refsz_Verbräuche[[#This Row],[2026]]*Emissionsfaktoren[[#This Row],[2026]]/1000, 0)</f>
        <v>0</v>
      </c>
      <c r="Q110" s="15">
        <f>IF(ISNUMBER(Refsz_Verbräuche[[#This Row],[2027]]), Refsz_Verbräuche[[#This Row],[2027]]*Emissionsfaktoren[[#This Row],[2027]]/1000, 0)</f>
        <v>0</v>
      </c>
      <c r="R110" s="15">
        <f>IF(ISNUMBER(Refsz_Verbräuche[[#This Row],[2028]]), Refsz_Verbräuche[[#This Row],[2028]]*Emissionsfaktoren[[#This Row],[2028]]/1000, 0)</f>
        <v>0</v>
      </c>
      <c r="S110" s="15">
        <f>IF(ISNUMBER(Refsz_Verbräuche[[#This Row],[2029]]), Refsz_Verbräuche[[#This Row],[2029]]*Emissionsfaktoren[[#This Row],[2029]]/1000, 0)</f>
        <v>0</v>
      </c>
      <c r="T110" s="15">
        <f>IF(ISNUMBER(Refsz_Verbräuche[[#This Row],[2030]]), Refsz_Verbräuche[[#This Row],[2030]]*Emissionsfaktoren[[#This Row],[2030]]/1000, 0)</f>
        <v>0</v>
      </c>
      <c r="U110" s="15">
        <f>IF(ISNUMBER(Refsz_Verbräuche[[#This Row],[2035]]), Refsz_Verbräuche[[#This Row],[2035]]*Emissionsfaktoren[[#This Row],[2035]]/1000, 0)</f>
        <v>0</v>
      </c>
      <c r="V110" s="15">
        <f>IF(ISNUMBER(Refsz_Verbräuche[[#This Row],[2040]]), Refsz_Verbräuche[[#This Row],[2040]]*Emissionsfaktoren[[#This Row],[2040]]/1000, 0)</f>
        <v>0</v>
      </c>
      <c r="W110" s="15">
        <f>IF(ISNUMBER(Refsz_Verbräuche[[#This Row],[2045]]), Refsz_Verbräuche[[#This Row],[2045]]*Emissionsfaktoren[[#This Row],[2045]]/1000, 0)</f>
        <v>0</v>
      </c>
      <c r="X110" s="15">
        <f>IF(ISNUMBER(Refsz_Verbräuche[[#This Row],[2050]]), Refsz_Verbräuche[[#This Row],[2050]]*Emissionsfaktoren[[#This Row],[2050]]/1000, 0)</f>
        <v>0</v>
      </c>
    </row>
    <row r="111" spans="2:24" ht="16.5" hidden="1" x14ac:dyDescent="0.45">
      <c r="B111" s="15">
        <v>51</v>
      </c>
      <c r="C111" s="20" t="str">
        <f>Refsz_Verbräuche[[#This Row],[Datenpunkt]]</f>
        <v>DR - Mietwägen (Plug-In-Hybrid/ PHEV)</v>
      </c>
      <c r="D111" t="s">
        <v>208</v>
      </c>
      <c r="E111" s="15">
        <f>IF(ISNUMBER(Refsz_Verbräuche[[#This Row],[2015]]), Refsz_Verbräuche[[#This Row],[2015]]*Emissionsfaktoren[[#This Row],[2015]]/1000, 0)</f>
        <v>0</v>
      </c>
      <c r="F111" s="15">
        <f>IF(ISNUMBER(Refsz_Verbräuche[[#This Row],[2016]]), Refsz_Verbräuche[[#This Row],[2016]]*Emissionsfaktoren[[#This Row],[2016]]/1000, 0)</f>
        <v>0</v>
      </c>
      <c r="G111" s="15">
        <f>IF(ISNUMBER(Refsz_Verbräuche[[#This Row],[2017]]), Refsz_Verbräuche[[#This Row],[2017]]*Emissionsfaktoren[[#This Row],[2017]]/1000, 0)</f>
        <v>0</v>
      </c>
      <c r="H111" s="15">
        <f>IF(ISNUMBER(Refsz_Verbräuche[[#This Row],[2018]]), Refsz_Verbräuche[[#This Row],[2018]]*Emissionsfaktoren[[#This Row],[2018]]/1000, 0)</f>
        <v>0</v>
      </c>
      <c r="I111" s="15">
        <f>IF(ISNUMBER(Refsz_Verbräuche[[#This Row],[2019]]), Refsz_Verbräuche[[#This Row],[2019]]*Emissionsfaktoren[[#This Row],[2019]]/1000, 0)</f>
        <v>0</v>
      </c>
      <c r="J111" s="15">
        <f>IF(ISNUMBER(Refsz_Verbräuche[[#This Row],[2020]]), Refsz_Verbräuche[[#This Row],[2020]]*Emissionsfaktoren[[#This Row],[2020]]/1000, 0)</f>
        <v>0</v>
      </c>
      <c r="K111" s="15">
        <f>IF(ISNUMBER(Refsz_Verbräuche[[#This Row],[2021]]), Refsz_Verbräuche[[#This Row],[2021]]*Emissionsfaktoren[[#This Row],[2021]]/1000, 0)</f>
        <v>0</v>
      </c>
      <c r="L111" s="15">
        <f>IF(ISNUMBER(Refsz_Verbräuche[[#This Row],[2022]]), Refsz_Verbräuche[[#This Row],[2022]]*Emissionsfaktoren[[#This Row],[2022]]/1000, 0)</f>
        <v>0</v>
      </c>
      <c r="M111" s="15">
        <f>IF(ISNUMBER(Refsz_Verbräuche[[#This Row],[2023]]), Refsz_Verbräuche[[#This Row],[2023]]*Emissionsfaktoren[[#This Row],[2023]]/1000, 0)</f>
        <v>0</v>
      </c>
      <c r="N111" s="15">
        <f>IF(ISNUMBER(Refsz_Verbräuche[[#This Row],[2024]]), Refsz_Verbräuche[[#This Row],[2024]]*Emissionsfaktoren[[#This Row],[2024]]/1000, 0)</f>
        <v>0</v>
      </c>
      <c r="O111" s="15">
        <f>IF(ISNUMBER(Refsz_Verbräuche[[#This Row],[2025]]), Refsz_Verbräuche[[#This Row],[2025]]*Emissionsfaktoren[[#This Row],[2025]]/1000, 0)</f>
        <v>0</v>
      </c>
      <c r="P111" s="15">
        <f>IF(ISNUMBER(Refsz_Verbräuche[[#This Row],[2026]]), Refsz_Verbräuche[[#This Row],[2026]]*Emissionsfaktoren[[#This Row],[2026]]/1000, 0)</f>
        <v>0</v>
      </c>
      <c r="Q111" s="15">
        <f>IF(ISNUMBER(Refsz_Verbräuche[[#This Row],[2027]]), Refsz_Verbräuche[[#This Row],[2027]]*Emissionsfaktoren[[#This Row],[2027]]/1000, 0)</f>
        <v>0</v>
      </c>
      <c r="R111" s="15">
        <f>IF(ISNUMBER(Refsz_Verbräuche[[#This Row],[2028]]), Refsz_Verbräuche[[#This Row],[2028]]*Emissionsfaktoren[[#This Row],[2028]]/1000, 0)</f>
        <v>0</v>
      </c>
      <c r="S111" s="15">
        <f>IF(ISNUMBER(Refsz_Verbräuche[[#This Row],[2029]]), Refsz_Verbräuche[[#This Row],[2029]]*Emissionsfaktoren[[#This Row],[2029]]/1000, 0)</f>
        <v>0</v>
      </c>
      <c r="T111" s="15">
        <f>IF(ISNUMBER(Refsz_Verbräuche[[#This Row],[2030]]), Refsz_Verbräuche[[#This Row],[2030]]*Emissionsfaktoren[[#This Row],[2030]]/1000, 0)</f>
        <v>0</v>
      </c>
      <c r="U111" s="15">
        <f>IF(ISNUMBER(Refsz_Verbräuche[[#This Row],[2035]]), Refsz_Verbräuche[[#This Row],[2035]]*Emissionsfaktoren[[#This Row],[2035]]/1000, 0)</f>
        <v>0</v>
      </c>
      <c r="V111" s="15">
        <f>IF(ISNUMBER(Refsz_Verbräuche[[#This Row],[2040]]), Refsz_Verbräuche[[#This Row],[2040]]*Emissionsfaktoren[[#This Row],[2040]]/1000, 0)</f>
        <v>0</v>
      </c>
      <c r="W111" s="15">
        <f>IF(ISNUMBER(Refsz_Verbräuche[[#This Row],[2045]]), Refsz_Verbräuche[[#This Row],[2045]]*Emissionsfaktoren[[#This Row],[2045]]/1000, 0)</f>
        <v>0</v>
      </c>
      <c r="X111" s="15">
        <f>IF(ISNUMBER(Refsz_Verbräuche[[#This Row],[2050]]), Refsz_Verbräuche[[#This Row],[2050]]*Emissionsfaktoren[[#This Row],[2050]]/1000, 0)</f>
        <v>0</v>
      </c>
    </row>
    <row r="112" spans="2:24" ht="16.5" hidden="1" x14ac:dyDescent="0.45">
      <c r="B112" s="15">
        <v>52</v>
      </c>
      <c r="C112" s="20" t="str">
        <f>Refsz_Verbräuche[[#This Row],[Datenpunkt]]</f>
        <v>DR - E-Bike</v>
      </c>
      <c r="D112" t="s">
        <v>208</v>
      </c>
      <c r="E112" s="15">
        <f>IF(ISNUMBER(Refsz_Verbräuche[[#This Row],[2015]]), Refsz_Verbräuche[[#This Row],[2015]]*Emissionsfaktoren[[#This Row],[2015]]/1000, 0)</f>
        <v>0</v>
      </c>
      <c r="F112" s="15">
        <f>IF(ISNUMBER(Refsz_Verbräuche[[#This Row],[2016]]), Refsz_Verbräuche[[#This Row],[2016]]*Emissionsfaktoren[[#This Row],[2016]]/1000, 0)</f>
        <v>0</v>
      </c>
      <c r="G112" s="15">
        <f>IF(ISNUMBER(Refsz_Verbräuche[[#This Row],[2017]]), Refsz_Verbräuche[[#This Row],[2017]]*Emissionsfaktoren[[#This Row],[2017]]/1000, 0)</f>
        <v>0</v>
      </c>
      <c r="H112" s="15">
        <f>IF(ISNUMBER(Refsz_Verbräuche[[#This Row],[2018]]), Refsz_Verbräuche[[#This Row],[2018]]*Emissionsfaktoren[[#This Row],[2018]]/1000, 0)</f>
        <v>0</v>
      </c>
      <c r="I112" s="15">
        <f>IF(ISNUMBER(Refsz_Verbräuche[[#This Row],[2019]]), Refsz_Verbräuche[[#This Row],[2019]]*Emissionsfaktoren[[#This Row],[2019]]/1000, 0)</f>
        <v>0</v>
      </c>
      <c r="J112" s="15">
        <f>IF(ISNUMBER(Refsz_Verbräuche[[#This Row],[2020]]), Refsz_Verbräuche[[#This Row],[2020]]*Emissionsfaktoren[[#This Row],[2020]]/1000, 0)</f>
        <v>0</v>
      </c>
      <c r="K112" s="15">
        <f>IF(ISNUMBER(Refsz_Verbräuche[[#This Row],[2021]]), Refsz_Verbräuche[[#This Row],[2021]]*Emissionsfaktoren[[#This Row],[2021]]/1000, 0)</f>
        <v>0</v>
      </c>
      <c r="L112" s="15">
        <f>IF(ISNUMBER(Refsz_Verbräuche[[#This Row],[2022]]), Refsz_Verbräuche[[#This Row],[2022]]*Emissionsfaktoren[[#This Row],[2022]]/1000, 0)</f>
        <v>0</v>
      </c>
      <c r="M112" s="15">
        <f>IF(ISNUMBER(Refsz_Verbräuche[[#This Row],[2023]]), Refsz_Verbräuche[[#This Row],[2023]]*Emissionsfaktoren[[#This Row],[2023]]/1000, 0)</f>
        <v>0</v>
      </c>
      <c r="N112" s="15">
        <f>IF(ISNUMBER(Refsz_Verbräuche[[#This Row],[2024]]), Refsz_Verbräuche[[#This Row],[2024]]*Emissionsfaktoren[[#This Row],[2024]]/1000, 0)</f>
        <v>0</v>
      </c>
      <c r="O112" s="15">
        <f>IF(ISNUMBER(Refsz_Verbräuche[[#This Row],[2025]]), Refsz_Verbräuche[[#This Row],[2025]]*Emissionsfaktoren[[#This Row],[2025]]/1000, 0)</f>
        <v>0</v>
      </c>
      <c r="P112" s="15">
        <f>IF(ISNUMBER(Refsz_Verbräuche[[#This Row],[2026]]), Refsz_Verbräuche[[#This Row],[2026]]*Emissionsfaktoren[[#This Row],[2026]]/1000, 0)</f>
        <v>0</v>
      </c>
      <c r="Q112" s="15">
        <f>IF(ISNUMBER(Refsz_Verbräuche[[#This Row],[2027]]), Refsz_Verbräuche[[#This Row],[2027]]*Emissionsfaktoren[[#This Row],[2027]]/1000, 0)</f>
        <v>0</v>
      </c>
      <c r="R112" s="15">
        <f>IF(ISNUMBER(Refsz_Verbräuche[[#This Row],[2028]]), Refsz_Verbräuche[[#This Row],[2028]]*Emissionsfaktoren[[#This Row],[2028]]/1000, 0)</f>
        <v>0</v>
      </c>
      <c r="S112" s="15">
        <f>IF(ISNUMBER(Refsz_Verbräuche[[#This Row],[2029]]), Refsz_Verbräuche[[#This Row],[2029]]*Emissionsfaktoren[[#This Row],[2029]]/1000, 0)</f>
        <v>0</v>
      </c>
      <c r="T112" s="15">
        <f>IF(ISNUMBER(Refsz_Verbräuche[[#This Row],[2030]]), Refsz_Verbräuche[[#This Row],[2030]]*Emissionsfaktoren[[#This Row],[2030]]/1000, 0)</f>
        <v>0</v>
      </c>
      <c r="U112" s="15">
        <f>IF(ISNUMBER(Refsz_Verbräuche[[#This Row],[2035]]), Refsz_Verbräuche[[#This Row],[2035]]*Emissionsfaktoren[[#This Row],[2035]]/1000, 0)</f>
        <v>0</v>
      </c>
      <c r="V112" s="15">
        <f>IF(ISNUMBER(Refsz_Verbräuche[[#This Row],[2040]]), Refsz_Verbräuche[[#This Row],[2040]]*Emissionsfaktoren[[#This Row],[2040]]/1000, 0)</f>
        <v>0</v>
      </c>
      <c r="W112" s="15">
        <f>IF(ISNUMBER(Refsz_Verbräuche[[#This Row],[2045]]), Refsz_Verbräuche[[#This Row],[2045]]*Emissionsfaktoren[[#This Row],[2045]]/1000, 0)</f>
        <v>0</v>
      </c>
      <c r="X112" s="15">
        <f>IF(ISNUMBER(Refsz_Verbräuche[[#This Row],[2050]]), Refsz_Verbräuche[[#This Row],[2050]]*Emissionsfaktoren[[#This Row],[2050]]/1000, 0)</f>
        <v>0</v>
      </c>
    </row>
    <row r="113" spans="2:24" ht="16.5" hidden="1" x14ac:dyDescent="0.45">
      <c r="B113" s="15">
        <v>53</v>
      </c>
      <c r="C113" s="20" t="str">
        <f>Refsz_Verbräuche[[#This Row],[Datenpunkt]]</f>
        <v>DR - Fahrrad</v>
      </c>
      <c r="D113" t="s">
        <v>208</v>
      </c>
      <c r="E113" s="15">
        <f>IF(ISNUMBER(Refsz_Verbräuche[[#This Row],[2015]]), Refsz_Verbräuche[[#This Row],[2015]]*Emissionsfaktoren[[#This Row],[2015]]/1000, 0)</f>
        <v>0</v>
      </c>
      <c r="F113" s="15">
        <f>IF(ISNUMBER(Refsz_Verbräuche[[#This Row],[2016]]), Refsz_Verbräuche[[#This Row],[2016]]*Emissionsfaktoren[[#This Row],[2016]]/1000, 0)</f>
        <v>0</v>
      </c>
      <c r="G113" s="15">
        <f>IF(ISNUMBER(Refsz_Verbräuche[[#This Row],[2017]]), Refsz_Verbräuche[[#This Row],[2017]]*Emissionsfaktoren[[#This Row],[2017]]/1000, 0)</f>
        <v>0</v>
      </c>
      <c r="H113" s="15">
        <f>IF(ISNUMBER(Refsz_Verbräuche[[#This Row],[2018]]), Refsz_Verbräuche[[#This Row],[2018]]*Emissionsfaktoren[[#This Row],[2018]]/1000, 0)</f>
        <v>0</v>
      </c>
      <c r="I113" s="15">
        <f>IF(ISNUMBER(Refsz_Verbräuche[[#This Row],[2019]]), Refsz_Verbräuche[[#This Row],[2019]]*Emissionsfaktoren[[#This Row],[2019]]/1000, 0)</f>
        <v>0</v>
      </c>
      <c r="J113" s="15">
        <f>IF(ISNUMBER(Refsz_Verbräuche[[#This Row],[2020]]), Refsz_Verbräuche[[#This Row],[2020]]*Emissionsfaktoren[[#This Row],[2020]]/1000, 0)</f>
        <v>0</v>
      </c>
      <c r="K113" s="15">
        <f>IF(ISNUMBER(Refsz_Verbräuche[[#This Row],[2021]]), Refsz_Verbräuche[[#This Row],[2021]]*Emissionsfaktoren[[#This Row],[2021]]/1000, 0)</f>
        <v>0</v>
      </c>
      <c r="L113" s="15">
        <f>IF(ISNUMBER(Refsz_Verbräuche[[#This Row],[2022]]), Refsz_Verbräuche[[#This Row],[2022]]*Emissionsfaktoren[[#This Row],[2022]]/1000, 0)</f>
        <v>0</v>
      </c>
      <c r="M113" s="15">
        <f>IF(ISNUMBER(Refsz_Verbräuche[[#This Row],[2023]]), Refsz_Verbräuche[[#This Row],[2023]]*Emissionsfaktoren[[#This Row],[2023]]/1000, 0)</f>
        <v>0</v>
      </c>
      <c r="N113" s="15">
        <f>IF(ISNUMBER(Refsz_Verbräuche[[#This Row],[2024]]), Refsz_Verbräuche[[#This Row],[2024]]*Emissionsfaktoren[[#This Row],[2024]]/1000, 0)</f>
        <v>0</v>
      </c>
      <c r="O113" s="15">
        <f>IF(ISNUMBER(Refsz_Verbräuche[[#This Row],[2025]]), Refsz_Verbräuche[[#This Row],[2025]]*Emissionsfaktoren[[#This Row],[2025]]/1000, 0)</f>
        <v>0</v>
      </c>
      <c r="P113" s="15">
        <f>IF(ISNUMBER(Refsz_Verbräuche[[#This Row],[2026]]), Refsz_Verbräuche[[#This Row],[2026]]*Emissionsfaktoren[[#This Row],[2026]]/1000, 0)</f>
        <v>0</v>
      </c>
      <c r="Q113" s="15">
        <f>IF(ISNUMBER(Refsz_Verbräuche[[#This Row],[2027]]), Refsz_Verbräuche[[#This Row],[2027]]*Emissionsfaktoren[[#This Row],[2027]]/1000, 0)</f>
        <v>0</v>
      </c>
      <c r="R113" s="15">
        <f>IF(ISNUMBER(Refsz_Verbräuche[[#This Row],[2028]]), Refsz_Verbräuche[[#This Row],[2028]]*Emissionsfaktoren[[#This Row],[2028]]/1000, 0)</f>
        <v>0</v>
      </c>
      <c r="S113" s="15">
        <f>IF(ISNUMBER(Refsz_Verbräuche[[#This Row],[2029]]), Refsz_Verbräuche[[#This Row],[2029]]*Emissionsfaktoren[[#This Row],[2029]]/1000, 0)</f>
        <v>0</v>
      </c>
      <c r="T113" s="15">
        <f>IF(ISNUMBER(Refsz_Verbräuche[[#This Row],[2030]]), Refsz_Verbräuche[[#This Row],[2030]]*Emissionsfaktoren[[#This Row],[2030]]/1000, 0)</f>
        <v>0</v>
      </c>
      <c r="U113" s="15">
        <f>IF(ISNUMBER(Refsz_Verbräuche[[#This Row],[2035]]), Refsz_Verbräuche[[#This Row],[2035]]*Emissionsfaktoren[[#This Row],[2035]]/1000, 0)</f>
        <v>0</v>
      </c>
      <c r="V113" s="15">
        <f>IF(ISNUMBER(Refsz_Verbräuche[[#This Row],[2040]]), Refsz_Verbräuche[[#This Row],[2040]]*Emissionsfaktoren[[#This Row],[2040]]/1000, 0)</f>
        <v>0</v>
      </c>
      <c r="W113" s="15">
        <f>IF(ISNUMBER(Refsz_Verbräuche[[#This Row],[2045]]), Refsz_Verbräuche[[#This Row],[2045]]*Emissionsfaktoren[[#This Row],[2045]]/1000, 0)</f>
        <v>0</v>
      </c>
      <c r="X113" s="15">
        <f>IF(ISNUMBER(Refsz_Verbräuche[[#This Row],[2050]]), Refsz_Verbräuche[[#This Row],[2050]]*Emissionsfaktoren[[#This Row],[2050]]/1000, 0)</f>
        <v>0</v>
      </c>
    </row>
    <row r="114" spans="2:24" ht="16.5" hidden="1" x14ac:dyDescent="0.45">
      <c r="B114" s="15">
        <v>54</v>
      </c>
      <c r="C114" s="20">
        <f>Refsz_Verbräuche[[#This Row],[Datenpunkt]]</f>
        <v>0</v>
      </c>
      <c r="D114" t="s">
        <v>208</v>
      </c>
      <c r="E114" s="15">
        <f>IF(ISNUMBER(Refsz_Verbräuche[[#This Row],[2015]]), Refsz_Verbräuche[[#This Row],[2015]]*Emissionsfaktoren[[#This Row],[2015]]/1000, 0)</f>
        <v>0</v>
      </c>
      <c r="F114" s="15">
        <f>IF(ISNUMBER(Refsz_Verbräuche[[#This Row],[2016]]), Refsz_Verbräuche[[#This Row],[2016]]*Emissionsfaktoren[[#This Row],[2016]]/1000, 0)</f>
        <v>0</v>
      </c>
      <c r="G114" s="15">
        <f>IF(ISNUMBER(Refsz_Verbräuche[[#This Row],[2017]]), Refsz_Verbräuche[[#This Row],[2017]]*Emissionsfaktoren[[#This Row],[2017]]/1000, 0)</f>
        <v>0</v>
      </c>
      <c r="H114" s="15">
        <f>IF(ISNUMBER(Refsz_Verbräuche[[#This Row],[2018]]), Refsz_Verbräuche[[#This Row],[2018]]*Emissionsfaktoren[[#This Row],[2018]]/1000, 0)</f>
        <v>0</v>
      </c>
      <c r="I114" s="15">
        <f>IF(ISNUMBER(Refsz_Verbräuche[[#This Row],[2019]]), Refsz_Verbräuche[[#This Row],[2019]]*Emissionsfaktoren[[#This Row],[2019]]/1000, 0)</f>
        <v>0</v>
      </c>
      <c r="J114" s="15">
        <f>IF(ISNUMBER(Refsz_Verbräuche[[#This Row],[2020]]), Refsz_Verbräuche[[#This Row],[2020]]*Emissionsfaktoren[[#This Row],[2020]]/1000, 0)</f>
        <v>0</v>
      </c>
      <c r="K114" s="15">
        <f>IF(ISNUMBER(Refsz_Verbräuche[[#This Row],[2021]]), Refsz_Verbräuche[[#This Row],[2021]]*Emissionsfaktoren[[#This Row],[2021]]/1000, 0)</f>
        <v>0</v>
      </c>
      <c r="L114" s="15">
        <f>IF(ISNUMBER(Refsz_Verbräuche[[#This Row],[2022]]), Refsz_Verbräuche[[#This Row],[2022]]*Emissionsfaktoren[[#This Row],[2022]]/1000, 0)</f>
        <v>0</v>
      </c>
      <c r="M114" s="15">
        <f>IF(ISNUMBER(Refsz_Verbräuche[[#This Row],[2023]]), Refsz_Verbräuche[[#This Row],[2023]]*Emissionsfaktoren[[#This Row],[2023]]/1000, 0)</f>
        <v>0</v>
      </c>
      <c r="N114" s="15">
        <f>IF(ISNUMBER(Refsz_Verbräuche[[#This Row],[2024]]), Refsz_Verbräuche[[#This Row],[2024]]*Emissionsfaktoren[[#This Row],[2024]]/1000, 0)</f>
        <v>0</v>
      </c>
      <c r="O114" s="15">
        <f>IF(ISNUMBER(Refsz_Verbräuche[[#This Row],[2025]]), Refsz_Verbräuche[[#This Row],[2025]]*Emissionsfaktoren[[#This Row],[2025]]/1000, 0)</f>
        <v>0</v>
      </c>
      <c r="P114" s="15">
        <f>IF(ISNUMBER(Refsz_Verbräuche[[#This Row],[2026]]), Refsz_Verbräuche[[#This Row],[2026]]*Emissionsfaktoren[[#This Row],[2026]]/1000, 0)</f>
        <v>0</v>
      </c>
      <c r="Q114" s="15">
        <f>IF(ISNUMBER(Refsz_Verbräuche[[#This Row],[2027]]), Refsz_Verbräuche[[#This Row],[2027]]*Emissionsfaktoren[[#This Row],[2027]]/1000, 0)</f>
        <v>0</v>
      </c>
      <c r="R114" s="15">
        <f>IF(ISNUMBER(Refsz_Verbräuche[[#This Row],[2028]]), Refsz_Verbräuche[[#This Row],[2028]]*Emissionsfaktoren[[#This Row],[2028]]/1000, 0)</f>
        <v>0</v>
      </c>
      <c r="S114" s="15">
        <f>IF(ISNUMBER(Refsz_Verbräuche[[#This Row],[2029]]), Refsz_Verbräuche[[#This Row],[2029]]*Emissionsfaktoren[[#This Row],[2029]]/1000, 0)</f>
        <v>0</v>
      </c>
      <c r="T114" s="15">
        <f>IF(ISNUMBER(Refsz_Verbräuche[[#This Row],[2030]]), Refsz_Verbräuche[[#This Row],[2030]]*Emissionsfaktoren[[#This Row],[2030]]/1000, 0)</f>
        <v>0</v>
      </c>
      <c r="U114" s="15">
        <f>IF(ISNUMBER(Refsz_Verbräuche[[#This Row],[2035]]), Refsz_Verbräuche[[#This Row],[2035]]*Emissionsfaktoren[[#This Row],[2035]]/1000, 0)</f>
        <v>0</v>
      </c>
      <c r="V114" s="15">
        <f>IF(ISNUMBER(Refsz_Verbräuche[[#This Row],[2040]]), Refsz_Verbräuche[[#This Row],[2040]]*Emissionsfaktoren[[#This Row],[2040]]/1000, 0)</f>
        <v>0</v>
      </c>
      <c r="W114" s="15">
        <f>IF(ISNUMBER(Refsz_Verbräuche[[#This Row],[2045]]), Refsz_Verbräuche[[#This Row],[2045]]*Emissionsfaktoren[[#This Row],[2045]]/1000, 0)</f>
        <v>0</v>
      </c>
      <c r="X114" s="15">
        <f>IF(ISNUMBER(Refsz_Verbräuche[[#This Row],[2050]]), Refsz_Verbräuche[[#This Row],[2050]]*Emissionsfaktoren[[#This Row],[2050]]/1000, 0)</f>
        <v>0</v>
      </c>
    </row>
    <row r="115" spans="2:24" ht="16.5" hidden="1" x14ac:dyDescent="0.45">
      <c r="B115" s="15">
        <v>55</v>
      </c>
      <c r="C115" s="20" t="str">
        <f>Refsz_Verbräuche[[#This Row],[Datenpunkt]]</f>
        <v>Studierendenreisen (Outgoing) - Flugreisen</v>
      </c>
      <c r="D115" t="s">
        <v>208</v>
      </c>
      <c r="E115" s="15">
        <f>IF(ISNUMBER(Refsz_Verbräuche[[#This Row],[2015]]), Refsz_Verbräuche[[#This Row],[2015]]*Emissionsfaktoren[[#This Row],[2015]]/1000, 0)</f>
        <v>0</v>
      </c>
      <c r="F115" s="15">
        <f>IF(ISNUMBER(Refsz_Verbräuche[[#This Row],[2016]]), Refsz_Verbräuche[[#This Row],[2016]]*Emissionsfaktoren[[#This Row],[2016]]/1000, 0)</f>
        <v>0</v>
      </c>
      <c r="G115" s="15">
        <f>IF(ISNUMBER(Refsz_Verbräuche[[#This Row],[2017]]), Refsz_Verbräuche[[#This Row],[2017]]*Emissionsfaktoren[[#This Row],[2017]]/1000, 0)</f>
        <v>0</v>
      </c>
      <c r="H115" s="15">
        <f>IF(ISNUMBER(Refsz_Verbräuche[[#This Row],[2018]]), Refsz_Verbräuche[[#This Row],[2018]]*Emissionsfaktoren[[#This Row],[2018]]/1000, 0)</f>
        <v>0</v>
      </c>
      <c r="I115" s="15">
        <f>IF(ISNUMBER(Refsz_Verbräuche[[#This Row],[2019]]), Refsz_Verbräuche[[#This Row],[2019]]*Emissionsfaktoren[[#This Row],[2019]]/1000, 0)</f>
        <v>0</v>
      </c>
      <c r="J115" s="15">
        <f>IF(ISNUMBER(Refsz_Verbräuche[[#This Row],[2020]]), Refsz_Verbräuche[[#This Row],[2020]]*Emissionsfaktoren[[#This Row],[2020]]/1000, 0)</f>
        <v>0</v>
      </c>
      <c r="K115" s="15">
        <f>IF(ISNUMBER(Refsz_Verbräuche[[#This Row],[2021]]), Refsz_Verbräuche[[#This Row],[2021]]*Emissionsfaktoren[[#This Row],[2021]]/1000, 0)</f>
        <v>0</v>
      </c>
      <c r="L115" s="15">
        <f>IF(ISNUMBER(Refsz_Verbräuche[[#This Row],[2022]]), Refsz_Verbräuche[[#This Row],[2022]]*Emissionsfaktoren[[#This Row],[2022]]/1000, 0)</f>
        <v>0</v>
      </c>
      <c r="M115" s="15">
        <f>IF(ISNUMBER(Refsz_Verbräuche[[#This Row],[2023]]), Refsz_Verbräuche[[#This Row],[2023]]*Emissionsfaktoren[[#This Row],[2023]]/1000, 0)</f>
        <v>0</v>
      </c>
      <c r="N115" s="15">
        <f>IF(ISNUMBER(Refsz_Verbräuche[[#This Row],[2024]]), Refsz_Verbräuche[[#This Row],[2024]]*Emissionsfaktoren[[#This Row],[2024]]/1000, 0)</f>
        <v>0</v>
      </c>
      <c r="O115" s="15">
        <f>IF(ISNUMBER(Refsz_Verbräuche[[#This Row],[2025]]), Refsz_Verbräuche[[#This Row],[2025]]*Emissionsfaktoren[[#This Row],[2025]]/1000, 0)</f>
        <v>0</v>
      </c>
      <c r="P115" s="15">
        <f>IF(ISNUMBER(Refsz_Verbräuche[[#This Row],[2026]]), Refsz_Verbräuche[[#This Row],[2026]]*Emissionsfaktoren[[#This Row],[2026]]/1000, 0)</f>
        <v>0</v>
      </c>
      <c r="Q115" s="15">
        <f>IF(ISNUMBER(Refsz_Verbräuche[[#This Row],[2027]]), Refsz_Verbräuche[[#This Row],[2027]]*Emissionsfaktoren[[#This Row],[2027]]/1000, 0)</f>
        <v>0</v>
      </c>
      <c r="R115" s="15">
        <f>IF(ISNUMBER(Refsz_Verbräuche[[#This Row],[2028]]), Refsz_Verbräuche[[#This Row],[2028]]*Emissionsfaktoren[[#This Row],[2028]]/1000, 0)</f>
        <v>0</v>
      </c>
      <c r="S115" s="15">
        <f>IF(ISNUMBER(Refsz_Verbräuche[[#This Row],[2029]]), Refsz_Verbräuche[[#This Row],[2029]]*Emissionsfaktoren[[#This Row],[2029]]/1000, 0)</f>
        <v>0</v>
      </c>
      <c r="T115" s="15">
        <f>IF(ISNUMBER(Refsz_Verbräuche[[#This Row],[2030]]), Refsz_Verbräuche[[#This Row],[2030]]*Emissionsfaktoren[[#This Row],[2030]]/1000, 0)</f>
        <v>0</v>
      </c>
      <c r="U115" s="15">
        <f>IF(ISNUMBER(Refsz_Verbräuche[[#This Row],[2035]]), Refsz_Verbräuche[[#This Row],[2035]]*Emissionsfaktoren[[#This Row],[2035]]/1000, 0)</f>
        <v>0</v>
      </c>
      <c r="V115" s="15">
        <f>IF(ISNUMBER(Refsz_Verbräuche[[#This Row],[2040]]), Refsz_Verbräuche[[#This Row],[2040]]*Emissionsfaktoren[[#This Row],[2040]]/1000, 0)</f>
        <v>0</v>
      </c>
      <c r="W115" s="15">
        <f>IF(ISNUMBER(Refsz_Verbräuche[[#This Row],[2045]]), Refsz_Verbräuche[[#This Row],[2045]]*Emissionsfaktoren[[#This Row],[2045]]/1000, 0)</f>
        <v>0</v>
      </c>
      <c r="X115" s="15">
        <f>IF(ISNUMBER(Refsz_Verbräuche[[#This Row],[2050]]), Refsz_Verbräuche[[#This Row],[2050]]*Emissionsfaktoren[[#This Row],[2050]]/1000, 0)</f>
        <v>0</v>
      </c>
    </row>
    <row r="116" spans="2:24" ht="16.5" hidden="1" x14ac:dyDescent="0.45">
      <c r="B116" s="15">
        <v>56</v>
      </c>
      <c r="C116" s="20" t="str">
        <f>Refsz_Verbräuche[[#This Row],[Datenpunkt]]</f>
        <v>Studierendenreisen (Outgoing) - Eisenbahn (Nahverkehr)</v>
      </c>
      <c r="D116" t="s">
        <v>208</v>
      </c>
      <c r="E116" s="15">
        <f>IF(ISNUMBER(Refsz_Verbräuche[[#This Row],[2015]]), Refsz_Verbräuche[[#This Row],[2015]]*Emissionsfaktoren[[#This Row],[2015]]/1000, 0)</f>
        <v>0</v>
      </c>
      <c r="F116" s="15">
        <f>IF(ISNUMBER(Refsz_Verbräuche[[#This Row],[2016]]), Refsz_Verbräuche[[#This Row],[2016]]*Emissionsfaktoren[[#This Row],[2016]]/1000, 0)</f>
        <v>0</v>
      </c>
      <c r="G116" s="15">
        <f>IF(ISNUMBER(Refsz_Verbräuche[[#This Row],[2017]]), Refsz_Verbräuche[[#This Row],[2017]]*Emissionsfaktoren[[#This Row],[2017]]/1000, 0)</f>
        <v>0</v>
      </c>
      <c r="H116" s="15">
        <f>IF(ISNUMBER(Refsz_Verbräuche[[#This Row],[2018]]), Refsz_Verbräuche[[#This Row],[2018]]*Emissionsfaktoren[[#This Row],[2018]]/1000, 0)</f>
        <v>0</v>
      </c>
      <c r="I116" s="15">
        <f>IF(ISNUMBER(Refsz_Verbräuche[[#This Row],[2019]]), Refsz_Verbräuche[[#This Row],[2019]]*Emissionsfaktoren[[#This Row],[2019]]/1000, 0)</f>
        <v>0</v>
      </c>
      <c r="J116" s="15">
        <f>IF(ISNUMBER(Refsz_Verbräuche[[#This Row],[2020]]), Refsz_Verbräuche[[#This Row],[2020]]*Emissionsfaktoren[[#This Row],[2020]]/1000, 0)</f>
        <v>0</v>
      </c>
      <c r="K116" s="15">
        <f>IF(ISNUMBER(Refsz_Verbräuche[[#This Row],[2021]]), Refsz_Verbräuche[[#This Row],[2021]]*Emissionsfaktoren[[#This Row],[2021]]/1000, 0)</f>
        <v>0</v>
      </c>
      <c r="L116" s="15">
        <f>IF(ISNUMBER(Refsz_Verbräuche[[#This Row],[2022]]), Refsz_Verbräuche[[#This Row],[2022]]*Emissionsfaktoren[[#This Row],[2022]]/1000, 0)</f>
        <v>0</v>
      </c>
      <c r="M116" s="15">
        <f>IF(ISNUMBER(Refsz_Verbräuche[[#This Row],[2023]]), Refsz_Verbräuche[[#This Row],[2023]]*Emissionsfaktoren[[#This Row],[2023]]/1000, 0)</f>
        <v>0</v>
      </c>
      <c r="N116" s="15">
        <f>IF(ISNUMBER(Refsz_Verbräuche[[#This Row],[2024]]), Refsz_Verbräuche[[#This Row],[2024]]*Emissionsfaktoren[[#This Row],[2024]]/1000, 0)</f>
        <v>0</v>
      </c>
      <c r="O116" s="15">
        <f>IF(ISNUMBER(Refsz_Verbräuche[[#This Row],[2025]]), Refsz_Verbräuche[[#This Row],[2025]]*Emissionsfaktoren[[#This Row],[2025]]/1000, 0)</f>
        <v>0</v>
      </c>
      <c r="P116" s="15">
        <f>IF(ISNUMBER(Refsz_Verbräuche[[#This Row],[2026]]), Refsz_Verbräuche[[#This Row],[2026]]*Emissionsfaktoren[[#This Row],[2026]]/1000, 0)</f>
        <v>0</v>
      </c>
      <c r="Q116" s="15">
        <f>IF(ISNUMBER(Refsz_Verbräuche[[#This Row],[2027]]), Refsz_Verbräuche[[#This Row],[2027]]*Emissionsfaktoren[[#This Row],[2027]]/1000, 0)</f>
        <v>0</v>
      </c>
      <c r="R116" s="15">
        <f>IF(ISNUMBER(Refsz_Verbräuche[[#This Row],[2028]]), Refsz_Verbräuche[[#This Row],[2028]]*Emissionsfaktoren[[#This Row],[2028]]/1000, 0)</f>
        <v>0</v>
      </c>
      <c r="S116" s="15">
        <f>IF(ISNUMBER(Refsz_Verbräuche[[#This Row],[2029]]), Refsz_Verbräuche[[#This Row],[2029]]*Emissionsfaktoren[[#This Row],[2029]]/1000, 0)</f>
        <v>0</v>
      </c>
      <c r="T116" s="15">
        <f>IF(ISNUMBER(Refsz_Verbräuche[[#This Row],[2030]]), Refsz_Verbräuche[[#This Row],[2030]]*Emissionsfaktoren[[#This Row],[2030]]/1000, 0)</f>
        <v>0</v>
      </c>
      <c r="U116" s="15">
        <f>IF(ISNUMBER(Refsz_Verbräuche[[#This Row],[2035]]), Refsz_Verbräuche[[#This Row],[2035]]*Emissionsfaktoren[[#This Row],[2035]]/1000, 0)</f>
        <v>0</v>
      </c>
      <c r="V116" s="15">
        <f>IF(ISNUMBER(Refsz_Verbräuche[[#This Row],[2040]]), Refsz_Verbräuche[[#This Row],[2040]]*Emissionsfaktoren[[#This Row],[2040]]/1000, 0)</f>
        <v>0</v>
      </c>
      <c r="W116" s="15">
        <f>IF(ISNUMBER(Refsz_Verbräuche[[#This Row],[2045]]), Refsz_Verbräuche[[#This Row],[2045]]*Emissionsfaktoren[[#This Row],[2045]]/1000, 0)</f>
        <v>0</v>
      </c>
      <c r="X116" s="15">
        <f>IF(ISNUMBER(Refsz_Verbräuche[[#This Row],[2050]]), Refsz_Verbräuche[[#This Row],[2050]]*Emissionsfaktoren[[#This Row],[2050]]/1000, 0)</f>
        <v>0</v>
      </c>
    </row>
    <row r="117" spans="2:24" ht="16.5" hidden="1" x14ac:dyDescent="0.45">
      <c r="B117" s="15">
        <v>57</v>
      </c>
      <c r="C117" s="20" t="str">
        <f>Refsz_Verbräuche[[#This Row],[Datenpunkt]]</f>
        <v>Studierendenreisen (Outgoing) - Privater PKW (alle Antriebsarten)</v>
      </c>
      <c r="D117" t="s">
        <v>208</v>
      </c>
      <c r="E117" s="15">
        <f>IF(ISNUMBER(Refsz_Verbräuche[[#This Row],[2015]]), Refsz_Verbräuche[[#This Row],[2015]]*Emissionsfaktoren[[#This Row],[2015]]/1000, 0)</f>
        <v>0</v>
      </c>
      <c r="F117" s="15">
        <f>IF(ISNUMBER(Refsz_Verbräuche[[#This Row],[2016]]), Refsz_Verbräuche[[#This Row],[2016]]*Emissionsfaktoren[[#This Row],[2016]]/1000, 0)</f>
        <v>0</v>
      </c>
      <c r="G117" s="15">
        <f>IF(ISNUMBER(Refsz_Verbräuche[[#This Row],[2017]]), Refsz_Verbräuche[[#This Row],[2017]]*Emissionsfaktoren[[#This Row],[2017]]/1000, 0)</f>
        <v>0</v>
      </c>
      <c r="H117" s="15">
        <f>IF(ISNUMBER(Refsz_Verbräuche[[#This Row],[2018]]), Refsz_Verbräuche[[#This Row],[2018]]*Emissionsfaktoren[[#This Row],[2018]]/1000, 0)</f>
        <v>0</v>
      </c>
      <c r="I117" s="15">
        <f>IF(ISNUMBER(Refsz_Verbräuche[[#This Row],[2019]]), Refsz_Verbräuche[[#This Row],[2019]]*Emissionsfaktoren[[#This Row],[2019]]/1000, 0)</f>
        <v>0</v>
      </c>
      <c r="J117" s="15">
        <f>IF(ISNUMBER(Refsz_Verbräuche[[#This Row],[2020]]), Refsz_Verbräuche[[#This Row],[2020]]*Emissionsfaktoren[[#This Row],[2020]]/1000, 0)</f>
        <v>0</v>
      </c>
      <c r="K117" s="15">
        <f>IF(ISNUMBER(Refsz_Verbräuche[[#This Row],[2021]]), Refsz_Verbräuche[[#This Row],[2021]]*Emissionsfaktoren[[#This Row],[2021]]/1000, 0)</f>
        <v>0</v>
      </c>
      <c r="L117" s="15">
        <f>IF(ISNUMBER(Refsz_Verbräuche[[#This Row],[2022]]), Refsz_Verbräuche[[#This Row],[2022]]*Emissionsfaktoren[[#This Row],[2022]]/1000, 0)</f>
        <v>0</v>
      </c>
      <c r="M117" s="15">
        <f>IF(ISNUMBER(Refsz_Verbräuche[[#This Row],[2023]]), Refsz_Verbräuche[[#This Row],[2023]]*Emissionsfaktoren[[#This Row],[2023]]/1000, 0)</f>
        <v>0</v>
      </c>
      <c r="N117" s="15">
        <f>IF(ISNUMBER(Refsz_Verbräuche[[#This Row],[2024]]), Refsz_Verbräuche[[#This Row],[2024]]*Emissionsfaktoren[[#This Row],[2024]]/1000, 0)</f>
        <v>0</v>
      </c>
      <c r="O117" s="15">
        <f>IF(ISNUMBER(Refsz_Verbräuche[[#This Row],[2025]]), Refsz_Verbräuche[[#This Row],[2025]]*Emissionsfaktoren[[#This Row],[2025]]/1000, 0)</f>
        <v>0</v>
      </c>
      <c r="P117" s="15">
        <f>IF(ISNUMBER(Refsz_Verbräuche[[#This Row],[2026]]), Refsz_Verbräuche[[#This Row],[2026]]*Emissionsfaktoren[[#This Row],[2026]]/1000, 0)</f>
        <v>0</v>
      </c>
      <c r="Q117" s="15">
        <f>IF(ISNUMBER(Refsz_Verbräuche[[#This Row],[2027]]), Refsz_Verbräuche[[#This Row],[2027]]*Emissionsfaktoren[[#This Row],[2027]]/1000, 0)</f>
        <v>0</v>
      </c>
      <c r="R117" s="15">
        <f>IF(ISNUMBER(Refsz_Verbräuche[[#This Row],[2028]]), Refsz_Verbräuche[[#This Row],[2028]]*Emissionsfaktoren[[#This Row],[2028]]/1000, 0)</f>
        <v>0</v>
      </c>
      <c r="S117" s="15">
        <f>IF(ISNUMBER(Refsz_Verbräuche[[#This Row],[2029]]), Refsz_Verbräuche[[#This Row],[2029]]*Emissionsfaktoren[[#This Row],[2029]]/1000, 0)</f>
        <v>0</v>
      </c>
      <c r="T117" s="15">
        <f>IF(ISNUMBER(Refsz_Verbräuche[[#This Row],[2030]]), Refsz_Verbräuche[[#This Row],[2030]]*Emissionsfaktoren[[#This Row],[2030]]/1000, 0)</f>
        <v>0</v>
      </c>
      <c r="U117" s="15">
        <f>IF(ISNUMBER(Refsz_Verbräuche[[#This Row],[2035]]), Refsz_Verbräuche[[#This Row],[2035]]*Emissionsfaktoren[[#This Row],[2035]]/1000, 0)</f>
        <v>0</v>
      </c>
      <c r="V117" s="15">
        <f>IF(ISNUMBER(Refsz_Verbräuche[[#This Row],[2040]]), Refsz_Verbräuche[[#This Row],[2040]]*Emissionsfaktoren[[#This Row],[2040]]/1000, 0)</f>
        <v>0</v>
      </c>
      <c r="W117" s="15">
        <f>IF(ISNUMBER(Refsz_Verbräuche[[#This Row],[2045]]), Refsz_Verbräuche[[#This Row],[2045]]*Emissionsfaktoren[[#This Row],[2045]]/1000, 0)</f>
        <v>0</v>
      </c>
      <c r="X117" s="15">
        <f>IF(ISNUMBER(Refsz_Verbräuche[[#This Row],[2050]]), Refsz_Verbräuche[[#This Row],[2050]]*Emissionsfaktoren[[#This Row],[2050]]/1000, 0)</f>
        <v>0</v>
      </c>
    </row>
    <row r="118" spans="2:24" ht="16.5" hidden="1" x14ac:dyDescent="0.45">
      <c r="B118" s="15">
        <v>58</v>
      </c>
      <c r="C118" s="20">
        <f>Refsz_Verbräuche[[#This Row],[Datenpunkt]]</f>
        <v>0</v>
      </c>
      <c r="D118" t="s">
        <v>208</v>
      </c>
      <c r="E118" s="15">
        <f>IF(ISNUMBER(Refsz_Verbräuche[[#This Row],[2015]]), Refsz_Verbräuche[[#This Row],[2015]]*Emissionsfaktoren[[#This Row],[2015]]/1000, 0)</f>
        <v>0</v>
      </c>
      <c r="F118" s="15">
        <f>IF(ISNUMBER(Refsz_Verbräuche[[#This Row],[2016]]), Refsz_Verbräuche[[#This Row],[2016]]*Emissionsfaktoren[[#This Row],[2016]]/1000, 0)</f>
        <v>0</v>
      </c>
      <c r="G118" s="15">
        <f>IF(ISNUMBER(Refsz_Verbräuche[[#This Row],[2017]]), Refsz_Verbräuche[[#This Row],[2017]]*Emissionsfaktoren[[#This Row],[2017]]/1000, 0)</f>
        <v>0</v>
      </c>
      <c r="H118" s="15">
        <f>IF(ISNUMBER(Refsz_Verbräuche[[#This Row],[2018]]), Refsz_Verbräuche[[#This Row],[2018]]*Emissionsfaktoren[[#This Row],[2018]]/1000, 0)</f>
        <v>0</v>
      </c>
      <c r="I118" s="15">
        <f>IF(ISNUMBER(Refsz_Verbräuche[[#This Row],[2019]]), Refsz_Verbräuche[[#This Row],[2019]]*Emissionsfaktoren[[#This Row],[2019]]/1000, 0)</f>
        <v>0</v>
      </c>
      <c r="J118" s="15">
        <f>IF(ISNUMBER(Refsz_Verbräuche[[#This Row],[2020]]), Refsz_Verbräuche[[#This Row],[2020]]*Emissionsfaktoren[[#This Row],[2020]]/1000, 0)</f>
        <v>0</v>
      </c>
      <c r="K118" s="15">
        <f>IF(ISNUMBER(Refsz_Verbräuche[[#This Row],[2021]]), Refsz_Verbräuche[[#This Row],[2021]]*Emissionsfaktoren[[#This Row],[2021]]/1000, 0)</f>
        <v>0</v>
      </c>
      <c r="L118" s="15">
        <f>IF(ISNUMBER(Refsz_Verbräuche[[#This Row],[2022]]), Refsz_Verbräuche[[#This Row],[2022]]*Emissionsfaktoren[[#This Row],[2022]]/1000, 0)</f>
        <v>0</v>
      </c>
      <c r="M118" s="15">
        <f>IF(ISNUMBER(Refsz_Verbräuche[[#This Row],[2023]]), Refsz_Verbräuche[[#This Row],[2023]]*Emissionsfaktoren[[#This Row],[2023]]/1000, 0)</f>
        <v>0</v>
      </c>
      <c r="N118" s="15">
        <f>IF(ISNUMBER(Refsz_Verbräuche[[#This Row],[2024]]), Refsz_Verbräuche[[#This Row],[2024]]*Emissionsfaktoren[[#This Row],[2024]]/1000, 0)</f>
        <v>0</v>
      </c>
      <c r="O118" s="15">
        <f>IF(ISNUMBER(Refsz_Verbräuche[[#This Row],[2025]]), Refsz_Verbräuche[[#This Row],[2025]]*Emissionsfaktoren[[#This Row],[2025]]/1000, 0)</f>
        <v>0</v>
      </c>
      <c r="P118" s="15">
        <f>IF(ISNUMBER(Refsz_Verbräuche[[#This Row],[2026]]), Refsz_Verbräuche[[#This Row],[2026]]*Emissionsfaktoren[[#This Row],[2026]]/1000, 0)</f>
        <v>0</v>
      </c>
      <c r="Q118" s="15">
        <f>IF(ISNUMBER(Refsz_Verbräuche[[#This Row],[2027]]), Refsz_Verbräuche[[#This Row],[2027]]*Emissionsfaktoren[[#This Row],[2027]]/1000, 0)</f>
        <v>0</v>
      </c>
      <c r="R118" s="15">
        <f>IF(ISNUMBER(Refsz_Verbräuche[[#This Row],[2028]]), Refsz_Verbräuche[[#This Row],[2028]]*Emissionsfaktoren[[#This Row],[2028]]/1000, 0)</f>
        <v>0</v>
      </c>
      <c r="S118" s="15">
        <f>IF(ISNUMBER(Refsz_Verbräuche[[#This Row],[2029]]), Refsz_Verbräuche[[#This Row],[2029]]*Emissionsfaktoren[[#This Row],[2029]]/1000, 0)</f>
        <v>0</v>
      </c>
      <c r="T118" s="15">
        <f>IF(ISNUMBER(Refsz_Verbräuche[[#This Row],[2030]]), Refsz_Verbräuche[[#This Row],[2030]]*Emissionsfaktoren[[#This Row],[2030]]/1000, 0)</f>
        <v>0</v>
      </c>
      <c r="U118" s="15">
        <f>IF(ISNUMBER(Refsz_Verbräuche[[#This Row],[2035]]), Refsz_Verbräuche[[#This Row],[2035]]*Emissionsfaktoren[[#This Row],[2035]]/1000, 0)</f>
        <v>0</v>
      </c>
      <c r="V118" s="15">
        <f>IF(ISNUMBER(Refsz_Verbräuche[[#This Row],[2040]]), Refsz_Verbräuche[[#This Row],[2040]]*Emissionsfaktoren[[#This Row],[2040]]/1000, 0)</f>
        <v>0</v>
      </c>
      <c r="W118" s="15">
        <f>IF(ISNUMBER(Refsz_Verbräuche[[#This Row],[2045]]), Refsz_Verbräuche[[#This Row],[2045]]*Emissionsfaktoren[[#This Row],[2045]]/1000, 0)</f>
        <v>0</v>
      </c>
      <c r="X118" s="15">
        <f>IF(ISNUMBER(Refsz_Verbräuche[[#This Row],[2050]]), Refsz_Verbräuche[[#This Row],[2050]]*Emissionsfaktoren[[#This Row],[2050]]/1000, 0)</f>
        <v>0</v>
      </c>
    </row>
    <row r="119" spans="2:24" ht="16.5" hidden="1" x14ac:dyDescent="0.45">
      <c r="B119" s="15">
        <v>59</v>
      </c>
      <c r="C119" s="20" t="str">
        <f>Refsz_Verbräuche[[#This Row],[Datenpunkt]]</f>
        <v>Exkursionen - Flugreisen</v>
      </c>
      <c r="D119" t="s">
        <v>208</v>
      </c>
      <c r="E119" s="15">
        <f>IF(ISNUMBER(Refsz_Verbräuche[[#This Row],[2015]]), Refsz_Verbräuche[[#This Row],[2015]]*Emissionsfaktoren[[#This Row],[2015]]/1000, 0)</f>
        <v>0</v>
      </c>
      <c r="F119" s="15">
        <f>IF(ISNUMBER(Refsz_Verbräuche[[#This Row],[2016]]), Refsz_Verbräuche[[#This Row],[2016]]*Emissionsfaktoren[[#This Row],[2016]]/1000, 0)</f>
        <v>0</v>
      </c>
      <c r="G119" s="15">
        <f>IF(ISNUMBER(Refsz_Verbräuche[[#This Row],[2017]]), Refsz_Verbräuche[[#This Row],[2017]]*Emissionsfaktoren[[#This Row],[2017]]/1000, 0)</f>
        <v>0</v>
      </c>
      <c r="H119" s="15">
        <f>IF(ISNUMBER(Refsz_Verbräuche[[#This Row],[2018]]), Refsz_Verbräuche[[#This Row],[2018]]*Emissionsfaktoren[[#This Row],[2018]]/1000, 0)</f>
        <v>0</v>
      </c>
      <c r="I119" s="15">
        <f>IF(ISNUMBER(Refsz_Verbräuche[[#This Row],[2019]]), Refsz_Verbräuche[[#This Row],[2019]]*Emissionsfaktoren[[#This Row],[2019]]/1000, 0)</f>
        <v>0</v>
      </c>
      <c r="J119" s="15">
        <f>IF(ISNUMBER(Refsz_Verbräuche[[#This Row],[2020]]), Refsz_Verbräuche[[#This Row],[2020]]*Emissionsfaktoren[[#This Row],[2020]]/1000, 0)</f>
        <v>0</v>
      </c>
      <c r="K119" s="15">
        <f>IF(ISNUMBER(Refsz_Verbräuche[[#This Row],[2021]]), Refsz_Verbräuche[[#This Row],[2021]]*Emissionsfaktoren[[#This Row],[2021]]/1000, 0)</f>
        <v>0</v>
      </c>
      <c r="L119" s="15">
        <f>IF(ISNUMBER(Refsz_Verbräuche[[#This Row],[2022]]), Refsz_Verbräuche[[#This Row],[2022]]*Emissionsfaktoren[[#This Row],[2022]]/1000, 0)</f>
        <v>0</v>
      </c>
      <c r="M119" s="15">
        <f>IF(ISNUMBER(Refsz_Verbräuche[[#This Row],[2023]]), Refsz_Verbräuche[[#This Row],[2023]]*Emissionsfaktoren[[#This Row],[2023]]/1000, 0)</f>
        <v>0</v>
      </c>
      <c r="N119" s="15">
        <f>IF(ISNUMBER(Refsz_Verbräuche[[#This Row],[2024]]), Refsz_Verbräuche[[#This Row],[2024]]*Emissionsfaktoren[[#This Row],[2024]]/1000, 0)</f>
        <v>0</v>
      </c>
      <c r="O119" s="15">
        <f>IF(ISNUMBER(Refsz_Verbräuche[[#This Row],[2025]]), Refsz_Verbräuche[[#This Row],[2025]]*Emissionsfaktoren[[#This Row],[2025]]/1000, 0)</f>
        <v>0</v>
      </c>
      <c r="P119" s="15">
        <f>IF(ISNUMBER(Refsz_Verbräuche[[#This Row],[2026]]), Refsz_Verbräuche[[#This Row],[2026]]*Emissionsfaktoren[[#This Row],[2026]]/1000, 0)</f>
        <v>0</v>
      </c>
      <c r="Q119" s="15">
        <f>IF(ISNUMBER(Refsz_Verbräuche[[#This Row],[2027]]), Refsz_Verbräuche[[#This Row],[2027]]*Emissionsfaktoren[[#This Row],[2027]]/1000, 0)</f>
        <v>0</v>
      </c>
      <c r="R119" s="15">
        <f>IF(ISNUMBER(Refsz_Verbräuche[[#This Row],[2028]]), Refsz_Verbräuche[[#This Row],[2028]]*Emissionsfaktoren[[#This Row],[2028]]/1000, 0)</f>
        <v>0</v>
      </c>
      <c r="S119" s="15">
        <f>IF(ISNUMBER(Refsz_Verbräuche[[#This Row],[2029]]), Refsz_Verbräuche[[#This Row],[2029]]*Emissionsfaktoren[[#This Row],[2029]]/1000, 0)</f>
        <v>0</v>
      </c>
      <c r="T119" s="15">
        <f>IF(ISNUMBER(Refsz_Verbräuche[[#This Row],[2030]]), Refsz_Verbräuche[[#This Row],[2030]]*Emissionsfaktoren[[#This Row],[2030]]/1000, 0)</f>
        <v>0</v>
      </c>
      <c r="U119" s="15">
        <f>IF(ISNUMBER(Refsz_Verbräuche[[#This Row],[2035]]), Refsz_Verbräuche[[#This Row],[2035]]*Emissionsfaktoren[[#This Row],[2035]]/1000, 0)</f>
        <v>0</v>
      </c>
      <c r="V119" s="15">
        <f>IF(ISNUMBER(Refsz_Verbräuche[[#This Row],[2040]]), Refsz_Verbräuche[[#This Row],[2040]]*Emissionsfaktoren[[#This Row],[2040]]/1000, 0)</f>
        <v>0</v>
      </c>
      <c r="W119" s="15">
        <f>IF(ISNUMBER(Refsz_Verbräuche[[#This Row],[2045]]), Refsz_Verbräuche[[#This Row],[2045]]*Emissionsfaktoren[[#This Row],[2045]]/1000, 0)</f>
        <v>0</v>
      </c>
      <c r="X119" s="15">
        <f>IF(ISNUMBER(Refsz_Verbräuche[[#This Row],[2050]]), Refsz_Verbräuche[[#This Row],[2050]]*Emissionsfaktoren[[#This Row],[2050]]/1000, 0)</f>
        <v>0</v>
      </c>
    </row>
    <row r="120" spans="2:24" ht="16.5" hidden="1" x14ac:dyDescent="0.45">
      <c r="B120" s="15">
        <v>60</v>
      </c>
      <c r="C120" s="20" t="str">
        <f>Refsz_Verbräuche[[#This Row],[Datenpunkt]]</f>
        <v>Exkursionen - Eisenbahn (Nahverkehr)</v>
      </c>
      <c r="D120" t="s">
        <v>208</v>
      </c>
      <c r="E120" s="15">
        <f>IF(ISNUMBER(Refsz_Verbräuche[[#This Row],[2015]]), Refsz_Verbräuche[[#This Row],[2015]]*Emissionsfaktoren[[#This Row],[2015]]/1000, 0)</f>
        <v>0</v>
      </c>
      <c r="F120" s="15">
        <f>IF(ISNUMBER(Refsz_Verbräuche[[#This Row],[2016]]), Refsz_Verbräuche[[#This Row],[2016]]*Emissionsfaktoren[[#This Row],[2016]]/1000, 0)</f>
        <v>0</v>
      </c>
      <c r="G120" s="15">
        <f>IF(ISNUMBER(Refsz_Verbräuche[[#This Row],[2017]]), Refsz_Verbräuche[[#This Row],[2017]]*Emissionsfaktoren[[#This Row],[2017]]/1000, 0)</f>
        <v>0</v>
      </c>
      <c r="H120" s="15">
        <f>IF(ISNUMBER(Refsz_Verbräuche[[#This Row],[2018]]), Refsz_Verbräuche[[#This Row],[2018]]*Emissionsfaktoren[[#This Row],[2018]]/1000, 0)</f>
        <v>0</v>
      </c>
      <c r="I120" s="15">
        <f>IF(ISNUMBER(Refsz_Verbräuche[[#This Row],[2019]]), Refsz_Verbräuche[[#This Row],[2019]]*Emissionsfaktoren[[#This Row],[2019]]/1000, 0)</f>
        <v>0</v>
      </c>
      <c r="J120" s="15">
        <f>IF(ISNUMBER(Refsz_Verbräuche[[#This Row],[2020]]), Refsz_Verbräuche[[#This Row],[2020]]*Emissionsfaktoren[[#This Row],[2020]]/1000, 0)</f>
        <v>0</v>
      </c>
      <c r="K120" s="15">
        <f>IF(ISNUMBER(Refsz_Verbräuche[[#This Row],[2021]]), Refsz_Verbräuche[[#This Row],[2021]]*Emissionsfaktoren[[#This Row],[2021]]/1000, 0)</f>
        <v>0</v>
      </c>
      <c r="L120" s="15">
        <f>IF(ISNUMBER(Refsz_Verbräuche[[#This Row],[2022]]), Refsz_Verbräuche[[#This Row],[2022]]*Emissionsfaktoren[[#This Row],[2022]]/1000, 0)</f>
        <v>0</v>
      </c>
      <c r="M120" s="15">
        <f>IF(ISNUMBER(Refsz_Verbräuche[[#This Row],[2023]]), Refsz_Verbräuche[[#This Row],[2023]]*Emissionsfaktoren[[#This Row],[2023]]/1000, 0)</f>
        <v>0</v>
      </c>
      <c r="N120" s="15">
        <f>IF(ISNUMBER(Refsz_Verbräuche[[#This Row],[2024]]), Refsz_Verbräuche[[#This Row],[2024]]*Emissionsfaktoren[[#This Row],[2024]]/1000, 0)</f>
        <v>0</v>
      </c>
      <c r="O120" s="15">
        <f>IF(ISNUMBER(Refsz_Verbräuche[[#This Row],[2025]]), Refsz_Verbräuche[[#This Row],[2025]]*Emissionsfaktoren[[#This Row],[2025]]/1000, 0)</f>
        <v>0</v>
      </c>
      <c r="P120" s="15">
        <f>IF(ISNUMBER(Refsz_Verbräuche[[#This Row],[2026]]), Refsz_Verbräuche[[#This Row],[2026]]*Emissionsfaktoren[[#This Row],[2026]]/1000, 0)</f>
        <v>0</v>
      </c>
      <c r="Q120" s="15">
        <f>IF(ISNUMBER(Refsz_Verbräuche[[#This Row],[2027]]), Refsz_Verbräuche[[#This Row],[2027]]*Emissionsfaktoren[[#This Row],[2027]]/1000, 0)</f>
        <v>0</v>
      </c>
      <c r="R120" s="15">
        <f>IF(ISNUMBER(Refsz_Verbräuche[[#This Row],[2028]]), Refsz_Verbräuche[[#This Row],[2028]]*Emissionsfaktoren[[#This Row],[2028]]/1000, 0)</f>
        <v>0</v>
      </c>
      <c r="S120" s="15">
        <f>IF(ISNUMBER(Refsz_Verbräuche[[#This Row],[2029]]), Refsz_Verbräuche[[#This Row],[2029]]*Emissionsfaktoren[[#This Row],[2029]]/1000, 0)</f>
        <v>0</v>
      </c>
      <c r="T120" s="15">
        <f>IF(ISNUMBER(Refsz_Verbräuche[[#This Row],[2030]]), Refsz_Verbräuche[[#This Row],[2030]]*Emissionsfaktoren[[#This Row],[2030]]/1000, 0)</f>
        <v>0</v>
      </c>
      <c r="U120" s="15">
        <f>IF(ISNUMBER(Refsz_Verbräuche[[#This Row],[2035]]), Refsz_Verbräuche[[#This Row],[2035]]*Emissionsfaktoren[[#This Row],[2035]]/1000, 0)</f>
        <v>0</v>
      </c>
      <c r="V120" s="15">
        <f>IF(ISNUMBER(Refsz_Verbräuche[[#This Row],[2040]]), Refsz_Verbräuche[[#This Row],[2040]]*Emissionsfaktoren[[#This Row],[2040]]/1000, 0)</f>
        <v>0</v>
      </c>
      <c r="W120" s="15">
        <f>IF(ISNUMBER(Refsz_Verbräuche[[#This Row],[2045]]), Refsz_Verbräuche[[#This Row],[2045]]*Emissionsfaktoren[[#This Row],[2045]]/1000, 0)</f>
        <v>0</v>
      </c>
      <c r="X120" s="15">
        <f>IF(ISNUMBER(Refsz_Verbräuche[[#This Row],[2050]]), Refsz_Verbräuche[[#This Row],[2050]]*Emissionsfaktoren[[#This Row],[2050]]/1000, 0)</f>
        <v>0</v>
      </c>
    </row>
    <row r="121" spans="2:24" ht="16.5" hidden="1" x14ac:dyDescent="0.45">
      <c r="B121" s="15">
        <v>61</v>
      </c>
      <c r="C121" s="20" t="str">
        <f>Refsz_Verbräuche[[#This Row],[Datenpunkt]]</f>
        <v>Exkursionen - Privater PKW (alle Antriebsarten)</v>
      </c>
      <c r="D121" t="s">
        <v>208</v>
      </c>
      <c r="E121" s="15">
        <f>IF(ISNUMBER(Refsz_Verbräuche[[#This Row],[2015]]), Refsz_Verbräuche[[#This Row],[2015]]*Emissionsfaktoren[[#This Row],[2015]]/1000, 0)</f>
        <v>0</v>
      </c>
      <c r="F121" s="15">
        <f>IF(ISNUMBER(Refsz_Verbräuche[[#This Row],[2016]]), Refsz_Verbräuche[[#This Row],[2016]]*Emissionsfaktoren[[#This Row],[2016]]/1000, 0)</f>
        <v>0</v>
      </c>
      <c r="G121" s="15">
        <f>IF(ISNUMBER(Refsz_Verbräuche[[#This Row],[2017]]), Refsz_Verbräuche[[#This Row],[2017]]*Emissionsfaktoren[[#This Row],[2017]]/1000, 0)</f>
        <v>0</v>
      </c>
      <c r="H121" s="15">
        <f>IF(ISNUMBER(Refsz_Verbräuche[[#This Row],[2018]]), Refsz_Verbräuche[[#This Row],[2018]]*Emissionsfaktoren[[#This Row],[2018]]/1000, 0)</f>
        <v>0</v>
      </c>
      <c r="I121" s="15">
        <f>IF(ISNUMBER(Refsz_Verbräuche[[#This Row],[2019]]), Refsz_Verbräuche[[#This Row],[2019]]*Emissionsfaktoren[[#This Row],[2019]]/1000, 0)</f>
        <v>0</v>
      </c>
      <c r="J121" s="15">
        <f>IF(ISNUMBER(Refsz_Verbräuche[[#This Row],[2020]]), Refsz_Verbräuche[[#This Row],[2020]]*Emissionsfaktoren[[#This Row],[2020]]/1000, 0)</f>
        <v>0</v>
      </c>
      <c r="K121" s="15">
        <f>IF(ISNUMBER(Refsz_Verbräuche[[#This Row],[2021]]), Refsz_Verbräuche[[#This Row],[2021]]*Emissionsfaktoren[[#This Row],[2021]]/1000, 0)</f>
        <v>0</v>
      </c>
      <c r="L121" s="15">
        <f>IF(ISNUMBER(Refsz_Verbräuche[[#This Row],[2022]]), Refsz_Verbräuche[[#This Row],[2022]]*Emissionsfaktoren[[#This Row],[2022]]/1000, 0)</f>
        <v>0</v>
      </c>
      <c r="M121" s="15">
        <f>IF(ISNUMBER(Refsz_Verbräuche[[#This Row],[2023]]), Refsz_Verbräuche[[#This Row],[2023]]*Emissionsfaktoren[[#This Row],[2023]]/1000, 0)</f>
        <v>0</v>
      </c>
      <c r="N121" s="15">
        <f>IF(ISNUMBER(Refsz_Verbräuche[[#This Row],[2024]]), Refsz_Verbräuche[[#This Row],[2024]]*Emissionsfaktoren[[#This Row],[2024]]/1000, 0)</f>
        <v>0</v>
      </c>
      <c r="O121" s="15">
        <f>IF(ISNUMBER(Refsz_Verbräuche[[#This Row],[2025]]), Refsz_Verbräuche[[#This Row],[2025]]*Emissionsfaktoren[[#This Row],[2025]]/1000, 0)</f>
        <v>0</v>
      </c>
      <c r="P121" s="15">
        <f>IF(ISNUMBER(Refsz_Verbräuche[[#This Row],[2026]]), Refsz_Verbräuche[[#This Row],[2026]]*Emissionsfaktoren[[#This Row],[2026]]/1000, 0)</f>
        <v>0</v>
      </c>
      <c r="Q121" s="15">
        <f>IF(ISNUMBER(Refsz_Verbräuche[[#This Row],[2027]]), Refsz_Verbräuche[[#This Row],[2027]]*Emissionsfaktoren[[#This Row],[2027]]/1000, 0)</f>
        <v>0</v>
      </c>
      <c r="R121" s="15">
        <f>IF(ISNUMBER(Refsz_Verbräuche[[#This Row],[2028]]), Refsz_Verbräuche[[#This Row],[2028]]*Emissionsfaktoren[[#This Row],[2028]]/1000, 0)</f>
        <v>0</v>
      </c>
      <c r="S121" s="15">
        <f>IF(ISNUMBER(Refsz_Verbräuche[[#This Row],[2029]]), Refsz_Verbräuche[[#This Row],[2029]]*Emissionsfaktoren[[#This Row],[2029]]/1000, 0)</f>
        <v>0</v>
      </c>
      <c r="T121" s="15">
        <f>IF(ISNUMBER(Refsz_Verbräuche[[#This Row],[2030]]), Refsz_Verbräuche[[#This Row],[2030]]*Emissionsfaktoren[[#This Row],[2030]]/1000, 0)</f>
        <v>0</v>
      </c>
      <c r="U121" s="15">
        <f>IF(ISNUMBER(Refsz_Verbräuche[[#This Row],[2035]]), Refsz_Verbräuche[[#This Row],[2035]]*Emissionsfaktoren[[#This Row],[2035]]/1000, 0)</f>
        <v>0</v>
      </c>
      <c r="V121" s="15">
        <f>IF(ISNUMBER(Refsz_Verbräuche[[#This Row],[2040]]), Refsz_Verbräuche[[#This Row],[2040]]*Emissionsfaktoren[[#This Row],[2040]]/1000, 0)</f>
        <v>0</v>
      </c>
      <c r="W121" s="15">
        <f>IF(ISNUMBER(Refsz_Verbräuche[[#This Row],[2045]]), Refsz_Verbräuche[[#This Row],[2045]]*Emissionsfaktoren[[#This Row],[2045]]/1000, 0)</f>
        <v>0</v>
      </c>
      <c r="X121" s="15">
        <f>IF(ISNUMBER(Refsz_Verbräuche[[#This Row],[2050]]), Refsz_Verbräuche[[#This Row],[2050]]*Emissionsfaktoren[[#This Row],[2050]]/1000, 0)</f>
        <v>0</v>
      </c>
    </row>
    <row r="122" spans="2:24" ht="16.5" hidden="1" x14ac:dyDescent="0.45">
      <c r="B122" s="15">
        <v>62</v>
      </c>
      <c r="C122" s="20">
        <f>Refsz_Verbräuche[[#This Row],[Datenpunkt]]</f>
        <v>0</v>
      </c>
      <c r="D122" t="s">
        <v>208</v>
      </c>
      <c r="E122" s="15">
        <f>IF(ISNUMBER(Refsz_Verbräuche[[#This Row],[2015]]), Refsz_Verbräuche[[#This Row],[2015]]*Emissionsfaktoren[[#This Row],[2015]]/1000, 0)</f>
        <v>0</v>
      </c>
      <c r="F122" s="15">
        <f>IF(ISNUMBER(Refsz_Verbräuche[[#This Row],[2016]]), Refsz_Verbräuche[[#This Row],[2016]]*Emissionsfaktoren[[#This Row],[2016]]/1000, 0)</f>
        <v>0</v>
      </c>
      <c r="G122" s="15">
        <f>IF(ISNUMBER(Refsz_Verbräuche[[#This Row],[2017]]), Refsz_Verbräuche[[#This Row],[2017]]*Emissionsfaktoren[[#This Row],[2017]]/1000, 0)</f>
        <v>0</v>
      </c>
      <c r="H122" s="15">
        <f>IF(ISNUMBER(Refsz_Verbräuche[[#This Row],[2018]]), Refsz_Verbräuche[[#This Row],[2018]]*Emissionsfaktoren[[#This Row],[2018]]/1000, 0)</f>
        <v>0</v>
      </c>
      <c r="I122" s="15">
        <f>IF(ISNUMBER(Refsz_Verbräuche[[#This Row],[2019]]), Refsz_Verbräuche[[#This Row],[2019]]*Emissionsfaktoren[[#This Row],[2019]]/1000, 0)</f>
        <v>0</v>
      </c>
      <c r="J122" s="15">
        <f>IF(ISNUMBER(Refsz_Verbräuche[[#This Row],[2020]]), Refsz_Verbräuche[[#This Row],[2020]]*Emissionsfaktoren[[#This Row],[2020]]/1000, 0)</f>
        <v>0</v>
      </c>
      <c r="K122" s="15">
        <f>IF(ISNUMBER(Refsz_Verbräuche[[#This Row],[2021]]), Refsz_Verbräuche[[#This Row],[2021]]*Emissionsfaktoren[[#This Row],[2021]]/1000, 0)</f>
        <v>0</v>
      </c>
      <c r="L122" s="15">
        <f>IF(ISNUMBER(Refsz_Verbräuche[[#This Row],[2022]]), Refsz_Verbräuche[[#This Row],[2022]]*Emissionsfaktoren[[#This Row],[2022]]/1000, 0)</f>
        <v>0</v>
      </c>
      <c r="M122" s="15">
        <f>IF(ISNUMBER(Refsz_Verbräuche[[#This Row],[2023]]), Refsz_Verbräuche[[#This Row],[2023]]*Emissionsfaktoren[[#This Row],[2023]]/1000, 0)</f>
        <v>0</v>
      </c>
      <c r="N122" s="15">
        <f>IF(ISNUMBER(Refsz_Verbräuche[[#This Row],[2024]]), Refsz_Verbräuche[[#This Row],[2024]]*Emissionsfaktoren[[#This Row],[2024]]/1000, 0)</f>
        <v>0</v>
      </c>
      <c r="O122" s="15">
        <f>IF(ISNUMBER(Refsz_Verbräuche[[#This Row],[2025]]), Refsz_Verbräuche[[#This Row],[2025]]*Emissionsfaktoren[[#This Row],[2025]]/1000, 0)</f>
        <v>0</v>
      </c>
      <c r="P122" s="15">
        <f>IF(ISNUMBER(Refsz_Verbräuche[[#This Row],[2026]]), Refsz_Verbräuche[[#This Row],[2026]]*Emissionsfaktoren[[#This Row],[2026]]/1000, 0)</f>
        <v>0</v>
      </c>
      <c r="Q122" s="15">
        <f>IF(ISNUMBER(Refsz_Verbräuche[[#This Row],[2027]]), Refsz_Verbräuche[[#This Row],[2027]]*Emissionsfaktoren[[#This Row],[2027]]/1000, 0)</f>
        <v>0</v>
      </c>
      <c r="R122" s="15">
        <f>IF(ISNUMBER(Refsz_Verbräuche[[#This Row],[2028]]), Refsz_Verbräuche[[#This Row],[2028]]*Emissionsfaktoren[[#This Row],[2028]]/1000, 0)</f>
        <v>0</v>
      </c>
      <c r="S122" s="15">
        <f>IF(ISNUMBER(Refsz_Verbräuche[[#This Row],[2029]]), Refsz_Verbräuche[[#This Row],[2029]]*Emissionsfaktoren[[#This Row],[2029]]/1000, 0)</f>
        <v>0</v>
      </c>
      <c r="T122" s="15">
        <f>IF(ISNUMBER(Refsz_Verbräuche[[#This Row],[2030]]), Refsz_Verbräuche[[#This Row],[2030]]*Emissionsfaktoren[[#This Row],[2030]]/1000, 0)</f>
        <v>0</v>
      </c>
      <c r="U122" s="15">
        <f>IF(ISNUMBER(Refsz_Verbräuche[[#This Row],[2035]]), Refsz_Verbräuche[[#This Row],[2035]]*Emissionsfaktoren[[#This Row],[2035]]/1000, 0)</f>
        <v>0</v>
      </c>
      <c r="V122" s="15">
        <f>IF(ISNUMBER(Refsz_Verbräuche[[#This Row],[2040]]), Refsz_Verbräuche[[#This Row],[2040]]*Emissionsfaktoren[[#This Row],[2040]]/1000, 0)</f>
        <v>0</v>
      </c>
      <c r="W122" s="15">
        <f>IF(ISNUMBER(Refsz_Verbräuche[[#This Row],[2045]]), Refsz_Verbräuche[[#This Row],[2045]]*Emissionsfaktoren[[#This Row],[2045]]/1000, 0)</f>
        <v>0</v>
      </c>
      <c r="X122" s="15">
        <f>IF(ISNUMBER(Refsz_Verbräuche[[#This Row],[2050]]), Refsz_Verbräuche[[#This Row],[2050]]*Emissionsfaktoren[[#This Row],[2050]]/1000, 0)</f>
        <v>0</v>
      </c>
    </row>
    <row r="123" spans="2:24" ht="16.5" hidden="1" x14ac:dyDescent="0.45">
      <c r="B123" s="15">
        <v>63</v>
      </c>
      <c r="C123" s="20" t="str">
        <f>Refsz_Verbräuche[[#This Row],[Datenpunkt]]</f>
        <v>Pendeln - Eisenbahn (Fernverkehr)</v>
      </c>
      <c r="D123" t="s">
        <v>208</v>
      </c>
      <c r="E123" s="15">
        <f>IF(ISNUMBER(Refsz_Verbräuche[[#This Row],[2015]]), Refsz_Verbräuche[[#This Row],[2015]]*Emissionsfaktoren[[#This Row],[2015]]/1000, 0)</f>
        <v>0</v>
      </c>
      <c r="F123" s="15">
        <f>IF(ISNUMBER(Refsz_Verbräuche[[#This Row],[2016]]), Refsz_Verbräuche[[#This Row],[2016]]*Emissionsfaktoren[[#This Row],[2016]]/1000, 0)</f>
        <v>0</v>
      </c>
      <c r="G123" s="15">
        <f>IF(ISNUMBER(Refsz_Verbräuche[[#This Row],[2017]]), Refsz_Verbräuche[[#This Row],[2017]]*Emissionsfaktoren[[#This Row],[2017]]/1000, 0)</f>
        <v>0</v>
      </c>
      <c r="H123" s="15">
        <f>IF(ISNUMBER(Refsz_Verbräuche[[#This Row],[2018]]), Refsz_Verbräuche[[#This Row],[2018]]*Emissionsfaktoren[[#This Row],[2018]]/1000, 0)</f>
        <v>0</v>
      </c>
      <c r="I123" s="15">
        <f>IF(ISNUMBER(Refsz_Verbräuche[[#This Row],[2019]]), Refsz_Verbräuche[[#This Row],[2019]]*Emissionsfaktoren[[#This Row],[2019]]/1000, 0)</f>
        <v>0</v>
      </c>
      <c r="J123" s="15">
        <f>IF(ISNUMBER(Refsz_Verbräuche[[#This Row],[2020]]), Refsz_Verbräuche[[#This Row],[2020]]*Emissionsfaktoren[[#This Row],[2020]]/1000, 0)</f>
        <v>0</v>
      </c>
      <c r="K123" s="15">
        <f>IF(ISNUMBER(Refsz_Verbräuche[[#This Row],[2021]]), Refsz_Verbräuche[[#This Row],[2021]]*Emissionsfaktoren[[#This Row],[2021]]/1000, 0)</f>
        <v>0</v>
      </c>
      <c r="L123" s="15">
        <f>IF(ISNUMBER(Refsz_Verbräuche[[#This Row],[2022]]), Refsz_Verbräuche[[#This Row],[2022]]*Emissionsfaktoren[[#This Row],[2022]]/1000, 0)</f>
        <v>0</v>
      </c>
      <c r="M123" s="15">
        <f>IF(ISNUMBER(Refsz_Verbräuche[[#This Row],[2023]]), Refsz_Verbräuche[[#This Row],[2023]]*Emissionsfaktoren[[#This Row],[2023]]/1000, 0)</f>
        <v>0</v>
      </c>
      <c r="N123" s="15">
        <f>IF(ISNUMBER(Refsz_Verbräuche[[#This Row],[2024]]), Refsz_Verbräuche[[#This Row],[2024]]*Emissionsfaktoren[[#This Row],[2024]]/1000, 0)</f>
        <v>0</v>
      </c>
      <c r="O123" s="15">
        <f>IF(ISNUMBER(Refsz_Verbräuche[[#This Row],[2025]]), Refsz_Verbräuche[[#This Row],[2025]]*Emissionsfaktoren[[#This Row],[2025]]/1000, 0)</f>
        <v>0</v>
      </c>
      <c r="P123" s="15">
        <f>IF(ISNUMBER(Refsz_Verbräuche[[#This Row],[2026]]), Refsz_Verbräuche[[#This Row],[2026]]*Emissionsfaktoren[[#This Row],[2026]]/1000, 0)</f>
        <v>0</v>
      </c>
      <c r="Q123" s="15">
        <f>IF(ISNUMBER(Refsz_Verbräuche[[#This Row],[2027]]), Refsz_Verbräuche[[#This Row],[2027]]*Emissionsfaktoren[[#This Row],[2027]]/1000, 0)</f>
        <v>0</v>
      </c>
      <c r="R123" s="15">
        <f>IF(ISNUMBER(Refsz_Verbräuche[[#This Row],[2028]]), Refsz_Verbräuche[[#This Row],[2028]]*Emissionsfaktoren[[#This Row],[2028]]/1000, 0)</f>
        <v>0</v>
      </c>
      <c r="S123" s="15">
        <f>IF(ISNUMBER(Refsz_Verbräuche[[#This Row],[2029]]), Refsz_Verbräuche[[#This Row],[2029]]*Emissionsfaktoren[[#This Row],[2029]]/1000, 0)</f>
        <v>0</v>
      </c>
      <c r="T123" s="15">
        <f>IF(ISNUMBER(Refsz_Verbräuche[[#This Row],[2030]]), Refsz_Verbräuche[[#This Row],[2030]]*Emissionsfaktoren[[#This Row],[2030]]/1000, 0)</f>
        <v>0</v>
      </c>
      <c r="U123" s="15">
        <f>IF(ISNUMBER(Refsz_Verbräuche[[#This Row],[2035]]), Refsz_Verbräuche[[#This Row],[2035]]*Emissionsfaktoren[[#This Row],[2035]]/1000, 0)</f>
        <v>0</v>
      </c>
      <c r="V123" s="15">
        <f>IF(ISNUMBER(Refsz_Verbräuche[[#This Row],[2040]]), Refsz_Verbräuche[[#This Row],[2040]]*Emissionsfaktoren[[#This Row],[2040]]/1000, 0)</f>
        <v>0</v>
      </c>
      <c r="W123" s="15">
        <f>IF(ISNUMBER(Refsz_Verbräuche[[#This Row],[2045]]), Refsz_Verbräuche[[#This Row],[2045]]*Emissionsfaktoren[[#This Row],[2045]]/1000, 0)</f>
        <v>0</v>
      </c>
      <c r="X123" s="15">
        <f>IF(ISNUMBER(Refsz_Verbräuche[[#This Row],[2050]]), Refsz_Verbräuche[[#This Row],[2050]]*Emissionsfaktoren[[#This Row],[2050]]/1000, 0)</f>
        <v>0</v>
      </c>
    </row>
    <row r="124" spans="2:24" ht="16.5" hidden="1" x14ac:dyDescent="0.45">
      <c r="B124" s="15">
        <v>64</v>
      </c>
      <c r="C124" s="20" t="str">
        <f>Refsz_Verbräuche[[#This Row],[Datenpunkt]]</f>
        <v>Pendeln - Eisenbahn (Nahverkehr)</v>
      </c>
      <c r="D124" t="s">
        <v>208</v>
      </c>
      <c r="E124" s="15">
        <f>IF(ISNUMBER(Refsz_Verbräuche[[#This Row],[2015]]), Refsz_Verbräuche[[#This Row],[2015]]*Emissionsfaktoren[[#This Row],[2015]]/1000, 0)</f>
        <v>0</v>
      </c>
      <c r="F124" s="15">
        <f>IF(ISNUMBER(Refsz_Verbräuche[[#This Row],[2016]]), Refsz_Verbräuche[[#This Row],[2016]]*Emissionsfaktoren[[#This Row],[2016]]/1000, 0)</f>
        <v>0</v>
      </c>
      <c r="G124" s="15">
        <f>IF(ISNUMBER(Refsz_Verbräuche[[#This Row],[2017]]), Refsz_Verbräuche[[#This Row],[2017]]*Emissionsfaktoren[[#This Row],[2017]]/1000, 0)</f>
        <v>0</v>
      </c>
      <c r="H124" s="15">
        <f>IF(ISNUMBER(Refsz_Verbräuche[[#This Row],[2018]]), Refsz_Verbräuche[[#This Row],[2018]]*Emissionsfaktoren[[#This Row],[2018]]/1000, 0)</f>
        <v>0</v>
      </c>
      <c r="I124" s="15">
        <f>IF(ISNUMBER(Refsz_Verbräuche[[#This Row],[2019]]), Refsz_Verbräuche[[#This Row],[2019]]*Emissionsfaktoren[[#This Row],[2019]]/1000, 0)</f>
        <v>0</v>
      </c>
      <c r="J124" s="15">
        <f>IF(ISNUMBER(Refsz_Verbräuche[[#This Row],[2020]]), Refsz_Verbräuche[[#This Row],[2020]]*Emissionsfaktoren[[#This Row],[2020]]/1000, 0)</f>
        <v>0</v>
      </c>
      <c r="K124" s="15">
        <f>IF(ISNUMBER(Refsz_Verbräuche[[#This Row],[2021]]), Refsz_Verbräuche[[#This Row],[2021]]*Emissionsfaktoren[[#This Row],[2021]]/1000, 0)</f>
        <v>0</v>
      </c>
      <c r="L124" s="15">
        <f>IF(ISNUMBER(Refsz_Verbräuche[[#This Row],[2022]]), Refsz_Verbräuche[[#This Row],[2022]]*Emissionsfaktoren[[#This Row],[2022]]/1000, 0)</f>
        <v>0</v>
      </c>
      <c r="M124" s="15">
        <f>IF(ISNUMBER(Refsz_Verbräuche[[#This Row],[2023]]), Refsz_Verbräuche[[#This Row],[2023]]*Emissionsfaktoren[[#This Row],[2023]]/1000, 0)</f>
        <v>0</v>
      </c>
      <c r="N124" s="15">
        <f>IF(ISNUMBER(Refsz_Verbräuche[[#This Row],[2024]]), Refsz_Verbräuche[[#This Row],[2024]]*Emissionsfaktoren[[#This Row],[2024]]/1000, 0)</f>
        <v>0</v>
      </c>
      <c r="O124" s="15">
        <f>IF(ISNUMBER(Refsz_Verbräuche[[#This Row],[2025]]), Refsz_Verbräuche[[#This Row],[2025]]*Emissionsfaktoren[[#This Row],[2025]]/1000, 0)</f>
        <v>0</v>
      </c>
      <c r="P124" s="15">
        <f>IF(ISNUMBER(Refsz_Verbräuche[[#This Row],[2026]]), Refsz_Verbräuche[[#This Row],[2026]]*Emissionsfaktoren[[#This Row],[2026]]/1000, 0)</f>
        <v>0</v>
      </c>
      <c r="Q124" s="15">
        <f>IF(ISNUMBER(Refsz_Verbräuche[[#This Row],[2027]]), Refsz_Verbräuche[[#This Row],[2027]]*Emissionsfaktoren[[#This Row],[2027]]/1000, 0)</f>
        <v>0</v>
      </c>
      <c r="R124" s="15">
        <f>IF(ISNUMBER(Refsz_Verbräuche[[#This Row],[2028]]), Refsz_Verbräuche[[#This Row],[2028]]*Emissionsfaktoren[[#This Row],[2028]]/1000, 0)</f>
        <v>0</v>
      </c>
      <c r="S124" s="15">
        <f>IF(ISNUMBER(Refsz_Verbräuche[[#This Row],[2029]]), Refsz_Verbräuche[[#This Row],[2029]]*Emissionsfaktoren[[#This Row],[2029]]/1000, 0)</f>
        <v>0</v>
      </c>
      <c r="T124" s="15">
        <f>IF(ISNUMBER(Refsz_Verbräuche[[#This Row],[2030]]), Refsz_Verbräuche[[#This Row],[2030]]*Emissionsfaktoren[[#This Row],[2030]]/1000, 0)</f>
        <v>0</v>
      </c>
      <c r="U124" s="15">
        <f>IF(ISNUMBER(Refsz_Verbräuche[[#This Row],[2035]]), Refsz_Verbräuche[[#This Row],[2035]]*Emissionsfaktoren[[#This Row],[2035]]/1000, 0)</f>
        <v>0</v>
      </c>
      <c r="V124" s="15">
        <f>IF(ISNUMBER(Refsz_Verbräuche[[#This Row],[2040]]), Refsz_Verbräuche[[#This Row],[2040]]*Emissionsfaktoren[[#This Row],[2040]]/1000, 0)</f>
        <v>0</v>
      </c>
      <c r="W124" s="15">
        <f>IF(ISNUMBER(Refsz_Verbräuche[[#This Row],[2045]]), Refsz_Verbräuche[[#This Row],[2045]]*Emissionsfaktoren[[#This Row],[2045]]/1000, 0)</f>
        <v>0</v>
      </c>
      <c r="X124" s="15">
        <f>IF(ISNUMBER(Refsz_Verbräuche[[#This Row],[2050]]), Refsz_Verbräuche[[#This Row],[2050]]*Emissionsfaktoren[[#This Row],[2050]]/1000, 0)</f>
        <v>0</v>
      </c>
    </row>
    <row r="125" spans="2:24" ht="16.5" hidden="1" x14ac:dyDescent="0.45">
      <c r="B125" s="15">
        <v>65</v>
      </c>
      <c r="C125" s="20" t="str">
        <f>Refsz_Verbräuche[[#This Row],[Datenpunkt]]</f>
        <v>Pendeln - Linienbus (Nahverkehr)</v>
      </c>
      <c r="D125" t="s">
        <v>208</v>
      </c>
      <c r="E125" s="15">
        <f>IF(ISNUMBER(Refsz_Verbräuche[[#This Row],[2015]]), Refsz_Verbräuche[[#This Row],[2015]]*Emissionsfaktoren[[#This Row],[2015]]/1000, 0)</f>
        <v>0</v>
      </c>
      <c r="F125" s="15">
        <f>IF(ISNUMBER(Refsz_Verbräuche[[#This Row],[2016]]), Refsz_Verbräuche[[#This Row],[2016]]*Emissionsfaktoren[[#This Row],[2016]]/1000, 0)</f>
        <v>0</v>
      </c>
      <c r="G125" s="15">
        <f>IF(ISNUMBER(Refsz_Verbräuche[[#This Row],[2017]]), Refsz_Verbräuche[[#This Row],[2017]]*Emissionsfaktoren[[#This Row],[2017]]/1000, 0)</f>
        <v>0</v>
      </c>
      <c r="H125" s="15">
        <f>IF(ISNUMBER(Refsz_Verbräuche[[#This Row],[2018]]), Refsz_Verbräuche[[#This Row],[2018]]*Emissionsfaktoren[[#This Row],[2018]]/1000, 0)</f>
        <v>0</v>
      </c>
      <c r="I125" s="15">
        <f>IF(ISNUMBER(Refsz_Verbräuche[[#This Row],[2019]]), Refsz_Verbräuche[[#This Row],[2019]]*Emissionsfaktoren[[#This Row],[2019]]/1000, 0)</f>
        <v>0</v>
      </c>
      <c r="J125" s="15">
        <f>IF(ISNUMBER(Refsz_Verbräuche[[#This Row],[2020]]), Refsz_Verbräuche[[#This Row],[2020]]*Emissionsfaktoren[[#This Row],[2020]]/1000, 0)</f>
        <v>0</v>
      </c>
      <c r="K125" s="15">
        <f>IF(ISNUMBER(Refsz_Verbräuche[[#This Row],[2021]]), Refsz_Verbräuche[[#This Row],[2021]]*Emissionsfaktoren[[#This Row],[2021]]/1000, 0)</f>
        <v>0</v>
      </c>
      <c r="L125" s="15">
        <f>IF(ISNUMBER(Refsz_Verbräuche[[#This Row],[2022]]), Refsz_Verbräuche[[#This Row],[2022]]*Emissionsfaktoren[[#This Row],[2022]]/1000, 0)</f>
        <v>0</v>
      </c>
      <c r="M125" s="15">
        <f>IF(ISNUMBER(Refsz_Verbräuche[[#This Row],[2023]]), Refsz_Verbräuche[[#This Row],[2023]]*Emissionsfaktoren[[#This Row],[2023]]/1000, 0)</f>
        <v>0</v>
      </c>
      <c r="N125" s="15">
        <f>IF(ISNUMBER(Refsz_Verbräuche[[#This Row],[2024]]), Refsz_Verbräuche[[#This Row],[2024]]*Emissionsfaktoren[[#This Row],[2024]]/1000, 0)</f>
        <v>0</v>
      </c>
      <c r="O125" s="15">
        <f>IF(ISNUMBER(Refsz_Verbräuche[[#This Row],[2025]]), Refsz_Verbräuche[[#This Row],[2025]]*Emissionsfaktoren[[#This Row],[2025]]/1000, 0)</f>
        <v>0</v>
      </c>
      <c r="P125" s="15">
        <f>IF(ISNUMBER(Refsz_Verbräuche[[#This Row],[2026]]), Refsz_Verbräuche[[#This Row],[2026]]*Emissionsfaktoren[[#This Row],[2026]]/1000, 0)</f>
        <v>0</v>
      </c>
      <c r="Q125" s="15">
        <f>IF(ISNUMBER(Refsz_Verbräuche[[#This Row],[2027]]), Refsz_Verbräuche[[#This Row],[2027]]*Emissionsfaktoren[[#This Row],[2027]]/1000, 0)</f>
        <v>0</v>
      </c>
      <c r="R125" s="15">
        <f>IF(ISNUMBER(Refsz_Verbräuche[[#This Row],[2028]]), Refsz_Verbräuche[[#This Row],[2028]]*Emissionsfaktoren[[#This Row],[2028]]/1000, 0)</f>
        <v>0</v>
      </c>
      <c r="S125" s="15">
        <f>IF(ISNUMBER(Refsz_Verbräuche[[#This Row],[2029]]), Refsz_Verbräuche[[#This Row],[2029]]*Emissionsfaktoren[[#This Row],[2029]]/1000, 0)</f>
        <v>0</v>
      </c>
      <c r="T125" s="15">
        <f>IF(ISNUMBER(Refsz_Verbräuche[[#This Row],[2030]]), Refsz_Verbräuche[[#This Row],[2030]]*Emissionsfaktoren[[#This Row],[2030]]/1000, 0)</f>
        <v>0</v>
      </c>
      <c r="U125" s="15">
        <f>IF(ISNUMBER(Refsz_Verbräuche[[#This Row],[2035]]), Refsz_Verbräuche[[#This Row],[2035]]*Emissionsfaktoren[[#This Row],[2035]]/1000, 0)</f>
        <v>0</v>
      </c>
      <c r="V125" s="15">
        <f>IF(ISNUMBER(Refsz_Verbräuche[[#This Row],[2040]]), Refsz_Verbräuche[[#This Row],[2040]]*Emissionsfaktoren[[#This Row],[2040]]/1000, 0)</f>
        <v>0</v>
      </c>
      <c r="W125" s="15">
        <f>IF(ISNUMBER(Refsz_Verbräuche[[#This Row],[2045]]), Refsz_Verbräuche[[#This Row],[2045]]*Emissionsfaktoren[[#This Row],[2045]]/1000, 0)</f>
        <v>0</v>
      </c>
      <c r="X125" s="15">
        <f>IF(ISNUMBER(Refsz_Verbräuche[[#This Row],[2050]]), Refsz_Verbräuche[[#This Row],[2050]]*Emissionsfaktoren[[#This Row],[2050]]/1000, 0)</f>
        <v>0</v>
      </c>
    </row>
    <row r="126" spans="2:24" ht="16.5" hidden="1" x14ac:dyDescent="0.45">
      <c r="B126" s="15">
        <v>66</v>
      </c>
      <c r="C126" s="20" t="str">
        <f>Refsz_Verbräuche[[#This Row],[Datenpunkt]]</f>
        <v>Pendeln - PKW (alle Antriebsarten)</v>
      </c>
      <c r="D126" t="s">
        <v>208</v>
      </c>
      <c r="E126" s="15">
        <f>IF(ISNUMBER(Refsz_Verbräuche[[#This Row],[2015]]), Refsz_Verbräuche[[#This Row],[2015]]*Emissionsfaktoren[[#This Row],[2015]]/1000, 0)</f>
        <v>0</v>
      </c>
      <c r="F126" s="15">
        <f>IF(ISNUMBER(Refsz_Verbräuche[[#This Row],[2016]]), Refsz_Verbräuche[[#This Row],[2016]]*Emissionsfaktoren[[#This Row],[2016]]/1000, 0)</f>
        <v>0</v>
      </c>
      <c r="G126" s="15">
        <f>IF(ISNUMBER(Refsz_Verbräuche[[#This Row],[2017]]), Refsz_Verbräuche[[#This Row],[2017]]*Emissionsfaktoren[[#This Row],[2017]]/1000, 0)</f>
        <v>0</v>
      </c>
      <c r="H126" s="15">
        <f>IF(ISNUMBER(Refsz_Verbräuche[[#This Row],[2018]]), Refsz_Verbräuche[[#This Row],[2018]]*Emissionsfaktoren[[#This Row],[2018]]/1000, 0)</f>
        <v>0</v>
      </c>
      <c r="I126" s="15">
        <f>IF(ISNUMBER(Refsz_Verbräuche[[#This Row],[2019]]), Refsz_Verbräuche[[#This Row],[2019]]*Emissionsfaktoren[[#This Row],[2019]]/1000, 0)</f>
        <v>0</v>
      </c>
      <c r="J126" s="15">
        <f>IF(ISNUMBER(Refsz_Verbräuche[[#This Row],[2020]]), Refsz_Verbräuche[[#This Row],[2020]]*Emissionsfaktoren[[#This Row],[2020]]/1000, 0)</f>
        <v>0</v>
      </c>
      <c r="K126" s="15">
        <f>IF(ISNUMBER(Refsz_Verbräuche[[#This Row],[2021]]), Refsz_Verbräuche[[#This Row],[2021]]*Emissionsfaktoren[[#This Row],[2021]]/1000, 0)</f>
        <v>0</v>
      </c>
      <c r="L126" s="15">
        <f>IF(ISNUMBER(Refsz_Verbräuche[[#This Row],[2022]]), Refsz_Verbräuche[[#This Row],[2022]]*Emissionsfaktoren[[#This Row],[2022]]/1000, 0)</f>
        <v>0</v>
      </c>
      <c r="M126" s="15">
        <f>IF(ISNUMBER(Refsz_Verbräuche[[#This Row],[2023]]), Refsz_Verbräuche[[#This Row],[2023]]*Emissionsfaktoren[[#This Row],[2023]]/1000, 0)</f>
        <v>0</v>
      </c>
      <c r="N126" s="15">
        <f>IF(ISNUMBER(Refsz_Verbräuche[[#This Row],[2024]]), Refsz_Verbräuche[[#This Row],[2024]]*Emissionsfaktoren[[#This Row],[2024]]/1000, 0)</f>
        <v>0</v>
      </c>
      <c r="O126" s="15">
        <f>IF(ISNUMBER(Refsz_Verbräuche[[#This Row],[2025]]), Refsz_Verbräuche[[#This Row],[2025]]*Emissionsfaktoren[[#This Row],[2025]]/1000, 0)</f>
        <v>0</v>
      </c>
      <c r="P126" s="15">
        <f>IF(ISNUMBER(Refsz_Verbräuche[[#This Row],[2026]]), Refsz_Verbräuche[[#This Row],[2026]]*Emissionsfaktoren[[#This Row],[2026]]/1000, 0)</f>
        <v>0</v>
      </c>
      <c r="Q126" s="15">
        <f>IF(ISNUMBER(Refsz_Verbräuche[[#This Row],[2027]]), Refsz_Verbräuche[[#This Row],[2027]]*Emissionsfaktoren[[#This Row],[2027]]/1000, 0)</f>
        <v>0</v>
      </c>
      <c r="R126" s="15">
        <f>IF(ISNUMBER(Refsz_Verbräuche[[#This Row],[2028]]), Refsz_Verbräuche[[#This Row],[2028]]*Emissionsfaktoren[[#This Row],[2028]]/1000, 0)</f>
        <v>0</v>
      </c>
      <c r="S126" s="15">
        <f>IF(ISNUMBER(Refsz_Verbräuche[[#This Row],[2029]]), Refsz_Verbräuche[[#This Row],[2029]]*Emissionsfaktoren[[#This Row],[2029]]/1000, 0)</f>
        <v>0</v>
      </c>
      <c r="T126" s="15">
        <f>IF(ISNUMBER(Refsz_Verbräuche[[#This Row],[2030]]), Refsz_Verbräuche[[#This Row],[2030]]*Emissionsfaktoren[[#This Row],[2030]]/1000, 0)</f>
        <v>0</v>
      </c>
      <c r="U126" s="15">
        <f>IF(ISNUMBER(Refsz_Verbräuche[[#This Row],[2035]]), Refsz_Verbräuche[[#This Row],[2035]]*Emissionsfaktoren[[#This Row],[2035]]/1000, 0)</f>
        <v>0</v>
      </c>
      <c r="V126" s="15">
        <f>IF(ISNUMBER(Refsz_Verbräuche[[#This Row],[2040]]), Refsz_Verbräuche[[#This Row],[2040]]*Emissionsfaktoren[[#This Row],[2040]]/1000, 0)</f>
        <v>0</v>
      </c>
      <c r="W126" s="15">
        <f>IF(ISNUMBER(Refsz_Verbräuche[[#This Row],[2045]]), Refsz_Verbräuche[[#This Row],[2045]]*Emissionsfaktoren[[#This Row],[2045]]/1000, 0)</f>
        <v>0</v>
      </c>
      <c r="X126" s="15">
        <f>IF(ISNUMBER(Refsz_Verbräuche[[#This Row],[2050]]), Refsz_Verbräuche[[#This Row],[2050]]*Emissionsfaktoren[[#This Row],[2050]]/1000, 0)</f>
        <v>0</v>
      </c>
    </row>
    <row r="127" spans="2:24" ht="16.5" hidden="1" x14ac:dyDescent="0.45">
      <c r="B127" s="15">
        <v>67</v>
      </c>
      <c r="C127" s="20" t="str">
        <f>Refsz_Verbräuche[[#This Row],[Datenpunkt]]</f>
        <v>Pendeln - PKW (Diesel)</v>
      </c>
      <c r="D127" t="s">
        <v>208</v>
      </c>
      <c r="E127" s="15">
        <f>IF(ISNUMBER(Refsz_Verbräuche[[#This Row],[2015]]), Refsz_Verbräuche[[#This Row],[2015]]*Emissionsfaktoren[[#This Row],[2015]]/1000, 0)</f>
        <v>0</v>
      </c>
      <c r="F127" s="15">
        <f>IF(ISNUMBER(Refsz_Verbräuche[[#This Row],[2016]]), Refsz_Verbräuche[[#This Row],[2016]]*Emissionsfaktoren[[#This Row],[2016]]/1000, 0)</f>
        <v>0</v>
      </c>
      <c r="G127" s="15">
        <f>IF(ISNUMBER(Refsz_Verbräuche[[#This Row],[2017]]), Refsz_Verbräuche[[#This Row],[2017]]*Emissionsfaktoren[[#This Row],[2017]]/1000, 0)</f>
        <v>0</v>
      </c>
      <c r="H127" s="15">
        <f>IF(ISNUMBER(Refsz_Verbräuche[[#This Row],[2018]]), Refsz_Verbräuche[[#This Row],[2018]]*Emissionsfaktoren[[#This Row],[2018]]/1000, 0)</f>
        <v>0</v>
      </c>
      <c r="I127" s="15">
        <f>IF(ISNUMBER(Refsz_Verbräuche[[#This Row],[2019]]), Refsz_Verbräuche[[#This Row],[2019]]*Emissionsfaktoren[[#This Row],[2019]]/1000, 0)</f>
        <v>0</v>
      </c>
      <c r="J127" s="15">
        <f>IF(ISNUMBER(Refsz_Verbräuche[[#This Row],[2020]]), Refsz_Verbräuche[[#This Row],[2020]]*Emissionsfaktoren[[#This Row],[2020]]/1000, 0)</f>
        <v>0</v>
      </c>
      <c r="K127" s="15">
        <f>IF(ISNUMBER(Refsz_Verbräuche[[#This Row],[2021]]), Refsz_Verbräuche[[#This Row],[2021]]*Emissionsfaktoren[[#This Row],[2021]]/1000, 0)</f>
        <v>0</v>
      </c>
      <c r="L127" s="15">
        <f>IF(ISNUMBER(Refsz_Verbräuche[[#This Row],[2022]]), Refsz_Verbräuche[[#This Row],[2022]]*Emissionsfaktoren[[#This Row],[2022]]/1000, 0)</f>
        <v>0</v>
      </c>
      <c r="M127" s="15">
        <f>IF(ISNUMBER(Refsz_Verbräuche[[#This Row],[2023]]), Refsz_Verbräuche[[#This Row],[2023]]*Emissionsfaktoren[[#This Row],[2023]]/1000, 0)</f>
        <v>0</v>
      </c>
      <c r="N127" s="15">
        <f>IF(ISNUMBER(Refsz_Verbräuche[[#This Row],[2024]]), Refsz_Verbräuche[[#This Row],[2024]]*Emissionsfaktoren[[#This Row],[2024]]/1000, 0)</f>
        <v>0</v>
      </c>
      <c r="O127" s="15">
        <f>IF(ISNUMBER(Refsz_Verbräuche[[#This Row],[2025]]), Refsz_Verbräuche[[#This Row],[2025]]*Emissionsfaktoren[[#This Row],[2025]]/1000, 0)</f>
        <v>0</v>
      </c>
      <c r="P127" s="15">
        <f>IF(ISNUMBER(Refsz_Verbräuche[[#This Row],[2026]]), Refsz_Verbräuche[[#This Row],[2026]]*Emissionsfaktoren[[#This Row],[2026]]/1000, 0)</f>
        <v>0</v>
      </c>
      <c r="Q127" s="15">
        <f>IF(ISNUMBER(Refsz_Verbräuche[[#This Row],[2027]]), Refsz_Verbräuche[[#This Row],[2027]]*Emissionsfaktoren[[#This Row],[2027]]/1000, 0)</f>
        <v>0</v>
      </c>
      <c r="R127" s="15">
        <f>IF(ISNUMBER(Refsz_Verbräuche[[#This Row],[2028]]), Refsz_Verbräuche[[#This Row],[2028]]*Emissionsfaktoren[[#This Row],[2028]]/1000, 0)</f>
        <v>0</v>
      </c>
      <c r="S127" s="15">
        <f>IF(ISNUMBER(Refsz_Verbräuche[[#This Row],[2029]]), Refsz_Verbräuche[[#This Row],[2029]]*Emissionsfaktoren[[#This Row],[2029]]/1000, 0)</f>
        <v>0</v>
      </c>
      <c r="T127" s="15">
        <f>IF(ISNUMBER(Refsz_Verbräuche[[#This Row],[2030]]), Refsz_Verbräuche[[#This Row],[2030]]*Emissionsfaktoren[[#This Row],[2030]]/1000, 0)</f>
        <v>0</v>
      </c>
      <c r="U127" s="15">
        <f>IF(ISNUMBER(Refsz_Verbräuche[[#This Row],[2035]]), Refsz_Verbräuche[[#This Row],[2035]]*Emissionsfaktoren[[#This Row],[2035]]/1000, 0)</f>
        <v>0</v>
      </c>
      <c r="V127" s="15">
        <f>IF(ISNUMBER(Refsz_Verbräuche[[#This Row],[2040]]), Refsz_Verbräuche[[#This Row],[2040]]*Emissionsfaktoren[[#This Row],[2040]]/1000, 0)</f>
        <v>0</v>
      </c>
      <c r="W127" s="15">
        <f>IF(ISNUMBER(Refsz_Verbräuche[[#This Row],[2045]]), Refsz_Verbräuche[[#This Row],[2045]]*Emissionsfaktoren[[#This Row],[2045]]/1000, 0)</f>
        <v>0</v>
      </c>
      <c r="X127" s="15">
        <f>IF(ISNUMBER(Refsz_Verbräuche[[#This Row],[2050]]), Refsz_Verbräuche[[#This Row],[2050]]*Emissionsfaktoren[[#This Row],[2050]]/1000, 0)</f>
        <v>0</v>
      </c>
    </row>
    <row r="128" spans="2:24" ht="16.5" hidden="1" x14ac:dyDescent="0.45">
      <c r="B128" s="15">
        <v>68</v>
      </c>
      <c r="C128" s="20" t="str">
        <f>Refsz_Verbräuche[[#This Row],[Datenpunkt]]</f>
        <v>Pendeln - PKW (Benzin)</v>
      </c>
      <c r="D128" t="s">
        <v>208</v>
      </c>
      <c r="E128" s="15">
        <f>IF(ISNUMBER(Refsz_Verbräuche[[#This Row],[2015]]), Refsz_Verbräuche[[#This Row],[2015]]*Emissionsfaktoren[[#This Row],[2015]]/1000, 0)</f>
        <v>0</v>
      </c>
      <c r="F128" s="15">
        <f>IF(ISNUMBER(Refsz_Verbräuche[[#This Row],[2016]]), Refsz_Verbräuche[[#This Row],[2016]]*Emissionsfaktoren[[#This Row],[2016]]/1000, 0)</f>
        <v>0</v>
      </c>
      <c r="G128" s="15">
        <f>IF(ISNUMBER(Refsz_Verbräuche[[#This Row],[2017]]), Refsz_Verbräuche[[#This Row],[2017]]*Emissionsfaktoren[[#This Row],[2017]]/1000, 0)</f>
        <v>0</v>
      </c>
      <c r="H128" s="15">
        <f>IF(ISNUMBER(Refsz_Verbräuche[[#This Row],[2018]]), Refsz_Verbräuche[[#This Row],[2018]]*Emissionsfaktoren[[#This Row],[2018]]/1000, 0)</f>
        <v>0</v>
      </c>
      <c r="I128" s="15">
        <f>IF(ISNUMBER(Refsz_Verbräuche[[#This Row],[2019]]), Refsz_Verbräuche[[#This Row],[2019]]*Emissionsfaktoren[[#This Row],[2019]]/1000, 0)</f>
        <v>0</v>
      </c>
      <c r="J128" s="15">
        <f>IF(ISNUMBER(Refsz_Verbräuche[[#This Row],[2020]]), Refsz_Verbräuche[[#This Row],[2020]]*Emissionsfaktoren[[#This Row],[2020]]/1000, 0)</f>
        <v>0</v>
      </c>
      <c r="K128" s="15">
        <f>IF(ISNUMBER(Refsz_Verbräuche[[#This Row],[2021]]), Refsz_Verbräuche[[#This Row],[2021]]*Emissionsfaktoren[[#This Row],[2021]]/1000, 0)</f>
        <v>0</v>
      </c>
      <c r="L128" s="15">
        <f>IF(ISNUMBER(Refsz_Verbräuche[[#This Row],[2022]]), Refsz_Verbräuche[[#This Row],[2022]]*Emissionsfaktoren[[#This Row],[2022]]/1000, 0)</f>
        <v>0</v>
      </c>
      <c r="M128" s="15">
        <f>IF(ISNUMBER(Refsz_Verbräuche[[#This Row],[2023]]), Refsz_Verbräuche[[#This Row],[2023]]*Emissionsfaktoren[[#This Row],[2023]]/1000, 0)</f>
        <v>0</v>
      </c>
      <c r="N128" s="15">
        <f>IF(ISNUMBER(Refsz_Verbräuche[[#This Row],[2024]]), Refsz_Verbräuche[[#This Row],[2024]]*Emissionsfaktoren[[#This Row],[2024]]/1000, 0)</f>
        <v>0</v>
      </c>
      <c r="O128" s="15">
        <f>IF(ISNUMBER(Refsz_Verbräuche[[#This Row],[2025]]), Refsz_Verbräuche[[#This Row],[2025]]*Emissionsfaktoren[[#This Row],[2025]]/1000, 0)</f>
        <v>0</v>
      </c>
      <c r="P128" s="15">
        <f>IF(ISNUMBER(Refsz_Verbräuche[[#This Row],[2026]]), Refsz_Verbräuche[[#This Row],[2026]]*Emissionsfaktoren[[#This Row],[2026]]/1000, 0)</f>
        <v>0</v>
      </c>
      <c r="Q128" s="15">
        <f>IF(ISNUMBER(Refsz_Verbräuche[[#This Row],[2027]]), Refsz_Verbräuche[[#This Row],[2027]]*Emissionsfaktoren[[#This Row],[2027]]/1000, 0)</f>
        <v>0</v>
      </c>
      <c r="R128" s="15">
        <f>IF(ISNUMBER(Refsz_Verbräuche[[#This Row],[2028]]), Refsz_Verbräuche[[#This Row],[2028]]*Emissionsfaktoren[[#This Row],[2028]]/1000, 0)</f>
        <v>0</v>
      </c>
      <c r="S128" s="15">
        <f>IF(ISNUMBER(Refsz_Verbräuche[[#This Row],[2029]]), Refsz_Verbräuche[[#This Row],[2029]]*Emissionsfaktoren[[#This Row],[2029]]/1000, 0)</f>
        <v>0</v>
      </c>
      <c r="T128" s="15">
        <f>IF(ISNUMBER(Refsz_Verbräuche[[#This Row],[2030]]), Refsz_Verbräuche[[#This Row],[2030]]*Emissionsfaktoren[[#This Row],[2030]]/1000, 0)</f>
        <v>0</v>
      </c>
      <c r="U128" s="15">
        <f>IF(ISNUMBER(Refsz_Verbräuche[[#This Row],[2035]]), Refsz_Verbräuche[[#This Row],[2035]]*Emissionsfaktoren[[#This Row],[2035]]/1000, 0)</f>
        <v>0</v>
      </c>
      <c r="V128" s="15">
        <f>IF(ISNUMBER(Refsz_Verbräuche[[#This Row],[2040]]), Refsz_Verbräuche[[#This Row],[2040]]*Emissionsfaktoren[[#This Row],[2040]]/1000, 0)</f>
        <v>0</v>
      </c>
      <c r="W128" s="15">
        <f>IF(ISNUMBER(Refsz_Verbräuche[[#This Row],[2045]]), Refsz_Verbräuche[[#This Row],[2045]]*Emissionsfaktoren[[#This Row],[2045]]/1000, 0)</f>
        <v>0</v>
      </c>
      <c r="X128" s="15">
        <f>IF(ISNUMBER(Refsz_Verbräuche[[#This Row],[2050]]), Refsz_Verbräuche[[#This Row],[2050]]*Emissionsfaktoren[[#This Row],[2050]]/1000, 0)</f>
        <v>0</v>
      </c>
    </row>
    <row r="129" spans="2:24" ht="16.5" hidden="1" x14ac:dyDescent="0.45">
      <c r="B129" s="15">
        <v>69</v>
      </c>
      <c r="C129" s="20" t="str">
        <f>Refsz_Verbräuche[[#This Row],[Datenpunkt]]</f>
        <v>Pendeln - PKW (E-Auto/ BEV)</v>
      </c>
      <c r="D129" t="s">
        <v>208</v>
      </c>
      <c r="E129" s="15">
        <f>IF(ISNUMBER(Refsz_Verbräuche[[#This Row],[2015]]), Refsz_Verbräuche[[#This Row],[2015]]*Emissionsfaktoren[[#This Row],[2015]]/1000, 0)</f>
        <v>0</v>
      </c>
      <c r="F129" s="15">
        <f>IF(ISNUMBER(Refsz_Verbräuche[[#This Row],[2016]]), Refsz_Verbräuche[[#This Row],[2016]]*Emissionsfaktoren[[#This Row],[2016]]/1000, 0)</f>
        <v>0</v>
      </c>
      <c r="G129" s="15">
        <f>IF(ISNUMBER(Refsz_Verbräuche[[#This Row],[2017]]), Refsz_Verbräuche[[#This Row],[2017]]*Emissionsfaktoren[[#This Row],[2017]]/1000, 0)</f>
        <v>0</v>
      </c>
      <c r="H129" s="15">
        <f>IF(ISNUMBER(Refsz_Verbräuche[[#This Row],[2018]]), Refsz_Verbräuche[[#This Row],[2018]]*Emissionsfaktoren[[#This Row],[2018]]/1000, 0)</f>
        <v>0</v>
      </c>
      <c r="I129" s="15">
        <f>IF(ISNUMBER(Refsz_Verbräuche[[#This Row],[2019]]), Refsz_Verbräuche[[#This Row],[2019]]*Emissionsfaktoren[[#This Row],[2019]]/1000, 0)</f>
        <v>0</v>
      </c>
      <c r="J129" s="15">
        <f>IF(ISNUMBER(Refsz_Verbräuche[[#This Row],[2020]]), Refsz_Verbräuche[[#This Row],[2020]]*Emissionsfaktoren[[#This Row],[2020]]/1000, 0)</f>
        <v>0</v>
      </c>
      <c r="K129" s="15">
        <f>IF(ISNUMBER(Refsz_Verbräuche[[#This Row],[2021]]), Refsz_Verbräuche[[#This Row],[2021]]*Emissionsfaktoren[[#This Row],[2021]]/1000, 0)</f>
        <v>0</v>
      </c>
      <c r="L129" s="15">
        <f>IF(ISNUMBER(Refsz_Verbräuche[[#This Row],[2022]]), Refsz_Verbräuche[[#This Row],[2022]]*Emissionsfaktoren[[#This Row],[2022]]/1000, 0)</f>
        <v>0</v>
      </c>
      <c r="M129" s="15">
        <f>IF(ISNUMBER(Refsz_Verbräuche[[#This Row],[2023]]), Refsz_Verbräuche[[#This Row],[2023]]*Emissionsfaktoren[[#This Row],[2023]]/1000, 0)</f>
        <v>0</v>
      </c>
      <c r="N129" s="15">
        <f>IF(ISNUMBER(Refsz_Verbräuche[[#This Row],[2024]]), Refsz_Verbräuche[[#This Row],[2024]]*Emissionsfaktoren[[#This Row],[2024]]/1000, 0)</f>
        <v>0</v>
      </c>
      <c r="O129" s="15">
        <f>IF(ISNUMBER(Refsz_Verbräuche[[#This Row],[2025]]), Refsz_Verbräuche[[#This Row],[2025]]*Emissionsfaktoren[[#This Row],[2025]]/1000, 0)</f>
        <v>0</v>
      </c>
      <c r="P129" s="15">
        <f>IF(ISNUMBER(Refsz_Verbräuche[[#This Row],[2026]]), Refsz_Verbräuche[[#This Row],[2026]]*Emissionsfaktoren[[#This Row],[2026]]/1000, 0)</f>
        <v>0</v>
      </c>
      <c r="Q129" s="15">
        <f>IF(ISNUMBER(Refsz_Verbräuche[[#This Row],[2027]]), Refsz_Verbräuche[[#This Row],[2027]]*Emissionsfaktoren[[#This Row],[2027]]/1000, 0)</f>
        <v>0</v>
      </c>
      <c r="R129" s="15">
        <f>IF(ISNUMBER(Refsz_Verbräuche[[#This Row],[2028]]), Refsz_Verbräuche[[#This Row],[2028]]*Emissionsfaktoren[[#This Row],[2028]]/1000, 0)</f>
        <v>0</v>
      </c>
      <c r="S129" s="15">
        <f>IF(ISNUMBER(Refsz_Verbräuche[[#This Row],[2029]]), Refsz_Verbräuche[[#This Row],[2029]]*Emissionsfaktoren[[#This Row],[2029]]/1000, 0)</f>
        <v>0</v>
      </c>
      <c r="T129" s="15">
        <f>IF(ISNUMBER(Refsz_Verbräuche[[#This Row],[2030]]), Refsz_Verbräuche[[#This Row],[2030]]*Emissionsfaktoren[[#This Row],[2030]]/1000, 0)</f>
        <v>0</v>
      </c>
      <c r="U129" s="15">
        <f>IF(ISNUMBER(Refsz_Verbräuche[[#This Row],[2035]]), Refsz_Verbräuche[[#This Row],[2035]]*Emissionsfaktoren[[#This Row],[2035]]/1000, 0)</f>
        <v>0</v>
      </c>
      <c r="V129" s="15">
        <f>IF(ISNUMBER(Refsz_Verbräuche[[#This Row],[2040]]), Refsz_Verbräuche[[#This Row],[2040]]*Emissionsfaktoren[[#This Row],[2040]]/1000, 0)</f>
        <v>0</v>
      </c>
      <c r="W129" s="15">
        <f>IF(ISNUMBER(Refsz_Verbräuche[[#This Row],[2045]]), Refsz_Verbräuche[[#This Row],[2045]]*Emissionsfaktoren[[#This Row],[2045]]/1000, 0)</f>
        <v>0</v>
      </c>
      <c r="X129" s="15">
        <f>IF(ISNUMBER(Refsz_Verbräuche[[#This Row],[2050]]), Refsz_Verbräuche[[#This Row],[2050]]*Emissionsfaktoren[[#This Row],[2050]]/1000, 0)</f>
        <v>0</v>
      </c>
    </row>
    <row r="130" spans="2:24" ht="16.5" hidden="1" x14ac:dyDescent="0.45">
      <c r="B130" s="15">
        <v>70</v>
      </c>
      <c r="C130" s="20" t="str">
        <f>Refsz_Verbräuche[[#This Row],[Datenpunkt]]</f>
        <v>Pendeln - PKW (Wasserstoff/ FCEV)</v>
      </c>
      <c r="D130" t="s">
        <v>208</v>
      </c>
      <c r="E130" s="15">
        <f>IF(ISNUMBER(Refsz_Verbräuche[[#This Row],[2015]]), Refsz_Verbräuche[[#This Row],[2015]]*Emissionsfaktoren[[#This Row],[2015]]/1000, 0)</f>
        <v>0</v>
      </c>
      <c r="F130" s="15">
        <f>IF(ISNUMBER(Refsz_Verbräuche[[#This Row],[2016]]), Refsz_Verbräuche[[#This Row],[2016]]*Emissionsfaktoren[[#This Row],[2016]]/1000, 0)</f>
        <v>0</v>
      </c>
      <c r="G130" s="15">
        <f>IF(ISNUMBER(Refsz_Verbräuche[[#This Row],[2017]]), Refsz_Verbräuche[[#This Row],[2017]]*Emissionsfaktoren[[#This Row],[2017]]/1000, 0)</f>
        <v>0</v>
      </c>
      <c r="H130" s="15">
        <f>IF(ISNUMBER(Refsz_Verbräuche[[#This Row],[2018]]), Refsz_Verbräuche[[#This Row],[2018]]*Emissionsfaktoren[[#This Row],[2018]]/1000, 0)</f>
        <v>0</v>
      </c>
      <c r="I130" s="15">
        <f>IF(ISNUMBER(Refsz_Verbräuche[[#This Row],[2019]]), Refsz_Verbräuche[[#This Row],[2019]]*Emissionsfaktoren[[#This Row],[2019]]/1000, 0)</f>
        <v>0</v>
      </c>
      <c r="J130" s="15">
        <f>IF(ISNUMBER(Refsz_Verbräuche[[#This Row],[2020]]), Refsz_Verbräuche[[#This Row],[2020]]*Emissionsfaktoren[[#This Row],[2020]]/1000, 0)</f>
        <v>0</v>
      </c>
      <c r="K130" s="15">
        <f>IF(ISNUMBER(Refsz_Verbräuche[[#This Row],[2021]]), Refsz_Verbräuche[[#This Row],[2021]]*Emissionsfaktoren[[#This Row],[2021]]/1000, 0)</f>
        <v>0</v>
      </c>
      <c r="L130" s="15">
        <f>IF(ISNUMBER(Refsz_Verbräuche[[#This Row],[2022]]), Refsz_Verbräuche[[#This Row],[2022]]*Emissionsfaktoren[[#This Row],[2022]]/1000, 0)</f>
        <v>0</v>
      </c>
      <c r="M130" s="15">
        <f>IF(ISNUMBER(Refsz_Verbräuche[[#This Row],[2023]]), Refsz_Verbräuche[[#This Row],[2023]]*Emissionsfaktoren[[#This Row],[2023]]/1000, 0)</f>
        <v>0</v>
      </c>
      <c r="N130" s="15">
        <f>IF(ISNUMBER(Refsz_Verbräuche[[#This Row],[2024]]), Refsz_Verbräuche[[#This Row],[2024]]*Emissionsfaktoren[[#This Row],[2024]]/1000, 0)</f>
        <v>0</v>
      </c>
      <c r="O130" s="15">
        <f>IF(ISNUMBER(Refsz_Verbräuche[[#This Row],[2025]]), Refsz_Verbräuche[[#This Row],[2025]]*Emissionsfaktoren[[#This Row],[2025]]/1000, 0)</f>
        <v>0</v>
      </c>
      <c r="P130" s="15">
        <f>IF(ISNUMBER(Refsz_Verbräuche[[#This Row],[2026]]), Refsz_Verbräuche[[#This Row],[2026]]*Emissionsfaktoren[[#This Row],[2026]]/1000, 0)</f>
        <v>0</v>
      </c>
      <c r="Q130" s="15">
        <f>IF(ISNUMBER(Refsz_Verbräuche[[#This Row],[2027]]), Refsz_Verbräuche[[#This Row],[2027]]*Emissionsfaktoren[[#This Row],[2027]]/1000, 0)</f>
        <v>0</v>
      </c>
      <c r="R130" s="15">
        <f>IF(ISNUMBER(Refsz_Verbräuche[[#This Row],[2028]]), Refsz_Verbräuche[[#This Row],[2028]]*Emissionsfaktoren[[#This Row],[2028]]/1000, 0)</f>
        <v>0</v>
      </c>
      <c r="S130" s="15">
        <f>IF(ISNUMBER(Refsz_Verbräuche[[#This Row],[2029]]), Refsz_Verbräuche[[#This Row],[2029]]*Emissionsfaktoren[[#This Row],[2029]]/1000, 0)</f>
        <v>0</v>
      </c>
      <c r="T130" s="15">
        <f>IF(ISNUMBER(Refsz_Verbräuche[[#This Row],[2030]]), Refsz_Verbräuche[[#This Row],[2030]]*Emissionsfaktoren[[#This Row],[2030]]/1000, 0)</f>
        <v>0</v>
      </c>
      <c r="U130" s="15">
        <f>IF(ISNUMBER(Refsz_Verbräuche[[#This Row],[2035]]), Refsz_Verbräuche[[#This Row],[2035]]*Emissionsfaktoren[[#This Row],[2035]]/1000, 0)</f>
        <v>0</v>
      </c>
      <c r="V130" s="15">
        <f>IF(ISNUMBER(Refsz_Verbräuche[[#This Row],[2040]]), Refsz_Verbräuche[[#This Row],[2040]]*Emissionsfaktoren[[#This Row],[2040]]/1000, 0)</f>
        <v>0</v>
      </c>
      <c r="W130" s="15">
        <f>IF(ISNUMBER(Refsz_Verbräuche[[#This Row],[2045]]), Refsz_Verbräuche[[#This Row],[2045]]*Emissionsfaktoren[[#This Row],[2045]]/1000, 0)</f>
        <v>0</v>
      </c>
      <c r="X130" s="15">
        <f>IF(ISNUMBER(Refsz_Verbräuche[[#This Row],[2050]]), Refsz_Verbräuche[[#This Row],[2050]]*Emissionsfaktoren[[#This Row],[2050]]/1000, 0)</f>
        <v>0</v>
      </c>
    </row>
    <row r="131" spans="2:24" ht="16.5" hidden="1" x14ac:dyDescent="0.45">
      <c r="B131" s="15">
        <v>71</v>
      </c>
      <c r="C131" s="20" t="str">
        <f>Refsz_Verbräuche[[#This Row],[Datenpunkt]]</f>
        <v>Pendeln - PKW (CNG)</v>
      </c>
      <c r="D131" t="s">
        <v>208</v>
      </c>
      <c r="E131" s="15">
        <f>IF(ISNUMBER(Refsz_Verbräuche[[#This Row],[2015]]), Refsz_Verbräuche[[#This Row],[2015]]*Emissionsfaktoren[[#This Row],[2015]]/1000, 0)</f>
        <v>0</v>
      </c>
      <c r="F131" s="15">
        <f>IF(ISNUMBER(Refsz_Verbräuche[[#This Row],[2016]]), Refsz_Verbräuche[[#This Row],[2016]]*Emissionsfaktoren[[#This Row],[2016]]/1000, 0)</f>
        <v>0</v>
      </c>
      <c r="G131" s="15">
        <f>IF(ISNUMBER(Refsz_Verbräuche[[#This Row],[2017]]), Refsz_Verbräuche[[#This Row],[2017]]*Emissionsfaktoren[[#This Row],[2017]]/1000, 0)</f>
        <v>0</v>
      </c>
      <c r="H131" s="15">
        <f>IF(ISNUMBER(Refsz_Verbräuche[[#This Row],[2018]]), Refsz_Verbräuche[[#This Row],[2018]]*Emissionsfaktoren[[#This Row],[2018]]/1000, 0)</f>
        <v>0</v>
      </c>
      <c r="I131" s="15">
        <f>IF(ISNUMBER(Refsz_Verbräuche[[#This Row],[2019]]), Refsz_Verbräuche[[#This Row],[2019]]*Emissionsfaktoren[[#This Row],[2019]]/1000, 0)</f>
        <v>0</v>
      </c>
      <c r="J131" s="15">
        <f>IF(ISNUMBER(Refsz_Verbräuche[[#This Row],[2020]]), Refsz_Verbräuche[[#This Row],[2020]]*Emissionsfaktoren[[#This Row],[2020]]/1000, 0)</f>
        <v>0</v>
      </c>
      <c r="K131" s="15">
        <f>IF(ISNUMBER(Refsz_Verbräuche[[#This Row],[2021]]), Refsz_Verbräuche[[#This Row],[2021]]*Emissionsfaktoren[[#This Row],[2021]]/1000, 0)</f>
        <v>0</v>
      </c>
      <c r="L131" s="15">
        <f>IF(ISNUMBER(Refsz_Verbräuche[[#This Row],[2022]]), Refsz_Verbräuche[[#This Row],[2022]]*Emissionsfaktoren[[#This Row],[2022]]/1000, 0)</f>
        <v>0</v>
      </c>
      <c r="M131" s="15">
        <f>IF(ISNUMBER(Refsz_Verbräuche[[#This Row],[2023]]), Refsz_Verbräuche[[#This Row],[2023]]*Emissionsfaktoren[[#This Row],[2023]]/1000, 0)</f>
        <v>0</v>
      </c>
      <c r="N131" s="15">
        <f>IF(ISNUMBER(Refsz_Verbräuche[[#This Row],[2024]]), Refsz_Verbräuche[[#This Row],[2024]]*Emissionsfaktoren[[#This Row],[2024]]/1000, 0)</f>
        <v>0</v>
      </c>
      <c r="O131" s="15">
        <f>IF(ISNUMBER(Refsz_Verbräuche[[#This Row],[2025]]), Refsz_Verbräuche[[#This Row],[2025]]*Emissionsfaktoren[[#This Row],[2025]]/1000, 0)</f>
        <v>0</v>
      </c>
      <c r="P131" s="15">
        <f>IF(ISNUMBER(Refsz_Verbräuche[[#This Row],[2026]]), Refsz_Verbräuche[[#This Row],[2026]]*Emissionsfaktoren[[#This Row],[2026]]/1000, 0)</f>
        <v>0</v>
      </c>
      <c r="Q131" s="15">
        <f>IF(ISNUMBER(Refsz_Verbräuche[[#This Row],[2027]]), Refsz_Verbräuche[[#This Row],[2027]]*Emissionsfaktoren[[#This Row],[2027]]/1000, 0)</f>
        <v>0</v>
      </c>
      <c r="R131" s="15">
        <f>IF(ISNUMBER(Refsz_Verbräuche[[#This Row],[2028]]), Refsz_Verbräuche[[#This Row],[2028]]*Emissionsfaktoren[[#This Row],[2028]]/1000, 0)</f>
        <v>0</v>
      </c>
      <c r="S131" s="15">
        <f>IF(ISNUMBER(Refsz_Verbräuche[[#This Row],[2029]]), Refsz_Verbräuche[[#This Row],[2029]]*Emissionsfaktoren[[#This Row],[2029]]/1000, 0)</f>
        <v>0</v>
      </c>
      <c r="T131" s="15">
        <f>IF(ISNUMBER(Refsz_Verbräuche[[#This Row],[2030]]), Refsz_Verbräuche[[#This Row],[2030]]*Emissionsfaktoren[[#This Row],[2030]]/1000, 0)</f>
        <v>0</v>
      </c>
      <c r="U131" s="15">
        <f>IF(ISNUMBER(Refsz_Verbräuche[[#This Row],[2035]]), Refsz_Verbräuche[[#This Row],[2035]]*Emissionsfaktoren[[#This Row],[2035]]/1000, 0)</f>
        <v>0</v>
      </c>
      <c r="V131" s="15">
        <f>IF(ISNUMBER(Refsz_Verbräuche[[#This Row],[2040]]), Refsz_Verbräuche[[#This Row],[2040]]*Emissionsfaktoren[[#This Row],[2040]]/1000, 0)</f>
        <v>0</v>
      </c>
      <c r="W131" s="15">
        <f>IF(ISNUMBER(Refsz_Verbräuche[[#This Row],[2045]]), Refsz_Verbräuche[[#This Row],[2045]]*Emissionsfaktoren[[#This Row],[2045]]/1000, 0)</f>
        <v>0</v>
      </c>
      <c r="X131" s="15">
        <f>IF(ISNUMBER(Refsz_Verbräuche[[#This Row],[2050]]), Refsz_Verbräuche[[#This Row],[2050]]*Emissionsfaktoren[[#This Row],[2050]]/1000, 0)</f>
        <v>0</v>
      </c>
    </row>
    <row r="132" spans="2:24" ht="16.5" hidden="1" x14ac:dyDescent="0.45">
      <c r="B132" s="15">
        <v>72</v>
      </c>
      <c r="C132" s="20" t="str">
        <f>Refsz_Verbräuche[[#This Row],[Datenpunkt]]</f>
        <v>Pendeln - PKW (Plug-In-Hybrid/PHEV)</v>
      </c>
      <c r="D132" t="s">
        <v>208</v>
      </c>
      <c r="E132" s="15">
        <f>IF(ISNUMBER(Refsz_Verbräuche[[#This Row],[2015]]), Refsz_Verbräuche[[#This Row],[2015]]*Emissionsfaktoren[[#This Row],[2015]]/1000, 0)</f>
        <v>0</v>
      </c>
      <c r="F132" s="15">
        <f>IF(ISNUMBER(Refsz_Verbräuche[[#This Row],[2016]]), Refsz_Verbräuche[[#This Row],[2016]]*Emissionsfaktoren[[#This Row],[2016]]/1000, 0)</f>
        <v>0</v>
      </c>
      <c r="G132" s="15">
        <f>IF(ISNUMBER(Refsz_Verbräuche[[#This Row],[2017]]), Refsz_Verbräuche[[#This Row],[2017]]*Emissionsfaktoren[[#This Row],[2017]]/1000, 0)</f>
        <v>0</v>
      </c>
      <c r="H132" s="15">
        <f>IF(ISNUMBER(Refsz_Verbräuche[[#This Row],[2018]]), Refsz_Verbräuche[[#This Row],[2018]]*Emissionsfaktoren[[#This Row],[2018]]/1000, 0)</f>
        <v>0</v>
      </c>
      <c r="I132" s="15">
        <f>IF(ISNUMBER(Refsz_Verbräuche[[#This Row],[2019]]), Refsz_Verbräuche[[#This Row],[2019]]*Emissionsfaktoren[[#This Row],[2019]]/1000, 0)</f>
        <v>0</v>
      </c>
      <c r="J132" s="15">
        <f>IF(ISNUMBER(Refsz_Verbräuche[[#This Row],[2020]]), Refsz_Verbräuche[[#This Row],[2020]]*Emissionsfaktoren[[#This Row],[2020]]/1000, 0)</f>
        <v>0</v>
      </c>
      <c r="K132" s="15">
        <f>IF(ISNUMBER(Refsz_Verbräuche[[#This Row],[2021]]), Refsz_Verbräuche[[#This Row],[2021]]*Emissionsfaktoren[[#This Row],[2021]]/1000, 0)</f>
        <v>0</v>
      </c>
      <c r="L132" s="15">
        <f>IF(ISNUMBER(Refsz_Verbräuche[[#This Row],[2022]]), Refsz_Verbräuche[[#This Row],[2022]]*Emissionsfaktoren[[#This Row],[2022]]/1000, 0)</f>
        <v>0</v>
      </c>
      <c r="M132" s="15">
        <f>IF(ISNUMBER(Refsz_Verbräuche[[#This Row],[2023]]), Refsz_Verbräuche[[#This Row],[2023]]*Emissionsfaktoren[[#This Row],[2023]]/1000, 0)</f>
        <v>0</v>
      </c>
      <c r="N132" s="15">
        <f>IF(ISNUMBER(Refsz_Verbräuche[[#This Row],[2024]]), Refsz_Verbräuche[[#This Row],[2024]]*Emissionsfaktoren[[#This Row],[2024]]/1000, 0)</f>
        <v>0</v>
      </c>
      <c r="O132" s="15">
        <f>IF(ISNUMBER(Refsz_Verbräuche[[#This Row],[2025]]), Refsz_Verbräuche[[#This Row],[2025]]*Emissionsfaktoren[[#This Row],[2025]]/1000, 0)</f>
        <v>0</v>
      </c>
      <c r="P132" s="15">
        <f>IF(ISNUMBER(Refsz_Verbräuche[[#This Row],[2026]]), Refsz_Verbräuche[[#This Row],[2026]]*Emissionsfaktoren[[#This Row],[2026]]/1000, 0)</f>
        <v>0</v>
      </c>
      <c r="Q132" s="15">
        <f>IF(ISNUMBER(Refsz_Verbräuche[[#This Row],[2027]]), Refsz_Verbräuche[[#This Row],[2027]]*Emissionsfaktoren[[#This Row],[2027]]/1000, 0)</f>
        <v>0</v>
      </c>
      <c r="R132" s="15">
        <f>IF(ISNUMBER(Refsz_Verbräuche[[#This Row],[2028]]), Refsz_Verbräuche[[#This Row],[2028]]*Emissionsfaktoren[[#This Row],[2028]]/1000, 0)</f>
        <v>0</v>
      </c>
      <c r="S132" s="15">
        <f>IF(ISNUMBER(Refsz_Verbräuche[[#This Row],[2029]]), Refsz_Verbräuche[[#This Row],[2029]]*Emissionsfaktoren[[#This Row],[2029]]/1000, 0)</f>
        <v>0</v>
      </c>
      <c r="T132" s="15">
        <f>IF(ISNUMBER(Refsz_Verbräuche[[#This Row],[2030]]), Refsz_Verbräuche[[#This Row],[2030]]*Emissionsfaktoren[[#This Row],[2030]]/1000, 0)</f>
        <v>0</v>
      </c>
      <c r="U132" s="15">
        <f>IF(ISNUMBER(Refsz_Verbräuche[[#This Row],[2035]]), Refsz_Verbräuche[[#This Row],[2035]]*Emissionsfaktoren[[#This Row],[2035]]/1000, 0)</f>
        <v>0</v>
      </c>
      <c r="V132" s="15">
        <f>IF(ISNUMBER(Refsz_Verbräuche[[#This Row],[2040]]), Refsz_Verbräuche[[#This Row],[2040]]*Emissionsfaktoren[[#This Row],[2040]]/1000, 0)</f>
        <v>0</v>
      </c>
      <c r="W132" s="15">
        <f>IF(ISNUMBER(Refsz_Verbräuche[[#This Row],[2045]]), Refsz_Verbräuche[[#This Row],[2045]]*Emissionsfaktoren[[#This Row],[2045]]/1000, 0)</f>
        <v>0</v>
      </c>
      <c r="X132" s="15">
        <f>IF(ISNUMBER(Refsz_Verbräuche[[#This Row],[2050]]), Refsz_Verbräuche[[#This Row],[2050]]*Emissionsfaktoren[[#This Row],[2050]]/1000, 0)</f>
        <v>0</v>
      </c>
    </row>
    <row r="133" spans="2:24" ht="16.5" hidden="1" x14ac:dyDescent="0.45">
      <c r="B133" s="15">
        <v>73</v>
      </c>
      <c r="C133" s="20" t="str">
        <f>Refsz_Verbräuche[[#This Row],[Datenpunkt]]</f>
        <v>Pendeln - Motorisierte Zweiräder</v>
      </c>
      <c r="D133" t="s">
        <v>208</v>
      </c>
      <c r="E133" s="15">
        <f>IF(ISNUMBER(Refsz_Verbräuche[[#This Row],[2015]]), Refsz_Verbräuche[[#This Row],[2015]]*Emissionsfaktoren[[#This Row],[2015]]/1000, 0)</f>
        <v>0</v>
      </c>
      <c r="F133" s="15">
        <f>IF(ISNUMBER(Refsz_Verbräuche[[#This Row],[2016]]), Refsz_Verbräuche[[#This Row],[2016]]*Emissionsfaktoren[[#This Row],[2016]]/1000, 0)</f>
        <v>0</v>
      </c>
      <c r="G133" s="15">
        <f>IF(ISNUMBER(Refsz_Verbräuche[[#This Row],[2017]]), Refsz_Verbräuche[[#This Row],[2017]]*Emissionsfaktoren[[#This Row],[2017]]/1000, 0)</f>
        <v>0</v>
      </c>
      <c r="H133" s="15">
        <f>IF(ISNUMBER(Refsz_Verbräuche[[#This Row],[2018]]), Refsz_Verbräuche[[#This Row],[2018]]*Emissionsfaktoren[[#This Row],[2018]]/1000, 0)</f>
        <v>0</v>
      </c>
      <c r="I133" s="15">
        <f>IF(ISNUMBER(Refsz_Verbräuche[[#This Row],[2019]]), Refsz_Verbräuche[[#This Row],[2019]]*Emissionsfaktoren[[#This Row],[2019]]/1000, 0)</f>
        <v>0</v>
      </c>
      <c r="J133" s="15">
        <f>IF(ISNUMBER(Refsz_Verbräuche[[#This Row],[2020]]), Refsz_Verbräuche[[#This Row],[2020]]*Emissionsfaktoren[[#This Row],[2020]]/1000, 0)</f>
        <v>0</v>
      </c>
      <c r="K133" s="15">
        <f>IF(ISNUMBER(Refsz_Verbräuche[[#This Row],[2021]]), Refsz_Verbräuche[[#This Row],[2021]]*Emissionsfaktoren[[#This Row],[2021]]/1000, 0)</f>
        <v>0</v>
      </c>
      <c r="L133" s="15">
        <f>IF(ISNUMBER(Refsz_Verbräuche[[#This Row],[2022]]), Refsz_Verbräuche[[#This Row],[2022]]*Emissionsfaktoren[[#This Row],[2022]]/1000, 0)</f>
        <v>0</v>
      </c>
      <c r="M133" s="15">
        <f>IF(ISNUMBER(Refsz_Verbräuche[[#This Row],[2023]]), Refsz_Verbräuche[[#This Row],[2023]]*Emissionsfaktoren[[#This Row],[2023]]/1000, 0)</f>
        <v>0</v>
      </c>
      <c r="N133" s="15">
        <f>IF(ISNUMBER(Refsz_Verbräuche[[#This Row],[2024]]), Refsz_Verbräuche[[#This Row],[2024]]*Emissionsfaktoren[[#This Row],[2024]]/1000, 0)</f>
        <v>0</v>
      </c>
      <c r="O133" s="15">
        <f>IF(ISNUMBER(Refsz_Verbräuche[[#This Row],[2025]]), Refsz_Verbräuche[[#This Row],[2025]]*Emissionsfaktoren[[#This Row],[2025]]/1000, 0)</f>
        <v>0</v>
      </c>
      <c r="P133" s="15">
        <f>IF(ISNUMBER(Refsz_Verbräuche[[#This Row],[2026]]), Refsz_Verbräuche[[#This Row],[2026]]*Emissionsfaktoren[[#This Row],[2026]]/1000, 0)</f>
        <v>0</v>
      </c>
      <c r="Q133" s="15">
        <f>IF(ISNUMBER(Refsz_Verbräuche[[#This Row],[2027]]), Refsz_Verbräuche[[#This Row],[2027]]*Emissionsfaktoren[[#This Row],[2027]]/1000, 0)</f>
        <v>0</v>
      </c>
      <c r="R133" s="15">
        <f>IF(ISNUMBER(Refsz_Verbräuche[[#This Row],[2028]]), Refsz_Verbräuche[[#This Row],[2028]]*Emissionsfaktoren[[#This Row],[2028]]/1000, 0)</f>
        <v>0</v>
      </c>
      <c r="S133" s="15">
        <f>IF(ISNUMBER(Refsz_Verbräuche[[#This Row],[2029]]), Refsz_Verbräuche[[#This Row],[2029]]*Emissionsfaktoren[[#This Row],[2029]]/1000, 0)</f>
        <v>0</v>
      </c>
      <c r="T133" s="15">
        <f>IF(ISNUMBER(Refsz_Verbräuche[[#This Row],[2030]]), Refsz_Verbräuche[[#This Row],[2030]]*Emissionsfaktoren[[#This Row],[2030]]/1000, 0)</f>
        <v>0</v>
      </c>
      <c r="U133" s="15">
        <f>IF(ISNUMBER(Refsz_Verbräuche[[#This Row],[2035]]), Refsz_Verbräuche[[#This Row],[2035]]*Emissionsfaktoren[[#This Row],[2035]]/1000, 0)</f>
        <v>0</v>
      </c>
      <c r="V133" s="15">
        <f>IF(ISNUMBER(Refsz_Verbräuche[[#This Row],[2040]]), Refsz_Verbräuche[[#This Row],[2040]]*Emissionsfaktoren[[#This Row],[2040]]/1000, 0)</f>
        <v>0</v>
      </c>
      <c r="W133" s="15">
        <f>IF(ISNUMBER(Refsz_Verbräuche[[#This Row],[2045]]), Refsz_Verbräuche[[#This Row],[2045]]*Emissionsfaktoren[[#This Row],[2045]]/1000, 0)</f>
        <v>0</v>
      </c>
      <c r="X133" s="15">
        <f>IF(ISNUMBER(Refsz_Verbräuche[[#This Row],[2050]]), Refsz_Verbräuche[[#This Row],[2050]]*Emissionsfaktoren[[#This Row],[2050]]/1000, 0)</f>
        <v>0</v>
      </c>
    </row>
    <row r="134" spans="2:24" ht="16.5" hidden="1" x14ac:dyDescent="0.45">
      <c r="B134" s="15">
        <v>74</v>
      </c>
      <c r="C134" s="20" t="str">
        <f>Refsz_Verbräuche[[#This Row],[Datenpunkt]]</f>
        <v>Pendeln - Fahrrad</v>
      </c>
      <c r="D134" t="s">
        <v>208</v>
      </c>
      <c r="E134" s="15">
        <f>IF(ISNUMBER(Refsz_Verbräuche[[#This Row],[2015]]), Refsz_Verbräuche[[#This Row],[2015]]*Emissionsfaktoren[[#This Row],[2015]]/1000, 0)</f>
        <v>0</v>
      </c>
      <c r="F134" s="15">
        <f>IF(ISNUMBER(Refsz_Verbräuche[[#This Row],[2016]]), Refsz_Verbräuche[[#This Row],[2016]]*Emissionsfaktoren[[#This Row],[2016]]/1000, 0)</f>
        <v>0</v>
      </c>
      <c r="G134" s="15">
        <f>IF(ISNUMBER(Refsz_Verbräuche[[#This Row],[2017]]), Refsz_Verbräuche[[#This Row],[2017]]*Emissionsfaktoren[[#This Row],[2017]]/1000, 0)</f>
        <v>0</v>
      </c>
      <c r="H134" s="15">
        <f>IF(ISNUMBER(Refsz_Verbräuche[[#This Row],[2018]]), Refsz_Verbräuche[[#This Row],[2018]]*Emissionsfaktoren[[#This Row],[2018]]/1000, 0)</f>
        <v>0</v>
      </c>
      <c r="I134" s="15">
        <f>IF(ISNUMBER(Refsz_Verbräuche[[#This Row],[2019]]), Refsz_Verbräuche[[#This Row],[2019]]*Emissionsfaktoren[[#This Row],[2019]]/1000, 0)</f>
        <v>0</v>
      </c>
      <c r="J134" s="15">
        <f>IF(ISNUMBER(Refsz_Verbräuche[[#This Row],[2020]]), Refsz_Verbräuche[[#This Row],[2020]]*Emissionsfaktoren[[#This Row],[2020]]/1000, 0)</f>
        <v>0</v>
      </c>
      <c r="K134" s="15">
        <f>IF(ISNUMBER(Refsz_Verbräuche[[#This Row],[2021]]), Refsz_Verbräuche[[#This Row],[2021]]*Emissionsfaktoren[[#This Row],[2021]]/1000, 0)</f>
        <v>0</v>
      </c>
      <c r="L134" s="15">
        <f>IF(ISNUMBER(Refsz_Verbräuche[[#This Row],[2022]]), Refsz_Verbräuche[[#This Row],[2022]]*Emissionsfaktoren[[#This Row],[2022]]/1000, 0)</f>
        <v>0</v>
      </c>
      <c r="M134" s="15">
        <f>IF(ISNUMBER(Refsz_Verbräuche[[#This Row],[2023]]), Refsz_Verbräuche[[#This Row],[2023]]*Emissionsfaktoren[[#This Row],[2023]]/1000, 0)</f>
        <v>0</v>
      </c>
      <c r="N134" s="15">
        <f>IF(ISNUMBER(Refsz_Verbräuche[[#This Row],[2024]]), Refsz_Verbräuche[[#This Row],[2024]]*Emissionsfaktoren[[#This Row],[2024]]/1000, 0)</f>
        <v>0</v>
      </c>
      <c r="O134" s="15">
        <f>IF(ISNUMBER(Refsz_Verbräuche[[#This Row],[2025]]), Refsz_Verbräuche[[#This Row],[2025]]*Emissionsfaktoren[[#This Row],[2025]]/1000, 0)</f>
        <v>0</v>
      </c>
      <c r="P134" s="15">
        <f>IF(ISNUMBER(Refsz_Verbräuche[[#This Row],[2026]]), Refsz_Verbräuche[[#This Row],[2026]]*Emissionsfaktoren[[#This Row],[2026]]/1000, 0)</f>
        <v>0</v>
      </c>
      <c r="Q134" s="15">
        <f>IF(ISNUMBER(Refsz_Verbräuche[[#This Row],[2027]]), Refsz_Verbräuche[[#This Row],[2027]]*Emissionsfaktoren[[#This Row],[2027]]/1000, 0)</f>
        <v>0</v>
      </c>
      <c r="R134" s="15">
        <f>IF(ISNUMBER(Refsz_Verbräuche[[#This Row],[2028]]), Refsz_Verbräuche[[#This Row],[2028]]*Emissionsfaktoren[[#This Row],[2028]]/1000, 0)</f>
        <v>0</v>
      </c>
      <c r="S134" s="15">
        <f>IF(ISNUMBER(Refsz_Verbräuche[[#This Row],[2029]]), Refsz_Verbräuche[[#This Row],[2029]]*Emissionsfaktoren[[#This Row],[2029]]/1000, 0)</f>
        <v>0</v>
      </c>
      <c r="T134" s="15">
        <f>IF(ISNUMBER(Refsz_Verbräuche[[#This Row],[2030]]), Refsz_Verbräuche[[#This Row],[2030]]*Emissionsfaktoren[[#This Row],[2030]]/1000, 0)</f>
        <v>0</v>
      </c>
      <c r="U134" s="15">
        <f>IF(ISNUMBER(Refsz_Verbräuche[[#This Row],[2035]]), Refsz_Verbräuche[[#This Row],[2035]]*Emissionsfaktoren[[#This Row],[2035]]/1000, 0)</f>
        <v>0</v>
      </c>
      <c r="V134" s="15">
        <f>IF(ISNUMBER(Refsz_Verbräuche[[#This Row],[2040]]), Refsz_Verbräuche[[#This Row],[2040]]*Emissionsfaktoren[[#This Row],[2040]]/1000, 0)</f>
        <v>0</v>
      </c>
      <c r="W134" s="15">
        <f>IF(ISNUMBER(Refsz_Verbräuche[[#This Row],[2045]]), Refsz_Verbräuche[[#This Row],[2045]]*Emissionsfaktoren[[#This Row],[2045]]/1000, 0)</f>
        <v>0</v>
      </c>
      <c r="X134" s="15">
        <f>IF(ISNUMBER(Refsz_Verbräuche[[#This Row],[2050]]), Refsz_Verbräuche[[#This Row],[2050]]*Emissionsfaktoren[[#This Row],[2050]]/1000, 0)</f>
        <v>0</v>
      </c>
    </row>
    <row r="135" spans="2:24" ht="16.5" hidden="1" x14ac:dyDescent="0.45">
      <c r="B135" s="15">
        <v>75</v>
      </c>
      <c r="C135" s="20" t="str">
        <f>Refsz_Verbräuche[[#This Row],[Datenpunkt]]</f>
        <v>Pendeln - E-Bike</v>
      </c>
      <c r="D135" t="s">
        <v>208</v>
      </c>
      <c r="E135" s="15">
        <f>IF(ISNUMBER(Refsz_Verbräuche[[#This Row],[2015]]), Refsz_Verbräuche[[#This Row],[2015]]*Emissionsfaktoren[[#This Row],[2015]]/1000, 0)</f>
        <v>0</v>
      </c>
      <c r="F135" s="15">
        <f>IF(ISNUMBER(Refsz_Verbräuche[[#This Row],[2016]]), Refsz_Verbräuche[[#This Row],[2016]]*Emissionsfaktoren[[#This Row],[2016]]/1000, 0)</f>
        <v>0</v>
      </c>
      <c r="G135" s="15">
        <f>IF(ISNUMBER(Refsz_Verbräuche[[#This Row],[2017]]), Refsz_Verbräuche[[#This Row],[2017]]*Emissionsfaktoren[[#This Row],[2017]]/1000, 0)</f>
        <v>0</v>
      </c>
      <c r="H135" s="15">
        <f>IF(ISNUMBER(Refsz_Verbräuche[[#This Row],[2018]]), Refsz_Verbräuche[[#This Row],[2018]]*Emissionsfaktoren[[#This Row],[2018]]/1000, 0)</f>
        <v>0</v>
      </c>
      <c r="I135" s="15">
        <f>IF(ISNUMBER(Refsz_Verbräuche[[#This Row],[2019]]), Refsz_Verbräuche[[#This Row],[2019]]*Emissionsfaktoren[[#This Row],[2019]]/1000, 0)</f>
        <v>0</v>
      </c>
      <c r="J135" s="15">
        <f>IF(ISNUMBER(Refsz_Verbräuche[[#This Row],[2020]]), Refsz_Verbräuche[[#This Row],[2020]]*Emissionsfaktoren[[#This Row],[2020]]/1000, 0)</f>
        <v>0</v>
      </c>
      <c r="K135" s="15">
        <f>IF(ISNUMBER(Refsz_Verbräuche[[#This Row],[2021]]), Refsz_Verbräuche[[#This Row],[2021]]*Emissionsfaktoren[[#This Row],[2021]]/1000, 0)</f>
        <v>0</v>
      </c>
      <c r="L135" s="15">
        <f>IF(ISNUMBER(Refsz_Verbräuche[[#This Row],[2022]]), Refsz_Verbräuche[[#This Row],[2022]]*Emissionsfaktoren[[#This Row],[2022]]/1000, 0)</f>
        <v>0</v>
      </c>
      <c r="M135" s="15">
        <f>IF(ISNUMBER(Refsz_Verbräuche[[#This Row],[2023]]), Refsz_Verbräuche[[#This Row],[2023]]*Emissionsfaktoren[[#This Row],[2023]]/1000, 0)</f>
        <v>0</v>
      </c>
      <c r="N135" s="15">
        <f>IF(ISNUMBER(Refsz_Verbräuche[[#This Row],[2024]]), Refsz_Verbräuche[[#This Row],[2024]]*Emissionsfaktoren[[#This Row],[2024]]/1000, 0)</f>
        <v>0</v>
      </c>
      <c r="O135" s="15">
        <f>IF(ISNUMBER(Refsz_Verbräuche[[#This Row],[2025]]), Refsz_Verbräuche[[#This Row],[2025]]*Emissionsfaktoren[[#This Row],[2025]]/1000, 0)</f>
        <v>0</v>
      </c>
      <c r="P135" s="15">
        <f>IF(ISNUMBER(Refsz_Verbräuche[[#This Row],[2026]]), Refsz_Verbräuche[[#This Row],[2026]]*Emissionsfaktoren[[#This Row],[2026]]/1000, 0)</f>
        <v>0</v>
      </c>
      <c r="Q135" s="15">
        <f>IF(ISNUMBER(Refsz_Verbräuche[[#This Row],[2027]]), Refsz_Verbräuche[[#This Row],[2027]]*Emissionsfaktoren[[#This Row],[2027]]/1000, 0)</f>
        <v>0</v>
      </c>
      <c r="R135" s="15">
        <f>IF(ISNUMBER(Refsz_Verbräuche[[#This Row],[2028]]), Refsz_Verbräuche[[#This Row],[2028]]*Emissionsfaktoren[[#This Row],[2028]]/1000, 0)</f>
        <v>0</v>
      </c>
      <c r="S135" s="15">
        <f>IF(ISNUMBER(Refsz_Verbräuche[[#This Row],[2029]]), Refsz_Verbräuche[[#This Row],[2029]]*Emissionsfaktoren[[#This Row],[2029]]/1000, 0)</f>
        <v>0</v>
      </c>
      <c r="T135" s="15">
        <f>IF(ISNUMBER(Refsz_Verbräuche[[#This Row],[2030]]), Refsz_Verbräuche[[#This Row],[2030]]*Emissionsfaktoren[[#This Row],[2030]]/1000, 0)</f>
        <v>0</v>
      </c>
      <c r="U135" s="15">
        <f>IF(ISNUMBER(Refsz_Verbräuche[[#This Row],[2035]]), Refsz_Verbräuche[[#This Row],[2035]]*Emissionsfaktoren[[#This Row],[2035]]/1000, 0)</f>
        <v>0</v>
      </c>
      <c r="V135" s="15">
        <f>IF(ISNUMBER(Refsz_Verbräuche[[#This Row],[2040]]), Refsz_Verbräuche[[#This Row],[2040]]*Emissionsfaktoren[[#This Row],[2040]]/1000, 0)</f>
        <v>0</v>
      </c>
      <c r="W135" s="15">
        <f>IF(ISNUMBER(Refsz_Verbräuche[[#This Row],[2045]]), Refsz_Verbräuche[[#This Row],[2045]]*Emissionsfaktoren[[#This Row],[2045]]/1000, 0)</f>
        <v>0</v>
      </c>
      <c r="X135" s="15">
        <f>IF(ISNUMBER(Refsz_Verbräuche[[#This Row],[2050]]), Refsz_Verbräuche[[#This Row],[2050]]*Emissionsfaktoren[[#This Row],[2050]]/1000, 0)</f>
        <v>0</v>
      </c>
    </row>
    <row r="136" spans="2:24" ht="16.5" hidden="1" x14ac:dyDescent="0.45">
      <c r="B136" s="15">
        <v>76</v>
      </c>
      <c r="C136" s="20" t="str">
        <f>Refsz_Verbräuche[[#This Row],[Datenpunkt]]</f>
        <v>Pendeln - zu Fuß</v>
      </c>
      <c r="D136" t="s">
        <v>208</v>
      </c>
      <c r="E136" s="15">
        <f>IF(ISNUMBER(Refsz_Verbräuche[[#This Row],[2015]]), Refsz_Verbräuche[[#This Row],[2015]]*Emissionsfaktoren[[#This Row],[2015]]/1000, 0)</f>
        <v>0</v>
      </c>
      <c r="F136" s="15">
        <f>IF(ISNUMBER(Refsz_Verbräuche[[#This Row],[2016]]), Refsz_Verbräuche[[#This Row],[2016]]*Emissionsfaktoren[[#This Row],[2016]]/1000, 0)</f>
        <v>0</v>
      </c>
      <c r="G136" s="15">
        <f>IF(ISNUMBER(Refsz_Verbräuche[[#This Row],[2017]]), Refsz_Verbräuche[[#This Row],[2017]]*Emissionsfaktoren[[#This Row],[2017]]/1000, 0)</f>
        <v>0</v>
      </c>
      <c r="H136" s="15">
        <f>IF(ISNUMBER(Refsz_Verbräuche[[#This Row],[2018]]), Refsz_Verbräuche[[#This Row],[2018]]*Emissionsfaktoren[[#This Row],[2018]]/1000, 0)</f>
        <v>0</v>
      </c>
      <c r="I136" s="15">
        <f>IF(ISNUMBER(Refsz_Verbräuche[[#This Row],[2019]]), Refsz_Verbräuche[[#This Row],[2019]]*Emissionsfaktoren[[#This Row],[2019]]/1000, 0)</f>
        <v>0</v>
      </c>
      <c r="J136" s="15">
        <f>IF(ISNUMBER(Refsz_Verbräuche[[#This Row],[2020]]), Refsz_Verbräuche[[#This Row],[2020]]*Emissionsfaktoren[[#This Row],[2020]]/1000, 0)</f>
        <v>0</v>
      </c>
      <c r="K136" s="15">
        <f>IF(ISNUMBER(Refsz_Verbräuche[[#This Row],[2021]]), Refsz_Verbräuche[[#This Row],[2021]]*Emissionsfaktoren[[#This Row],[2021]]/1000, 0)</f>
        <v>0</v>
      </c>
      <c r="L136" s="15">
        <f>IF(ISNUMBER(Refsz_Verbräuche[[#This Row],[2022]]), Refsz_Verbräuche[[#This Row],[2022]]*Emissionsfaktoren[[#This Row],[2022]]/1000, 0)</f>
        <v>0</v>
      </c>
      <c r="M136" s="15">
        <f>IF(ISNUMBER(Refsz_Verbräuche[[#This Row],[2023]]), Refsz_Verbräuche[[#This Row],[2023]]*Emissionsfaktoren[[#This Row],[2023]]/1000, 0)</f>
        <v>0</v>
      </c>
      <c r="N136" s="15">
        <f>IF(ISNUMBER(Refsz_Verbräuche[[#This Row],[2024]]), Refsz_Verbräuche[[#This Row],[2024]]*Emissionsfaktoren[[#This Row],[2024]]/1000, 0)</f>
        <v>0</v>
      </c>
      <c r="O136" s="15">
        <f>IF(ISNUMBER(Refsz_Verbräuche[[#This Row],[2025]]), Refsz_Verbräuche[[#This Row],[2025]]*Emissionsfaktoren[[#This Row],[2025]]/1000, 0)</f>
        <v>0</v>
      </c>
      <c r="P136" s="15">
        <f>IF(ISNUMBER(Refsz_Verbräuche[[#This Row],[2026]]), Refsz_Verbräuche[[#This Row],[2026]]*Emissionsfaktoren[[#This Row],[2026]]/1000, 0)</f>
        <v>0</v>
      </c>
      <c r="Q136" s="15">
        <f>IF(ISNUMBER(Refsz_Verbräuche[[#This Row],[2027]]), Refsz_Verbräuche[[#This Row],[2027]]*Emissionsfaktoren[[#This Row],[2027]]/1000, 0)</f>
        <v>0</v>
      </c>
      <c r="R136" s="15">
        <f>IF(ISNUMBER(Refsz_Verbräuche[[#This Row],[2028]]), Refsz_Verbräuche[[#This Row],[2028]]*Emissionsfaktoren[[#This Row],[2028]]/1000, 0)</f>
        <v>0</v>
      </c>
      <c r="S136" s="15">
        <f>IF(ISNUMBER(Refsz_Verbräuche[[#This Row],[2029]]), Refsz_Verbräuche[[#This Row],[2029]]*Emissionsfaktoren[[#This Row],[2029]]/1000, 0)</f>
        <v>0</v>
      </c>
      <c r="T136" s="15">
        <f>IF(ISNUMBER(Refsz_Verbräuche[[#This Row],[2030]]), Refsz_Verbräuche[[#This Row],[2030]]*Emissionsfaktoren[[#This Row],[2030]]/1000, 0)</f>
        <v>0</v>
      </c>
      <c r="U136" s="15">
        <f>IF(ISNUMBER(Refsz_Verbräuche[[#This Row],[2035]]), Refsz_Verbräuche[[#This Row],[2035]]*Emissionsfaktoren[[#This Row],[2035]]/1000, 0)</f>
        <v>0</v>
      </c>
      <c r="V136" s="15">
        <f>IF(ISNUMBER(Refsz_Verbräuche[[#This Row],[2040]]), Refsz_Verbräuche[[#This Row],[2040]]*Emissionsfaktoren[[#This Row],[2040]]/1000, 0)</f>
        <v>0</v>
      </c>
      <c r="W136" s="15">
        <f>IF(ISNUMBER(Refsz_Verbräuche[[#This Row],[2045]]), Refsz_Verbräuche[[#This Row],[2045]]*Emissionsfaktoren[[#This Row],[2045]]/1000, 0)</f>
        <v>0</v>
      </c>
      <c r="X136" s="15">
        <f>IF(ISNUMBER(Refsz_Verbräuche[[#This Row],[2050]]), Refsz_Verbräuche[[#This Row],[2050]]*Emissionsfaktoren[[#This Row],[2050]]/1000, 0)</f>
        <v>0</v>
      </c>
    </row>
    <row r="137" spans="2:24" ht="16.5" hidden="1" x14ac:dyDescent="0.45">
      <c r="B137" s="15">
        <v>77</v>
      </c>
      <c r="C137" s="20">
        <f>Refsz_Verbräuche[[#This Row],[Datenpunkt]]</f>
        <v>0</v>
      </c>
      <c r="D137" t="s">
        <v>208</v>
      </c>
      <c r="E137" s="15">
        <f>IF(ISNUMBER(Refsz_Verbräuche[[#This Row],[2015]]), Refsz_Verbräuche[[#This Row],[2015]]*Emissionsfaktoren[[#This Row],[2015]]/1000, 0)</f>
        <v>0</v>
      </c>
      <c r="F137" s="15">
        <f>IF(ISNUMBER(Refsz_Verbräuche[[#This Row],[2016]]), Refsz_Verbräuche[[#This Row],[2016]]*Emissionsfaktoren[[#This Row],[2016]]/1000, 0)</f>
        <v>0</v>
      </c>
      <c r="G137" s="15">
        <f>IF(ISNUMBER(Refsz_Verbräuche[[#This Row],[2017]]), Refsz_Verbräuche[[#This Row],[2017]]*Emissionsfaktoren[[#This Row],[2017]]/1000, 0)</f>
        <v>0</v>
      </c>
      <c r="H137" s="15">
        <f>IF(ISNUMBER(Refsz_Verbräuche[[#This Row],[2018]]), Refsz_Verbräuche[[#This Row],[2018]]*Emissionsfaktoren[[#This Row],[2018]]/1000, 0)</f>
        <v>0</v>
      </c>
      <c r="I137" s="15">
        <f>IF(ISNUMBER(Refsz_Verbräuche[[#This Row],[2019]]), Refsz_Verbräuche[[#This Row],[2019]]*Emissionsfaktoren[[#This Row],[2019]]/1000, 0)</f>
        <v>0</v>
      </c>
      <c r="J137" s="15">
        <f>IF(ISNUMBER(Refsz_Verbräuche[[#This Row],[2020]]), Refsz_Verbräuche[[#This Row],[2020]]*Emissionsfaktoren[[#This Row],[2020]]/1000, 0)</f>
        <v>0</v>
      </c>
      <c r="K137" s="15">
        <f>IF(ISNUMBER(Refsz_Verbräuche[[#This Row],[2021]]), Refsz_Verbräuche[[#This Row],[2021]]*Emissionsfaktoren[[#This Row],[2021]]/1000, 0)</f>
        <v>0</v>
      </c>
      <c r="L137" s="15">
        <f>IF(ISNUMBER(Refsz_Verbräuche[[#This Row],[2022]]), Refsz_Verbräuche[[#This Row],[2022]]*Emissionsfaktoren[[#This Row],[2022]]/1000, 0)</f>
        <v>0</v>
      </c>
      <c r="M137" s="15">
        <f>IF(ISNUMBER(Refsz_Verbräuche[[#This Row],[2023]]), Refsz_Verbräuche[[#This Row],[2023]]*Emissionsfaktoren[[#This Row],[2023]]/1000, 0)</f>
        <v>0</v>
      </c>
      <c r="N137" s="15">
        <f>IF(ISNUMBER(Refsz_Verbräuche[[#This Row],[2024]]), Refsz_Verbräuche[[#This Row],[2024]]*Emissionsfaktoren[[#This Row],[2024]]/1000, 0)</f>
        <v>0</v>
      </c>
      <c r="O137" s="15">
        <f>IF(ISNUMBER(Refsz_Verbräuche[[#This Row],[2025]]), Refsz_Verbräuche[[#This Row],[2025]]*Emissionsfaktoren[[#This Row],[2025]]/1000, 0)</f>
        <v>0</v>
      </c>
      <c r="P137" s="15">
        <f>IF(ISNUMBER(Refsz_Verbräuche[[#This Row],[2026]]), Refsz_Verbräuche[[#This Row],[2026]]*Emissionsfaktoren[[#This Row],[2026]]/1000, 0)</f>
        <v>0</v>
      </c>
      <c r="Q137" s="15">
        <f>IF(ISNUMBER(Refsz_Verbräuche[[#This Row],[2027]]), Refsz_Verbräuche[[#This Row],[2027]]*Emissionsfaktoren[[#This Row],[2027]]/1000, 0)</f>
        <v>0</v>
      </c>
      <c r="R137" s="15">
        <f>IF(ISNUMBER(Refsz_Verbräuche[[#This Row],[2028]]), Refsz_Verbräuche[[#This Row],[2028]]*Emissionsfaktoren[[#This Row],[2028]]/1000, 0)</f>
        <v>0</v>
      </c>
      <c r="S137" s="15">
        <f>IF(ISNUMBER(Refsz_Verbräuche[[#This Row],[2029]]), Refsz_Verbräuche[[#This Row],[2029]]*Emissionsfaktoren[[#This Row],[2029]]/1000, 0)</f>
        <v>0</v>
      </c>
      <c r="T137" s="15">
        <f>IF(ISNUMBER(Refsz_Verbräuche[[#This Row],[2030]]), Refsz_Verbräuche[[#This Row],[2030]]*Emissionsfaktoren[[#This Row],[2030]]/1000, 0)</f>
        <v>0</v>
      </c>
      <c r="U137" s="15">
        <f>IF(ISNUMBER(Refsz_Verbräuche[[#This Row],[2035]]), Refsz_Verbräuche[[#This Row],[2035]]*Emissionsfaktoren[[#This Row],[2035]]/1000, 0)</f>
        <v>0</v>
      </c>
      <c r="V137" s="15">
        <f>IF(ISNUMBER(Refsz_Verbräuche[[#This Row],[2040]]), Refsz_Verbräuche[[#This Row],[2040]]*Emissionsfaktoren[[#This Row],[2040]]/1000, 0)</f>
        <v>0</v>
      </c>
      <c r="W137" s="15">
        <f>IF(ISNUMBER(Refsz_Verbräuche[[#This Row],[2045]]), Refsz_Verbräuche[[#This Row],[2045]]*Emissionsfaktoren[[#This Row],[2045]]/1000, 0)</f>
        <v>0</v>
      </c>
      <c r="X137" s="15">
        <f>IF(ISNUMBER(Refsz_Verbräuche[[#This Row],[2050]]), Refsz_Verbräuche[[#This Row],[2050]]*Emissionsfaktoren[[#This Row],[2050]]/1000, 0)</f>
        <v>0</v>
      </c>
    </row>
    <row r="138" spans="2:24" ht="16.5" hidden="1" x14ac:dyDescent="0.45">
      <c r="B138" s="15">
        <v>78</v>
      </c>
      <c r="C138" s="20" t="str">
        <f>Refsz_Verbräuche[[#This Row],[Datenpunkt]]</f>
        <v>Studierendenreisen (Incoming) - Flugreisen</v>
      </c>
      <c r="D138" t="s">
        <v>208</v>
      </c>
      <c r="E138" s="15">
        <f>IF(ISNUMBER(Refsz_Verbräuche[[#This Row],[2015]]), Refsz_Verbräuche[[#This Row],[2015]]*Emissionsfaktoren[[#This Row],[2015]]/1000, 0)</f>
        <v>0</v>
      </c>
      <c r="F138" s="15">
        <f>IF(ISNUMBER(Refsz_Verbräuche[[#This Row],[2016]]), Refsz_Verbräuche[[#This Row],[2016]]*Emissionsfaktoren[[#This Row],[2016]]/1000, 0)</f>
        <v>0</v>
      </c>
      <c r="G138" s="15">
        <f>IF(ISNUMBER(Refsz_Verbräuche[[#This Row],[2017]]), Refsz_Verbräuche[[#This Row],[2017]]*Emissionsfaktoren[[#This Row],[2017]]/1000, 0)</f>
        <v>0</v>
      </c>
      <c r="H138" s="15">
        <f>IF(ISNUMBER(Refsz_Verbräuche[[#This Row],[2018]]), Refsz_Verbräuche[[#This Row],[2018]]*Emissionsfaktoren[[#This Row],[2018]]/1000, 0)</f>
        <v>0</v>
      </c>
      <c r="I138" s="15">
        <f>IF(ISNUMBER(Refsz_Verbräuche[[#This Row],[2019]]), Refsz_Verbräuche[[#This Row],[2019]]*Emissionsfaktoren[[#This Row],[2019]]/1000, 0)</f>
        <v>0</v>
      </c>
      <c r="J138" s="15">
        <f>IF(ISNUMBER(Refsz_Verbräuche[[#This Row],[2020]]), Refsz_Verbräuche[[#This Row],[2020]]*Emissionsfaktoren[[#This Row],[2020]]/1000, 0)</f>
        <v>0</v>
      </c>
      <c r="K138" s="15">
        <f>IF(ISNUMBER(Refsz_Verbräuche[[#This Row],[2021]]), Refsz_Verbräuche[[#This Row],[2021]]*Emissionsfaktoren[[#This Row],[2021]]/1000, 0)</f>
        <v>0</v>
      </c>
      <c r="L138" s="15">
        <f>IF(ISNUMBER(Refsz_Verbräuche[[#This Row],[2022]]), Refsz_Verbräuche[[#This Row],[2022]]*Emissionsfaktoren[[#This Row],[2022]]/1000, 0)</f>
        <v>0</v>
      </c>
      <c r="M138" s="15">
        <f>IF(ISNUMBER(Refsz_Verbräuche[[#This Row],[2023]]), Refsz_Verbräuche[[#This Row],[2023]]*Emissionsfaktoren[[#This Row],[2023]]/1000, 0)</f>
        <v>0</v>
      </c>
      <c r="N138" s="15">
        <f>IF(ISNUMBER(Refsz_Verbräuche[[#This Row],[2024]]), Refsz_Verbräuche[[#This Row],[2024]]*Emissionsfaktoren[[#This Row],[2024]]/1000, 0)</f>
        <v>0</v>
      </c>
      <c r="O138" s="15">
        <f>IF(ISNUMBER(Refsz_Verbräuche[[#This Row],[2025]]), Refsz_Verbräuche[[#This Row],[2025]]*Emissionsfaktoren[[#This Row],[2025]]/1000, 0)</f>
        <v>0</v>
      </c>
      <c r="P138" s="15">
        <f>IF(ISNUMBER(Refsz_Verbräuche[[#This Row],[2026]]), Refsz_Verbräuche[[#This Row],[2026]]*Emissionsfaktoren[[#This Row],[2026]]/1000, 0)</f>
        <v>0</v>
      </c>
      <c r="Q138" s="15">
        <f>IF(ISNUMBER(Refsz_Verbräuche[[#This Row],[2027]]), Refsz_Verbräuche[[#This Row],[2027]]*Emissionsfaktoren[[#This Row],[2027]]/1000, 0)</f>
        <v>0</v>
      </c>
      <c r="R138" s="15">
        <f>IF(ISNUMBER(Refsz_Verbräuche[[#This Row],[2028]]), Refsz_Verbräuche[[#This Row],[2028]]*Emissionsfaktoren[[#This Row],[2028]]/1000, 0)</f>
        <v>0</v>
      </c>
      <c r="S138" s="15">
        <f>IF(ISNUMBER(Refsz_Verbräuche[[#This Row],[2029]]), Refsz_Verbräuche[[#This Row],[2029]]*Emissionsfaktoren[[#This Row],[2029]]/1000, 0)</f>
        <v>0</v>
      </c>
      <c r="T138" s="15">
        <f>IF(ISNUMBER(Refsz_Verbräuche[[#This Row],[2030]]), Refsz_Verbräuche[[#This Row],[2030]]*Emissionsfaktoren[[#This Row],[2030]]/1000, 0)</f>
        <v>0</v>
      </c>
      <c r="U138" s="15">
        <f>IF(ISNUMBER(Refsz_Verbräuche[[#This Row],[2035]]), Refsz_Verbräuche[[#This Row],[2035]]*Emissionsfaktoren[[#This Row],[2035]]/1000, 0)</f>
        <v>0</v>
      </c>
      <c r="V138" s="15">
        <f>IF(ISNUMBER(Refsz_Verbräuche[[#This Row],[2040]]), Refsz_Verbräuche[[#This Row],[2040]]*Emissionsfaktoren[[#This Row],[2040]]/1000, 0)</f>
        <v>0</v>
      </c>
      <c r="W138" s="15">
        <f>IF(ISNUMBER(Refsz_Verbräuche[[#This Row],[2045]]), Refsz_Verbräuche[[#This Row],[2045]]*Emissionsfaktoren[[#This Row],[2045]]/1000, 0)</f>
        <v>0</v>
      </c>
      <c r="X138" s="15">
        <f>IF(ISNUMBER(Refsz_Verbräuche[[#This Row],[2050]]), Refsz_Verbräuche[[#This Row],[2050]]*Emissionsfaktoren[[#This Row],[2050]]/1000, 0)</f>
        <v>0</v>
      </c>
    </row>
    <row r="139" spans="2:24" ht="16.5" hidden="1" x14ac:dyDescent="0.45">
      <c r="B139" s="15">
        <v>79</v>
      </c>
      <c r="C139" s="20" t="str">
        <f>Refsz_Verbräuche[[#This Row],[Datenpunkt]]</f>
        <v>Studierendenreisen (Incoming) - Eisenbahn (Nahverkehr)</v>
      </c>
      <c r="D139" t="s">
        <v>208</v>
      </c>
      <c r="E139" s="15">
        <f>IF(ISNUMBER(Refsz_Verbräuche[[#This Row],[2015]]), Refsz_Verbräuche[[#This Row],[2015]]*Emissionsfaktoren[[#This Row],[2015]]/1000, 0)</f>
        <v>0</v>
      </c>
      <c r="F139" s="15">
        <f>IF(ISNUMBER(Refsz_Verbräuche[[#This Row],[2016]]), Refsz_Verbräuche[[#This Row],[2016]]*Emissionsfaktoren[[#This Row],[2016]]/1000, 0)</f>
        <v>0</v>
      </c>
      <c r="G139" s="15">
        <f>IF(ISNUMBER(Refsz_Verbräuche[[#This Row],[2017]]), Refsz_Verbräuche[[#This Row],[2017]]*Emissionsfaktoren[[#This Row],[2017]]/1000, 0)</f>
        <v>0</v>
      </c>
      <c r="H139" s="15">
        <f>IF(ISNUMBER(Refsz_Verbräuche[[#This Row],[2018]]), Refsz_Verbräuche[[#This Row],[2018]]*Emissionsfaktoren[[#This Row],[2018]]/1000, 0)</f>
        <v>0</v>
      </c>
      <c r="I139" s="15">
        <f>IF(ISNUMBER(Refsz_Verbräuche[[#This Row],[2019]]), Refsz_Verbräuche[[#This Row],[2019]]*Emissionsfaktoren[[#This Row],[2019]]/1000, 0)</f>
        <v>0</v>
      </c>
      <c r="J139" s="15">
        <f>IF(ISNUMBER(Refsz_Verbräuche[[#This Row],[2020]]), Refsz_Verbräuche[[#This Row],[2020]]*Emissionsfaktoren[[#This Row],[2020]]/1000, 0)</f>
        <v>0</v>
      </c>
      <c r="K139" s="15">
        <f>IF(ISNUMBER(Refsz_Verbräuche[[#This Row],[2021]]), Refsz_Verbräuche[[#This Row],[2021]]*Emissionsfaktoren[[#This Row],[2021]]/1000, 0)</f>
        <v>0</v>
      </c>
      <c r="L139" s="15">
        <f>IF(ISNUMBER(Refsz_Verbräuche[[#This Row],[2022]]), Refsz_Verbräuche[[#This Row],[2022]]*Emissionsfaktoren[[#This Row],[2022]]/1000, 0)</f>
        <v>0</v>
      </c>
      <c r="M139" s="15">
        <f>IF(ISNUMBER(Refsz_Verbräuche[[#This Row],[2023]]), Refsz_Verbräuche[[#This Row],[2023]]*Emissionsfaktoren[[#This Row],[2023]]/1000, 0)</f>
        <v>0</v>
      </c>
      <c r="N139" s="15">
        <f>IF(ISNUMBER(Refsz_Verbräuche[[#This Row],[2024]]), Refsz_Verbräuche[[#This Row],[2024]]*Emissionsfaktoren[[#This Row],[2024]]/1000, 0)</f>
        <v>0</v>
      </c>
      <c r="O139" s="15">
        <f>IF(ISNUMBER(Refsz_Verbräuche[[#This Row],[2025]]), Refsz_Verbräuche[[#This Row],[2025]]*Emissionsfaktoren[[#This Row],[2025]]/1000, 0)</f>
        <v>0</v>
      </c>
      <c r="P139" s="15">
        <f>IF(ISNUMBER(Refsz_Verbräuche[[#This Row],[2026]]), Refsz_Verbräuche[[#This Row],[2026]]*Emissionsfaktoren[[#This Row],[2026]]/1000, 0)</f>
        <v>0</v>
      </c>
      <c r="Q139" s="15">
        <f>IF(ISNUMBER(Refsz_Verbräuche[[#This Row],[2027]]), Refsz_Verbräuche[[#This Row],[2027]]*Emissionsfaktoren[[#This Row],[2027]]/1000, 0)</f>
        <v>0</v>
      </c>
      <c r="R139" s="15">
        <f>IF(ISNUMBER(Refsz_Verbräuche[[#This Row],[2028]]), Refsz_Verbräuche[[#This Row],[2028]]*Emissionsfaktoren[[#This Row],[2028]]/1000, 0)</f>
        <v>0</v>
      </c>
      <c r="S139" s="15">
        <f>IF(ISNUMBER(Refsz_Verbräuche[[#This Row],[2029]]), Refsz_Verbräuche[[#This Row],[2029]]*Emissionsfaktoren[[#This Row],[2029]]/1000, 0)</f>
        <v>0</v>
      </c>
      <c r="T139" s="15">
        <f>IF(ISNUMBER(Refsz_Verbräuche[[#This Row],[2030]]), Refsz_Verbräuche[[#This Row],[2030]]*Emissionsfaktoren[[#This Row],[2030]]/1000, 0)</f>
        <v>0</v>
      </c>
      <c r="U139" s="15">
        <f>IF(ISNUMBER(Refsz_Verbräuche[[#This Row],[2035]]), Refsz_Verbräuche[[#This Row],[2035]]*Emissionsfaktoren[[#This Row],[2035]]/1000, 0)</f>
        <v>0</v>
      </c>
      <c r="V139" s="15">
        <f>IF(ISNUMBER(Refsz_Verbräuche[[#This Row],[2040]]), Refsz_Verbräuche[[#This Row],[2040]]*Emissionsfaktoren[[#This Row],[2040]]/1000, 0)</f>
        <v>0</v>
      </c>
      <c r="W139" s="15">
        <f>IF(ISNUMBER(Refsz_Verbräuche[[#This Row],[2045]]), Refsz_Verbräuche[[#This Row],[2045]]*Emissionsfaktoren[[#This Row],[2045]]/1000, 0)</f>
        <v>0</v>
      </c>
      <c r="X139" s="15">
        <f>IF(ISNUMBER(Refsz_Verbräuche[[#This Row],[2050]]), Refsz_Verbräuche[[#This Row],[2050]]*Emissionsfaktoren[[#This Row],[2050]]/1000, 0)</f>
        <v>0</v>
      </c>
    </row>
    <row r="140" spans="2:24" ht="16.5" hidden="1" x14ac:dyDescent="0.45">
      <c r="B140" s="15">
        <v>80</v>
      </c>
      <c r="C140" s="20" t="str">
        <f>Refsz_Verbräuche[[#This Row],[Datenpunkt]]</f>
        <v>Studierendenreisen (Incoming) - Privater PKW (alle Antriebsarten)</v>
      </c>
      <c r="D140" t="s">
        <v>208</v>
      </c>
      <c r="E140" s="15">
        <f>IF(ISNUMBER(Refsz_Verbräuche[[#This Row],[2015]]), Refsz_Verbräuche[[#This Row],[2015]]*Emissionsfaktoren[[#This Row],[2015]]/1000, 0)</f>
        <v>0</v>
      </c>
      <c r="F140" s="15">
        <f>IF(ISNUMBER(Refsz_Verbräuche[[#This Row],[2016]]), Refsz_Verbräuche[[#This Row],[2016]]*Emissionsfaktoren[[#This Row],[2016]]/1000, 0)</f>
        <v>0</v>
      </c>
      <c r="G140" s="15">
        <f>IF(ISNUMBER(Refsz_Verbräuche[[#This Row],[2017]]), Refsz_Verbräuche[[#This Row],[2017]]*Emissionsfaktoren[[#This Row],[2017]]/1000, 0)</f>
        <v>0</v>
      </c>
      <c r="H140" s="15">
        <f>IF(ISNUMBER(Refsz_Verbräuche[[#This Row],[2018]]), Refsz_Verbräuche[[#This Row],[2018]]*Emissionsfaktoren[[#This Row],[2018]]/1000, 0)</f>
        <v>0</v>
      </c>
      <c r="I140" s="15">
        <f>IF(ISNUMBER(Refsz_Verbräuche[[#This Row],[2019]]), Refsz_Verbräuche[[#This Row],[2019]]*Emissionsfaktoren[[#This Row],[2019]]/1000, 0)</f>
        <v>0</v>
      </c>
      <c r="J140" s="15">
        <f>IF(ISNUMBER(Refsz_Verbräuche[[#This Row],[2020]]), Refsz_Verbräuche[[#This Row],[2020]]*Emissionsfaktoren[[#This Row],[2020]]/1000, 0)</f>
        <v>0</v>
      </c>
      <c r="K140" s="15">
        <f>IF(ISNUMBER(Refsz_Verbräuche[[#This Row],[2021]]), Refsz_Verbräuche[[#This Row],[2021]]*Emissionsfaktoren[[#This Row],[2021]]/1000, 0)</f>
        <v>0</v>
      </c>
      <c r="L140" s="15">
        <f>IF(ISNUMBER(Refsz_Verbräuche[[#This Row],[2022]]), Refsz_Verbräuche[[#This Row],[2022]]*Emissionsfaktoren[[#This Row],[2022]]/1000, 0)</f>
        <v>0</v>
      </c>
      <c r="M140" s="15">
        <f>IF(ISNUMBER(Refsz_Verbräuche[[#This Row],[2023]]), Refsz_Verbräuche[[#This Row],[2023]]*Emissionsfaktoren[[#This Row],[2023]]/1000, 0)</f>
        <v>0</v>
      </c>
      <c r="N140" s="15">
        <f>IF(ISNUMBER(Refsz_Verbräuche[[#This Row],[2024]]), Refsz_Verbräuche[[#This Row],[2024]]*Emissionsfaktoren[[#This Row],[2024]]/1000, 0)</f>
        <v>0</v>
      </c>
      <c r="O140" s="15">
        <f>IF(ISNUMBER(Refsz_Verbräuche[[#This Row],[2025]]), Refsz_Verbräuche[[#This Row],[2025]]*Emissionsfaktoren[[#This Row],[2025]]/1000, 0)</f>
        <v>0</v>
      </c>
      <c r="P140" s="15">
        <f>IF(ISNUMBER(Refsz_Verbräuche[[#This Row],[2026]]), Refsz_Verbräuche[[#This Row],[2026]]*Emissionsfaktoren[[#This Row],[2026]]/1000, 0)</f>
        <v>0</v>
      </c>
      <c r="Q140" s="15">
        <f>IF(ISNUMBER(Refsz_Verbräuche[[#This Row],[2027]]), Refsz_Verbräuche[[#This Row],[2027]]*Emissionsfaktoren[[#This Row],[2027]]/1000, 0)</f>
        <v>0</v>
      </c>
      <c r="R140" s="15">
        <f>IF(ISNUMBER(Refsz_Verbräuche[[#This Row],[2028]]), Refsz_Verbräuche[[#This Row],[2028]]*Emissionsfaktoren[[#This Row],[2028]]/1000, 0)</f>
        <v>0</v>
      </c>
      <c r="S140" s="15">
        <f>IF(ISNUMBER(Refsz_Verbräuche[[#This Row],[2029]]), Refsz_Verbräuche[[#This Row],[2029]]*Emissionsfaktoren[[#This Row],[2029]]/1000, 0)</f>
        <v>0</v>
      </c>
      <c r="T140" s="15">
        <f>IF(ISNUMBER(Refsz_Verbräuche[[#This Row],[2030]]), Refsz_Verbräuche[[#This Row],[2030]]*Emissionsfaktoren[[#This Row],[2030]]/1000, 0)</f>
        <v>0</v>
      </c>
      <c r="U140" s="15">
        <f>IF(ISNUMBER(Refsz_Verbräuche[[#This Row],[2035]]), Refsz_Verbräuche[[#This Row],[2035]]*Emissionsfaktoren[[#This Row],[2035]]/1000, 0)</f>
        <v>0</v>
      </c>
      <c r="V140" s="15">
        <f>IF(ISNUMBER(Refsz_Verbräuche[[#This Row],[2040]]), Refsz_Verbräuche[[#This Row],[2040]]*Emissionsfaktoren[[#This Row],[2040]]/1000, 0)</f>
        <v>0</v>
      </c>
      <c r="W140" s="15">
        <f>IF(ISNUMBER(Refsz_Verbräuche[[#This Row],[2045]]), Refsz_Verbräuche[[#This Row],[2045]]*Emissionsfaktoren[[#This Row],[2045]]/1000, 0)</f>
        <v>0</v>
      </c>
      <c r="X140" s="15">
        <f>IF(ISNUMBER(Refsz_Verbräuche[[#This Row],[2050]]), Refsz_Verbräuche[[#This Row],[2050]]*Emissionsfaktoren[[#This Row],[2050]]/1000, 0)</f>
        <v>0</v>
      </c>
    </row>
    <row r="141" spans="2:24" ht="16.5" hidden="1" x14ac:dyDescent="0.45">
      <c r="B141" s="15">
        <v>81</v>
      </c>
      <c r="C141" s="20">
        <f>Refsz_Verbräuche[[#This Row],[Datenpunkt]]</f>
        <v>0</v>
      </c>
      <c r="D141" t="s">
        <v>208</v>
      </c>
      <c r="E141" s="15">
        <f>IF(ISNUMBER(Refsz_Verbräuche[[#This Row],[2015]]), Refsz_Verbräuche[[#This Row],[2015]]*Emissionsfaktoren[[#This Row],[2015]]/1000, 0)</f>
        <v>0</v>
      </c>
      <c r="F141" s="15">
        <f>IF(ISNUMBER(Refsz_Verbräuche[[#This Row],[2016]]), Refsz_Verbräuche[[#This Row],[2016]]*Emissionsfaktoren[[#This Row],[2016]]/1000, 0)</f>
        <v>0</v>
      </c>
      <c r="G141" s="15">
        <f>IF(ISNUMBER(Refsz_Verbräuche[[#This Row],[2017]]), Refsz_Verbräuche[[#This Row],[2017]]*Emissionsfaktoren[[#This Row],[2017]]/1000, 0)</f>
        <v>0</v>
      </c>
      <c r="H141" s="15">
        <f>IF(ISNUMBER(Refsz_Verbräuche[[#This Row],[2018]]), Refsz_Verbräuche[[#This Row],[2018]]*Emissionsfaktoren[[#This Row],[2018]]/1000, 0)</f>
        <v>0</v>
      </c>
      <c r="I141" s="15">
        <f>IF(ISNUMBER(Refsz_Verbräuche[[#This Row],[2019]]), Refsz_Verbräuche[[#This Row],[2019]]*Emissionsfaktoren[[#This Row],[2019]]/1000, 0)</f>
        <v>0</v>
      </c>
      <c r="J141" s="15">
        <f>IF(ISNUMBER(Refsz_Verbräuche[[#This Row],[2020]]), Refsz_Verbräuche[[#This Row],[2020]]*Emissionsfaktoren[[#This Row],[2020]]/1000, 0)</f>
        <v>0</v>
      </c>
      <c r="K141" s="15">
        <f>IF(ISNUMBER(Refsz_Verbräuche[[#This Row],[2021]]), Refsz_Verbräuche[[#This Row],[2021]]*Emissionsfaktoren[[#This Row],[2021]]/1000, 0)</f>
        <v>0</v>
      </c>
      <c r="L141" s="15">
        <f>IF(ISNUMBER(Refsz_Verbräuche[[#This Row],[2022]]), Refsz_Verbräuche[[#This Row],[2022]]*Emissionsfaktoren[[#This Row],[2022]]/1000, 0)</f>
        <v>0</v>
      </c>
      <c r="M141" s="15">
        <f>IF(ISNUMBER(Refsz_Verbräuche[[#This Row],[2023]]), Refsz_Verbräuche[[#This Row],[2023]]*Emissionsfaktoren[[#This Row],[2023]]/1000, 0)</f>
        <v>0</v>
      </c>
      <c r="N141" s="15">
        <f>IF(ISNUMBER(Refsz_Verbräuche[[#This Row],[2024]]), Refsz_Verbräuche[[#This Row],[2024]]*Emissionsfaktoren[[#This Row],[2024]]/1000, 0)</f>
        <v>0</v>
      </c>
      <c r="O141" s="15">
        <f>IF(ISNUMBER(Refsz_Verbräuche[[#This Row],[2025]]), Refsz_Verbräuche[[#This Row],[2025]]*Emissionsfaktoren[[#This Row],[2025]]/1000, 0)</f>
        <v>0</v>
      </c>
      <c r="P141" s="15">
        <f>IF(ISNUMBER(Refsz_Verbräuche[[#This Row],[2026]]), Refsz_Verbräuche[[#This Row],[2026]]*Emissionsfaktoren[[#This Row],[2026]]/1000, 0)</f>
        <v>0</v>
      </c>
      <c r="Q141" s="15">
        <f>IF(ISNUMBER(Refsz_Verbräuche[[#This Row],[2027]]), Refsz_Verbräuche[[#This Row],[2027]]*Emissionsfaktoren[[#This Row],[2027]]/1000, 0)</f>
        <v>0</v>
      </c>
      <c r="R141" s="15">
        <f>IF(ISNUMBER(Refsz_Verbräuche[[#This Row],[2028]]), Refsz_Verbräuche[[#This Row],[2028]]*Emissionsfaktoren[[#This Row],[2028]]/1000, 0)</f>
        <v>0</v>
      </c>
      <c r="S141" s="15">
        <f>IF(ISNUMBER(Refsz_Verbräuche[[#This Row],[2029]]), Refsz_Verbräuche[[#This Row],[2029]]*Emissionsfaktoren[[#This Row],[2029]]/1000, 0)</f>
        <v>0</v>
      </c>
      <c r="T141" s="15">
        <f>IF(ISNUMBER(Refsz_Verbräuche[[#This Row],[2030]]), Refsz_Verbräuche[[#This Row],[2030]]*Emissionsfaktoren[[#This Row],[2030]]/1000, 0)</f>
        <v>0</v>
      </c>
      <c r="U141" s="15">
        <f>IF(ISNUMBER(Refsz_Verbräuche[[#This Row],[2035]]), Refsz_Verbräuche[[#This Row],[2035]]*Emissionsfaktoren[[#This Row],[2035]]/1000, 0)</f>
        <v>0</v>
      </c>
      <c r="V141" s="15">
        <f>IF(ISNUMBER(Refsz_Verbräuche[[#This Row],[2040]]), Refsz_Verbräuche[[#This Row],[2040]]*Emissionsfaktoren[[#This Row],[2040]]/1000, 0)</f>
        <v>0</v>
      </c>
      <c r="W141" s="15">
        <f>IF(ISNUMBER(Refsz_Verbräuche[[#This Row],[2045]]), Refsz_Verbräuche[[#This Row],[2045]]*Emissionsfaktoren[[#This Row],[2045]]/1000, 0)</f>
        <v>0</v>
      </c>
      <c r="X141" s="15">
        <f>IF(ISNUMBER(Refsz_Verbräuche[[#This Row],[2050]]), Refsz_Verbräuche[[#This Row],[2050]]*Emissionsfaktoren[[#This Row],[2050]]/1000, 0)</f>
        <v>0</v>
      </c>
    </row>
    <row r="142" spans="2:24" ht="16.5" hidden="1" x14ac:dyDescent="0.45">
      <c r="B142" s="15">
        <v>82</v>
      </c>
      <c r="C142" s="20" t="str">
        <f>Refsz_Verbräuche[[#This Row],[Datenpunkt]]</f>
        <v>An- und Abreise von Gästen - Flugreisen</v>
      </c>
      <c r="D142" t="s">
        <v>208</v>
      </c>
      <c r="E142" s="15">
        <f>IF(ISNUMBER(Refsz_Verbräuche[[#This Row],[2015]]), Refsz_Verbräuche[[#This Row],[2015]]*Emissionsfaktoren[[#This Row],[2015]]/1000, 0)</f>
        <v>0</v>
      </c>
      <c r="F142" s="15">
        <f>IF(ISNUMBER(Refsz_Verbräuche[[#This Row],[2016]]), Refsz_Verbräuche[[#This Row],[2016]]*Emissionsfaktoren[[#This Row],[2016]]/1000, 0)</f>
        <v>0</v>
      </c>
      <c r="G142" s="15">
        <f>IF(ISNUMBER(Refsz_Verbräuche[[#This Row],[2017]]), Refsz_Verbräuche[[#This Row],[2017]]*Emissionsfaktoren[[#This Row],[2017]]/1000, 0)</f>
        <v>0</v>
      </c>
      <c r="H142" s="15">
        <f>IF(ISNUMBER(Refsz_Verbräuche[[#This Row],[2018]]), Refsz_Verbräuche[[#This Row],[2018]]*Emissionsfaktoren[[#This Row],[2018]]/1000, 0)</f>
        <v>0</v>
      </c>
      <c r="I142" s="15">
        <f>IF(ISNUMBER(Refsz_Verbräuche[[#This Row],[2019]]), Refsz_Verbräuche[[#This Row],[2019]]*Emissionsfaktoren[[#This Row],[2019]]/1000, 0)</f>
        <v>0</v>
      </c>
      <c r="J142" s="15">
        <f>IF(ISNUMBER(Refsz_Verbräuche[[#This Row],[2020]]), Refsz_Verbräuche[[#This Row],[2020]]*Emissionsfaktoren[[#This Row],[2020]]/1000, 0)</f>
        <v>0</v>
      </c>
      <c r="K142" s="15">
        <f>IF(ISNUMBER(Refsz_Verbräuche[[#This Row],[2021]]), Refsz_Verbräuche[[#This Row],[2021]]*Emissionsfaktoren[[#This Row],[2021]]/1000, 0)</f>
        <v>0</v>
      </c>
      <c r="L142" s="15">
        <f>IF(ISNUMBER(Refsz_Verbräuche[[#This Row],[2022]]), Refsz_Verbräuche[[#This Row],[2022]]*Emissionsfaktoren[[#This Row],[2022]]/1000, 0)</f>
        <v>0</v>
      </c>
      <c r="M142" s="15">
        <f>IF(ISNUMBER(Refsz_Verbräuche[[#This Row],[2023]]), Refsz_Verbräuche[[#This Row],[2023]]*Emissionsfaktoren[[#This Row],[2023]]/1000, 0)</f>
        <v>0</v>
      </c>
      <c r="N142" s="15">
        <f>IF(ISNUMBER(Refsz_Verbräuche[[#This Row],[2024]]), Refsz_Verbräuche[[#This Row],[2024]]*Emissionsfaktoren[[#This Row],[2024]]/1000, 0)</f>
        <v>0</v>
      </c>
      <c r="O142" s="15">
        <f>IF(ISNUMBER(Refsz_Verbräuche[[#This Row],[2025]]), Refsz_Verbräuche[[#This Row],[2025]]*Emissionsfaktoren[[#This Row],[2025]]/1000, 0)</f>
        <v>0</v>
      </c>
      <c r="P142" s="15">
        <f>IF(ISNUMBER(Refsz_Verbräuche[[#This Row],[2026]]), Refsz_Verbräuche[[#This Row],[2026]]*Emissionsfaktoren[[#This Row],[2026]]/1000, 0)</f>
        <v>0</v>
      </c>
      <c r="Q142" s="15">
        <f>IF(ISNUMBER(Refsz_Verbräuche[[#This Row],[2027]]), Refsz_Verbräuche[[#This Row],[2027]]*Emissionsfaktoren[[#This Row],[2027]]/1000, 0)</f>
        <v>0</v>
      </c>
      <c r="R142" s="15">
        <f>IF(ISNUMBER(Refsz_Verbräuche[[#This Row],[2028]]), Refsz_Verbräuche[[#This Row],[2028]]*Emissionsfaktoren[[#This Row],[2028]]/1000, 0)</f>
        <v>0</v>
      </c>
      <c r="S142" s="15">
        <f>IF(ISNUMBER(Refsz_Verbräuche[[#This Row],[2029]]), Refsz_Verbräuche[[#This Row],[2029]]*Emissionsfaktoren[[#This Row],[2029]]/1000, 0)</f>
        <v>0</v>
      </c>
      <c r="T142" s="15">
        <f>IF(ISNUMBER(Refsz_Verbräuche[[#This Row],[2030]]), Refsz_Verbräuche[[#This Row],[2030]]*Emissionsfaktoren[[#This Row],[2030]]/1000, 0)</f>
        <v>0</v>
      </c>
      <c r="U142" s="15">
        <f>IF(ISNUMBER(Refsz_Verbräuche[[#This Row],[2035]]), Refsz_Verbräuche[[#This Row],[2035]]*Emissionsfaktoren[[#This Row],[2035]]/1000, 0)</f>
        <v>0</v>
      </c>
      <c r="V142" s="15">
        <f>IF(ISNUMBER(Refsz_Verbräuche[[#This Row],[2040]]), Refsz_Verbräuche[[#This Row],[2040]]*Emissionsfaktoren[[#This Row],[2040]]/1000, 0)</f>
        <v>0</v>
      </c>
      <c r="W142" s="15">
        <f>IF(ISNUMBER(Refsz_Verbräuche[[#This Row],[2045]]), Refsz_Verbräuche[[#This Row],[2045]]*Emissionsfaktoren[[#This Row],[2045]]/1000, 0)</f>
        <v>0</v>
      </c>
      <c r="X142" s="15">
        <f>IF(ISNUMBER(Refsz_Verbräuche[[#This Row],[2050]]), Refsz_Verbräuche[[#This Row],[2050]]*Emissionsfaktoren[[#This Row],[2050]]/1000, 0)</f>
        <v>0</v>
      </c>
    </row>
    <row r="143" spans="2:24" ht="16.5" hidden="1" x14ac:dyDescent="0.45">
      <c r="B143" s="15">
        <v>83</v>
      </c>
      <c r="C143" s="20" t="str">
        <f>Refsz_Verbräuche[[#This Row],[Datenpunkt]]</f>
        <v>An- und Abreise von Gästen - Eisenbahn (Nahverkehr)</v>
      </c>
      <c r="D143" t="s">
        <v>208</v>
      </c>
      <c r="E143" s="15">
        <f>IF(ISNUMBER(Refsz_Verbräuche[[#This Row],[2015]]), Refsz_Verbräuche[[#This Row],[2015]]*Emissionsfaktoren[[#This Row],[2015]]/1000, 0)</f>
        <v>0</v>
      </c>
      <c r="F143" s="15">
        <f>IF(ISNUMBER(Refsz_Verbräuche[[#This Row],[2016]]), Refsz_Verbräuche[[#This Row],[2016]]*Emissionsfaktoren[[#This Row],[2016]]/1000, 0)</f>
        <v>0</v>
      </c>
      <c r="G143" s="15">
        <f>IF(ISNUMBER(Refsz_Verbräuche[[#This Row],[2017]]), Refsz_Verbräuche[[#This Row],[2017]]*Emissionsfaktoren[[#This Row],[2017]]/1000, 0)</f>
        <v>0</v>
      </c>
      <c r="H143" s="15">
        <f>IF(ISNUMBER(Refsz_Verbräuche[[#This Row],[2018]]), Refsz_Verbräuche[[#This Row],[2018]]*Emissionsfaktoren[[#This Row],[2018]]/1000, 0)</f>
        <v>0</v>
      </c>
      <c r="I143" s="15">
        <f>IF(ISNUMBER(Refsz_Verbräuche[[#This Row],[2019]]), Refsz_Verbräuche[[#This Row],[2019]]*Emissionsfaktoren[[#This Row],[2019]]/1000, 0)</f>
        <v>0</v>
      </c>
      <c r="J143" s="15">
        <f>IF(ISNUMBER(Refsz_Verbräuche[[#This Row],[2020]]), Refsz_Verbräuche[[#This Row],[2020]]*Emissionsfaktoren[[#This Row],[2020]]/1000, 0)</f>
        <v>0</v>
      </c>
      <c r="K143" s="15">
        <f>IF(ISNUMBER(Refsz_Verbräuche[[#This Row],[2021]]), Refsz_Verbräuche[[#This Row],[2021]]*Emissionsfaktoren[[#This Row],[2021]]/1000, 0)</f>
        <v>0</v>
      </c>
      <c r="L143" s="15">
        <f>IF(ISNUMBER(Refsz_Verbräuche[[#This Row],[2022]]), Refsz_Verbräuche[[#This Row],[2022]]*Emissionsfaktoren[[#This Row],[2022]]/1000, 0)</f>
        <v>0</v>
      </c>
      <c r="M143" s="15">
        <f>IF(ISNUMBER(Refsz_Verbräuche[[#This Row],[2023]]), Refsz_Verbräuche[[#This Row],[2023]]*Emissionsfaktoren[[#This Row],[2023]]/1000, 0)</f>
        <v>0</v>
      </c>
      <c r="N143" s="15">
        <f>IF(ISNUMBER(Refsz_Verbräuche[[#This Row],[2024]]), Refsz_Verbräuche[[#This Row],[2024]]*Emissionsfaktoren[[#This Row],[2024]]/1000, 0)</f>
        <v>0</v>
      </c>
      <c r="O143" s="15">
        <f>IF(ISNUMBER(Refsz_Verbräuche[[#This Row],[2025]]), Refsz_Verbräuche[[#This Row],[2025]]*Emissionsfaktoren[[#This Row],[2025]]/1000, 0)</f>
        <v>0</v>
      </c>
      <c r="P143" s="15">
        <f>IF(ISNUMBER(Refsz_Verbräuche[[#This Row],[2026]]), Refsz_Verbräuche[[#This Row],[2026]]*Emissionsfaktoren[[#This Row],[2026]]/1000, 0)</f>
        <v>0</v>
      </c>
      <c r="Q143" s="15">
        <f>IF(ISNUMBER(Refsz_Verbräuche[[#This Row],[2027]]), Refsz_Verbräuche[[#This Row],[2027]]*Emissionsfaktoren[[#This Row],[2027]]/1000, 0)</f>
        <v>0</v>
      </c>
      <c r="R143" s="15">
        <f>IF(ISNUMBER(Refsz_Verbräuche[[#This Row],[2028]]), Refsz_Verbräuche[[#This Row],[2028]]*Emissionsfaktoren[[#This Row],[2028]]/1000, 0)</f>
        <v>0</v>
      </c>
      <c r="S143" s="15">
        <f>IF(ISNUMBER(Refsz_Verbräuche[[#This Row],[2029]]), Refsz_Verbräuche[[#This Row],[2029]]*Emissionsfaktoren[[#This Row],[2029]]/1000, 0)</f>
        <v>0</v>
      </c>
      <c r="T143" s="15">
        <f>IF(ISNUMBER(Refsz_Verbräuche[[#This Row],[2030]]), Refsz_Verbräuche[[#This Row],[2030]]*Emissionsfaktoren[[#This Row],[2030]]/1000, 0)</f>
        <v>0</v>
      </c>
      <c r="U143" s="15">
        <f>IF(ISNUMBER(Refsz_Verbräuche[[#This Row],[2035]]), Refsz_Verbräuche[[#This Row],[2035]]*Emissionsfaktoren[[#This Row],[2035]]/1000, 0)</f>
        <v>0</v>
      </c>
      <c r="V143" s="15">
        <f>IF(ISNUMBER(Refsz_Verbräuche[[#This Row],[2040]]), Refsz_Verbräuche[[#This Row],[2040]]*Emissionsfaktoren[[#This Row],[2040]]/1000, 0)</f>
        <v>0</v>
      </c>
      <c r="W143" s="15">
        <f>IF(ISNUMBER(Refsz_Verbräuche[[#This Row],[2045]]), Refsz_Verbräuche[[#This Row],[2045]]*Emissionsfaktoren[[#This Row],[2045]]/1000, 0)</f>
        <v>0</v>
      </c>
      <c r="X143" s="15">
        <f>IF(ISNUMBER(Refsz_Verbräuche[[#This Row],[2050]]), Refsz_Verbräuche[[#This Row],[2050]]*Emissionsfaktoren[[#This Row],[2050]]/1000, 0)</f>
        <v>0</v>
      </c>
    </row>
    <row r="144" spans="2:24" ht="16.5" hidden="1" x14ac:dyDescent="0.45">
      <c r="B144" s="15">
        <v>84</v>
      </c>
      <c r="C144" s="20" t="str">
        <f>Refsz_Verbräuche[[#This Row],[Datenpunkt]]</f>
        <v>An- und Abreise von Gästen - Privater PKW (alle Antriebsarten)</v>
      </c>
      <c r="D144" t="s">
        <v>208</v>
      </c>
      <c r="E144" s="15">
        <f>IF(ISNUMBER(Refsz_Verbräuche[[#This Row],[2015]]), Refsz_Verbräuche[[#This Row],[2015]]*Emissionsfaktoren[[#This Row],[2015]]/1000, 0)</f>
        <v>0</v>
      </c>
      <c r="F144" s="15">
        <f>IF(ISNUMBER(Refsz_Verbräuche[[#This Row],[2016]]), Refsz_Verbräuche[[#This Row],[2016]]*Emissionsfaktoren[[#This Row],[2016]]/1000, 0)</f>
        <v>0</v>
      </c>
      <c r="G144" s="15">
        <f>IF(ISNUMBER(Refsz_Verbräuche[[#This Row],[2017]]), Refsz_Verbräuche[[#This Row],[2017]]*Emissionsfaktoren[[#This Row],[2017]]/1000, 0)</f>
        <v>0</v>
      </c>
      <c r="H144" s="15">
        <f>IF(ISNUMBER(Refsz_Verbräuche[[#This Row],[2018]]), Refsz_Verbräuche[[#This Row],[2018]]*Emissionsfaktoren[[#This Row],[2018]]/1000, 0)</f>
        <v>0</v>
      </c>
      <c r="I144" s="15">
        <f>IF(ISNUMBER(Refsz_Verbräuche[[#This Row],[2019]]), Refsz_Verbräuche[[#This Row],[2019]]*Emissionsfaktoren[[#This Row],[2019]]/1000, 0)</f>
        <v>0</v>
      </c>
      <c r="J144" s="15">
        <f>IF(ISNUMBER(Refsz_Verbräuche[[#This Row],[2020]]), Refsz_Verbräuche[[#This Row],[2020]]*Emissionsfaktoren[[#This Row],[2020]]/1000, 0)</f>
        <v>0</v>
      </c>
      <c r="K144" s="15">
        <f>IF(ISNUMBER(Refsz_Verbräuche[[#This Row],[2021]]), Refsz_Verbräuche[[#This Row],[2021]]*Emissionsfaktoren[[#This Row],[2021]]/1000, 0)</f>
        <v>0</v>
      </c>
      <c r="L144" s="15">
        <f>IF(ISNUMBER(Refsz_Verbräuche[[#This Row],[2022]]), Refsz_Verbräuche[[#This Row],[2022]]*Emissionsfaktoren[[#This Row],[2022]]/1000, 0)</f>
        <v>0</v>
      </c>
      <c r="M144" s="15">
        <f>IF(ISNUMBER(Refsz_Verbräuche[[#This Row],[2023]]), Refsz_Verbräuche[[#This Row],[2023]]*Emissionsfaktoren[[#This Row],[2023]]/1000, 0)</f>
        <v>0</v>
      </c>
      <c r="N144" s="15">
        <f>IF(ISNUMBER(Refsz_Verbräuche[[#This Row],[2024]]), Refsz_Verbräuche[[#This Row],[2024]]*Emissionsfaktoren[[#This Row],[2024]]/1000, 0)</f>
        <v>0</v>
      </c>
      <c r="O144" s="15">
        <f>IF(ISNUMBER(Refsz_Verbräuche[[#This Row],[2025]]), Refsz_Verbräuche[[#This Row],[2025]]*Emissionsfaktoren[[#This Row],[2025]]/1000, 0)</f>
        <v>0</v>
      </c>
      <c r="P144" s="15">
        <f>IF(ISNUMBER(Refsz_Verbräuche[[#This Row],[2026]]), Refsz_Verbräuche[[#This Row],[2026]]*Emissionsfaktoren[[#This Row],[2026]]/1000, 0)</f>
        <v>0</v>
      </c>
      <c r="Q144" s="15">
        <f>IF(ISNUMBER(Refsz_Verbräuche[[#This Row],[2027]]), Refsz_Verbräuche[[#This Row],[2027]]*Emissionsfaktoren[[#This Row],[2027]]/1000, 0)</f>
        <v>0</v>
      </c>
      <c r="R144" s="15">
        <f>IF(ISNUMBER(Refsz_Verbräuche[[#This Row],[2028]]), Refsz_Verbräuche[[#This Row],[2028]]*Emissionsfaktoren[[#This Row],[2028]]/1000, 0)</f>
        <v>0</v>
      </c>
      <c r="S144" s="15">
        <f>IF(ISNUMBER(Refsz_Verbräuche[[#This Row],[2029]]), Refsz_Verbräuche[[#This Row],[2029]]*Emissionsfaktoren[[#This Row],[2029]]/1000, 0)</f>
        <v>0</v>
      </c>
      <c r="T144" s="15">
        <f>IF(ISNUMBER(Refsz_Verbräuche[[#This Row],[2030]]), Refsz_Verbräuche[[#This Row],[2030]]*Emissionsfaktoren[[#This Row],[2030]]/1000, 0)</f>
        <v>0</v>
      </c>
      <c r="U144" s="15">
        <f>IF(ISNUMBER(Refsz_Verbräuche[[#This Row],[2035]]), Refsz_Verbräuche[[#This Row],[2035]]*Emissionsfaktoren[[#This Row],[2035]]/1000, 0)</f>
        <v>0</v>
      </c>
      <c r="V144" s="15">
        <f>IF(ISNUMBER(Refsz_Verbräuche[[#This Row],[2040]]), Refsz_Verbräuche[[#This Row],[2040]]*Emissionsfaktoren[[#This Row],[2040]]/1000, 0)</f>
        <v>0</v>
      </c>
      <c r="W144" s="15">
        <f>IF(ISNUMBER(Refsz_Verbräuche[[#This Row],[2045]]), Refsz_Verbräuche[[#This Row],[2045]]*Emissionsfaktoren[[#This Row],[2045]]/1000, 0)</f>
        <v>0</v>
      </c>
      <c r="X144" s="15">
        <f>IF(ISNUMBER(Refsz_Verbräuche[[#This Row],[2050]]), Refsz_Verbräuche[[#This Row],[2050]]*Emissionsfaktoren[[#This Row],[2050]]/1000, 0)</f>
        <v>0</v>
      </c>
    </row>
    <row r="145" spans="2:24" ht="16.5" hidden="1" x14ac:dyDescent="0.45">
      <c r="B145" s="15">
        <v>85</v>
      </c>
      <c r="C145" s="20">
        <f>Refsz_Verbräuche[[#This Row],[Datenpunkt]]</f>
        <v>0</v>
      </c>
      <c r="D145" t="s">
        <v>208</v>
      </c>
      <c r="E145" s="15">
        <f>IF(ISNUMBER(Refsz_Verbräuche[[#This Row],[2015]]), Refsz_Verbräuche[[#This Row],[2015]]*Emissionsfaktoren[[#This Row],[2015]]/1000, 0)</f>
        <v>0</v>
      </c>
      <c r="F145" s="15">
        <f>IF(ISNUMBER(Refsz_Verbräuche[[#This Row],[2016]]), Refsz_Verbräuche[[#This Row],[2016]]*Emissionsfaktoren[[#This Row],[2016]]/1000, 0)</f>
        <v>0</v>
      </c>
      <c r="G145" s="15">
        <f>IF(ISNUMBER(Refsz_Verbräuche[[#This Row],[2017]]), Refsz_Verbräuche[[#This Row],[2017]]*Emissionsfaktoren[[#This Row],[2017]]/1000, 0)</f>
        <v>0</v>
      </c>
      <c r="H145" s="15">
        <f>IF(ISNUMBER(Refsz_Verbräuche[[#This Row],[2018]]), Refsz_Verbräuche[[#This Row],[2018]]*Emissionsfaktoren[[#This Row],[2018]]/1000, 0)</f>
        <v>0</v>
      </c>
      <c r="I145" s="15">
        <f>IF(ISNUMBER(Refsz_Verbräuche[[#This Row],[2019]]), Refsz_Verbräuche[[#This Row],[2019]]*Emissionsfaktoren[[#This Row],[2019]]/1000, 0)</f>
        <v>0</v>
      </c>
      <c r="J145" s="15">
        <f>IF(ISNUMBER(Refsz_Verbräuche[[#This Row],[2020]]), Refsz_Verbräuche[[#This Row],[2020]]*Emissionsfaktoren[[#This Row],[2020]]/1000, 0)</f>
        <v>0</v>
      </c>
      <c r="K145" s="15">
        <f>IF(ISNUMBER(Refsz_Verbräuche[[#This Row],[2021]]), Refsz_Verbräuche[[#This Row],[2021]]*Emissionsfaktoren[[#This Row],[2021]]/1000, 0)</f>
        <v>0</v>
      </c>
      <c r="L145" s="15">
        <f>IF(ISNUMBER(Refsz_Verbräuche[[#This Row],[2022]]), Refsz_Verbräuche[[#This Row],[2022]]*Emissionsfaktoren[[#This Row],[2022]]/1000, 0)</f>
        <v>0</v>
      </c>
      <c r="M145" s="15">
        <f>IF(ISNUMBER(Refsz_Verbräuche[[#This Row],[2023]]), Refsz_Verbräuche[[#This Row],[2023]]*Emissionsfaktoren[[#This Row],[2023]]/1000, 0)</f>
        <v>0</v>
      </c>
      <c r="N145" s="15">
        <f>IF(ISNUMBER(Refsz_Verbräuche[[#This Row],[2024]]), Refsz_Verbräuche[[#This Row],[2024]]*Emissionsfaktoren[[#This Row],[2024]]/1000, 0)</f>
        <v>0</v>
      </c>
      <c r="O145" s="15">
        <f>IF(ISNUMBER(Refsz_Verbräuche[[#This Row],[2025]]), Refsz_Verbräuche[[#This Row],[2025]]*Emissionsfaktoren[[#This Row],[2025]]/1000, 0)</f>
        <v>0</v>
      </c>
      <c r="P145" s="15">
        <f>IF(ISNUMBER(Refsz_Verbräuche[[#This Row],[2026]]), Refsz_Verbräuche[[#This Row],[2026]]*Emissionsfaktoren[[#This Row],[2026]]/1000, 0)</f>
        <v>0</v>
      </c>
      <c r="Q145" s="15">
        <f>IF(ISNUMBER(Refsz_Verbräuche[[#This Row],[2027]]), Refsz_Verbräuche[[#This Row],[2027]]*Emissionsfaktoren[[#This Row],[2027]]/1000, 0)</f>
        <v>0</v>
      </c>
      <c r="R145" s="15">
        <f>IF(ISNUMBER(Refsz_Verbräuche[[#This Row],[2028]]), Refsz_Verbräuche[[#This Row],[2028]]*Emissionsfaktoren[[#This Row],[2028]]/1000, 0)</f>
        <v>0</v>
      </c>
      <c r="S145" s="15">
        <f>IF(ISNUMBER(Refsz_Verbräuche[[#This Row],[2029]]), Refsz_Verbräuche[[#This Row],[2029]]*Emissionsfaktoren[[#This Row],[2029]]/1000, 0)</f>
        <v>0</v>
      </c>
      <c r="T145" s="15">
        <f>IF(ISNUMBER(Refsz_Verbräuche[[#This Row],[2030]]), Refsz_Verbräuche[[#This Row],[2030]]*Emissionsfaktoren[[#This Row],[2030]]/1000, 0)</f>
        <v>0</v>
      </c>
      <c r="U145" s="15">
        <f>IF(ISNUMBER(Refsz_Verbräuche[[#This Row],[2035]]), Refsz_Verbräuche[[#This Row],[2035]]*Emissionsfaktoren[[#This Row],[2035]]/1000, 0)</f>
        <v>0</v>
      </c>
      <c r="V145" s="15">
        <f>IF(ISNUMBER(Refsz_Verbräuche[[#This Row],[2040]]), Refsz_Verbräuche[[#This Row],[2040]]*Emissionsfaktoren[[#This Row],[2040]]/1000, 0)</f>
        <v>0</v>
      </c>
      <c r="W145" s="15">
        <f>IF(ISNUMBER(Refsz_Verbräuche[[#This Row],[2045]]), Refsz_Verbräuche[[#This Row],[2045]]*Emissionsfaktoren[[#This Row],[2045]]/1000, 0)</f>
        <v>0</v>
      </c>
      <c r="X145" s="15">
        <f>IF(ISNUMBER(Refsz_Verbräuche[[#This Row],[2050]]), Refsz_Verbräuche[[#This Row],[2050]]*Emissionsfaktoren[[#This Row],[2050]]/1000, 0)</f>
        <v>0</v>
      </c>
    </row>
    <row r="146" spans="2:24" ht="16.5" hidden="1" x14ac:dyDescent="0.45">
      <c r="B146" s="15">
        <v>86</v>
      </c>
      <c r="C146" s="20" t="str">
        <f>Refsz_Verbräuche[[#This Row],[Datenpunkt]]</f>
        <v>Abwasser</v>
      </c>
      <c r="D146" t="s">
        <v>208</v>
      </c>
      <c r="E146" s="15">
        <f>IF(ISNUMBER(Refsz_Verbräuche[[#This Row],[2015]]), Refsz_Verbräuche[[#This Row],[2015]]*Emissionsfaktoren[[#This Row],[2015]]/1000, 0)</f>
        <v>0</v>
      </c>
      <c r="F146" s="15">
        <f>IF(ISNUMBER(Refsz_Verbräuche[[#This Row],[2016]]), Refsz_Verbräuche[[#This Row],[2016]]*Emissionsfaktoren[[#This Row],[2016]]/1000, 0)</f>
        <v>0</v>
      </c>
      <c r="G146" s="15">
        <f>IF(ISNUMBER(Refsz_Verbräuche[[#This Row],[2017]]), Refsz_Verbräuche[[#This Row],[2017]]*Emissionsfaktoren[[#This Row],[2017]]/1000, 0)</f>
        <v>0</v>
      </c>
      <c r="H146" s="15">
        <f>IF(ISNUMBER(Refsz_Verbräuche[[#This Row],[2018]]), Refsz_Verbräuche[[#This Row],[2018]]*Emissionsfaktoren[[#This Row],[2018]]/1000, 0)</f>
        <v>0</v>
      </c>
      <c r="I146" s="15">
        <f>IF(ISNUMBER(Refsz_Verbräuche[[#This Row],[2019]]), Refsz_Verbräuche[[#This Row],[2019]]*Emissionsfaktoren[[#This Row],[2019]]/1000, 0)</f>
        <v>0</v>
      </c>
      <c r="J146" s="15">
        <f>IF(ISNUMBER(Refsz_Verbräuche[[#This Row],[2020]]), Refsz_Verbräuche[[#This Row],[2020]]*Emissionsfaktoren[[#This Row],[2020]]/1000, 0)</f>
        <v>0</v>
      </c>
      <c r="K146" s="15">
        <f>IF(ISNUMBER(Refsz_Verbräuche[[#This Row],[2021]]), Refsz_Verbräuche[[#This Row],[2021]]*Emissionsfaktoren[[#This Row],[2021]]/1000, 0)</f>
        <v>0</v>
      </c>
      <c r="L146" s="15">
        <f>IF(ISNUMBER(Refsz_Verbräuche[[#This Row],[2022]]), Refsz_Verbräuche[[#This Row],[2022]]*Emissionsfaktoren[[#This Row],[2022]]/1000, 0)</f>
        <v>0</v>
      </c>
      <c r="M146" s="15">
        <f>IF(ISNUMBER(Refsz_Verbräuche[[#This Row],[2023]]), Refsz_Verbräuche[[#This Row],[2023]]*Emissionsfaktoren[[#This Row],[2023]]/1000, 0)</f>
        <v>0</v>
      </c>
      <c r="N146" s="15">
        <f>IF(ISNUMBER(Refsz_Verbräuche[[#This Row],[2024]]), Refsz_Verbräuche[[#This Row],[2024]]*Emissionsfaktoren[[#This Row],[2024]]/1000, 0)</f>
        <v>0</v>
      </c>
      <c r="O146" s="15">
        <f>IF(ISNUMBER(Refsz_Verbräuche[[#This Row],[2025]]), Refsz_Verbräuche[[#This Row],[2025]]*Emissionsfaktoren[[#This Row],[2025]]/1000, 0)</f>
        <v>0</v>
      </c>
      <c r="P146" s="15">
        <f>IF(ISNUMBER(Refsz_Verbräuche[[#This Row],[2026]]), Refsz_Verbräuche[[#This Row],[2026]]*Emissionsfaktoren[[#This Row],[2026]]/1000, 0)</f>
        <v>0</v>
      </c>
      <c r="Q146" s="15">
        <f>IF(ISNUMBER(Refsz_Verbräuche[[#This Row],[2027]]), Refsz_Verbräuche[[#This Row],[2027]]*Emissionsfaktoren[[#This Row],[2027]]/1000, 0)</f>
        <v>0</v>
      </c>
      <c r="R146" s="15">
        <f>IF(ISNUMBER(Refsz_Verbräuche[[#This Row],[2028]]), Refsz_Verbräuche[[#This Row],[2028]]*Emissionsfaktoren[[#This Row],[2028]]/1000, 0)</f>
        <v>0</v>
      </c>
      <c r="S146" s="15">
        <f>IF(ISNUMBER(Refsz_Verbräuche[[#This Row],[2029]]), Refsz_Verbräuche[[#This Row],[2029]]*Emissionsfaktoren[[#This Row],[2029]]/1000, 0)</f>
        <v>0</v>
      </c>
      <c r="T146" s="15">
        <f>IF(ISNUMBER(Refsz_Verbräuche[[#This Row],[2030]]), Refsz_Verbräuche[[#This Row],[2030]]*Emissionsfaktoren[[#This Row],[2030]]/1000, 0)</f>
        <v>0</v>
      </c>
      <c r="U146" s="15">
        <f>IF(ISNUMBER(Refsz_Verbräuche[[#This Row],[2035]]), Refsz_Verbräuche[[#This Row],[2035]]*Emissionsfaktoren[[#This Row],[2035]]/1000, 0)</f>
        <v>0</v>
      </c>
      <c r="V146" s="15">
        <f>IF(ISNUMBER(Refsz_Verbräuche[[#This Row],[2040]]), Refsz_Verbräuche[[#This Row],[2040]]*Emissionsfaktoren[[#This Row],[2040]]/1000, 0)</f>
        <v>0</v>
      </c>
      <c r="W146" s="15">
        <f>IF(ISNUMBER(Refsz_Verbräuche[[#This Row],[2045]]), Refsz_Verbräuche[[#This Row],[2045]]*Emissionsfaktoren[[#This Row],[2045]]/1000, 0)</f>
        <v>0</v>
      </c>
      <c r="X146" s="15">
        <f>IF(ISNUMBER(Refsz_Verbräuche[[#This Row],[2050]]), Refsz_Verbräuche[[#This Row],[2050]]*Emissionsfaktoren[[#This Row],[2050]]/1000, 0)</f>
        <v>0</v>
      </c>
    </row>
    <row r="147" spans="2:24" ht="16.5" hidden="1" x14ac:dyDescent="0.45">
      <c r="B147" s="15">
        <v>87</v>
      </c>
      <c r="C147" s="20" t="str">
        <f>Refsz_Verbräuche[[#This Row],[Datenpunkt]]</f>
        <v>Trinkwasser</v>
      </c>
      <c r="D147" t="s">
        <v>208</v>
      </c>
      <c r="E147" s="15">
        <f>IF(ISNUMBER(Refsz_Verbräuche[[#This Row],[2015]]), Refsz_Verbräuche[[#This Row],[2015]]*Emissionsfaktoren[[#This Row],[2015]]/1000, 0)</f>
        <v>0</v>
      </c>
      <c r="F147" s="15">
        <f>IF(ISNUMBER(Refsz_Verbräuche[[#This Row],[2016]]), Refsz_Verbräuche[[#This Row],[2016]]*Emissionsfaktoren[[#This Row],[2016]]/1000, 0)</f>
        <v>0</v>
      </c>
      <c r="G147" s="15">
        <f>IF(ISNUMBER(Refsz_Verbräuche[[#This Row],[2017]]), Refsz_Verbräuche[[#This Row],[2017]]*Emissionsfaktoren[[#This Row],[2017]]/1000, 0)</f>
        <v>0</v>
      </c>
      <c r="H147" s="15">
        <f>IF(ISNUMBER(Refsz_Verbräuche[[#This Row],[2018]]), Refsz_Verbräuche[[#This Row],[2018]]*Emissionsfaktoren[[#This Row],[2018]]/1000, 0)</f>
        <v>0</v>
      </c>
      <c r="I147" s="15">
        <f>IF(ISNUMBER(Refsz_Verbräuche[[#This Row],[2019]]), Refsz_Verbräuche[[#This Row],[2019]]*Emissionsfaktoren[[#This Row],[2019]]/1000, 0)</f>
        <v>0</v>
      </c>
      <c r="J147" s="15">
        <f>IF(ISNUMBER(Refsz_Verbräuche[[#This Row],[2020]]), Refsz_Verbräuche[[#This Row],[2020]]*Emissionsfaktoren[[#This Row],[2020]]/1000, 0)</f>
        <v>0</v>
      </c>
      <c r="K147" s="15">
        <f>IF(ISNUMBER(Refsz_Verbräuche[[#This Row],[2021]]), Refsz_Verbräuche[[#This Row],[2021]]*Emissionsfaktoren[[#This Row],[2021]]/1000, 0)</f>
        <v>0</v>
      </c>
      <c r="L147" s="15">
        <f>IF(ISNUMBER(Refsz_Verbräuche[[#This Row],[2022]]), Refsz_Verbräuche[[#This Row],[2022]]*Emissionsfaktoren[[#This Row],[2022]]/1000, 0)</f>
        <v>0</v>
      </c>
      <c r="M147" s="15">
        <f>IF(ISNUMBER(Refsz_Verbräuche[[#This Row],[2023]]), Refsz_Verbräuche[[#This Row],[2023]]*Emissionsfaktoren[[#This Row],[2023]]/1000, 0)</f>
        <v>0</v>
      </c>
      <c r="N147" s="15">
        <f>IF(ISNUMBER(Refsz_Verbräuche[[#This Row],[2024]]), Refsz_Verbräuche[[#This Row],[2024]]*Emissionsfaktoren[[#This Row],[2024]]/1000, 0)</f>
        <v>0</v>
      </c>
      <c r="O147" s="15">
        <f>IF(ISNUMBER(Refsz_Verbräuche[[#This Row],[2025]]), Refsz_Verbräuche[[#This Row],[2025]]*Emissionsfaktoren[[#This Row],[2025]]/1000, 0)</f>
        <v>0</v>
      </c>
      <c r="P147" s="15">
        <f>IF(ISNUMBER(Refsz_Verbräuche[[#This Row],[2026]]), Refsz_Verbräuche[[#This Row],[2026]]*Emissionsfaktoren[[#This Row],[2026]]/1000, 0)</f>
        <v>0</v>
      </c>
      <c r="Q147" s="15">
        <f>IF(ISNUMBER(Refsz_Verbräuche[[#This Row],[2027]]), Refsz_Verbräuche[[#This Row],[2027]]*Emissionsfaktoren[[#This Row],[2027]]/1000, 0)</f>
        <v>0</v>
      </c>
      <c r="R147" s="15">
        <f>IF(ISNUMBER(Refsz_Verbräuche[[#This Row],[2028]]), Refsz_Verbräuche[[#This Row],[2028]]*Emissionsfaktoren[[#This Row],[2028]]/1000, 0)</f>
        <v>0</v>
      </c>
      <c r="S147" s="15">
        <f>IF(ISNUMBER(Refsz_Verbräuche[[#This Row],[2029]]), Refsz_Verbräuche[[#This Row],[2029]]*Emissionsfaktoren[[#This Row],[2029]]/1000, 0)</f>
        <v>0</v>
      </c>
      <c r="T147" s="15">
        <f>IF(ISNUMBER(Refsz_Verbräuche[[#This Row],[2030]]), Refsz_Verbräuche[[#This Row],[2030]]*Emissionsfaktoren[[#This Row],[2030]]/1000, 0)</f>
        <v>0</v>
      </c>
      <c r="U147" s="15">
        <f>IF(ISNUMBER(Refsz_Verbräuche[[#This Row],[2035]]), Refsz_Verbräuche[[#This Row],[2035]]*Emissionsfaktoren[[#This Row],[2035]]/1000, 0)</f>
        <v>0</v>
      </c>
      <c r="V147" s="15">
        <f>IF(ISNUMBER(Refsz_Verbräuche[[#This Row],[2040]]), Refsz_Verbräuche[[#This Row],[2040]]*Emissionsfaktoren[[#This Row],[2040]]/1000, 0)</f>
        <v>0</v>
      </c>
      <c r="W147" s="15">
        <f>IF(ISNUMBER(Refsz_Verbräuche[[#This Row],[2045]]), Refsz_Verbräuche[[#This Row],[2045]]*Emissionsfaktoren[[#This Row],[2045]]/1000, 0)</f>
        <v>0</v>
      </c>
      <c r="X147" s="15">
        <f>IF(ISNUMBER(Refsz_Verbräuche[[#This Row],[2050]]), Refsz_Verbräuche[[#This Row],[2050]]*Emissionsfaktoren[[#This Row],[2050]]/1000, 0)</f>
        <v>0</v>
      </c>
    </row>
    <row r="148" spans="2:24" ht="16.5" hidden="1" x14ac:dyDescent="0.45">
      <c r="B148" s="15">
        <v>88</v>
      </c>
      <c r="C148" s="20">
        <f>Refsz_Verbräuche[[#This Row],[Datenpunkt]]</f>
        <v>0</v>
      </c>
      <c r="D148" t="s">
        <v>208</v>
      </c>
      <c r="E148" s="15">
        <f>IF(ISNUMBER(Refsz_Verbräuche[[#This Row],[2015]]), Refsz_Verbräuche[[#This Row],[2015]]*Emissionsfaktoren[[#This Row],[2015]]/1000, 0)</f>
        <v>0</v>
      </c>
      <c r="F148" s="15">
        <f>IF(ISNUMBER(Refsz_Verbräuche[[#This Row],[2016]]), Refsz_Verbräuche[[#This Row],[2016]]*Emissionsfaktoren[[#This Row],[2016]]/1000, 0)</f>
        <v>0</v>
      </c>
      <c r="G148" s="15">
        <f>IF(ISNUMBER(Refsz_Verbräuche[[#This Row],[2017]]), Refsz_Verbräuche[[#This Row],[2017]]*Emissionsfaktoren[[#This Row],[2017]]/1000, 0)</f>
        <v>0</v>
      </c>
      <c r="H148" s="15">
        <f>IF(ISNUMBER(Refsz_Verbräuche[[#This Row],[2018]]), Refsz_Verbräuche[[#This Row],[2018]]*Emissionsfaktoren[[#This Row],[2018]]/1000, 0)</f>
        <v>0</v>
      </c>
      <c r="I148" s="15">
        <f>IF(ISNUMBER(Refsz_Verbräuche[[#This Row],[2019]]), Refsz_Verbräuche[[#This Row],[2019]]*Emissionsfaktoren[[#This Row],[2019]]/1000, 0)</f>
        <v>0</v>
      </c>
      <c r="J148" s="15">
        <f>IF(ISNUMBER(Refsz_Verbräuche[[#This Row],[2020]]), Refsz_Verbräuche[[#This Row],[2020]]*Emissionsfaktoren[[#This Row],[2020]]/1000, 0)</f>
        <v>0</v>
      </c>
      <c r="K148" s="15">
        <f>IF(ISNUMBER(Refsz_Verbräuche[[#This Row],[2021]]), Refsz_Verbräuche[[#This Row],[2021]]*Emissionsfaktoren[[#This Row],[2021]]/1000, 0)</f>
        <v>0</v>
      </c>
      <c r="L148" s="15">
        <f>IF(ISNUMBER(Refsz_Verbräuche[[#This Row],[2022]]), Refsz_Verbräuche[[#This Row],[2022]]*Emissionsfaktoren[[#This Row],[2022]]/1000, 0)</f>
        <v>0</v>
      </c>
      <c r="M148" s="15">
        <f>IF(ISNUMBER(Refsz_Verbräuche[[#This Row],[2023]]), Refsz_Verbräuche[[#This Row],[2023]]*Emissionsfaktoren[[#This Row],[2023]]/1000, 0)</f>
        <v>0</v>
      </c>
      <c r="N148" s="15">
        <f>IF(ISNUMBER(Refsz_Verbräuche[[#This Row],[2024]]), Refsz_Verbräuche[[#This Row],[2024]]*Emissionsfaktoren[[#This Row],[2024]]/1000, 0)</f>
        <v>0</v>
      </c>
      <c r="O148" s="15">
        <f>IF(ISNUMBER(Refsz_Verbräuche[[#This Row],[2025]]), Refsz_Verbräuche[[#This Row],[2025]]*Emissionsfaktoren[[#This Row],[2025]]/1000, 0)</f>
        <v>0</v>
      </c>
      <c r="P148" s="15">
        <f>IF(ISNUMBER(Refsz_Verbräuche[[#This Row],[2026]]), Refsz_Verbräuche[[#This Row],[2026]]*Emissionsfaktoren[[#This Row],[2026]]/1000, 0)</f>
        <v>0</v>
      </c>
      <c r="Q148" s="15">
        <f>IF(ISNUMBER(Refsz_Verbräuche[[#This Row],[2027]]), Refsz_Verbräuche[[#This Row],[2027]]*Emissionsfaktoren[[#This Row],[2027]]/1000, 0)</f>
        <v>0</v>
      </c>
      <c r="R148" s="15">
        <f>IF(ISNUMBER(Refsz_Verbräuche[[#This Row],[2028]]), Refsz_Verbräuche[[#This Row],[2028]]*Emissionsfaktoren[[#This Row],[2028]]/1000, 0)</f>
        <v>0</v>
      </c>
      <c r="S148" s="15">
        <f>IF(ISNUMBER(Refsz_Verbräuche[[#This Row],[2029]]), Refsz_Verbräuche[[#This Row],[2029]]*Emissionsfaktoren[[#This Row],[2029]]/1000, 0)</f>
        <v>0</v>
      </c>
      <c r="T148" s="15">
        <f>IF(ISNUMBER(Refsz_Verbräuche[[#This Row],[2030]]), Refsz_Verbräuche[[#This Row],[2030]]*Emissionsfaktoren[[#This Row],[2030]]/1000, 0)</f>
        <v>0</v>
      </c>
      <c r="U148" s="15">
        <f>IF(ISNUMBER(Refsz_Verbräuche[[#This Row],[2035]]), Refsz_Verbräuche[[#This Row],[2035]]*Emissionsfaktoren[[#This Row],[2035]]/1000, 0)</f>
        <v>0</v>
      </c>
      <c r="V148" s="15">
        <f>IF(ISNUMBER(Refsz_Verbräuche[[#This Row],[2040]]), Refsz_Verbräuche[[#This Row],[2040]]*Emissionsfaktoren[[#This Row],[2040]]/1000, 0)</f>
        <v>0</v>
      </c>
      <c r="W148" s="15">
        <f>IF(ISNUMBER(Refsz_Verbräuche[[#This Row],[2045]]), Refsz_Verbräuche[[#This Row],[2045]]*Emissionsfaktoren[[#This Row],[2045]]/1000, 0)</f>
        <v>0</v>
      </c>
      <c r="X148" s="15">
        <f>IF(ISNUMBER(Refsz_Verbräuche[[#This Row],[2050]]), Refsz_Verbräuche[[#This Row],[2050]]*Emissionsfaktoren[[#This Row],[2050]]/1000, 0)</f>
        <v>0</v>
      </c>
    </row>
    <row r="149" spans="2:24" ht="16.5" hidden="1" x14ac:dyDescent="0.45">
      <c r="B149" s="15">
        <v>89</v>
      </c>
      <c r="C149" s="20" t="str">
        <f>Refsz_Verbräuche[[#This Row],[Datenpunkt]]</f>
        <v>Recyclingpapier</v>
      </c>
      <c r="D149" t="s">
        <v>208</v>
      </c>
      <c r="E149" s="15">
        <f>IF(ISNUMBER(Refsz_Verbräuche[[#This Row],[2015]]), Refsz_Verbräuche[[#This Row],[2015]]*Emissionsfaktoren[[#This Row],[2015]]/1000, 0)</f>
        <v>0</v>
      </c>
      <c r="F149" s="15">
        <f>IF(ISNUMBER(Refsz_Verbräuche[[#This Row],[2016]]), Refsz_Verbräuche[[#This Row],[2016]]*Emissionsfaktoren[[#This Row],[2016]]/1000, 0)</f>
        <v>0</v>
      </c>
      <c r="G149" s="15">
        <f>IF(ISNUMBER(Refsz_Verbräuche[[#This Row],[2017]]), Refsz_Verbräuche[[#This Row],[2017]]*Emissionsfaktoren[[#This Row],[2017]]/1000, 0)</f>
        <v>0</v>
      </c>
      <c r="H149" s="15">
        <f>IF(ISNUMBER(Refsz_Verbräuche[[#This Row],[2018]]), Refsz_Verbräuche[[#This Row],[2018]]*Emissionsfaktoren[[#This Row],[2018]]/1000, 0)</f>
        <v>0</v>
      </c>
      <c r="I149" s="15">
        <f>IF(ISNUMBER(Refsz_Verbräuche[[#This Row],[2019]]), Refsz_Verbräuche[[#This Row],[2019]]*Emissionsfaktoren[[#This Row],[2019]]/1000, 0)</f>
        <v>0</v>
      </c>
      <c r="J149" s="15">
        <f>IF(ISNUMBER(Refsz_Verbräuche[[#This Row],[2020]]), Refsz_Verbräuche[[#This Row],[2020]]*Emissionsfaktoren[[#This Row],[2020]]/1000, 0)</f>
        <v>0</v>
      </c>
      <c r="K149" s="15">
        <f>IF(ISNUMBER(Refsz_Verbräuche[[#This Row],[2021]]), Refsz_Verbräuche[[#This Row],[2021]]*Emissionsfaktoren[[#This Row],[2021]]/1000, 0)</f>
        <v>0</v>
      </c>
      <c r="L149" s="15">
        <f>IF(ISNUMBER(Refsz_Verbräuche[[#This Row],[2022]]), Refsz_Verbräuche[[#This Row],[2022]]*Emissionsfaktoren[[#This Row],[2022]]/1000, 0)</f>
        <v>0</v>
      </c>
      <c r="M149" s="15">
        <f>IF(ISNUMBER(Refsz_Verbräuche[[#This Row],[2023]]), Refsz_Verbräuche[[#This Row],[2023]]*Emissionsfaktoren[[#This Row],[2023]]/1000, 0)</f>
        <v>0</v>
      </c>
      <c r="N149" s="15">
        <f>IF(ISNUMBER(Refsz_Verbräuche[[#This Row],[2024]]), Refsz_Verbräuche[[#This Row],[2024]]*Emissionsfaktoren[[#This Row],[2024]]/1000, 0)</f>
        <v>0</v>
      </c>
      <c r="O149" s="15">
        <f>IF(ISNUMBER(Refsz_Verbräuche[[#This Row],[2025]]), Refsz_Verbräuche[[#This Row],[2025]]*Emissionsfaktoren[[#This Row],[2025]]/1000, 0)</f>
        <v>0</v>
      </c>
      <c r="P149" s="15">
        <f>IF(ISNUMBER(Refsz_Verbräuche[[#This Row],[2026]]), Refsz_Verbräuche[[#This Row],[2026]]*Emissionsfaktoren[[#This Row],[2026]]/1000, 0)</f>
        <v>0</v>
      </c>
      <c r="Q149" s="15">
        <f>IF(ISNUMBER(Refsz_Verbräuche[[#This Row],[2027]]), Refsz_Verbräuche[[#This Row],[2027]]*Emissionsfaktoren[[#This Row],[2027]]/1000, 0)</f>
        <v>0</v>
      </c>
      <c r="R149" s="15">
        <f>IF(ISNUMBER(Refsz_Verbräuche[[#This Row],[2028]]), Refsz_Verbräuche[[#This Row],[2028]]*Emissionsfaktoren[[#This Row],[2028]]/1000, 0)</f>
        <v>0</v>
      </c>
      <c r="S149" s="15">
        <f>IF(ISNUMBER(Refsz_Verbräuche[[#This Row],[2029]]), Refsz_Verbräuche[[#This Row],[2029]]*Emissionsfaktoren[[#This Row],[2029]]/1000, 0)</f>
        <v>0</v>
      </c>
      <c r="T149" s="15">
        <f>IF(ISNUMBER(Refsz_Verbräuche[[#This Row],[2030]]), Refsz_Verbräuche[[#This Row],[2030]]*Emissionsfaktoren[[#This Row],[2030]]/1000, 0)</f>
        <v>0</v>
      </c>
      <c r="U149" s="15">
        <f>IF(ISNUMBER(Refsz_Verbräuche[[#This Row],[2035]]), Refsz_Verbräuche[[#This Row],[2035]]*Emissionsfaktoren[[#This Row],[2035]]/1000, 0)</f>
        <v>0</v>
      </c>
      <c r="V149" s="15">
        <f>IF(ISNUMBER(Refsz_Verbräuche[[#This Row],[2040]]), Refsz_Verbräuche[[#This Row],[2040]]*Emissionsfaktoren[[#This Row],[2040]]/1000, 0)</f>
        <v>0</v>
      </c>
      <c r="W149" s="15">
        <f>IF(ISNUMBER(Refsz_Verbräuche[[#This Row],[2045]]), Refsz_Verbräuche[[#This Row],[2045]]*Emissionsfaktoren[[#This Row],[2045]]/1000, 0)</f>
        <v>0</v>
      </c>
      <c r="X149" s="15">
        <f>IF(ISNUMBER(Refsz_Verbräuche[[#This Row],[2050]]), Refsz_Verbräuche[[#This Row],[2050]]*Emissionsfaktoren[[#This Row],[2050]]/1000, 0)</f>
        <v>0</v>
      </c>
    </row>
    <row r="150" spans="2:24" ht="16.5" hidden="1" x14ac:dyDescent="0.45">
      <c r="B150" s="15">
        <v>90</v>
      </c>
      <c r="C150" s="20" t="str">
        <f>Refsz_Verbräuche[[#This Row],[Datenpunkt]]</f>
        <v>Frischfaserpapier</v>
      </c>
      <c r="D150" t="s">
        <v>208</v>
      </c>
      <c r="E150" s="15">
        <f>IF(ISNUMBER(Refsz_Verbräuche[[#This Row],[2015]]), Refsz_Verbräuche[[#This Row],[2015]]*Emissionsfaktoren[[#This Row],[2015]]/1000, 0)</f>
        <v>0</v>
      </c>
      <c r="F150" s="15">
        <f>IF(ISNUMBER(Refsz_Verbräuche[[#This Row],[2016]]), Refsz_Verbräuche[[#This Row],[2016]]*Emissionsfaktoren[[#This Row],[2016]]/1000, 0)</f>
        <v>0</v>
      </c>
      <c r="G150" s="15">
        <f>IF(ISNUMBER(Refsz_Verbräuche[[#This Row],[2017]]), Refsz_Verbräuche[[#This Row],[2017]]*Emissionsfaktoren[[#This Row],[2017]]/1000, 0)</f>
        <v>0</v>
      </c>
      <c r="H150" s="15">
        <f>IF(ISNUMBER(Refsz_Verbräuche[[#This Row],[2018]]), Refsz_Verbräuche[[#This Row],[2018]]*Emissionsfaktoren[[#This Row],[2018]]/1000, 0)</f>
        <v>0</v>
      </c>
      <c r="I150" s="15">
        <f>IF(ISNUMBER(Refsz_Verbräuche[[#This Row],[2019]]), Refsz_Verbräuche[[#This Row],[2019]]*Emissionsfaktoren[[#This Row],[2019]]/1000, 0)</f>
        <v>0</v>
      </c>
      <c r="J150" s="15">
        <f>IF(ISNUMBER(Refsz_Verbräuche[[#This Row],[2020]]), Refsz_Verbräuche[[#This Row],[2020]]*Emissionsfaktoren[[#This Row],[2020]]/1000, 0)</f>
        <v>0</v>
      </c>
      <c r="K150" s="15">
        <f>IF(ISNUMBER(Refsz_Verbräuche[[#This Row],[2021]]), Refsz_Verbräuche[[#This Row],[2021]]*Emissionsfaktoren[[#This Row],[2021]]/1000, 0)</f>
        <v>0</v>
      </c>
      <c r="L150" s="15">
        <f>IF(ISNUMBER(Refsz_Verbräuche[[#This Row],[2022]]), Refsz_Verbräuche[[#This Row],[2022]]*Emissionsfaktoren[[#This Row],[2022]]/1000, 0)</f>
        <v>0</v>
      </c>
      <c r="M150" s="15">
        <f>IF(ISNUMBER(Refsz_Verbräuche[[#This Row],[2023]]), Refsz_Verbräuche[[#This Row],[2023]]*Emissionsfaktoren[[#This Row],[2023]]/1000, 0)</f>
        <v>0</v>
      </c>
      <c r="N150" s="15">
        <f>IF(ISNUMBER(Refsz_Verbräuche[[#This Row],[2024]]), Refsz_Verbräuche[[#This Row],[2024]]*Emissionsfaktoren[[#This Row],[2024]]/1000, 0)</f>
        <v>0</v>
      </c>
      <c r="O150" s="15">
        <f>IF(ISNUMBER(Refsz_Verbräuche[[#This Row],[2025]]), Refsz_Verbräuche[[#This Row],[2025]]*Emissionsfaktoren[[#This Row],[2025]]/1000, 0)</f>
        <v>0</v>
      </c>
      <c r="P150" s="15">
        <f>IF(ISNUMBER(Refsz_Verbräuche[[#This Row],[2026]]), Refsz_Verbräuche[[#This Row],[2026]]*Emissionsfaktoren[[#This Row],[2026]]/1000, 0)</f>
        <v>0</v>
      </c>
      <c r="Q150" s="15">
        <f>IF(ISNUMBER(Refsz_Verbräuche[[#This Row],[2027]]), Refsz_Verbräuche[[#This Row],[2027]]*Emissionsfaktoren[[#This Row],[2027]]/1000, 0)</f>
        <v>0</v>
      </c>
      <c r="R150" s="15">
        <f>IF(ISNUMBER(Refsz_Verbräuche[[#This Row],[2028]]), Refsz_Verbräuche[[#This Row],[2028]]*Emissionsfaktoren[[#This Row],[2028]]/1000, 0)</f>
        <v>0</v>
      </c>
      <c r="S150" s="15">
        <f>IF(ISNUMBER(Refsz_Verbräuche[[#This Row],[2029]]), Refsz_Verbräuche[[#This Row],[2029]]*Emissionsfaktoren[[#This Row],[2029]]/1000, 0)</f>
        <v>0</v>
      </c>
      <c r="T150" s="15">
        <f>IF(ISNUMBER(Refsz_Verbräuche[[#This Row],[2030]]), Refsz_Verbräuche[[#This Row],[2030]]*Emissionsfaktoren[[#This Row],[2030]]/1000, 0)</f>
        <v>0</v>
      </c>
      <c r="U150" s="15">
        <f>IF(ISNUMBER(Refsz_Verbräuche[[#This Row],[2035]]), Refsz_Verbräuche[[#This Row],[2035]]*Emissionsfaktoren[[#This Row],[2035]]/1000, 0)</f>
        <v>0</v>
      </c>
      <c r="V150" s="15">
        <f>IF(ISNUMBER(Refsz_Verbräuche[[#This Row],[2040]]), Refsz_Verbräuche[[#This Row],[2040]]*Emissionsfaktoren[[#This Row],[2040]]/1000, 0)</f>
        <v>0</v>
      </c>
      <c r="W150" s="15">
        <f>IF(ISNUMBER(Refsz_Verbräuche[[#This Row],[2045]]), Refsz_Verbräuche[[#This Row],[2045]]*Emissionsfaktoren[[#This Row],[2045]]/1000, 0)</f>
        <v>0</v>
      </c>
      <c r="X150" s="15">
        <f>IF(ISNUMBER(Refsz_Verbräuche[[#This Row],[2050]]), Refsz_Verbräuche[[#This Row],[2050]]*Emissionsfaktoren[[#This Row],[2050]]/1000, 0)</f>
        <v>0</v>
      </c>
    </row>
    <row r="151" spans="2:24" ht="16.5" hidden="1" x14ac:dyDescent="0.45">
      <c r="B151" s="15">
        <v>91</v>
      </c>
      <c r="C151" s="20" t="str">
        <f>Refsz_Verbräuche[[#This Row],[Datenpunkt]]</f>
        <v>Toilettenpapier (Recycling)</v>
      </c>
      <c r="D151" t="s">
        <v>208</v>
      </c>
      <c r="E151" s="15">
        <f>IF(ISNUMBER(Refsz_Verbräuche[[#This Row],[2015]]), Refsz_Verbräuche[[#This Row],[2015]]*Emissionsfaktoren[[#This Row],[2015]]/1000, 0)</f>
        <v>0</v>
      </c>
      <c r="F151" s="15">
        <f>IF(ISNUMBER(Refsz_Verbräuche[[#This Row],[2016]]), Refsz_Verbräuche[[#This Row],[2016]]*Emissionsfaktoren[[#This Row],[2016]]/1000, 0)</f>
        <v>0</v>
      </c>
      <c r="G151" s="15">
        <f>IF(ISNUMBER(Refsz_Verbräuche[[#This Row],[2017]]), Refsz_Verbräuche[[#This Row],[2017]]*Emissionsfaktoren[[#This Row],[2017]]/1000, 0)</f>
        <v>0</v>
      </c>
      <c r="H151" s="15">
        <f>IF(ISNUMBER(Refsz_Verbräuche[[#This Row],[2018]]), Refsz_Verbräuche[[#This Row],[2018]]*Emissionsfaktoren[[#This Row],[2018]]/1000, 0)</f>
        <v>0</v>
      </c>
      <c r="I151" s="15">
        <f>IF(ISNUMBER(Refsz_Verbräuche[[#This Row],[2019]]), Refsz_Verbräuche[[#This Row],[2019]]*Emissionsfaktoren[[#This Row],[2019]]/1000, 0)</f>
        <v>0</v>
      </c>
      <c r="J151" s="15">
        <f>IF(ISNUMBER(Refsz_Verbräuche[[#This Row],[2020]]), Refsz_Verbräuche[[#This Row],[2020]]*Emissionsfaktoren[[#This Row],[2020]]/1000, 0)</f>
        <v>0</v>
      </c>
      <c r="K151" s="15">
        <f>IF(ISNUMBER(Refsz_Verbräuche[[#This Row],[2021]]), Refsz_Verbräuche[[#This Row],[2021]]*Emissionsfaktoren[[#This Row],[2021]]/1000, 0)</f>
        <v>0</v>
      </c>
      <c r="L151" s="15">
        <f>IF(ISNUMBER(Refsz_Verbräuche[[#This Row],[2022]]), Refsz_Verbräuche[[#This Row],[2022]]*Emissionsfaktoren[[#This Row],[2022]]/1000, 0)</f>
        <v>0</v>
      </c>
      <c r="M151" s="15">
        <f>IF(ISNUMBER(Refsz_Verbräuche[[#This Row],[2023]]), Refsz_Verbräuche[[#This Row],[2023]]*Emissionsfaktoren[[#This Row],[2023]]/1000, 0)</f>
        <v>0</v>
      </c>
      <c r="N151" s="15">
        <f>IF(ISNUMBER(Refsz_Verbräuche[[#This Row],[2024]]), Refsz_Verbräuche[[#This Row],[2024]]*Emissionsfaktoren[[#This Row],[2024]]/1000, 0)</f>
        <v>0</v>
      </c>
      <c r="O151" s="15">
        <f>IF(ISNUMBER(Refsz_Verbräuche[[#This Row],[2025]]), Refsz_Verbräuche[[#This Row],[2025]]*Emissionsfaktoren[[#This Row],[2025]]/1000, 0)</f>
        <v>0</v>
      </c>
      <c r="P151" s="15">
        <f>IF(ISNUMBER(Refsz_Verbräuche[[#This Row],[2026]]), Refsz_Verbräuche[[#This Row],[2026]]*Emissionsfaktoren[[#This Row],[2026]]/1000, 0)</f>
        <v>0</v>
      </c>
      <c r="Q151" s="15">
        <f>IF(ISNUMBER(Refsz_Verbräuche[[#This Row],[2027]]), Refsz_Verbräuche[[#This Row],[2027]]*Emissionsfaktoren[[#This Row],[2027]]/1000, 0)</f>
        <v>0</v>
      </c>
      <c r="R151" s="15">
        <f>IF(ISNUMBER(Refsz_Verbräuche[[#This Row],[2028]]), Refsz_Verbräuche[[#This Row],[2028]]*Emissionsfaktoren[[#This Row],[2028]]/1000, 0)</f>
        <v>0</v>
      </c>
      <c r="S151" s="15">
        <f>IF(ISNUMBER(Refsz_Verbräuche[[#This Row],[2029]]), Refsz_Verbräuche[[#This Row],[2029]]*Emissionsfaktoren[[#This Row],[2029]]/1000, 0)</f>
        <v>0</v>
      </c>
      <c r="T151" s="15">
        <f>IF(ISNUMBER(Refsz_Verbräuche[[#This Row],[2030]]), Refsz_Verbräuche[[#This Row],[2030]]*Emissionsfaktoren[[#This Row],[2030]]/1000, 0)</f>
        <v>0</v>
      </c>
      <c r="U151" s="15">
        <f>IF(ISNUMBER(Refsz_Verbräuche[[#This Row],[2035]]), Refsz_Verbräuche[[#This Row],[2035]]*Emissionsfaktoren[[#This Row],[2035]]/1000, 0)</f>
        <v>0</v>
      </c>
      <c r="V151" s="15">
        <f>IF(ISNUMBER(Refsz_Verbräuche[[#This Row],[2040]]), Refsz_Verbräuche[[#This Row],[2040]]*Emissionsfaktoren[[#This Row],[2040]]/1000, 0)</f>
        <v>0</v>
      </c>
      <c r="W151" s="15">
        <f>IF(ISNUMBER(Refsz_Verbräuche[[#This Row],[2045]]), Refsz_Verbräuche[[#This Row],[2045]]*Emissionsfaktoren[[#This Row],[2045]]/1000, 0)</f>
        <v>0</v>
      </c>
      <c r="X151" s="15">
        <f>IF(ISNUMBER(Refsz_Verbräuche[[#This Row],[2050]]), Refsz_Verbräuche[[#This Row],[2050]]*Emissionsfaktoren[[#This Row],[2050]]/1000, 0)</f>
        <v>0</v>
      </c>
    </row>
    <row r="152" spans="2:24" ht="16.5" hidden="1" x14ac:dyDescent="0.45">
      <c r="B152" s="15">
        <v>92</v>
      </c>
      <c r="C152" s="20" t="str">
        <f>Refsz_Verbräuche[[#This Row],[Datenpunkt]]</f>
        <v>Papierhandtücher (Recycling)</v>
      </c>
      <c r="D152" t="s">
        <v>208</v>
      </c>
      <c r="E152" s="15">
        <f>IF(ISNUMBER(Refsz_Verbräuche[[#This Row],[2015]]), Refsz_Verbräuche[[#This Row],[2015]]*Emissionsfaktoren[[#This Row],[2015]]/1000, 0)</f>
        <v>0</v>
      </c>
      <c r="F152" s="15">
        <f>IF(ISNUMBER(Refsz_Verbräuche[[#This Row],[2016]]), Refsz_Verbräuche[[#This Row],[2016]]*Emissionsfaktoren[[#This Row],[2016]]/1000, 0)</f>
        <v>0</v>
      </c>
      <c r="G152" s="15">
        <f>IF(ISNUMBER(Refsz_Verbräuche[[#This Row],[2017]]), Refsz_Verbräuche[[#This Row],[2017]]*Emissionsfaktoren[[#This Row],[2017]]/1000, 0)</f>
        <v>0</v>
      </c>
      <c r="H152" s="15">
        <f>IF(ISNUMBER(Refsz_Verbräuche[[#This Row],[2018]]), Refsz_Verbräuche[[#This Row],[2018]]*Emissionsfaktoren[[#This Row],[2018]]/1000, 0)</f>
        <v>0</v>
      </c>
      <c r="I152" s="15">
        <f>IF(ISNUMBER(Refsz_Verbräuche[[#This Row],[2019]]), Refsz_Verbräuche[[#This Row],[2019]]*Emissionsfaktoren[[#This Row],[2019]]/1000, 0)</f>
        <v>0</v>
      </c>
      <c r="J152" s="15">
        <f>IF(ISNUMBER(Refsz_Verbräuche[[#This Row],[2020]]), Refsz_Verbräuche[[#This Row],[2020]]*Emissionsfaktoren[[#This Row],[2020]]/1000, 0)</f>
        <v>0</v>
      </c>
      <c r="K152" s="15">
        <f>IF(ISNUMBER(Refsz_Verbräuche[[#This Row],[2021]]), Refsz_Verbräuche[[#This Row],[2021]]*Emissionsfaktoren[[#This Row],[2021]]/1000, 0)</f>
        <v>0</v>
      </c>
      <c r="L152" s="15">
        <f>IF(ISNUMBER(Refsz_Verbräuche[[#This Row],[2022]]), Refsz_Verbräuche[[#This Row],[2022]]*Emissionsfaktoren[[#This Row],[2022]]/1000, 0)</f>
        <v>0</v>
      </c>
      <c r="M152" s="15">
        <f>IF(ISNUMBER(Refsz_Verbräuche[[#This Row],[2023]]), Refsz_Verbräuche[[#This Row],[2023]]*Emissionsfaktoren[[#This Row],[2023]]/1000, 0)</f>
        <v>0</v>
      </c>
      <c r="N152" s="15">
        <f>IF(ISNUMBER(Refsz_Verbräuche[[#This Row],[2024]]), Refsz_Verbräuche[[#This Row],[2024]]*Emissionsfaktoren[[#This Row],[2024]]/1000, 0)</f>
        <v>0</v>
      </c>
      <c r="O152" s="15">
        <f>IF(ISNUMBER(Refsz_Verbräuche[[#This Row],[2025]]), Refsz_Verbräuche[[#This Row],[2025]]*Emissionsfaktoren[[#This Row],[2025]]/1000, 0)</f>
        <v>0</v>
      </c>
      <c r="P152" s="15">
        <f>IF(ISNUMBER(Refsz_Verbräuche[[#This Row],[2026]]), Refsz_Verbräuche[[#This Row],[2026]]*Emissionsfaktoren[[#This Row],[2026]]/1000, 0)</f>
        <v>0</v>
      </c>
      <c r="Q152" s="15">
        <f>IF(ISNUMBER(Refsz_Verbräuche[[#This Row],[2027]]), Refsz_Verbräuche[[#This Row],[2027]]*Emissionsfaktoren[[#This Row],[2027]]/1000, 0)</f>
        <v>0</v>
      </c>
      <c r="R152" s="15">
        <f>IF(ISNUMBER(Refsz_Verbräuche[[#This Row],[2028]]), Refsz_Verbräuche[[#This Row],[2028]]*Emissionsfaktoren[[#This Row],[2028]]/1000, 0)</f>
        <v>0</v>
      </c>
      <c r="S152" s="15">
        <f>IF(ISNUMBER(Refsz_Verbräuche[[#This Row],[2029]]), Refsz_Verbräuche[[#This Row],[2029]]*Emissionsfaktoren[[#This Row],[2029]]/1000, 0)</f>
        <v>0</v>
      </c>
      <c r="T152" s="15">
        <f>IF(ISNUMBER(Refsz_Verbräuche[[#This Row],[2030]]), Refsz_Verbräuche[[#This Row],[2030]]*Emissionsfaktoren[[#This Row],[2030]]/1000, 0)</f>
        <v>0</v>
      </c>
      <c r="U152" s="15">
        <f>IF(ISNUMBER(Refsz_Verbräuche[[#This Row],[2035]]), Refsz_Verbräuche[[#This Row],[2035]]*Emissionsfaktoren[[#This Row],[2035]]/1000, 0)</f>
        <v>0</v>
      </c>
      <c r="V152" s="15">
        <f>IF(ISNUMBER(Refsz_Verbräuche[[#This Row],[2040]]), Refsz_Verbräuche[[#This Row],[2040]]*Emissionsfaktoren[[#This Row],[2040]]/1000, 0)</f>
        <v>0</v>
      </c>
      <c r="W152" s="15">
        <f>IF(ISNUMBER(Refsz_Verbräuche[[#This Row],[2045]]), Refsz_Verbräuche[[#This Row],[2045]]*Emissionsfaktoren[[#This Row],[2045]]/1000, 0)</f>
        <v>0</v>
      </c>
      <c r="X152" s="15">
        <f>IF(ISNUMBER(Refsz_Verbräuche[[#This Row],[2050]]), Refsz_Verbräuche[[#This Row],[2050]]*Emissionsfaktoren[[#This Row],[2050]]/1000, 0)</f>
        <v>0</v>
      </c>
    </row>
    <row r="153" spans="2:24" ht="16.5" hidden="1" x14ac:dyDescent="0.45">
      <c r="B153" s="15">
        <v>93</v>
      </c>
      <c r="C153" s="20">
        <f>Refsz_Verbräuche[[#This Row],[Datenpunkt]]</f>
        <v>0</v>
      </c>
      <c r="D153" t="s">
        <v>208</v>
      </c>
      <c r="E153" s="15">
        <f>IF(ISNUMBER(Refsz_Verbräuche[[#This Row],[2015]]), Refsz_Verbräuche[[#This Row],[2015]]*Emissionsfaktoren[[#This Row],[2015]]/1000, 0)</f>
        <v>0</v>
      </c>
      <c r="F153" s="15">
        <f>IF(ISNUMBER(Refsz_Verbräuche[[#This Row],[2016]]), Refsz_Verbräuche[[#This Row],[2016]]*Emissionsfaktoren[[#This Row],[2016]]/1000, 0)</f>
        <v>0</v>
      </c>
      <c r="G153" s="15">
        <f>IF(ISNUMBER(Refsz_Verbräuche[[#This Row],[2017]]), Refsz_Verbräuche[[#This Row],[2017]]*Emissionsfaktoren[[#This Row],[2017]]/1000, 0)</f>
        <v>0</v>
      </c>
      <c r="H153" s="15">
        <f>IF(ISNUMBER(Refsz_Verbräuche[[#This Row],[2018]]), Refsz_Verbräuche[[#This Row],[2018]]*Emissionsfaktoren[[#This Row],[2018]]/1000, 0)</f>
        <v>0</v>
      </c>
      <c r="I153" s="15">
        <f>IF(ISNUMBER(Refsz_Verbräuche[[#This Row],[2019]]), Refsz_Verbräuche[[#This Row],[2019]]*Emissionsfaktoren[[#This Row],[2019]]/1000, 0)</f>
        <v>0</v>
      </c>
      <c r="J153" s="15">
        <f>IF(ISNUMBER(Refsz_Verbräuche[[#This Row],[2020]]), Refsz_Verbräuche[[#This Row],[2020]]*Emissionsfaktoren[[#This Row],[2020]]/1000, 0)</f>
        <v>0</v>
      </c>
      <c r="K153" s="15">
        <f>IF(ISNUMBER(Refsz_Verbräuche[[#This Row],[2021]]), Refsz_Verbräuche[[#This Row],[2021]]*Emissionsfaktoren[[#This Row],[2021]]/1000, 0)</f>
        <v>0</v>
      </c>
      <c r="L153" s="15">
        <f>IF(ISNUMBER(Refsz_Verbräuche[[#This Row],[2022]]), Refsz_Verbräuche[[#This Row],[2022]]*Emissionsfaktoren[[#This Row],[2022]]/1000, 0)</f>
        <v>0</v>
      </c>
      <c r="M153" s="15">
        <f>IF(ISNUMBER(Refsz_Verbräuche[[#This Row],[2023]]), Refsz_Verbräuche[[#This Row],[2023]]*Emissionsfaktoren[[#This Row],[2023]]/1000, 0)</f>
        <v>0</v>
      </c>
      <c r="N153" s="15">
        <f>IF(ISNUMBER(Refsz_Verbräuche[[#This Row],[2024]]), Refsz_Verbräuche[[#This Row],[2024]]*Emissionsfaktoren[[#This Row],[2024]]/1000, 0)</f>
        <v>0</v>
      </c>
      <c r="O153" s="15">
        <f>IF(ISNUMBER(Refsz_Verbräuche[[#This Row],[2025]]), Refsz_Verbräuche[[#This Row],[2025]]*Emissionsfaktoren[[#This Row],[2025]]/1000, 0)</f>
        <v>0</v>
      </c>
      <c r="P153" s="15">
        <f>IF(ISNUMBER(Refsz_Verbräuche[[#This Row],[2026]]), Refsz_Verbräuche[[#This Row],[2026]]*Emissionsfaktoren[[#This Row],[2026]]/1000, 0)</f>
        <v>0</v>
      </c>
      <c r="Q153" s="15">
        <f>IF(ISNUMBER(Refsz_Verbräuche[[#This Row],[2027]]), Refsz_Verbräuche[[#This Row],[2027]]*Emissionsfaktoren[[#This Row],[2027]]/1000, 0)</f>
        <v>0</v>
      </c>
      <c r="R153" s="15">
        <f>IF(ISNUMBER(Refsz_Verbräuche[[#This Row],[2028]]), Refsz_Verbräuche[[#This Row],[2028]]*Emissionsfaktoren[[#This Row],[2028]]/1000, 0)</f>
        <v>0</v>
      </c>
      <c r="S153" s="15">
        <f>IF(ISNUMBER(Refsz_Verbräuche[[#This Row],[2029]]), Refsz_Verbräuche[[#This Row],[2029]]*Emissionsfaktoren[[#This Row],[2029]]/1000, 0)</f>
        <v>0</v>
      </c>
      <c r="T153" s="15">
        <f>IF(ISNUMBER(Refsz_Verbräuche[[#This Row],[2030]]), Refsz_Verbräuche[[#This Row],[2030]]*Emissionsfaktoren[[#This Row],[2030]]/1000, 0)</f>
        <v>0</v>
      </c>
      <c r="U153" s="15">
        <f>IF(ISNUMBER(Refsz_Verbräuche[[#This Row],[2035]]), Refsz_Verbräuche[[#This Row],[2035]]*Emissionsfaktoren[[#This Row],[2035]]/1000, 0)</f>
        <v>0</v>
      </c>
      <c r="V153" s="15">
        <f>IF(ISNUMBER(Refsz_Verbräuche[[#This Row],[2040]]), Refsz_Verbräuche[[#This Row],[2040]]*Emissionsfaktoren[[#This Row],[2040]]/1000, 0)</f>
        <v>0</v>
      </c>
      <c r="W153" s="15">
        <f>IF(ISNUMBER(Refsz_Verbräuche[[#This Row],[2045]]), Refsz_Verbräuche[[#This Row],[2045]]*Emissionsfaktoren[[#This Row],[2045]]/1000, 0)</f>
        <v>0</v>
      </c>
      <c r="X153" s="15">
        <f>IF(ISNUMBER(Refsz_Verbräuche[[#This Row],[2050]]), Refsz_Verbräuche[[#This Row],[2050]]*Emissionsfaktoren[[#This Row],[2050]]/1000, 0)</f>
        <v>0</v>
      </c>
    </row>
    <row r="154" spans="2:24" ht="16.5" hidden="1" x14ac:dyDescent="0.45">
      <c r="B154" s="15">
        <v>94</v>
      </c>
      <c r="C154" s="20" t="str">
        <f>Refsz_Verbräuche[[#This Row],[Datenpunkt]]</f>
        <v>Outgesourcte Leistungen des Rechenzentrums</v>
      </c>
      <c r="D154" t="s">
        <v>208</v>
      </c>
      <c r="E154" s="15">
        <f>IF(ISNUMBER(Refsz_Verbräuche[[#This Row],[2015]]), Refsz_Verbräuche[[#This Row],[2015]]*Emissionsfaktoren[[#This Row],[2015]]/1000, 0)</f>
        <v>0</v>
      </c>
      <c r="F154" s="15">
        <f>IF(ISNUMBER(Refsz_Verbräuche[[#This Row],[2016]]), Refsz_Verbräuche[[#This Row],[2016]]*Emissionsfaktoren[[#This Row],[2016]]/1000, 0)</f>
        <v>0</v>
      </c>
      <c r="G154" s="15">
        <f>IF(ISNUMBER(Refsz_Verbräuche[[#This Row],[2017]]), Refsz_Verbräuche[[#This Row],[2017]]*Emissionsfaktoren[[#This Row],[2017]]/1000, 0)</f>
        <v>0</v>
      </c>
      <c r="H154" s="15">
        <f>IF(ISNUMBER(Refsz_Verbräuche[[#This Row],[2018]]), Refsz_Verbräuche[[#This Row],[2018]]*Emissionsfaktoren[[#This Row],[2018]]/1000, 0)</f>
        <v>0</v>
      </c>
      <c r="I154" s="15">
        <f>IF(ISNUMBER(Refsz_Verbräuche[[#This Row],[2019]]), Refsz_Verbräuche[[#This Row],[2019]]*Emissionsfaktoren[[#This Row],[2019]]/1000, 0)</f>
        <v>0</v>
      </c>
      <c r="J154" s="15">
        <f>IF(ISNUMBER(Refsz_Verbräuche[[#This Row],[2020]]), Refsz_Verbräuche[[#This Row],[2020]]*Emissionsfaktoren[[#This Row],[2020]]/1000, 0)</f>
        <v>0</v>
      </c>
      <c r="K154" s="15">
        <f>IF(ISNUMBER(Refsz_Verbräuche[[#This Row],[2021]]), Refsz_Verbräuche[[#This Row],[2021]]*Emissionsfaktoren[[#This Row],[2021]]/1000, 0)</f>
        <v>0</v>
      </c>
      <c r="L154" s="15">
        <f>IF(ISNUMBER(Refsz_Verbräuche[[#This Row],[2022]]), Refsz_Verbräuche[[#This Row],[2022]]*Emissionsfaktoren[[#This Row],[2022]]/1000, 0)</f>
        <v>0</v>
      </c>
      <c r="M154" s="15">
        <f>IF(ISNUMBER(Refsz_Verbräuche[[#This Row],[2023]]), Refsz_Verbräuche[[#This Row],[2023]]*Emissionsfaktoren[[#This Row],[2023]]/1000, 0)</f>
        <v>0</v>
      </c>
      <c r="N154" s="15">
        <f>IF(ISNUMBER(Refsz_Verbräuche[[#This Row],[2024]]), Refsz_Verbräuche[[#This Row],[2024]]*Emissionsfaktoren[[#This Row],[2024]]/1000, 0)</f>
        <v>0</v>
      </c>
      <c r="O154" s="15">
        <f>IF(ISNUMBER(Refsz_Verbräuche[[#This Row],[2025]]), Refsz_Verbräuche[[#This Row],[2025]]*Emissionsfaktoren[[#This Row],[2025]]/1000, 0)</f>
        <v>0</v>
      </c>
      <c r="P154" s="15">
        <f>IF(ISNUMBER(Refsz_Verbräuche[[#This Row],[2026]]), Refsz_Verbräuche[[#This Row],[2026]]*Emissionsfaktoren[[#This Row],[2026]]/1000, 0)</f>
        <v>0</v>
      </c>
      <c r="Q154" s="15">
        <f>IF(ISNUMBER(Refsz_Verbräuche[[#This Row],[2027]]), Refsz_Verbräuche[[#This Row],[2027]]*Emissionsfaktoren[[#This Row],[2027]]/1000, 0)</f>
        <v>0</v>
      </c>
      <c r="R154" s="15">
        <f>IF(ISNUMBER(Refsz_Verbräuche[[#This Row],[2028]]), Refsz_Verbräuche[[#This Row],[2028]]*Emissionsfaktoren[[#This Row],[2028]]/1000, 0)</f>
        <v>0</v>
      </c>
      <c r="S154" s="15">
        <f>IF(ISNUMBER(Refsz_Verbräuche[[#This Row],[2029]]), Refsz_Verbräuche[[#This Row],[2029]]*Emissionsfaktoren[[#This Row],[2029]]/1000, 0)</f>
        <v>0</v>
      </c>
      <c r="T154" s="15">
        <f>IF(ISNUMBER(Refsz_Verbräuche[[#This Row],[2030]]), Refsz_Verbräuche[[#This Row],[2030]]*Emissionsfaktoren[[#This Row],[2030]]/1000, 0)</f>
        <v>0</v>
      </c>
      <c r="U154" s="15">
        <f>IF(ISNUMBER(Refsz_Verbräuche[[#This Row],[2035]]), Refsz_Verbräuche[[#This Row],[2035]]*Emissionsfaktoren[[#This Row],[2035]]/1000, 0)</f>
        <v>0</v>
      </c>
      <c r="V154" s="15">
        <f>IF(ISNUMBER(Refsz_Verbräuche[[#This Row],[2040]]), Refsz_Verbräuche[[#This Row],[2040]]*Emissionsfaktoren[[#This Row],[2040]]/1000, 0)</f>
        <v>0</v>
      </c>
      <c r="W154" s="15">
        <f>IF(ISNUMBER(Refsz_Verbräuche[[#This Row],[2045]]), Refsz_Verbräuche[[#This Row],[2045]]*Emissionsfaktoren[[#This Row],[2045]]/1000, 0)</f>
        <v>0</v>
      </c>
      <c r="X154" s="15">
        <f>IF(ISNUMBER(Refsz_Verbräuche[[#This Row],[2050]]), Refsz_Verbräuche[[#This Row],[2050]]*Emissionsfaktoren[[#This Row],[2050]]/1000, 0)</f>
        <v>0</v>
      </c>
    </row>
    <row r="155" spans="2:24" ht="16.5" hidden="1" x14ac:dyDescent="0.45">
      <c r="B155" s="15">
        <v>95</v>
      </c>
      <c r="C155" s="20" t="str">
        <f>Refsz_Verbräuche[[#This Row],[Datenpunkt]]</f>
        <v>Beamer</v>
      </c>
      <c r="D155" t="s">
        <v>208</v>
      </c>
      <c r="E155" s="15">
        <f>IF(ISNUMBER(Refsz_Verbräuche[[#This Row],[2015]]), Refsz_Verbräuche[[#This Row],[2015]]*Emissionsfaktoren[[#This Row],[2015]]/1000, 0)</f>
        <v>0</v>
      </c>
      <c r="F155" s="15">
        <f>IF(ISNUMBER(Refsz_Verbräuche[[#This Row],[2016]]), Refsz_Verbräuche[[#This Row],[2016]]*Emissionsfaktoren[[#This Row],[2016]]/1000, 0)</f>
        <v>0</v>
      </c>
      <c r="G155" s="15">
        <f>IF(ISNUMBER(Refsz_Verbräuche[[#This Row],[2017]]), Refsz_Verbräuche[[#This Row],[2017]]*Emissionsfaktoren[[#This Row],[2017]]/1000, 0)</f>
        <v>0</v>
      </c>
      <c r="H155" s="15">
        <f>IF(ISNUMBER(Refsz_Verbräuche[[#This Row],[2018]]), Refsz_Verbräuche[[#This Row],[2018]]*Emissionsfaktoren[[#This Row],[2018]]/1000, 0)</f>
        <v>0</v>
      </c>
      <c r="I155" s="15">
        <f>IF(ISNUMBER(Refsz_Verbräuche[[#This Row],[2019]]), Refsz_Verbräuche[[#This Row],[2019]]*Emissionsfaktoren[[#This Row],[2019]]/1000, 0)</f>
        <v>0</v>
      </c>
      <c r="J155" s="15">
        <f>IF(ISNUMBER(Refsz_Verbräuche[[#This Row],[2020]]), Refsz_Verbräuche[[#This Row],[2020]]*Emissionsfaktoren[[#This Row],[2020]]/1000, 0)</f>
        <v>0</v>
      </c>
      <c r="K155" s="15">
        <f>IF(ISNUMBER(Refsz_Verbräuche[[#This Row],[2021]]), Refsz_Verbräuche[[#This Row],[2021]]*Emissionsfaktoren[[#This Row],[2021]]/1000, 0)</f>
        <v>0</v>
      </c>
      <c r="L155" s="15">
        <f>IF(ISNUMBER(Refsz_Verbräuche[[#This Row],[2022]]), Refsz_Verbräuche[[#This Row],[2022]]*Emissionsfaktoren[[#This Row],[2022]]/1000, 0)</f>
        <v>0</v>
      </c>
      <c r="M155" s="15">
        <f>IF(ISNUMBER(Refsz_Verbräuche[[#This Row],[2023]]), Refsz_Verbräuche[[#This Row],[2023]]*Emissionsfaktoren[[#This Row],[2023]]/1000, 0)</f>
        <v>0</v>
      </c>
      <c r="N155" s="15">
        <f>IF(ISNUMBER(Refsz_Verbräuche[[#This Row],[2024]]), Refsz_Verbräuche[[#This Row],[2024]]*Emissionsfaktoren[[#This Row],[2024]]/1000, 0)</f>
        <v>0</v>
      </c>
      <c r="O155" s="15">
        <f>IF(ISNUMBER(Refsz_Verbräuche[[#This Row],[2025]]), Refsz_Verbräuche[[#This Row],[2025]]*Emissionsfaktoren[[#This Row],[2025]]/1000, 0)</f>
        <v>0</v>
      </c>
      <c r="P155" s="15">
        <f>IF(ISNUMBER(Refsz_Verbräuche[[#This Row],[2026]]), Refsz_Verbräuche[[#This Row],[2026]]*Emissionsfaktoren[[#This Row],[2026]]/1000, 0)</f>
        <v>0</v>
      </c>
      <c r="Q155" s="15">
        <f>IF(ISNUMBER(Refsz_Verbräuche[[#This Row],[2027]]), Refsz_Verbräuche[[#This Row],[2027]]*Emissionsfaktoren[[#This Row],[2027]]/1000, 0)</f>
        <v>0</v>
      </c>
      <c r="R155" s="15">
        <f>IF(ISNUMBER(Refsz_Verbräuche[[#This Row],[2028]]), Refsz_Verbräuche[[#This Row],[2028]]*Emissionsfaktoren[[#This Row],[2028]]/1000, 0)</f>
        <v>0</v>
      </c>
      <c r="S155" s="15">
        <f>IF(ISNUMBER(Refsz_Verbräuche[[#This Row],[2029]]), Refsz_Verbräuche[[#This Row],[2029]]*Emissionsfaktoren[[#This Row],[2029]]/1000, 0)</f>
        <v>0</v>
      </c>
      <c r="T155" s="15">
        <f>IF(ISNUMBER(Refsz_Verbräuche[[#This Row],[2030]]), Refsz_Verbräuche[[#This Row],[2030]]*Emissionsfaktoren[[#This Row],[2030]]/1000, 0)</f>
        <v>0</v>
      </c>
      <c r="U155" s="15">
        <f>IF(ISNUMBER(Refsz_Verbräuche[[#This Row],[2035]]), Refsz_Verbräuche[[#This Row],[2035]]*Emissionsfaktoren[[#This Row],[2035]]/1000, 0)</f>
        <v>0</v>
      </c>
      <c r="V155" s="15">
        <f>IF(ISNUMBER(Refsz_Verbräuche[[#This Row],[2040]]), Refsz_Verbräuche[[#This Row],[2040]]*Emissionsfaktoren[[#This Row],[2040]]/1000, 0)</f>
        <v>0</v>
      </c>
      <c r="W155" s="15">
        <f>IF(ISNUMBER(Refsz_Verbräuche[[#This Row],[2045]]), Refsz_Verbräuche[[#This Row],[2045]]*Emissionsfaktoren[[#This Row],[2045]]/1000, 0)</f>
        <v>0</v>
      </c>
      <c r="X155" s="15">
        <f>IF(ISNUMBER(Refsz_Verbräuche[[#This Row],[2050]]), Refsz_Verbräuche[[#This Row],[2050]]*Emissionsfaktoren[[#This Row],[2050]]/1000, 0)</f>
        <v>0</v>
      </c>
    </row>
    <row r="156" spans="2:24" ht="16.5" hidden="1" x14ac:dyDescent="0.45">
      <c r="B156" s="15">
        <v>96</v>
      </c>
      <c r="C156" s="20" t="str">
        <f>Refsz_Verbräuche[[#This Row],[Datenpunkt]]</f>
        <v>Notebook/Laptop</v>
      </c>
      <c r="D156" t="s">
        <v>208</v>
      </c>
      <c r="E156" s="15">
        <f>IF(ISNUMBER(Refsz_Verbräuche[[#This Row],[2015]]), Refsz_Verbräuche[[#This Row],[2015]]*Emissionsfaktoren[[#This Row],[2015]]/1000, 0)</f>
        <v>0</v>
      </c>
      <c r="F156" s="15">
        <f>IF(ISNUMBER(Refsz_Verbräuche[[#This Row],[2016]]), Refsz_Verbräuche[[#This Row],[2016]]*Emissionsfaktoren[[#This Row],[2016]]/1000, 0)</f>
        <v>0</v>
      </c>
      <c r="G156" s="15">
        <f>IF(ISNUMBER(Refsz_Verbräuche[[#This Row],[2017]]), Refsz_Verbräuche[[#This Row],[2017]]*Emissionsfaktoren[[#This Row],[2017]]/1000, 0)</f>
        <v>0</v>
      </c>
      <c r="H156" s="15">
        <f>IF(ISNUMBER(Refsz_Verbräuche[[#This Row],[2018]]), Refsz_Verbräuche[[#This Row],[2018]]*Emissionsfaktoren[[#This Row],[2018]]/1000, 0)</f>
        <v>0</v>
      </c>
      <c r="I156" s="15">
        <f>IF(ISNUMBER(Refsz_Verbräuche[[#This Row],[2019]]), Refsz_Verbräuche[[#This Row],[2019]]*Emissionsfaktoren[[#This Row],[2019]]/1000, 0)</f>
        <v>0</v>
      </c>
      <c r="J156" s="15">
        <f>IF(ISNUMBER(Refsz_Verbräuche[[#This Row],[2020]]), Refsz_Verbräuche[[#This Row],[2020]]*Emissionsfaktoren[[#This Row],[2020]]/1000, 0)</f>
        <v>0</v>
      </c>
      <c r="K156" s="15">
        <f>IF(ISNUMBER(Refsz_Verbräuche[[#This Row],[2021]]), Refsz_Verbräuche[[#This Row],[2021]]*Emissionsfaktoren[[#This Row],[2021]]/1000, 0)</f>
        <v>0</v>
      </c>
      <c r="L156" s="15">
        <f>IF(ISNUMBER(Refsz_Verbräuche[[#This Row],[2022]]), Refsz_Verbräuche[[#This Row],[2022]]*Emissionsfaktoren[[#This Row],[2022]]/1000, 0)</f>
        <v>0</v>
      </c>
      <c r="M156" s="15">
        <f>IF(ISNUMBER(Refsz_Verbräuche[[#This Row],[2023]]), Refsz_Verbräuche[[#This Row],[2023]]*Emissionsfaktoren[[#This Row],[2023]]/1000, 0)</f>
        <v>0</v>
      </c>
      <c r="N156" s="15">
        <f>IF(ISNUMBER(Refsz_Verbräuche[[#This Row],[2024]]), Refsz_Verbräuche[[#This Row],[2024]]*Emissionsfaktoren[[#This Row],[2024]]/1000, 0)</f>
        <v>0</v>
      </c>
      <c r="O156" s="15">
        <f>IF(ISNUMBER(Refsz_Verbräuche[[#This Row],[2025]]), Refsz_Verbräuche[[#This Row],[2025]]*Emissionsfaktoren[[#This Row],[2025]]/1000, 0)</f>
        <v>0</v>
      </c>
      <c r="P156" s="15">
        <f>IF(ISNUMBER(Refsz_Verbräuche[[#This Row],[2026]]), Refsz_Verbräuche[[#This Row],[2026]]*Emissionsfaktoren[[#This Row],[2026]]/1000, 0)</f>
        <v>0</v>
      </c>
      <c r="Q156" s="15">
        <f>IF(ISNUMBER(Refsz_Verbräuche[[#This Row],[2027]]), Refsz_Verbräuche[[#This Row],[2027]]*Emissionsfaktoren[[#This Row],[2027]]/1000, 0)</f>
        <v>0</v>
      </c>
      <c r="R156" s="15">
        <f>IF(ISNUMBER(Refsz_Verbräuche[[#This Row],[2028]]), Refsz_Verbräuche[[#This Row],[2028]]*Emissionsfaktoren[[#This Row],[2028]]/1000, 0)</f>
        <v>0</v>
      </c>
      <c r="S156" s="15">
        <f>IF(ISNUMBER(Refsz_Verbräuche[[#This Row],[2029]]), Refsz_Verbräuche[[#This Row],[2029]]*Emissionsfaktoren[[#This Row],[2029]]/1000, 0)</f>
        <v>0</v>
      </c>
      <c r="T156" s="15">
        <f>IF(ISNUMBER(Refsz_Verbräuche[[#This Row],[2030]]), Refsz_Verbräuche[[#This Row],[2030]]*Emissionsfaktoren[[#This Row],[2030]]/1000, 0)</f>
        <v>0</v>
      </c>
      <c r="U156" s="15">
        <f>IF(ISNUMBER(Refsz_Verbräuche[[#This Row],[2035]]), Refsz_Verbräuche[[#This Row],[2035]]*Emissionsfaktoren[[#This Row],[2035]]/1000, 0)</f>
        <v>0</v>
      </c>
      <c r="V156" s="15">
        <f>IF(ISNUMBER(Refsz_Verbräuche[[#This Row],[2040]]), Refsz_Verbräuche[[#This Row],[2040]]*Emissionsfaktoren[[#This Row],[2040]]/1000, 0)</f>
        <v>0</v>
      </c>
      <c r="W156" s="15">
        <f>IF(ISNUMBER(Refsz_Verbräuche[[#This Row],[2045]]), Refsz_Verbräuche[[#This Row],[2045]]*Emissionsfaktoren[[#This Row],[2045]]/1000, 0)</f>
        <v>0</v>
      </c>
      <c r="X156" s="15">
        <f>IF(ISNUMBER(Refsz_Verbräuche[[#This Row],[2050]]), Refsz_Verbräuche[[#This Row],[2050]]*Emissionsfaktoren[[#This Row],[2050]]/1000, 0)</f>
        <v>0</v>
      </c>
    </row>
    <row r="157" spans="2:24" ht="16.5" hidden="1" x14ac:dyDescent="0.45">
      <c r="B157" s="15">
        <v>97</v>
      </c>
      <c r="C157" s="20" t="str">
        <f>Refsz_Verbräuche[[#This Row],[Datenpunkt]]</f>
        <v>Desktop-PC mit Monitor</v>
      </c>
      <c r="D157" t="s">
        <v>208</v>
      </c>
      <c r="E157" s="15">
        <f>IF(ISNUMBER(Refsz_Verbräuche[[#This Row],[2015]]), Refsz_Verbräuche[[#This Row],[2015]]*Emissionsfaktoren[[#This Row],[2015]]/1000, 0)</f>
        <v>0</v>
      </c>
      <c r="F157" s="15">
        <f>IF(ISNUMBER(Refsz_Verbräuche[[#This Row],[2016]]), Refsz_Verbräuche[[#This Row],[2016]]*Emissionsfaktoren[[#This Row],[2016]]/1000, 0)</f>
        <v>0</v>
      </c>
      <c r="G157" s="15">
        <f>IF(ISNUMBER(Refsz_Verbräuche[[#This Row],[2017]]), Refsz_Verbräuche[[#This Row],[2017]]*Emissionsfaktoren[[#This Row],[2017]]/1000, 0)</f>
        <v>0</v>
      </c>
      <c r="H157" s="15">
        <f>IF(ISNUMBER(Refsz_Verbräuche[[#This Row],[2018]]), Refsz_Verbräuche[[#This Row],[2018]]*Emissionsfaktoren[[#This Row],[2018]]/1000, 0)</f>
        <v>0</v>
      </c>
      <c r="I157" s="15">
        <f>IF(ISNUMBER(Refsz_Verbräuche[[#This Row],[2019]]), Refsz_Verbräuche[[#This Row],[2019]]*Emissionsfaktoren[[#This Row],[2019]]/1000, 0)</f>
        <v>0</v>
      </c>
      <c r="J157" s="15">
        <f>IF(ISNUMBER(Refsz_Verbräuche[[#This Row],[2020]]), Refsz_Verbräuche[[#This Row],[2020]]*Emissionsfaktoren[[#This Row],[2020]]/1000, 0)</f>
        <v>0</v>
      </c>
      <c r="K157" s="15">
        <f>IF(ISNUMBER(Refsz_Verbräuche[[#This Row],[2021]]), Refsz_Verbräuche[[#This Row],[2021]]*Emissionsfaktoren[[#This Row],[2021]]/1000, 0)</f>
        <v>0</v>
      </c>
      <c r="L157" s="15">
        <f>IF(ISNUMBER(Refsz_Verbräuche[[#This Row],[2022]]), Refsz_Verbräuche[[#This Row],[2022]]*Emissionsfaktoren[[#This Row],[2022]]/1000, 0)</f>
        <v>0</v>
      </c>
      <c r="M157" s="15">
        <f>IF(ISNUMBER(Refsz_Verbräuche[[#This Row],[2023]]), Refsz_Verbräuche[[#This Row],[2023]]*Emissionsfaktoren[[#This Row],[2023]]/1000, 0)</f>
        <v>0</v>
      </c>
      <c r="N157" s="15">
        <f>IF(ISNUMBER(Refsz_Verbräuche[[#This Row],[2024]]), Refsz_Verbräuche[[#This Row],[2024]]*Emissionsfaktoren[[#This Row],[2024]]/1000, 0)</f>
        <v>0</v>
      </c>
      <c r="O157" s="15">
        <f>IF(ISNUMBER(Refsz_Verbräuche[[#This Row],[2025]]), Refsz_Verbräuche[[#This Row],[2025]]*Emissionsfaktoren[[#This Row],[2025]]/1000, 0)</f>
        <v>0</v>
      </c>
      <c r="P157" s="15">
        <f>IF(ISNUMBER(Refsz_Verbräuche[[#This Row],[2026]]), Refsz_Verbräuche[[#This Row],[2026]]*Emissionsfaktoren[[#This Row],[2026]]/1000, 0)</f>
        <v>0</v>
      </c>
      <c r="Q157" s="15">
        <f>IF(ISNUMBER(Refsz_Verbräuche[[#This Row],[2027]]), Refsz_Verbräuche[[#This Row],[2027]]*Emissionsfaktoren[[#This Row],[2027]]/1000, 0)</f>
        <v>0</v>
      </c>
      <c r="R157" s="15">
        <f>IF(ISNUMBER(Refsz_Verbräuche[[#This Row],[2028]]), Refsz_Verbräuche[[#This Row],[2028]]*Emissionsfaktoren[[#This Row],[2028]]/1000, 0)</f>
        <v>0</v>
      </c>
      <c r="S157" s="15">
        <f>IF(ISNUMBER(Refsz_Verbräuche[[#This Row],[2029]]), Refsz_Verbräuche[[#This Row],[2029]]*Emissionsfaktoren[[#This Row],[2029]]/1000, 0)</f>
        <v>0</v>
      </c>
      <c r="T157" s="15">
        <f>IF(ISNUMBER(Refsz_Verbräuche[[#This Row],[2030]]), Refsz_Verbräuche[[#This Row],[2030]]*Emissionsfaktoren[[#This Row],[2030]]/1000, 0)</f>
        <v>0</v>
      </c>
      <c r="U157" s="15">
        <f>IF(ISNUMBER(Refsz_Verbräuche[[#This Row],[2035]]), Refsz_Verbräuche[[#This Row],[2035]]*Emissionsfaktoren[[#This Row],[2035]]/1000, 0)</f>
        <v>0</v>
      </c>
      <c r="V157" s="15">
        <f>IF(ISNUMBER(Refsz_Verbräuche[[#This Row],[2040]]), Refsz_Verbräuche[[#This Row],[2040]]*Emissionsfaktoren[[#This Row],[2040]]/1000, 0)</f>
        <v>0</v>
      </c>
      <c r="W157" s="15">
        <f>IF(ISNUMBER(Refsz_Verbräuche[[#This Row],[2045]]), Refsz_Verbräuche[[#This Row],[2045]]*Emissionsfaktoren[[#This Row],[2045]]/1000, 0)</f>
        <v>0</v>
      </c>
      <c r="X157" s="15">
        <f>IF(ISNUMBER(Refsz_Verbräuche[[#This Row],[2050]]), Refsz_Verbräuche[[#This Row],[2050]]*Emissionsfaktoren[[#This Row],[2050]]/1000, 0)</f>
        <v>0</v>
      </c>
    </row>
    <row r="158" spans="2:24" ht="16.5" hidden="1" x14ac:dyDescent="0.45">
      <c r="B158" s="15">
        <v>98</v>
      </c>
      <c r="C158" s="20" t="str">
        <f>Refsz_Verbräuche[[#This Row],[Datenpunkt]]</f>
        <v>Docking-Station</v>
      </c>
      <c r="D158" t="s">
        <v>208</v>
      </c>
      <c r="E158" s="15">
        <f>IF(ISNUMBER(Refsz_Verbräuche[[#This Row],[2015]]), Refsz_Verbräuche[[#This Row],[2015]]*Emissionsfaktoren[[#This Row],[2015]]/1000, 0)</f>
        <v>0</v>
      </c>
      <c r="F158" s="15">
        <f>IF(ISNUMBER(Refsz_Verbräuche[[#This Row],[2016]]), Refsz_Verbräuche[[#This Row],[2016]]*Emissionsfaktoren[[#This Row],[2016]]/1000, 0)</f>
        <v>0</v>
      </c>
      <c r="G158" s="15">
        <f>IF(ISNUMBER(Refsz_Verbräuche[[#This Row],[2017]]), Refsz_Verbräuche[[#This Row],[2017]]*Emissionsfaktoren[[#This Row],[2017]]/1000, 0)</f>
        <v>0</v>
      </c>
      <c r="H158" s="15">
        <f>IF(ISNUMBER(Refsz_Verbräuche[[#This Row],[2018]]), Refsz_Verbräuche[[#This Row],[2018]]*Emissionsfaktoren[[#This Row],[2018]]/1000, 0)</f>
        <v>0</v>
      </c>
      <c r="I158" s="15">
        <f>IF(ISNUMBER(Refsz_Verbräuche[[#This Row],[2019]]), Refsz_Verbräuche[[#This Row],[2019]]*Emissionsfaktoren[[#This Row],[2019]]/1000, 0)</f>
        <v>0</v>
      </c>
      <c r="J158" s="15">
        <f>IF(ISNUMBER(Refsz_Verbräuche[[#This Row],[2020]]), Refsz_Verbräuche[[#This Row],[2020]]*Emissionsfaktoren[[#This Row],[2020]]/1000, 0)</f>
        <v>0</v>
      </c>
      <c r="K158" s="15">
        <f>IF(ISNUMBER(Refsz_Verbräuche[[#This Row],[2021]]), Refsz_Verbräuche[[#This Row],[2021]]*Emissionsfaktoren[[#This Row],[2021]]/1000, 0)</f>
        <v>0</v>
      </c>
      <c r="L158" s="15">
        <f>IF(ISNUMBER(Refsz_Verbräuche[[#This Row],[2022]]), Refsz_Verbräuche[[#This Row],[2022]]*Emissionsfaktoren[[#This Row],[2022]]/1000, 0)</f>
        <v>0</v>
      </c>
      <c r="M158" s="15">
        <f>IF(ISNUMBER(Refsz_Verbräuche[[#This Row],[2023]]), Refsz_Verbräuche[[#This Row],[2023]]*Emissionsfaktoren[[#This Row],[2023]]/1000, 0)</f>
        <v>0</v>
      </c>
      <c r="N158" s="15">
        <f>IF(ISNUMBER(Refsz_Verbräuche[[#This Row],[2024]]), Refsz_Verbräuche[[#This Row],[2024]]*Emissionsfaktoren[[#This Row],[2024]]/1000, 0)</f>
        <v>0</v>
      </c>
      <c r="O158" s="15">
        <f>IF(ISNUMBER(Refsz_Verbräuche[[#This Row],[2025]]), Refsz_Verbräuche[[#This Row],[2025]]*Emissionsfaktoren[[#This Row],[2025]]/1000, 0)</f>
        <v>0</v>
      </c>
      <c r="P158" s="15">
        <f>IF(ISNUMBER(Refsz_Verbräuche[[#This Row],[2026]]), Refsz_Verbräuche[[#This Row],[2026]]*Emissionsfaktoren[[#This Row],[2026]]/1000, 0)</f>
        <v>0</v>
      </c>
      <c r="Q158" s="15">
        <f>IF(ISNUMBER(Refsz_Verbräuche[[#This Row],[2027]]), Refsz_Verbräuche[[#This Row],[2027]]*Emissionsfaktoren[[#This Row],[2027]]/1000, 0)</f>
        <v>0</v>
      </c>
      <c r="R158" s="15">
        <f>IF(ISNUMBER(Refsz_Verbräuche[[#This Row],[2028]]), Refsz_Verbräuche[[#This Row],[2028]]*Emissionsfaktoren[[#This Row],[2028]]/1000, 0)</f>
        <v>0</v>
      </c>
      <c r="S158" s="15">
        <f>IF(ISNUMBER(Refsz_Verbräuche[[#This Row],[2029]]), Refsz_Verbräuche[[#This Row],[2029]]*Emissionsfaktoren[[#This Row],[2029]]/1000, 0)</f>
        <v>0</v>
      </c>
      <c r="T158" s="15">
        <f>IF(ISNUMBER(Refsz_Verbräuche[[#This Row],[2030]]), Refsz_Verbräuche[[#This Row],[2030]]*Emissionsfaktoren[[#This Row],[2030]]/1000, 0)</f>
        <v>0</v>
      </c>
      <c r="U158" s="15">
        <f>IF(ISNUMBER(Refsz_Verbräuche[[#This Row],[2035]]), Refsz_Verbräuche[[#This Row],[2035]]*Emissionsfaktoren[[#This Row],[2035]]/1000, 0)</f>
        <v>0</v>
      </c>
      <c r="V158" s="15">
        <f>IF(ISNUMBER(Refsz_Verbräuche[[#This Row],[2040]]), Refsz_Verbräuche[[#This Row],[2040]]*Emissionsfaktoren[[#This Row],[2040]]/1000, 0)</f>
        <v>0</v>
      </c>
      <c r="W158" s="15">
        <f>IF(ISNUMBER(Refsz_Verbräuche[[#This Row],[2045]]), Refsz_Verbräuche[[#This Row],[2045]]*Emissionsfaktoren[[#This Row],[2045]]/1000, 0)</f>
        <v>0</v>
      </c>
      <c r="X158" s="15">
        <f>IF(ISNUMBER(Refsz_Verbräuche[[#This Row],[2050]]), Refsz_Verbräuche[[#This Row],[2050]]*Emissionsfaktoren[[#This Row],[2050]]/1000, 0)</f>
        <v>0</v>
      </c>
    </row>
    <row r="159" spans="2:24" ht="16.5" hidden="1" x14ac:dyDescent="0.45">
      <c r="B159" s="15">
        <v>99</v>
      </c>
      <c r="C159" s="20" t="str">
        <f>Refsz_Verbräuche[[#This Row],[Datenpunkt]]</f>
        <v>Laserdrucker</v>
      </c>
      <c r="D159" t="s">
        <v>208</v>
      </c>
      <c r="E159" s="15">
        <f>IF(ISNUMBER(Refsz_Verbräuche[[#This Row],[2015]]), Refsz_Verbräuche[[#This Row],[2015]]*Emissionsfaktoren[[#This Row],[2015]]/1000, 0)</f>
        <v>0</v>
      </c>
      <c r="F159" s="15">
        <f>IF(ISNUMBER(Refsz_Verbräuche[[#This Row],[2016]]), Refsz_Verbräuche[[#This Row],[2016]]*Emissionsfaktoren[[#This Row],[2016]]/1000, 0)</f>
        <v>0</v>
      </c>
      <c r="G159" s="15">
        <f>IF(ISNUMBER(Refsz_Verbräuche[[#This Row],[2017]]), Refsz_Verbräuche[[#This Row],[2017]]*Emissionsfaktoren[[#This Row],[2017]]/1000, 0)</f>
        <v>0</v>
      </c>
      <c r="H159" s="15">
        <f>IF(ISNUMBER(Refsz_Verbräuche[[#This Row],[2018]]), Refsz_Verbräuche[[#This Row],[2018]]*Emissionsfaktoren[[#This Row],[2018]]/1000, 0)</f>
        <v>0</v>
      </c>
      <c r="I159" s="15">
        <f>IF(ISNUMBER(Refsz_Verbräuche[[#This Row],[2019]]), Refsz_Verbräuche[[#This Row],[2019]]*Emissionsfaktoren[[#This Row],[2019]]/1000, 0)</f>
        <v>0</v>
      </c>
      <c r="J159" s="15">
        <f>IF(ISNUMBER(Refsz_Verbräuche[[#This Row],[2020]]), Refsz_Verbräuche[[#This Row],[2020]]*Emissionsfaktoren[[#This Row],[2020]]/1000, 0)</f>
        <v>0</v>
      </c>
      <c r="K159" s="15">
        <f>IF(ISNUMBER(Refsz_Verbräuche[[#This Row],[2021]]), Refsz_Verbräuche[[#This Row],[2021]]*Emissionsfaktoren[[#This Row],[2021]]/1000, 0)</f>
        <v>0</v>
      </c>
      <c r="L159" s="15">
        <f>IF(ISNUMBER(Refsz_Verbräuche[[#This Row],[2022]]), Refsz_Verbräuche[[#This Row],[2022]]*Emissionsfaktoren[[#This Row],[2022]]/1000, 0)</f>
        <v>0</v>
      </c>
      <c r="M159" s="15">
        <f>IF(ISNUMBER(Refsz_Verbräuche[[#This Row],[2023]]), Refsz_Verbräuche[[#This Row],[2023]]*Emissionsfaktoren[[#This Row],[2023]]/1000, 0)</f>
        <v>0</v>
      </c>
      <c r="N159" s="15">
        <f>IF(ISNUMBER(Refsz_Verbräuche[[#This Row],[2024]]), Refsz_Verbräuche[[#This Row],[2024]]*Emissionsfaktoren[[#This Row],[2024]]/1000, 0)</f>
        <v>0</v>
      </c>
      <c r="O159" s="15">
        <f>IF(ISNUMBER(Refsz_Verbräuche[[#This Row],[2025]]), Refsz_Verbräuche[[#This Row],[2025]]*Emissionsfaktoren[[#This Row],[2025]]/1000, 0)</f>
        <v>0</v>
      </c>
      <c r="P159" s="15">
        <f>IF(ISNUMBER(Refsz_Verbräuche[[#This Row],[2026]]), Refsz_Verbräuche[[#This Row],[2026]]*Emissionsfaktoren[[#This Row],[2026]]/1000, 0)</f>
        <v>0</v>
      </c>
      <c r="Q159" s="15">
        <f>IF(ISNUMBER(Refsz_Verbräuche[[#This Row],[2027]]), Refsz_Verbräuche[[#This Row],[2027]]*Emissionsfaktoren[[#This Row],[2027]]/1000, 0)</f>
        <v>0</v>
      </c>
      <c r="R159" s="15">
        <f>IF(ISNUMBER(Refsz_Verbräuche[[#This Row],[2028]]), Refsz_Verbräuche[[#This Row],[2028]]*Emissionsfaktoren[[#This Row],[2028]]/1000, 0)</f>
        <v>0</v>
      </c>
      <c r="S159" s="15">
        <f>IF(ISNUMBER(Refsz_Verbräuche[[#This Row],[2029]]), Refsz_Verbräuche[[#This Row],[2029]]*Emissionsfaktoren[[#This Row],[2029]]/1000, 0)</f>
        <v>0</v>
      </c>
      <c r="T159" s="15">
        <f>IF(ISNUMBER(Refsz_Verbräuche[[#This Row],[2030]]), Refsz_Verbräuche[[#This Row],[2030]]*Emissionsfaktoren[[#This Row],[2030]]/1000, 0)</f>
        <v>0</v>
      </c>
      <c r="U159" s="15">
        <f>IF(ISNUMBER(Refsz_Verbräuche[[#This Row],[2035]]), Refsz_Verbräuche[[#This Row],[2035]]*Emissionsfaktoren[[#This Row],[2035]]/1000, 0)</f>
        <v>0</v>
      </c>
      <c r="V159" s="15">
        <f>IF(ISNUMBER(Refsz_Verbräuche[[#This Row],[2040]]), Refsz_Verbräuche[[#This Row],[2040]]*Emissionsfaktoren[[#This Row],[2040]]/1000, 0)</f>
        <v>0</v>
      </c>
      <c r="W159" s="15">
        <f>IF(ISNUMBER(Refsz_Verbräuche[[#This Row],[2045]]), Refsz_Verbräuche[[#This Row],[2045]]*Emissionsfaktoren[[#This Row],[2045]]/1000, 0)</f>
        <v>0</v>
      </c>
      <c r="X159" s="15">
        <f>IF(ISNUMBER(Refsz_Verbräuche[[#This Row],[2050]]), Refsz_Verbräuche[[#This Row],[2050]]*Emissionsfaktoren[[#This Row],[2050]]/1000, 0)</f>
        <v>0</v>
      </c>
    </row>
    <row r="160" spans="2:24" ht="16.5" hidden="1" x14ac:dyDescent="0.45">
      <c r="B160" s="15">
        <v>100</v>
      </c>
      <c r="C160" s="20" t="str">
        <f>Refsz_Verbräuche[[#This Row],[Datenpunkt]]</f>
        <v>Multifunktionsdrucker klein (31 x 44 x 42 cm)</v>
      </c>
      <c r="D160" t="s">
        <v>208</v>
      </c>
      <c r="E160" s="15">
        <f>IF(ISNUMBER(Refsz_Verbräuche[[#This Row],[2015]]), Refsz_Verbräuche[[#This Row],[2015]]*Emissionsfaktoren[[#This Row],[2015]]/1000, 0)</f>
        <v>0</v>
      </c>
      <c r="F160" s="15">
        <f>IF(ISNUMBER(Refsz_Verbräuche[[#This Row],[2016]]), Refsz_Verbräuche[[#This Row],[2016]]*Emissionsfaktoren[[#This Row],[2016]]/1000, 0)</f>
        <v>0</v>
      </c>
      <c r="G160" s="15">
        <f>IF(ISNUMBER(Refsz_Verbräuche[[#This Row],[2017]]), Refsz_Verbräuche[[#This Row],[2017]]*Emissionsfaktoren[[#This Row],[2017]]/1000, 0)</f>
        <v>0</v>
      </c>
      <c r="H160" s="15">
        <f>IF(ISNUMBER(Refsz_Verbräuche[[#This Row],[2018]]), Refsz_Verbräuche[[#This Row],[2018]]*Emissionsfaktoren[[#This Row],[2018]]/1000, 0)</f>
        <v>0</v>
      </c>
      <c r="I160" s="15">
        <f>IF(ISNUMBER(Refsz_Verbräuche[[#This Row],[2019]]), Refsz_Verbräuche[[#This Row],[2019]]*Emissionsfaktoren[[#This Row],[2019]]/1000, 0)</f>
        <v>0</v>
      </c>
      <c r="J160" s="15">
        <f>IF(ISNUMBER(Refsz_Verbräuche[[#This Row],[2020]]), Refsz_Verbräuche[[#This Row],[2020]]*Emissionsfaktoren[[#This Row],[2020]]/1000, 0)</f>
        <v>0</v>
      </c>
      <c r="K160" s="15">
        <f>IF(ISNUMBER(Refsz_Verbräuche[[#This Row],[2021]]), Refsz_Verbräuche[[#This Row],[2021]]*Emissionsfaktoren[[#This Row],[2021]]/1000, 0)</f>
        <v>0</v>
      </c>
      <c r="L160" s="15">
        <f>IF(ISNUMBER(Refsz_Verbräuche[[#This Row],[2022]]), Refsz_Verbräuche[[#This Row],[2022]]*Emissionsfaktoren[[#This Row],[2022]]/1000, 0)</f>
        <v>0</v>
      </c>
      <c r="M160" s="15">
        <f>IF(ISNUMBER(Refsz_Verbräuche[[#This Row],[2023]]), Refsz_Verbräuche[[#This Row],[2023]]*Emissionsfaktoren[[#This Row],[2023]]/1000, 0)</f>
        <v>0</v>
      </c>
      <c r="N160" s="15">
        <f>IF(ISNUMBER(Refsz_Verbräuche[[#This Row],[2024]]), Refsz_Verbräuche[[#This Row],[2024]]*Emissionsfaktoren[[#This Row],[2024]]/1000, 0)</f>
        <v>0</v>
      </c>
      <c r="O160" s="15">
        <f>IF(ISNUMBER(Refsz_Verbräuche[[#This Row],[2025]]), Refsz_Verbräuche[[#This Row],[2025]]*Emissionsfaktoren[[#This Row],[2025]]/1000, 0)</f>
        <v>0</v>
      </c>
      <c r="P160" s="15">
        <f>IF(ISNUMBER(Refsz_Verbräuche[[#This Row],[2026]]), Refsz_Verbräuche[[#This Row],[2026]]*Emissionsfaktoren[[#This Row],[2026]]/1000, 0)</f>
        <v>0</v>
      </c>
      <c r="Q160" s="15">
        <f>IF(ISNUMBER(Refsz_Verbräuche[[#This Row],[2027]]), Refsz_Verbräuche[[#This Row],[2027]]*Emissionsfaktoren[[#This Row],[2027]]/1000, 0)</f>
        <v>0</v>
      </c>
      <c r="R160" s="15">
        <f>IF(ISNUMBER(Refsz_Verbräuche[[#This Row],[2028]]), Refsz_Verbräuche[[#This Row],[2028]]*Emissionsfaktoren[[#This Row],[2028]]/1000, 0)</f>
        <v>0</v>
      </c>
      <c r="S160" s="15">
        <f>IF(ISNUMBER(Refsz_Verbräuche[[#This Row],[2029]]), Refsz_Verbräuche[[#This Row],[2029]]*Emissionsfaktoren[[#This Row],[2029]]/1000, 0)</f>
        <v>0</v>
      </c>
      <c r="T160" s="15">
        <f>IF(ISNUMBER(Refsz_Verbräuche[[#This Row],[2030]]), Refsz_Verbräuche[[#This Row],[2030]]*Emissionsfaktoren[[#This Row],[2030]]/1000, 0)</f>
        <v>0</v>
      </c>
      <c r="U160" s="15">
        <f>IF(ISNUMBER(Refsz_Verbräuche[[#This Row],[2035]]), Refsz_Verbräuche[[#This Row],[2035]]*Emissionsfaktoren[[#This Row],[2035]]/1000, 0)</f>
        <v>0</v>
      </c>
      <c r="V160" s="15">
        <f>IF(ISNUMBER(Refsz_Verbräuche[[#This Row],[2040]]), Refsz_Verbräuche[[#This Row],[2040]]*Emissionsfaktoren[[#This Row],[2040]]/1000, 0)</f>
        <v>0</v>
      </c>
      <c r="W160" s="15">
        <f>IF(ISNUMBER(Refsz_Verbräuche[[#This Row],[2045]]), Refsz_Verbräuche[[#This Row],[2045]]*Emissionsfaktoren[[#This Row],[2045]]/1000, 0)</f>
        <v>0</v>
      </c>
      <c r="X160" s="15">
        <f>IF(ISNUMBER(Refsz_Verbräuche[[#This Row],[2050]]), Refsz_Verbräuche[[#This Row],[2050]]*Emissionsfaktoren[[#This Row],[2050]]/1000, 0)</f>
        <v>0</v>
      </c>
    </row>
    <row r="161" spans="2:24" ht="16.5" hidden="1" x14ac:dyDescent="0.45">
      <c r="B161" s="15">
        <v>101</v>
      </c>
      <c r="C161" s="20" t="str">
        <f>Refsz_Verbräuche[[#This Row],[Datenpunkt]]</f>
        <v>Multifunktionsdrucker mittel (54 x 56 x 52 cm)</v>
      </c>
      <c r="D161" t="s">
        <v>208</v>
      </c>
      <c r="E161" s="15">
        <f>IF(ISNUMBER(Refsz_Verbräuche[[#This Row],[2015]]), Refsz_Verbräuche[[#This Row],[2015]]*Emissionsfaktoren[[#This Row],[2015]]/1000, 0)</f>
        <v>0</v>
      </c>
      <c r="F161" s="15">
        <f>IF(ISNUMBER(Refsz_Verbräuche[[#This Row],[2016]]), Refsz_Verbräuche[[#This Row],[2016]]*Emissionsfaktoren[[#This Row],[2016]]/1000, 0)</f>
        <v>0</v>
      </c>
      <c r="G161" s="15">
        <f>IF(ISNUMBER(Refsz_Verbräuche[[#This Row],[2017]]), Refsz_Verbräuche[[#This Row],[2017]]*Emissionsfaktoren[[#This Row],[2017]]/1000, 0)</f>
        <v>0</v>
      </c>
      <c r="H161" s="15">
        <f>IF(ISNUMBER(Refsz_Verbräuche[[#This Row],[2018]]), Refsz_Verbräuche[[#This Row],[2018]]*Emissionsfaktoren[[#This Row],[2018]]/1000, 0)</f>
        <v>0</v>
      </c>
      <c r="I161" s="15">
        <f>IF(ISNUMBER(Refsz_Verbräuche[[#This Row],[2019]]), Refsz_Verbräuche[[#This Row],[2019]]*Emissionsfaktoren[[#This Row],[2019]]/1000, 0)</f>
        <v>0</v>
      </c>
      <c r="J161" s="15">
        <f>IF(ISNUMBER(Refsz_Verbräuche[[#This Row],[2020]]), Refsz_Verbräuche[[#This Row],[2020]]*Emissionsfaktoren[[#This Row],[2020]]/1000, 0)</f>
        <v>0</v>
      </c>
      <c r="K161" s="15">
        <f>IF(ISNUMBER(Refsz_Verbräuche[[#This Row],[2021]]), Refsz_Verbräuche[[#This Row],[2021]]*Emissionsfaktoren[[#This Row],[2021]]/1000, 0)</f>
        <v>0</v>
      </c>
      <c r="L161" s="15">
        <f>IF(ISNUMBER(Refsz_Verbräuche[[#This Row],[2022]]), Refsz_Verbräuche[[#This Row],[2022]]*Emissionsfaktoren[[#This Row],[2022]]/1000, 0)</f>
        <v>0</v>
      </c>
      <c r="M161" s="15">
        <f>IF(ISNUMBER(Refsz_Verbräuche[[#This Row],[2023]]), Refsz_Verbräuche[[#This Row],[2023]]*Emissionsfaktoren[[#This Row],[2023]]/1000, 0)</f>
        <v>0</v>
      </c>
      <c r="N161" s="15">
        <f>IF(ISNUMBER(Refsz_Verbräuche[[#This Row],[2024]]), Refsz_Verbräuche[[#This Row],[2024]]*Emissionsfaktoren[[#This Row],[2024]]/1000, 0)</f>
        <v>0</v>
      </c>
      <c r="O161" s="15">
        <f>IF(ISNUMBER(Refsz_Verbräuche[[#This Row],[2025]]), Refsz_Verbräuche[[#This Row],[2025]]*Emissionsfaktoren[[#This Row],[2025]]/1000, 0)</f>
        <v>0</v>
      </c>
      <c r="P161" s="15">
        <f>IF(ISNUMBER(Refsz_Verbräuche[[#This Row],[2026]]), Refsz_Verbräuche[[#This Row],[2026]]*Emissionsfaktoren[[#This Row],[2026]]/1000, 0)</f>
        <v>0</v>
      </c>
      <c r="Q161" s="15">
        <f>IF(ISNUMBER(Refsz_Verbräuche[[#This Row],[2027]]), Refsz_Verbräuche[[#This Row],[2027]]*Emissionsfaktoren[[#This Row],[2027]]/1000, 0)</f>
        <v>0</v>
      </c>
      <c r="R161" s="15">
        <f>IF(ISNUMBER(Refsz_Verbräuche[[#This Row],[2028]]), Refsz_Verbräuche[[#This Row],[2028]]*Emissionsfaktoren[[#This Row],[2028]]/1000, 0)</f>
        <v>0</v>
      </c>
      <c r="S161" s="15">
        <f>IF(ISNUMBER(Refsz_Verbräuche[[#This Row],[2029]]), Refsz_Verbräuche[[#This Row],[2029]]*Emissionsfaktoren[[#This Row],[2029]]/1000, 0)</f>
        <v>0</v>
      </c>
      <c r="T161" s="15">
        <f>IF(ISNUMBER(Refsz_Verbräuche[[#This Row],[2030]]), Refsz_Verbräuche[[#This Row],[2030]]*Emissionsfaktoren[[#This Row],[2030]]/1000, 0)</f>
        <v>0</v>
      </c>
      <c r="U161" s="15">
        <f>IF(ISNUMBER(Refsz_Verbräuche[[#This Row],[2035]]), Refsz_Verbräuche[[#This Row],[2035]]*Emissionsfaktoren[[#This Row],[2035]]/1000, 0)</f>
        <v>0</v>
      </c>
      <c r="V161" s="15">
        <f>IF(ISNUMBER(Refsz_Verbräuche[[#This Row],[2040]]), Refsz_Verbräuche[[#This Row],[2040]]*Emissionsfaktoren[[#This Row],[2040]]/1000, 0)</f>
        <v>0</v>
      </c>
      <c r="W161" s="15">
        <f>IF(ISNUMBER(Refsz_Verbräuche[[#This Row],[2045]]), Refsz_Verbräuche[[#This Row],[2045]]*Emissionsfaktoren[[#This Row],[2045]]/1000, 0)</f>
        <v>0</v>
      </c>
      <c r="X161" s="15">
        <f>IF(ISNUMBER(Refsz_Verbräuche[[#This Row],[2050]]), Refsz_Verbräuche[[#This Row],[2050]]*Emissionsfaktoren[[#This Row],[2050]]/1000, 0)</f>
        <v>0</v>
      </c>
    </row>
    <row r="162" spans="2:24" ht="16.5" hidden="1" x14ac:dyDescent="0.45">
      <c r="B162" s="15">
        <v>102</v>
      </c>
      <c r="C162" s="20" t="str">
        <f>Refsz_Verbräuche[[#This Row],[Datenpunkt]]</f>
        <v>Multifunktionsdrucker groß (114 x 65 x 59 cm)</v>
      </c>
      <c r="D162" t="s">
        <v>208</v>
      </c>
      <c r="E162" s="15">
        <f>IF(ISNUMBER(Refsz_Verbräuche[[#This Row],[2015]]), Refsz_Verbräuche[[#This Row],[2015]]*Emissionsfaktoren[[#This Row],[2015]]/1000, 0)</f>
        <v>0</v>
      </c>
      <c r="F162" s="15">
        <f>IF(ISNUMBER(Refsz_Verbräuche[[#This Row],[2016]]), Refsz_Verbräuche[[#This Row],[2016]]*Emissionsfaktoren[[#This Row],[2016]]/1000, 0)</f>
        <v>0</v>
      </c>
      <c r="G162" s="15">
        <f>IF(ISNUMBER(Refsz_Verbräuche[[#This Row],[2017]]), Refsz_Verbräuche[[#This Row],[2017]]*Emissionsfaktoren[[#This Row],[2017]]/1000, 0)</f>
        <v>0</v>
      </c>
      <c r="H162" s="15">
        <f>IF(ISNUMBER(Refsz_Verbräuche[[#This Row],[2018]]), Refsz_Verbräuche[[#This Row],[2018]]*Emissionsfaktoren[[#This Row],[2018]]/1000, 0)</f>
        <v>0</v>
      </c>
      <c r="I162" s="15">
        <f>IF(ISNUMBER(Refsz_Verbräuche[[#This Row],[2019]]), Refsz_Verbräuche[[#This Row],[2019]]*Emissionsfaktoren[[#This Row],[2019]]/1000, 0)</f>
        <v>0</v>
      </c>
      <c r="J162" s="15">
        <f>IF(ISNUMBER(Refsz_Verbräuche[[#This Row],[2020]]), Refsz_Verbräuche[[#This Row],[2020]]*Emissionsfaktoren[[#This Row],[2020]]/1000, 0)</f>
        <v>0</v>
      </c>
      <c r="K162" s="15">
        <f>IF(ISNUMBER(Refsz_Verbräuche[[#This Row],[2021]]), Refsz_Verbräuche[[#This Row],[2021]]*Emissionsfaktoren[[#This Row],[2021]]/1000, 0)</f>
        <v>0</v>
      </c>
      <c r="L162" s="15">
        <f>IF(ISNUMBER(Refsz_Verbräuche[[#This Row],[2022]]), Refsz_Verbräuche[[#This Row],[2022]]*Emissionsfaktoren[[#This Row],[2022]]/1000, 0)</f>
        <v>0</v>
      </c>
      <c r="M162" s="15">
        <f>IF(ISNUMBER(Refsz_Verbräuche[[#This Row],[2023]]), Refsz_Verbräuche[[#This Row],[2023]]*Emissionsfaktoren[[#This Row],[2023]]/1000, 0)</f>
        <v>0</v>
      </c>
      <c r="N162" s="15">
        <f>IF(ISNUMBER(Refsz_Verbräuche[[#This Row],[2024]]), Refsz_Verbräuche[[#This Row],[2024]]*Emissionsfaktoren[[#This Row],[2024]]/1000, 0)</f>
        <v>0</v>
      </c>
      <c r="O162" s="15">
        <f>IF(ISNUMBER(Refsz_Verbräuche[[#This Row],[2025]]), Refsz_Verbräuche[[#This Row],[2025]]*Emissionsfaktoren[[#This Row],[2025]]/1000, 0)</f>
        <v>0</v>
      </c>
      <c r="P162" s="15">
        <f>IF(ISNUMBER(Refsz_Verbräuche[[#This Row],[2026]]), Refsz_Verbräuche[[#This Row],[2026]]*Emissionsfaktoren[[#This Row],[2026]]/1000, 0)</f>
        <v>0</v>
      </c>
      <c r="Q162" s="15">
        <f>IF(ISNUMBER(Refsz_Verbräuche[[#This Row],[2027]]), Refsz_Verbräuche[[#This Row],[2027]]*Emissionsfaktoren[[#This Row],[2027]]/1000, 0)</f>
        <v>0</v>
      </c>
      <c r="R162" s="15">
        <f>IF(ISNUMBER(Refsz_Verbräuche[[#This Row],[2028]]), Refsz_Verbräuche[[#This Row],[2028]]*Emissionsfaktoren[[#This Row],[2028]]/1000, 0)</f>
        <v>0</v>
      </c>
      <c r="S162" s="15">
        <f>IF(ISNUMBER(Refsz_Verbräuche[[#This Row],[2029]]), Refsz_Verbräuche[[#This Row],[2029]]*Emissionsfaktoren[[#This Row],[2029]]/1000, 0)</f>
        <v>0</v>
      </c>
      <c r="T162" s="15">
        <f>IF(ISNUMBER(Refsz_Verbräuche[[#This Row],[2030]]), Refsz_Verbräuche[[#This Row],[2030]]*Emissionsfaktoren[[#This Row],[2030]]/1000, 0)</f>
        <v>0</v>
      </c>
      <c r="U162" s="15">
        <f>IF(ISNUMBER(Refsz_Verbräuche[[#This Row],[2035]]), Refsz_Verbräuche[[#This Row],[2035]]*Emissionsfaktoren[[#This Row],[2035]]/1000, 0)</f>
        <v>0</v>
      </c>
      <c r="V162" s="15">
        <f>IF(ISNUMBER(Refsz_Verbräuche[[#This Row],[2040]]), Refsz_Verbräuche[[#This Row],[2040]]*Emissionsfaktoren[[#This Row],[2040]]/1000, 0)</f>
        <v>0</v>
      </c>
      <c r="W162" s="15">
        <f>IF(ISNUMBER(Refsz_Verbräuche[[#This Row],[2045]]), Refsz_Verbräuche[[#This Row],[2045]]*Emissionsfaktoren[[#This Row],[2045]]/1000, 0)</f>
        <v>0</v>
      </c>
      <c r="X162" s="15">
        <f>IF(ISNUMBER(Refsz_Verbräuche[[#This Row],[2050]]), Refsz_Verbräuche[[#This Row],[2050]]*Emissionsfaktoren[[#This Row],[2050]]/1000, 0)</f>
        <v>0</v>
      </c>
    </row>
    <row r="163" spans="2:24" ht="16.5" hidden="1" x14ac:dyDescent="0.45">
      <c r="B163" s="15">
        <v>103</v>
      </c>
      <c r="C163" s="20" t="str">
        <f>Refsz_Verbräuche[[#This Row],[Datenpunkt]]</f>
        <v>Toner</v>
      </c>
      <c r="D163" t="s">
        <v>208</v>
      </c>
      <c r="E163" s="15">
        <f>IF(ISNUMBER(Refsz_Verbräuche[[#This Row],[2015]]), Refsz_Verbräuche[[#This Row],[2015]]*Emissionsfaktoren[[#This Row],[2015]]/1000, 0)</f>
        <v>0</v>
      </c>
      <c r="F163" s="15">
        <f>IF(ISNUMBER(Refsz_Verbräuche[[#This Row],[2016]]), Refsz_Verbräuche[[#This Row],[2016]]*Emissionsfaktoren[[#This Row],[2016]]/1000, 0)</f>
        <v>0</v>
      </c>
      <c r="G163" s="15">
        <f>IF(ISNUMBER(Refsz_Verbräuche[[#This Row],[2017]]), Refsz_Verbräuche[[#This Row],[2017]]*Emissionsfaktoren[[#This Row],[2017]]/1000, 0)</f>
        <v>0</v>
      </c>
      <c r="H163" s="15">
        <f>IF(ISNUMBER(Refsz_Verbräuche[[#This Row],[2018]]), Refsz_Verbräuche[[#This Row],[2018]]*Emissionsfaktoren[[#This Row],[2018]]/1000, 0)</f>
        <v>0</v>
      </c>
      <c r="I163" s="15">
        <f>IF(ISNUMBER(Refsz_Verbräuche[[#This Row],[2019]]), Refsz_Verbräuche[[#This Row],[2019]]*Emissionsfaktoren[[#This Row],[2019]]/1000, 0)</f>
        <v>0</v>
      </c>
      <c r="J163" s="15">
        <f>IF(ISNUMBER(Refsz_Verbräuche[[#This Row],[2020]]), Refsz_Verbräuche[[#This Row],[2020]]*Emissionsfaktoren[[#This Row],[2020]]/1000, 0)</f>
        <v>0</v>
      </c>
      <c r="K163" s="15">
        <f>IF(ISNUMBER(Refsz_Verbräuche[[#This Row],[2021]]), Refsz_Verbräuche[[#This Row],[2021]]*Emissionsfaktoren[[#This Row],[2021]]/1000, 0)</f>
        <v>0</v>
      </c>
      <c r="L163" s="15">
        <f>IF(ISNUMBER(Refsz_Verbräuche[[#This Row],[2022]]), Refsz_Verbräuche[[#This Row],[2022]]*Emissionsfaktoren[[#This Row],[2022]]/1000, 0)</f>
        <v>0</v>
      </c>
      <c r="M163" s="15">
        <f>IF(ISNUMBER(Refsz_Verbräuche[[#This Row],[2023]]), Refsz_Verbräuche[[#This Row],[2023]]*Emissionsfaktoren[[#This Row],[2023]]/1000, 0)</f>
        <v>0</v>
      </c>
      <c r="N163" s="15">
        <f>IF(ISNUMBER(Refsz_Verbräuche[[#This Row],[2024]]), Refsz_Verbräuche[[#This Row],[2024]]*Emissionsfaktoren[[#This Row],[2024]]/1000, 0)</f>
        <v>0</v>
      </c>
      <c r="O163" s="15">
        <f>IF(ISNUMBER(Refsz_Verbräuche[[#This Row],[2025]]), Refsz_Verbräuche[[#This Row],[2025]]*Emissionsfaktoren[[#This Row],[2025]]/1000, 0)</f>
        <v>0</v>
      </c>
      <c r="P163" s="15">
        <f>IF(ISNUMBER(Refsz_Verbräuche[[#This Row],[2026]]), Refsz_Verbräuche[[#This Row],[2026]]*Emissionsfaktoren[[#This Row],[2026]]/1000, 0)</f>
        <v>0</v>
      </c>
      <c r="Q163" s="15">
        <f>IF(ISNUMBER(Refsz_Verbräuche[[#This Row],[2027]]), Refsz_Verbräuche[[#This Row],[2027]]*Emissionsfaktoren[[#This Row],[2027]]/1000, 0)</f>
        <v>0</v>
      </c>
      <c r="R163" s="15">
        <f>IF(ISNUMBER(Refsz_Verbräuche[[#This Row],[2028]]), Refsz_Verbräuche[[#This Row],[2028]]*Emissionsfaktoren[[#This Row],[2028]]/1000, 0)</f>
        <v>0</v>
      </c>
      <c r="S163" s="15">
        <f>IF(ISNUMBER(Refsz_Verbräuche[[#This Row],[2029]]), Refsz_Verbräuche[[#This Row],[2029]]*Emissionsfaktoren[[#This Row],[2029]]/1000, 0)</f>
        <v>0</v>
      </c>
      <c r="T163" s="15">
        <f>IF(ISNUMBER(Refsz_Verbräuche[[#This Row],[2030]]), Refsz_Verbräuche[[#This Row],[2030]]*Emissionsfaktoren[[#This Row],[2030]]/1000, 0)</f>
        <v>0</v>
      </c>
      <c r="U163" s="15">
        <f>IF(ISNUMBER(Refsz_Verbräuche[[#This Row],[2035]]), Refsz_Verbräuche[[#This Row],[2035]]*Emissionsfaktoren[[#This Row],[2035]]/1000, 0)</f>
        <v>0</v>
      </c>
      <c r="V163" s="15">
        <f>IF(ISNUMBER(Refsz_Verbräuche[[#This Row],[2040]]), Refsz_Verbräuche[[#This Row],[2040]]*Emissionsfaktoren[[#This Row],[2040]]/1000, 0)</f>
        <v>0</v>
      </c>
      <c r="W163" s="15">
        <f>IF(ISNUMBER(Refsz_Verbräuche[[#This Row],[2045]]), Refsz_Verbräuche[[#This Row],[2045]]*Emissionsfaktoren[[#This Row],[2045]]/1000, 0)</f>
        <v>0</v>
      </c>
      <c r="X163" s="15">
        <f>IF(ISNUMBER(Refsz_Verbräuche[[#This Row],[2050]]), Refsz_Verbräuche[[#This Row],[2050]]*Emissionsfaktoren[[#This Row],[2050]]/1000, 0)</f>
        <v>0</v>
      </c>
    </row>
    <row r="164" spans="2:24" ht="16.5" hidden="1" x14ac:dyDescent="0.45">
      <c r="B164" s="15">
        <v>104</v>
      </c>
      <c r="C164" s="20">
        <f>Refsz_Verbräuche[[#This Row],[Datenpunkt]]</f>
        <v>0</v>
      </c>
      <c r="D164" t="s">
        <v>208</v>
      </c>
      <c r="E164" s="15">
        <f>IF(ISNUMBER(Refsz_Verbräuche[[#This Row],[2015]]), Refsz_Verbräuche[[#This Row],[2015]]*Emissionsfaktoren[[#This Row],[2015]]/1000, 0)</f>
        <v>0</v>
      </c>
      <c r="F164" s="15">
        <f>IF(ISNUMBER(Refsz_Verbräuche[[#This Row],[2016]]), Refsz_Verbräuche[[#This Row],[2016]]*Emissionsfaktoren[[#This Row],[2016]]/1000, 0)</f>
        <v>0</v>
      </c>
      <c r="G164" s="15">
        <f>IF(ISNUMBER(Refsz_Verbräuche[[#This Row],[2017]]), Refsz_Verbräuche[[#This Row],[2017]]*Emissionsfaktoren[[#This Row],[2017]]/1000, 0)</f>
        <v>0</v>
      </c>
      <c r="H164" s="15">
        <f>IF(ISNUMBER(Refsz_Verbräuche[[#This Row],[2018]]), Refsz_Verbräuche[[#This Row],[2018]]*Emissionsfaktoren[[#This Row],[2018]]/1000, 0)</f>
        <v>0</v>
      </c>
      <c r="I164" s="15">
        <f>IF(ISNUMBER(Refsz_Verbräuche[[#This Row],[2019]]), Refsz_Verbräuche[[#This Row],[2019]]*Emissionsfaktoren[[#This Row],[2019]]/1000, 0)</f>
        <v>0</v>
      </c>
      <c r="J164" s="15">
        <f>IF(ISNUMBER(Refsz_Verbräuche[[#This Row],[2020]]), Refsz_Verbräuche[[#This Row],[2020]]*Emissionsfaktoren[[#This Row],[2020]]/1000, 0)</f>
        <v>0</v>
      </c>
      <c r="K164" s="15">
        <f>IF(ISNUMBER(Refsz_Verbräuche[[#This Row],[2021]]), Refsz_Verbräuche[[#This Row],[2021]]*Emissionsfaktoren[[#This Row],[2021]]/1000, 0)</f>
        <v>0</v>
      </c>
      <c r="L164" s="15">
        <f>IF(ISNUMBER(Refsz_Verbräuche[[#This Row],[2022]]), Refsz_Verbräuche[[#This Row],[2022]]*Emissionsfaktoren[[#This Row],[2022]]/1000, 0)</f>
        <v>0</v>
      </c>
      <c r="M164" s="15">
        <f>IF(ISNUMBER(Refsz_Verbräuche[[#This Row],[2023]]), Refsz_Verbräuche[[#This Row],[2023]]*Emissionsfaktoren[[#This Row],[2023]]/1000, 0)</f>
        <v>0</v>
      </c>
      <c r="N164" s="15">
        <f>IF(ISNUMBER(Refsz_Verbräuche[[#This Row],[2024]]), Refsz_Verbräuche[[#This Row],[2024]]*Emissionsfaktoren[[#This Row],[2024]]/1000, 0)</f>
        <v>0</v>
      </c>
      <c r="O164" s="15">
        <f>IF(ISNUMBER(Refsz_Verbräuche[[#This Row],[2025]]), Refsz_Verbräuche[[#This Row],[2025]]*Emissionsfaktoren[[#This Row],[2025]]/1000, 0)</f>
        <v>0</v>
      </c>
      <c r="P164" s="15">
        <f>IF(ISNUMBER(Refsz_Verbräuche[[#This Row],[2026]]), Refsz_Verbräuche[[#This Row],[2026]]*Emissionsfaktoren[[#This Row],[2026]]/1000, 0)</f>
        <v>0</v>
      </c>
      <c r="Q164" s="15">
        <f>IF(ISNUMBER(Refsz_Verbräuche[[#This Row],[2027]]), Refsz_Verbräuche[[#This Row],[2027]]*Emissionsfaktoren[[#This Row],[2027]]/1000, 0)</f>
        <v>0</v>
      </c>
      <c r="R164" s="15">
        <f>IF(ISNUMBER(Refsz_Verbräuche[[#This Row],[2028]]), Refsz_Verbräuche[[#This Row],[2028]]*Emissionsfaktoren[[#This Row],[2028]]/1000, 0)</f>
        <v>0</v>
      </c>
      <c r="S164" s="15">
        <f>IF(ISNUMBER(Refsz_Verbräuche[[#This Row],[2029]]), Refsz_Verbräuche[[#This Row],[2029]]*Emissionsfaktoren[[#This Row],[2029]]/1000, 0)</f>
        <v>0</v>
      </c>
      <c r="T164" s="15">
        <f>IF(ISNUMBER(Refsz_Verbräuche[[#This Row],[2030]]), Refsz_Verbräuche[[#This Row],[2030]]*Emissionsfaktoren[[#This Row],[2030]]/1000, 0)</f>
        <v>0</v>
      </c>
      <c r="U164" s="15">
        <f>IF(ISNUMBER(Refsz_Verbräuche[[#This Row],[2035]]), Refsz_Verbräuche[[#This Row],[2035]]*Emissionsfaktoren[[#This Row],[2035]]/1000, 0)</f>
        <v>0</v>
      </c>
      <c r="V164" s="15">
        <f>IF(ISNUMBER(Refsz_Verbräuche[[#This Row],[2040]]), Refsz_Verbräuche[[#This Row],[2040]]*Emissionsfaktoren[[#This Row],[2040]]/1000, 0)</f>
        <v>0</v>
      </c>
      <c r="W164" s="15">
        <f>IF(ISNUMBER(Refsz_Verbräuche[[#This Row],[2045]]), Refsz_Verbräuche[[#This Row],[2045]]*Emissionsfaktoren[[#This Row],[2045]]/1000, 0)</f>
        <v>0</v>
      </c>
      <c r="X164" s="15">
        <f>IF(ISNUMBER(Refsz_Verbräuche[[#This Row],[2050]]), Refsz_Verbräuche[[#This Row],[2050]]*Emissionsfaktoren[[#This Row],[2050]]/1000, 0)</f>
        <v>0</v>
      </c>
    </row>
    <row r="165" spans="2:24" ht="16.5" hidden="1" x14ac:dyDescent="0.45">
      <c r="B165" s="15">
        <v>105</v>
      </c>
      <c r="C165" s="20" t="str">
        <f>Refsz_Verbräuche[[#This Row],[Datenpunkt]]</f>
        <v>Bioabfall, Grünschnitt (Kompostierung)</v>
      </c>
      <c r="D165" t="s">
        <v>208</v>
      </c>
      <c r="E165" s="15">
        <f>IF(ISNUMBER(Refsz_Verbräuche[[#This Row],[2015]]), Refsz_Verbräuche[[#This Row],[2015]]*Emissionsfaktoren[[#This Row],[2015]]/1000, 0)</f>
        <v>0</v>
      </c>
      <c r="F165" s="15">
        <f>IF(ISNUMBER(Refsz_Verbräuche[[#This Row],[2016]]), Refsz_Verbräuche[[#This Row],[2016]]*Emissionsfaktoren[[#This Row],[2016]]/1000, 0)</f>
        <v>0</v>
      </c>
      <c r="G165" s="15">
        <f>IF(ISNUMBER(Refsz_Verbräuche[[#This Row],[2017]]), Refsz_Verbräuche[[#This Row],[2017]]*Emissionsfaktoren[[#This Row],[2017]]/1000, 0)</f>
        <v>0</v>
      </c>
      <c r="H165" s="15">
        <f>IF(ISNUMBER(Refsz_Verbräuche[[#This Row],[2018]]), Refsz_Verbräuche[[#This Row],[2018]]*Emissionsfaktoren[[#This Row],[2018]]/1000, 0)</f>
        <v>0</v>
      </c>
      <c r="I165" s="15">
        <f>IF(ISNUMBER(Refsz_Verbräuche[[#This Row],[2019]]), Refsz_Verbräuche[[#This Row],[2019]]*Emissionsfaktoren[[#This Row],[2019]]/1000, 0)</f>
        <v>0</v>
      </c>
      <c r="J165" s="15">
        <f>IF(ISNUMBER(Refsz_Verbräuche[[#This Row],[2020]]), Refsz_Verbräuche[[#This Row],[2020]]*Emissionsfaktoren[[#This Row],[2020]]/1000, 0)</f>
        <v>0</v>
      </c>
      <c r="K165" s="15">
        <f>IF(ISNUMBER(Refsz_Verbräuche[[#This Row],[2021]]), Refsz_Verbräuche[[#This Row],[2021]]*Emissionsfaktoren[[#This Row],[2021]]/1000, 0)</f>
        <v>0</v>
      </c>
      <c r="L165" s="15">
        <f>IF(ISNUMBER(Refsz_Verbräuche[[#This Row],[2022]]), Refsz_Verbräuche[[#This Row],[2022]]*Emissionsfaktoren[[#This Row],[2022]]/1000, 0)</f>
        <v>0</v>
      </c>
      <c r="M165" s="15">
        <f>IF(ISNUMBER(Refsz_Verbräuche[[#This Row],[2023]]), Refsz_Verbräuche[[#This Row],[2023]]*Emissionsfaktoren[[#This Row],[2023]]/1000, 0)</f>
        <v>0</v>
      </c>
      <c r="N165" s="15">
        <f>IF(ISNUMBER(Refsz_Verbräuche[[#This Row],[2024]]), Refsz_Verbräuche[[#This Row],[2024]]*Emissionsfaktoren[[#This Row],[2024]]/1000, 0)</f>
        <v>0</v>
      </c>
      <c r="O165" s="15">
        <f>IF(ISNUMBER(Refsz_Verbräuche[[#This Row],[2025]]), Refsz_Verbräuche[[#This Row],[2025]]*Emissionsfaktoren[[#This Row],[2025]]/1000, 0)</f>
        <v>0</v>
      </c>
      <c r="P165" s="15">
        <f>IF(ISNUMBER(Refsz_Verbräuche[[#This Row],[2026]]), Refsz_Verbräuche[[#This Row],[2026]]*Emissionsfaktoren[[#This Row],[2026]]/1000, 0)</f>
        <v>0</v>
      </c>
      <c r="Q165" s="15">
        <f>IF(ISNUMBER(Refsz_Verbräuche[[#This Row],[2027]]), Refsz_Verbräuche[[#This Row],[2027]]*Emissionsfaktoren[[#This Row],[2027]]/1000, 0)</f>
        <v>0</v>
      </c>
      <c r="R165" s="15">
        <f>IF(ISNUMBER(Refsz_Verbräuche[[#This Row],[2028]]), Refsz_Verbräuche[[#This Row],[2028]]*Emissionsfaktoren[[#This Row],[2028]]/1000, 0)</f>
        <v>0</v>
      </c>
      <c r="S165" s="15">
        <f>IF(ISNUMBER(Refsz_Verbräuche[[#This Row],[2029]]), Refsz_Verbräuche[[#This Row],[2029]]*Emissionsfaktoren[[#This Row],[2029]]/1000, 0)</f>
        <v>0</v>
      </c>
      <c r="T165" s="15">
        <f>IF(ISNUMBER(Refsz_Verbräuche[[#This Row],[2030]]), Refsz_Verbräuche[[#This Row],[2030]]*Emissionsfaktoren[[#This Row],[2030]]/1000, 0)</f>
        <v>0</v>
      </c>
      <c r="U165" s="15">
        <f>IF(ISNUMBER(Refsz_Verbräuche[[#This Row],[2035]]), Refsz_Verbräuche[[#This Row],[2035]]*Emissionsfaktoren[[#This Row],[2035]]/1000, 0)</f>
        <v>0</v>
      </c>
      <c r="V165" s="15">
        <f>IF(ISNUMBER(Refsz_Verbräuche[[#This Row],[2040]]), Refsz_Verbräuche[[#This Row],[2040]]*Emissionsfaktoren[[#This Row],[2040]]/1000, 0)</f>
        <v>0</v>
      </c>
      <c r="W165" s="15">
        <f>IF(ISNUMBER(Refsz_Verbräuche[[#This Row],[2045]]), Refsz_Verbräuche[[#This Row],[2045]]*Emissionsfaktoren[[#This Row],[2045]]/1000, 0)</f>
        <v>0</v>
      </c>
      <c r="X165" s="15">
        <f>IF(ISNUMBER(Refsz_Verbräuche[[#This Row],[2050]]), Refsz_Verbräuche[[#This Row],[2050]]*Emissionsfaktoren[[#This Row],[2050]]/1000, 0)</f>
        <v>0</v>
      </c>
    </row>
    <row r="166" spans="2:24" ht="16.5" hidden="1" x14ac:dyDescent="0.45">
      <c r="B166" s="15">
        <v>106</v>
      </c>
      <c r="C166" s="20" t="str">
        <f>Refsz_Verbräuche[[#This Row],[Datenpunkt]]</f>
        <v>Bioabfall (Verbrennung)</v>
      </c>
      <c r="D166" t="s">
        <v>208</v>
      </c>
      <c r="E166" s="15">
        <f>IF(ISNUMBER(Refsz_Verbräuche[[#This Row],[2015]]), Refsz_Verbräuche[[#This Row],[2015]]*Emissionsfaktoren[[#This Row],[2015]]/1000, 0)</f>
        <v>0</v>
      </c>
      <c r="F166" s="15">
        <f>IF(ISNUMBER(Refsz_Verbräuche[[#This Row],[2016]]), Refsz_Verbräuche[[#This Row],[2016]]*Emissionsfaktoren[[#This Row],[2016]]/1000, 0)</f>
        <v>0</v>
      </c>
      <c r="G166" s="15">
        <f>IF(ISNUMBER(Refsz_Verbräuche[[#This Row],[2017]]), Refsz_Verbräuche[[#This Row],[2017]]*Emissionsfaktoren[[#This Row],[2017]]/1000, 0)</f>
        <v>0</v>
      </c>
      <c r="H166" s="15">
        <f>IF(ISNUMBER(Refsz_Verbräuche[[#This Row],[2018]]), Refsz_Verbräuche[[#This Row],[2018]]*Emissionsfaktoren[[#This Row],[2018]]/1000, 0)</f>
        <v>0</v>
      </c>
      <c r="I166" s="15">
        <f>IF(ISNUMBER(Refsz_Verbräuche[[#This Row],[2019]]), Refsz_Verbräuche[[#This Row],[2019]]*Emissionsfaktoren[[#This Row],[2019]]/1000, 0)</f>
        <v>0</v>
      </c>
      <c r="J166" s="15">
        <f>IF(ISNUMBER(Refsz_Verbräuche[[#This Row],[2020]]), Refsz_Verbräuche[[#This Row],[2020]]*Emissionsfaktoren[[#This Row],[2020]]/1000, 0)</f>
        <v>0</v>
      </c>
      <c r="K166" s="15">
        <f>IF(ISNUMBER(Refsz_Verbräuche[[#This Row],[2021]]), Refsz_Verbräuche[[#This Row],[2021]]*Emissionsfaktoren[[#This Row],[2021]]/1000, 0)</f>
        <v>0</v>
      </c>
      <c r="L166" s="15">
        <f>IF(ISNUMBER(Refsz_Verbräuche[[#This Row],[2022]]), Refsz_Verbräuche[[#This Row],[2022]]*Emissionsfaktoren[[#This Row],[2022]]/1000, 0)</f>
        <v>0</v>
      </c>
      <c r="M166" s="15">
        <f>IF(ISNUMBER(Refsz_Verbräuche[[#This Row],[2023]]), Refsz_Verbräuche[[#This Row],[2023]]*Emissionsfaktoren[[#This Row],[2023]]/1000, 0)</f>
        <v>0</v>
      </c>
      <c r="N166" s="15">
        <f>IF(ISNUMBER(Refsz_Verbräuche[[#This Row],[2024]]), Refsz_Verbräuche[[#This Row],[2024]]*Emissionsfaktoren[[#This Row],[2024]]/1000, 0)</f>
        <v>0</v>
      </c>
      <c r="O166" s="15">
        <f>IF(ISNUMBER(Refsz_Verbräuche[[#This Row],[2025]]), Refsz_Verbräuche[[#This Row],[2025]]*Emissionsfaktoren[[#This Row],[2025]]/1000, 0)</f>
        <v>0</v>
      </c>
      <c r="P166" s="15">
        <f>IF(ISNUMBER(Refsz_Verbräuche[[#This Row],[2026]]), Refsz_Verbräuche[[#This Row],[2026]]*Emissionsfaktoren[[#This Row],[2026]]/1000, 0)</f>
        <v>0</v>
      </c>
      <c r="Q166" s="15">
        <f>IF(ISNUMBER(Refsz_Verbräuche[[#This Row],[2027]]), Refsz_Verbräuche[[#This Row],[2027]]*Emissionsfaktoren[[#This Row],[2027]]/1000, 0)</f>
        <v>0</v>
      </c>
      <c r="R166" s="15">
        <f>IF(ISNUMBER(Refsz_Verbräuche[[#This Row],[2028]]), Refsz_Verbräuche[[#This Row],[2028]]*Emissionsfaktoren[[#This Row],[2028]]/1000, 0)</f>
        <v>0</v>
      </c>
      <c r="S166" s="15">
        <f>IF(ISNUMBER(Refsz_Verbräuche[[#This Row],[2029]]), Refsz_Verbräuche[[#This Row],[2029]]*Emissionsfaktoren[[#This Row],[2029]]/1000, 0)</f>
        <v>0</v>
      </c>
      <c r="T166" s="15">
        <f>IF(ISNUMBER(Refsz_Verbräuche[[#This Row],[2030]]), Refsz_Verbräuche[[#This Row],[2030]]*Emissionsfaktoren[[#This Row],[2030]]/1000, 0)</f>
        <v>0</v>
      </c>
      <c r="U166" s="15">
        <f>IF(ISNUMBER(Refsz_Verbräuche[[#This Row],[2035]]), Refsz_Verbräuche[[#This Row],[2035]]*Emissionsfaktoren[[#This Row],[2035]]/1000, 0)</f>
        <v>0</v>
      </c>
      <c r="V166" s="15">
        <f>IF(ISNUMBER(Refsz_Verbräuche[[#This Row],[2040]]), Refsz_Verbräuche[[#This Row],[2040]]*Emissionsfaktoren[[#This Row],[2040]]/1000, 0)</f>
        <v>0</v>
      </c>
      <c r="W166" s="15">
        <f>IF(ISNUMBER(Refsz_Verbräuche[[#This Row],[2045]]), Refsz_Verbräuche[[#This Row],[2045]]*Emissionsfaktoren[[#This Row],[2045]]/1000, 0)</f>
        <v>0</v>
      </c>
      <c r="X166" s="15">
        <f>IF(ISNUMBER(Refsz_Verbräuche[[#This Row],[2050]]), Refsz_Verbräuche[[#This Row],[2050]]*Emissionsfaktoren[[#This Row],[2050]]/1000, 0)</f>
        <v>0</v>
      </c>
    </row>
    <row r="167" spans="2:24" ht="16.5" hidden="1" x14ac:dyDescent="0.45">
      <c r="B167" s="15">
        <v>107</v>
      </c>
      <c r="C167" s="20" t="str">
        <f>Refsz_Verbräuche[[#This Row],[Datenpunkt]]</f>
        <v>Papierabfall</v>
      </c>
      <c r="D167" t="s">
        <v>208</v>
      </c>
      <c r="E167" s="15">
        <f>IF(ISNUMBER(Refsz_Verbräuche[[#This Row],[2015]]), Refsz_Verbräuche[[#This Row],[2015]]*Emissionsfaktoren[[#This Row],[2015]]/1000, 0)</f>
        <v>0</v>
      </c>
      <c r="F167" s="15">
        <f>IF(ISNUMBER(Refsz_Verbräuche[[#This Row],[2016]]), Refsz_Verbräuche[[#This Row],[2016]]*Emissionsfaktoren[[#This Row],[2016]]/1000, 0)</f>
        <v>0</v>
      </c>
      <c r="G167" s="15">
        <f>IF(ISNUMBER(Refsz_Verbräuche[[#This Row],[2017]]), Refsz_Verbräuche[[#This Row],[2017]]*Emissionsfaktoren[[#This Row],[2017]]/1000, 0)</f>
        <v>0</v>
      </c>
      <c r="H167" s="15">
        <f>IF(ISNUMBER(Refsz_Verbräuche[[#This Row],[2018]]), Refsz_Verbräuche[[#This Row],[2018]]*Emissionsfaktoren[[#This Row],[2018]]/1000, 0)</f>
        <v>0</v>
      </c>
      <c r="I167" s="15">
        <f>IF(ISNUMBER(Refsz_Verbräuche[[#This Row],[2019]]), Refsz_Verbräuche[[#This Row],[2019]]*Emissionsfaktoren[[#This Row],[2019]]/1000, 0)</f>
        <v>0</v>
      </c>
      <c r="J167" s="15">
        <f>IF(ISNUMBER(Refsz_Verbräuche[[#This Row],[2020]]), Refsz_Verbräuche[[#This Row],[2020]]*Emissionsfaktoren[[#This Row],[2020]]/1000, 0)</f>
        <v>0</v>
      </c>
      <c r="K167" s="15">
        <f>IF(ISNUMBER(Refsz_Verbräuche[[#This Row],[2021]]), Refsz_Verbräuche[[#This Row],[2021]]*Emissionsfaktoren[[#This Row],[2021]]/1000, 0)</f>
        <v>0</v>
      </c>
      <c r="L167" s="15">
        <f>IF(ISNUMBER(Refsz_Verbräuche[[#This Row],[2022]]), Refsz_Verbräuche[[#This Row],[2022]]*Emissionsfaktoren[[#This Row],[2022]]/1000, 0)</f>
        <v>0</v>
      </c>
      <c r="M167" s="15">
        <f>IF(ISNUMBER(Refsz_Verbräuche[[#This Row],[2023]]), Refsz_Verbräuche[[#This Row],[2023]]*Emissionsfaktoren[[#This Row],[2023]]/1000, 0)</f>
        <v>0</v>
      </c>
      <c r="N167" s="15">
        <f>IF(ISNUMBER(Refsz_Verbräuche[[#This Row],[2024]]), Refsz_Verbräuche[[#This Row],[2024]]*Emissionsfaktoren[[#This Row],[2024]]/1000, 0)</f>
        <v>0</v>
      </c>
      <c r="O167" s="15">
        <f>IF(ISNUMBER(Refsz_Verbräuche[[#This Row],[2025]]), Refsz_Verbräuche[[#This Row],[2025]]*Emissionsfaktoren[[#This Row],[2025]]/1000, 0)</f>
        <v>0</v>
      </c>
      <c r="P167" s="15">
        <f>IF(ISNUMBER(Refsz_Verbräuche[[#This Row],[2026]]), Refsz_Verbräuche[[#This Row],[2026]]*Emissionsfaktoren[[#This Row],[2026]]/1000, 0)</f>
        <v>0</v>
      </c>
      <c r="Q167" s="15">
        <f>IF(ISNUMBER(Refsz_Verbräuche[[#This Row],[2027]]), Refsz_Verbräuche[[#This Row],[2027]]*Emissionsfaktoren[[#This Row],[2027]]/1000, 0)</f>
        <v>0</v>
      </c>
      <c r="R167" s="15">
        <f>IF(ISNUMBER(Refsz_Verbräuche[[#This Row],[2028]]), Refsz_Verbräuche[[#This Row],[2028]]*Emissionsfaktoren[[#This Row],[2028]]/1000, 0)</f>
        <v>0</v>
      </c>
      <c r="S167" s="15">
        <f>IF(ISNUMBER(Refsz_Verbräuche[[#This Row],[2029]]), Refsz_Verbräuche[[#This Row],[2029]]*Emissionsfaktoren[[#This Row],[2029]]/1000, 0)</f>
        <v>0</v>
      </c>
      <c r="T167" s="15">
        <f>IF(ISNUMBER(Refsz_Verbräuche[[#This Row],[2030]]), Refsz_Verbräuche[[#This Row],[2030]]*Emissionsfaktoren[[#This Row],[2030]]/1000, 0)</f>
        <v>0</v>
      </c>
      <c r="U167" s="15">
        <f>IF(ISNUMBER(Refsz_Verbräuche[[#This Row],[2035]]), Refsz_Verbräuche[[#This Row],[2035]]*Emissionsfaktoren[[#This Row],[2035]]/1000, 0)</f>
        <v>0</v>
      </c>
      <c r="V167" s="15">
        <f>IF(ISNUMBER(Refsz_Verbräuche[[#This Row],[2040]]), Refsz_Verbräuche[[#This Row],[2040]]*Emissionsfaktoren[[#This Row],[2040]]/1000, 0)</f>
        <v>0</v>
      </c>
      <c r="W167" s="15">
        <f>IF(ISNUMBER(Refsz_Verbräuche[[#This Row],[2045]]), Refsz_Verbräuche[[#This Row],[2045]]*Emissionsfaktoren[[#This Row],[2045]]/1000, 0)</f>
        <v>0</v>
      </c>
      <c r="X167" s="15">
        <f>IF(ISNUMBER(Refsz_Verbräuche[[#This Row],[2050]]), Refsz_Verbräuche[[#This Row],[2050]]*Emissionsfaktoren[[#This Row],[2050]]/1000, 0)</f>
        <v>0</v>
      </c>
    </row>
    <row r="168" spans="2:24" ht="16.5" hidden="1" x14ac:dyDescent="0.45">
      <c r="B168" s="15">
        <v>108</v>
      </c>
      <c r="C168" s="20" t="str">
        <f>Refsz_Verbräuche[[#This Row],[Datenpunkt]]</f>
        <v>Plastik- und Verpackungsabfall</v>
      </c>
      <c r="D168" t="s">
        <v>208</v>
      </c>
      <c r="E168" s="15">
        <f>IF(ISNUMBER(Refsz_Verbräuche[[#This Row],[2015]]), Refsz_Verbräuche[[#This Row],[2015]]*Emissionsfaktoren[[#This Row],[2015]]/1000, 0)</f>
        <v>0</v>
      </c>
      <c r="F168" s="15">
        <f>IF(ISNUMBER(Refsz_Verbräuche[[#This Row],[2016]]), Refsz_Verbräuche[[#This Row],[2016]]*Emissionsfaktoren[[#This Row],[2016]]/1000, 0)</f>
        <v>0</v>
      </c>
      <c r="G168" s="15">
        <f>IF(ISNUMBER(Refsz_Verbräuche[[#This Row],[2017]]), Refsz_Verbräuche[[#This Row],[2017]]*Emissionsfaktoren[[#This Row],[2017]]/1000, 0)</f>
        <v>0</v>
      </c>
      <c r="H168" s="15">
        <f>IF(ISNUMBER(Refsz_Verbräuche[[#This Row],[2018]]), Refsz_Verbräuche[[#This Row],[2018]]*Emissionsfaktoren[[#This Row],[2018]]/1000, 0)</f>
        <v>0</v>
      </c>
      <c r="I168" s="15">
        <f>IF(ISNUMBER(Refsz_Verbräuche[[#This Row],[2019]]), Refsz_Verbräuche[[#This Row],[2019]]*Emissionsfaktoren[[#This Row],[2019]]/1000, 0)</f>
        <v>0</v>
      </c>
      <c r="J168" s="15">
        <f>IF(ISNUMBER(Refsz_Verbräuche[[#This Row],[2020]]), Refsz_Verbräuche[[#This Row],[2020]]*Emissionsfaktoren[[#This Row],[2020]]/1000, 0)</f>
        <v>0</v>
      </c>
      <c r="K168" s="15">
        <f>IF(ISNUMBER(Refsz_Verbräuche[[#This Row],[2021]]), Refsz_Verbräuche[[#This Row],[2021]]*Emissionsfaktoren[[#This Row],[2021]]/1000, 0)</f>
        <v>0</v>
      </c>
      <c r="L168" s="15">
        <f>IF(ISNUMBER(Refsz_Verbräuche[[#This Row],[2022]]), Refsz_Verbräuche[[#This Row],[2022]]*Emissionsfaktoren[[#This Row],[2022]]/1000, 0)</f>
        <v>0</v>
      </c>
      <c r="M168" s="15">
        <f>IF(ISNUMBER(Refsz_Verbräuche[[#This Row],[2023]]), Refsz_Verbräuche[[#This Row],[2023]]*Emissionsfaktoren[[#This Row],[2023]]/1000, 0)</f>
        <v>0</v>
      </c>
      <c r="N168" s="15">
        <f>IF(ISNUMBER(Refsz_Verbräuche[[#This Row],[2024]]), Refsz_Verbräuche[[#This Row],[2024]]*Emissionsfaktoren[[#This Row],[2024]]/1000, 0)</f>
        <v>0</v>
      </c>
      <c r="O168" s="15">
        <f>IF(ISNUMBER(Refsz_Verbräuche[[#This Row],[2025]]), Refsz_Verbräuche[[#This Row],[2025]]*Emissionsfaktoren[[#This Row],[2025]]/1000, 0)</f>
        <v>0</v>
      </c>
      <c r="P168" s="15">
        <f>IF(ISNUMBER(Refsz_Verbräuche[[#This Row],[2026]]), Refsz_Verbräuche[[#This Row],[2026]]*Emissionsfaktoren[[#This Row],[2026]]/1000, 0)</f>
        <v>0</v>
      </c>
      <c r="Q168" s="15">
        <f>IF(ISNUMBER(Refsz_Verbräuche[[#This Row],[2027]]), Refsz_Verbräuche[[#This Row],[2027]]*Emissionsfaktoren[[#This Row],[2027]]/1000, 0)</f>
        <v>0</v>
      </c>
      <c r="R168" s="15">
        <f>IF(ISNUMBER(Refsz_Verbräuche[[#This Row],[2028]]), Refsz_Verbräuche[[#This Row],[2028]]*Emissionsfaktoren[[#This Row],[2028]]/1000, 0)</f>
        <v>0</v>
      </c>
      <c r="S168" s="15">
        <f>IF(ISNUMBER(Refsz_Verbräuche[[#This Row],[2029]]), Refsz_Verbräuche[[#This Row],[2029]]*Emissionsfaktoren[[#This Row],[2029]]/1000, 0)</f>
        <v>0</v>
      </c>
      <c r="T168" s="15">
        <f>IF(ISNUMBER(Refsz_Verbräuche[[#This Row],[2030]]), Refsz_Verbräuche[[#This Row],[2030]]*Emissionsfaktoren[[#This Row],[2030]]/1000, 0)</f>
        <v>0</v>
      </c>
      <c r="U168" s="15">
        <f>IF(ISNUMBER(Refsz_Verbräuche[[#This Row],[2035]]), Refsz_Verbräuche[[#This Row],[2035]]*Emissionsfaktoren[[#This Row],[2035]]/1000, 0)</f>
        <v>0</v>
      </c>
      <c r="V168" s="15">
        <f>IF(ISNUMBER(Refsz_Verbräuche[[#This Row],[2040]]), Refsz_Verbräuche[[#This Row],[2040]]*Emissionsfaktoren[[#This Row],[2040]]/1000, 0)</f>
        <v>0</v>
      </c>
      <c r="W168" s="15">
        <f>IF(ISNUMBER(Refsz_Verbräuche[[#This Row],[2045]]), Refsz_Verbräuche[[#This Row],[2045]]*Emissionsfaktoren[[#This Row],[2045]]/1000, 0)</f>
        <v>0</v>
      </c>
      <c r="X168" s="15">
        <f>IF(ISNUMBER(Refsz_Verbräuche[[#This Row],[2050]]), Refsz_Verbräuche[[#This Row],[2050]]*Emissionsfaktoren[[#This Row],[2050]]/1000, 0)</f>
        <v>0</v>
      </c>
    </row>
    <row r="169" spans="2:24" ht="16.5" hidden="1" x14ac:dyDescent="0.45">
      <c r="B169" s="15">
        <v>109</v>
      </c>
      <c r="C169" s="20" t="str">
        <f>Refsz_Verbräuche[[#This Row],[Datenpunkt]]</f>
        <v>Restmüll</v>
      </c>
      <c r="D169" t="s">
        <v>208</v>
      </c>
      <c r="E169" s="15">
        <f>IF(ISNUMBER(Refsz_Verbräuche[[#This Row],[2015]]), Refsz_Verbräuche[[#This Row],[2015]]*Emissionsfaktoren[[#This Row],[2015]]/1000, 0)</f>
        <v>0</v>
      </c>
      <c r="F169" s="15">
        <f>IF(ISNUMBER(Refsz_Verbräuche[[#This Row],[2016]]), Refsz_Verbräuche[[#This Row],[2016]]*Emissionsfaktoren[[#This Row],[2016]]/1000, 0)</f>
        <v>0</v>
      </c>
      <c r="G169" s="15">
        <f>IF(ISNUMBER(Refsz_Verbräuche[[#This Row],[2017]]), Refsz_Verbräuche[[#This Row],[2017]]*Emissionsfaktoren[[#This Row],[2017]]/1000, 0)</f>
        <v>0</v>
      </c>
      <c r="H169" s="15">
        <f>IF(ISNUMBER(Refsz_Verbräuche[[#This Row],[2018]]), Refsz_Verbräuche[[#This Row],[2018]]*Emissionsfaktoren[[#This Row],[2018]]/1000, 0)</f>
        <v>0</v>
      </c>
      <c r="I169" s="15">
        <f>IF(ISNUMBER(Refsz_Verbräuche[[#This Row],[2019]]), Refsz_Verbräuche[[#This Row],[2019]]*Emissionsfaktoren[[#This Row],[2019]]/1000, 0)</f>
        <v>0</v>
      </c>
      <c r="J169" s="15">
        <f>IF(ISNUMBER(Refsz_Verbräuche[[#This Row],[2020]]), Refsz_Verbräuche[[#This Row],[2020]]*Emissionsfaktoren[[#This Row],[2020]]/1000, 0)</f>
        <v>0</v>
      </c>
      <c r="K169" s="15">
        <f>IF(ISNUMBER(Refsz_Verbräuche[[#This Row],[2021]]), Refsz_Verbräuche[[#This Row],[2021]]*Emissionsfaktoren[[#This Row],[2021]]/1000, 0)</f>
        <v>0</v>
      </c>
      <c r="L169" s="15">
        <f>IF(ISNUMBER(Refsz_Verbräuche[[#This Row],[2022]]), Refsz_Verbräuche[[#This Row],[2022]]*Emissionsfaktoren[[#This Row],[2022]]/1000, 0)</f>
        <v>0</v>
      </c>
      <c r="M169" s="15">
        <f>IF(ISNUMBER(Refsz_Verbräuche[[#This Row],[2023]]), Refsz_Verbräuche[[#This Row],[2023]]*Emissionsfaktoren[[#This Row],[2023]]/1000, 0)</f>
        <v>0</v>
      </c>
      <c r="N169" s="15">
        <f>IF(ISNUMBER(Refsz_Verbräuche[[#This Row],[2024]]), Refsz_Verbräuche[[#This Row],[2024]]*Emissionsfaktoren[[#This Row],[2024]]/1000, 0)</f>
        <v>0</v>
      </c>
      <c r="O169" s="15">
        <f>IF(ISNUMBER(Refsz_Verbräuche[[#This Row],[2025]]), Refsz_Verbräuche[[#This Row],[2025]]*Emissionsfaktoren[[#This Row],[2025]]/1000, 0)</f>
        <v>0</v>
      </c>
      <c r="P169" s="15">
        <f>IF(ISNUMBER(Refsz_Verbräuche[[#This Row],[2026]]), Refsz_Verbräuche[[#This Row],[2026]]*Emissionsfaktoren[[#This Row],[2026]]/1000, 0)</f>
        <v>0</v>
      </c>
      <c r="Q169" s="15">
        <f>IF(ISNUMBER(Refsz_Verbräuche[[#This Row],[2027]]), Refsz_Verbräuche[[#This Row],[2027]]*Emissionsfaktoren[[#This Row],[2027]]/1000, 0)</f>
        <v>0</v>
      </c>
      <c r="R169" s="15">
        <f>IF(ISNUMBER(Refsz_Verbräuche[[#This Row],[2028]]), Refsz_Verbräuche[[#This Row],[2028]]*Emissionsfaktoren[[#This Row],[2028]]/1000, 0)</f>
        <v>0</v>
      </c>
      <c r="S169" s="15">
        <f>IF(ISNUMBER(Refsz_Verbräuche[[#This Row],[2029]]), Refsz_Verbräuche[[#This Row],[2029]]*Emissionsfaktoren[[#This Row],[2029]]/1000, 0)</f>
        <v>0</v>
      </c>
      <c r="T169" s="15">
        <f>IF(ISNUMBER(Refsz_Verbräuche[[#This Row],[2030]]), Refsz_Verbräuche[[#This Row],[2030]]*Emissionsfaktoren[[#This Row],[2030]]/1000, 0)</f>
        <v>0</v>
      </c>
      <c r="U169" s="15">
        <f>IF(ISNUMBER(Refsz_Verbräuche[[#This Row],[2035]]), Refsz_Verbräuche[[#This Row],[2035]]*Emissionsfaktoren[[#This Row],[2035]]/1000, 0)</f>
        <v>0</v>
      </c>
      <c r="V169" s="15">
        <f>IF(ISNUMBER(Refsz_Verbräuche[[#This Row],[2040]]), Refsz_Verbräuche[[#This Row],[2040]]*Emissionsfaktoren[[#This Row],[2040]]/1000, 0)</f>
        <v>0</v>
      </c>
      <c r="W169" s="15">
        <f>IF(ISNUMBER(Refsz_Verbräuche[[#This Row],[2045]]), Refsz_Verbräuche[[#This Row],[2045]]*Emissionsfaktoren[[#This Row],[2045]]/1000, 0)</f>
        <v>0</v>
      </c>
      <c r="X169" s="15">
        <f>IF(ISNUMBER(Refsz_Verbräuche[[#This Row],[2050]]), Refsz_Verbräuche[[#This Row],[2050]]*Emissionsfaktoren[[#This Row],[2050]]/1000, 0)</f>
        <v>0</v>
      </c>
    </row>
    <row r="170" spans="2:24" ht="16.5" hidden="1" x14ac:dyDescent="0.45">
      <c r="B170" s="15">
        <v>110</v>
      </c>
      <c r="C170" s="20" t="str">
        <f>Refsz_Verbräuche[[#This Row],[Datenpunkt]]</f>
        <v>Sperrmüll</v>
      </c>
      <c r="D170" t="s">
        <v>208</v>
      </c>
      <c r="E170" s="15">
        <f>IF(ISNUMBER(Refsz_Verbräuche[[#This Row],[2015]]), Refsz_Verbräuche[[#This Row],[2015]]*Emissionsfaktoren[[#This Row],[2015]]/1000, 0)</f>
        <v>0</v>
      </c>
      <c r="F170" s="15">
        <f>IF(ISNUMBER(Refsz_Verbräuche[[#This Row],[2016]]), Refsz_Verbräuche[[#This Row],[2016]]*Emissionsfaktoren[[#This Row],[2016]]/1000, 0)</f>
        <v>0</v>
      </c>
      <c r="G170" s="15">
        <f>IF(ISNUMBER(Refsz_Verbräuche[[#This Row],[2017]]), Refsz_Verbräuche[[#This Row],[2017]]*Emissionsfaktoren[[#This Row],[2017]]/1000, 0)</f>
        <v>0</v>
      </c>
      <c r="H170" s="15">
        <f>IF(ISNUMBER(Refsz_Verbräuche[[#This Row],[2018]]), Refsz_Verbräuche[[#This Row],[2018]]*Emissionsfaktoren[[#This Row],[2018]]/1000, 0)</f>
        <v>0</v>
      </c>
      <c r="I170" s="15">
        <f>IF(ISNUMBER(Refsz_Verbräuche[[#This Row],[2019]]), Refsz_Verbräuche[[#This Row],[2019]]*Emissionsfaktoren[[#This Row],[2019]]/1000, 0)</f>
        <v>0</v>
      </c>
      <c r="J170" s="15">
        <f>IF(ISNUMBER(Refsz_Verbräuche[[#This Row],[2020]]), Refsz_Verbräuche[[#This Row],[2020]]*Emissionsfaktoren[[#This Row],[2020]]/1000, 0)</f>
        <v>0</v>
      </c>
      <c r="K170" s="15">
        <f>IF(ISNUMBER(Refsz_Verbräuche[[#This Row],[2021]]), Refsz_Verbräuche[[#This Row],[2021]]*Emissionsfaktoren[[#This Row],[2021]]/1000, 0)</f>
        <v>0</v>
      </c>
      <c r="L170" s="15">
        <f>IF(ISNUMBER(Refsz_Verbräuche[[#This Row],[2022]]), Refsz_Verbräuche[[#This Row],[2022]]*Emissionsfaktoren[[#This Row],[2022]]/1000, 0)</f>
        <v>0</v>
      </c>
      <c r="M170" s="15">
        <f>IF(ISNUMBER(Refsz_Verbräuche[[#This Row],[2023]]), Refsz_Verbräuche[[#This Row],[2023]]*Emissionsfaktoren[[#This Row],[2023]]/1000, 0)</f>
        <v>0</v>
      </c>
      <c r="N170" s="15">
        <f>IF(ISNUMBER(Refsz_Verbräuche[[#This Row],[2024]]), Refsz_Verbräuche[[#This Row],[2024]]*Emissionsfaktoren[[#This Row],[2024]]/1000, 0)</f>
        <v>0</v>
      </c>
      <c r="O170" s="15">
        <f>IF(ISNUMBER(Refsz_Verbräuche[[#This Row],[2025]]), Refsz_Verbräuche[[#This Row],[2025]]*Emissionsfaktoren[[#This Row],[2025]]/1000, 0)</f>
        <v>0</v>
      </c>
      <c r="P170" s="15">
        <f>IF(ISNUMBER(Refsz_Verbräuche[[#This Row],[2026]]), Refsz_Verbräuche[[#This Row],[2026]]*Emissionsfaktoren[[#This Row],[2026]]/1000, 0)</f>
        <v>0</v>
      </c>
      <c r="Q170" s="15">
        <f>IF(ISNUMBER(Refsz_Verbräuche[[#This Row],[2027]]), Refsz_Verbräuche[[#This Row],[2027]]*Emissionsfaktoren[[#This Row],[2027]]/1000, 0)</f>
        <v>0</v>
      </c>
      <c r="R170" s="15">
        <f>IF(ISNUMBER(Refsz_Verbräuche[[#This Row],[2028]]), Refsz_Verbräuche[[#This Row],[2028]]*Emissionsfaktoren[[#This Row],[2028]]/1000, 0)</f>
        <v>0</v>
      </c>
      <c r="S170" s="15">
        <f>IF(ISNUMBER(Refsz_Verbräuche[[#This Row],[2029]]), Refsz_Verbräuche[[#This Row],[2029]]*Emissionsfaktoren[[#This Row],[2029]]/1000, 0)</f>
        <v>0</v>
      </c>
      <c r="T170" s="15">
        <f>IF(ISNUMBER(Refsz_Verbräuche[[#This Row],[2030]]), Refsz_Verbräuche[[#This Row],[2030]]*Emissionsfaktoren[[#This Row],[2030]]/1000, 0)</f>
        <v>0</v>
      </c>
      <c r="U170" s="15">
        <f>IF(ISNUMBER(Refsz_Verbräuche[[#This Row],[2035]]), Refsz_Verbräuche[[#This Row],[2035]]*Emissionsfaktoren[[#This Row],[2035]]/1000, 0)</f>
        <v>0</v>
      </c>
      <c r="V170" s="15">
        <f>IF(ISNUMBER(Refsz_Verbräuche[[#This Row],[2040]]), Refsz_Verbräuche[[#This Row],[2040]]*Emissionsfaktoren[[#This Row],[2040]]/1000, 0)</f>
        <v>0</v>
      </c>
      <c r="W170" s="15">
        <f>IF(ISNUMBER(Refsz_Verbräuche[[#This Row],[2045]]), Refsz_Verbräuche[[#This Row],[2045]]*Emissionsfaktoren[[#This Row],[2045]]/1000, 0)</f>
        <v>0</v>
      </c>
      <c r="X170" s="15">
        <f>IF(ISNUMBER(Refsz_Verbräuche[[#This Row],[2050]]), Refsz_Verbräuche[[#This Row],[2050]]*Emissionsfaktoren[[#This Row],[2050]]/1000, 0)</f>
        <v>0</v>
      </c>
    </row>
    <row r="171" spans="2:24" ht="16.5" hidden="1" x14ac:dyDescent="0.45">
      <c r="B171" s="15">
        <v>111</v>
      </c>
      <c r="C171" s="20" t="str">
        <f>Refsz_Verbräuche[[#This Row],[Datenpunkt]]</f>
        <v>Altholz</v>
      </c>
      <c r="D171" t="s">
        <v>208</v>
      </c>
      <c r="E171" s="15">
        <f>IF(ISNUMBER(Refsz_Verbräuche[[#This Row],[2015]]), Refsz_Verbräuche[[#This Row],[2015]]*Emissionsfaktoren[[#This Row],[2015]]/1000, 0)</f>
        <v>0</v>
      </c>
      <c r="F171" s="15">
        <f>IF(ISNUMBER(Refsz_Verbräuche[[#This Row],[2016]]), Refsz_Verbräuche[[#This Row],[2016]]*Emissionsfaktoren[[#This Row],[2016]]/1000, 0)</f>
        <v>0</v>
      </c>
      <c r="G171" s="15">
        <f>IF(ISNUMBER(Refsz_Verbräuche[[#This Row],[2017]]), Refsz_Verbräuche[[#This Row],[2017]]*Emissionsfaktoren[[#This Row],[2017]]/1000, 0)</f>
        <v>0</v>
      </c>
      <c r="H171" s="15">
        <f>IF(ISNUMBER(Refsz_Verbräuche[[#This Row],[2018]]), Refsz_Verbräuche[[#This Row],[2018]]*Emissionsfaktoren[[#This Row],[2018]]/1000, 0)</f>
        <v>0</v>
      </c>
      <c r="I171" s="15">
        <f>IF(ISNUMBER(Refsz_Verbräuche[[#This Row],[2019]]), Refsz_Verbräuche[[#This Row],[2019]]*Emissionsfaktoren[[#This Row],[2019]]/1000, 0)</f>
        <v>0</v>
      </c>
      <c r="J171" s="15">
        <f>IF(ISNUMBER(Refsz_Verbräuche[[#This Row],[2020]]), Refsz_Verbräuche[[#This Row],[2020]]*Emissionsfaktoren[[#This Row],[2020]]/1000, 0)</f>
        <v>0</v>
      </c>
      <c r="K171" s="15">
        <f>IF(ISNUMBER(Refsz_Verbräuche[[#This Row],[2021]]), Refsz_Verbräuche[[#This Row],[2021]]*Emissionsfaktoren[[#This Row],[2021]]/1000, 0)</f>
        <v>0</v>
      </c>
      <c r="L171" s="15">
        <f>IF(ISNUMBER(Refsz_Verbräuche[[#This Row],[2022]]), Refsz_Verbräuche[[#This Row],[2022]]*Emissionsfaktoren[[#This Row],[2022]]/1000, 0)</f>
        <v>0</v>
      </c>
      <c r="M171" s="15">
        <f>IF(ISNUMBER(Refsz_Verbräuche[[#This Row],[2023]]), Refsz_Verbräuche[[#This Row],[2023]]*Emissionsfaktoren[[#This Row],[2023]]/1000, 0)</f>
        <v>0</v>
      </c>
      <c r="N171" s="15">
        <f>IF(ISNUMBER(Refsz_Verbräuche[[#This Row],[2024]]), Refsz_Verbräuche[[#This Row],[2024]]*Emissionsfaktoren[[#This Row],[2024]]/1000, 0)</f>
        <v>0</v>
      </c>
      <c r="O171" s="15">
        <f>IF(ISNUMBER(Refsz_Verbräuche[[#This Row],[2025]]), Refsz_Verbräuche[[#This Row],[2025]]*Emissionsfaktoren[[#This Row],[2025]]/1000, 0)</f>
        <v>0</v>
      </c>
      <c r="P171" s="15">
        <f>IF(ISNUMBER(Refsz_Verbräuche[[#This Row],[2026]]), Refsz_Verbräuche[[#This Row],[2026]]*Emissionsfaktoren[[#This Row],[2026]]/1000, 0)</f>
        <v>0</v>
      </c>
      <c r="Q171" s="15">
        <f>IF(ISNUMBER(Refsz_Verbräuche[[#This Row],[2027]]), Refsz_Verbräuche[[#This Row],[2027]]*Emissionsfaktoren[[#This Row],[2027]]/1000, 0)</f>
        <v>0</v>
      </c>
      <c r="R171" s="15">
        <f>IF(ISNUMBER(Refsz_Verbräuche[[#This Row],[2028]]), Refsz_Verbräuche[[#This Row],[2028]]*Emissionsfaktoren[[#This Row],[2028]]/1000, 0)</f>
        <v>0</v>
      </c>
      <c r="S171" s="15">
        <f>IF(ISNUMBER(Refsz_Verbräuche[[#This Row],[2029]]), Refsz_Verbräuche[[#This Row],[2029]]*Emissionsfaktoren[[#This Row],[2029]]/1000, 0)</f>
        <v>0</v>
      </c>
      <c r="T171" s="15">
        <f>IF(ISNUMBER(Refsz_Verbräuche[[#This Row],[2030]]), Refsz_Verbräuche[[#This Row],[2030]]*Emissionsfaktoren[[#This Row],[2030]]/1000, 0)</f>
        <v>0</v>
      </c>
      <c r="U171" s="15">
        <f>IF(ISNUMBER(Refsz_Verbräuche[[#This Row],[2035]]), Refsz_Verbräuche[[#This Row],[2035]]*Emissionsfaktoren[[#This Row],[2035]]/1000, 0)</f>
        <v>0</v>
      </c>
      <c r="V171" s="15">
        <f>IF(ISNUMBER(Refsz_Verbräuche[[#This Row],[2040]]), Refsz_Verbräuche[[#This Row],[2040]]*Emissionsfaktoren[[#This Row],[2040]]/1000, 0)</f>
        <v>0</v>
      </c>
      <c r="W171" s="15">
        <f>IF(ISNUMBER(Refsz_Verbräuche[[#This Row],[2045]]), Refsz_Verbräuche[[#This Row],[2045]]*Emissionsfaktoren[[#This Row],[2045]]/1000, 0)</f>
        <v>0</v>
      </c>
      <c r="X171" s="15">
        <f>IF(ISNUMBER(Refsz_Verbräuche[[#This Row],[2050]]), Refsz_Verbräuche[[#This Row],[2050]]*Emissionsfaktoren[[#This Row],[2050]]/1000, 0)</f>
        <v>0</v>
      </c>
    </row>
    <row r="172" spans="2:24" ht="16.5" hidden="1" x14ac:dyDescent="0.45">
      <c r="B172" s="15">
        <v>112</v>
      </c>
      <c r="C172" s="20" t="str">
        <f>Refsz_Verbräuche[[#This Row],[Datenpunkt]]</f>
        <v>Altglas</v>
      </c>
      <c r="D172" t="s">
        <v>208</v>
      </c>
      <c r="E172" s="15">
        <f>IF(ISNUMBER(Refsz_Verbräuche[[#This Row],[2015]]), Refsz_Verbräuche[[#This Row],[2015]]*Emissionsfaktoren[[#This Row],[2015]]/1000, 0)</f>
        <v>0</v>
      </c>
      <c r="F172" s="15">
        <f>IF(ISNUMBER(Refsz_Verbräuche[[#This Row],[2016]]), Refsz_Verbräuche[[#This Row],[2016]]*Emissionsfaktoren[[#This Row],[2016]]/1000, 0)</f>
        <v>0</v>
      </c>
      <c r="G172" s="15">
        <f>IF(ISNUMBER(Refsz_Verbräuche[[#This Row],[2017]]), Refsz_Verbräuche[[#This Row],[2017]]*Emissionsfaktoren[[#This Row],[2017]]/1000, 0)</f>
        <v>0</v>
      </c>
      <c r="H172" s="15">
        <f>IF(ISNUMBER(Refsz_Verbräuche[[#This Row],[2018]]), Refsz_Verbräuche[[#This Row],[2018]]*Emissionsfaktoren[[#This Row],[2018]]/1000, 0)</f>
        <v>0</v>
      </c>
      <c r="I172" s="15">
        <f>IF(ISNUMBER(Refsz_Verbräuche[[#This Row],[2019]]), Refsz_Verbräuche[[#This Row],[2019]]*Emissionsfaktoren[[#This Row],[2019]]/1000, 0)</f>
        <v>0</v>
      </c>
      <c r="J172" s="15">
        <f>IF(ISNUMBER(Refsz_Verbräuche[[#This Row],[2020]]), Refsz_Verbräuche[[#This Row],[2020]]*Emissionsfaktoren[[#This Row],[2020]]/1000, 0)</f>
        <v>0</v>
      </c>
      <c r="K172" s="15">
        <f>IF(ISNUMBER(Refsz_Verbräuche[[#This Row],[2021]]), Refsz_Verbräuche[[#This Row],[2021]]*Emissionsfaktoren[[#This Row],[2021]]/1000, 0)</f>
        <v>0</v>
      </c>
      <c r="L172" s="15">
        <f>IF(ISNUMBER(Refsz_Verbräuche[[#This Row],[2022]]), Refsz_Verbräuche[[#This Row],[2022]]*Emissionsfaktoren[[#This Row],[2022]]/1000, 0)</f>
        <v>0</v>
      </c>
      <c r="M172" s="15">
        <f>IF(ISNUMBER(Refsz_Verbräuche[[#This Row],[2023]]), Refsz_Verbräuche[[#This Row],[2023]]*Emissionsfaktoren[[#This Row],[2023]]/1000, 0)</f>
        <v>0</v>
      </c>
      <c r="N172" s="15">
        <f>IF(ISNUMBER(Refsz_Verbräuche[[#This Row],[2024]]), Refsz_Verbräuche[[#This Row],[2024]]*Emissionsfaktoren[[#This Row],[2024]]/1000, 0)</f>
        <v>0</v>
      </c>
      <c r="O172" s="15">
        <f>IF(ISNUMBER(Refsz_Verbräuche[[#This Row],[2025]]), Refsz_Verbräuche[[#This Row],[2025]]*Emissionsfaktoren[[#This Row],[2025]]/1000, 0)</f>
        <v>0</v>
      </c>
      <c r="P172" s="15">
        <f>IF(ISNUMBER(Refsz_Verbräuche[[#This Row],[2026]]), Refsz_Verbräuche[[#This Row],[2026]]*Emissionsfaktoren[[#This Row],[2026]]/1000, 0)</f>
        <v>0</v>
      </c>
      <c r="Q172" s="15">
        <f>IF(ISNUMBER(Refsz_Verbräuche[[#This Row],[2027]]), Refsz_Verbräuche[[#This Row],[2027]]*Emissionsfaktoren[[#This Row],[2027]]/1000, 0)</f>
        <v>0</v>
      </c>
      <c r="R172" s="15">
        <f>IF(ISNUMBER(Refsz_Verbräuche[[#This Row],[2028]]), Refsz_Verbräuche[[#This Row],[2028]]*Emissionsfaktoren[[#This Row],[2028]]/1000, 0)</f>
        <v>0</v>
      </c>
      <c r="S172" s="15">
        <f>IF(ISNUMBER(Refsz_Verbräuche[[#This Row],[2029]]), Refsz_Verbräuche[[#This Row],[2029]]*Emissionsfaktoren[[#This Row],[2029]]/1000, 0)</f>
        <v>0</v>
      </c>
      <c r="T172" s="15">
        <f>IF(ISNUMBER(Refsz_Verbräuche[[#This Row],[2030]]), Refsz_Verbräuche[[#This Row],[2030]]*Emissionsfaktoren[[#This Row],[2030]]/1000, 0)</f>
        <v>0</v>
      </c>
      <c r="U172" s="15">
        <f>IF(ISNUMBER(Refsz_Verbräuche[[#This Row],[2035]]), Refsz_Verbräuche[[#This Row],[2035]]*Emissionsfaktoren[[#This Row],[2035]]/1000, 0)</f>
        <v>0</v>
      </c>
      <c r="V172" s="15">
        <f>IF(ISNUMBER(Refsz_Verbräuche[[#This Row],[2040]]), Refsz_Verbräuche[[#This Row],[2040]]*Emissionsfaktoren[[#This Row],[2040]]/1000, 0)</f>
        <v>0</v>
      </c>
      <c r="W172" s="15">
        <f>IF(ISNUMBER(Refsz_Verbräuche[[#This Row],[2045]]), Refsz_Verbräuche[[#This Row],[2045]]*Emissionsfaktoren[[#This Row],[2045]]/1000, 0)</f>
        <v>0</v>
      </c>
      <c r="X172" s="15">
        <f>IF(ISNUMBER(Refsz_Verbräuche[[#This Row],[2050]]), Refsz_Verbräuche[[#This Row],[2050]]*Emissionsfaktoren[[#This Row],[2050]]/1000, 0)</f>
        <v>0</v>
      </c>
    </row>
    <row r="173" spans="2:24" ht="16.5" hidden="1" x14ac:dyDescent="0.45">
      <c r="B173" s="15">
        <v>113</v>
      </c>
      <c r="C173" s="20" t="str">
        <f>Refsz_Verbräuche[[#This Row],[Datenpunkt]]</f>
        <v>E-Großgeräte (Abfall)</v>
      </c>
      <c r="D173" t="s">
        <v>208</v>
      </c>
      <c r="E173" s="15">
        <f>IF(ISNUMBER(Refsz_Verbräuche[[#This Row],[2015]]), Refsz_Verbräuche[[#This Row],[2015]]*Emissionsfaktoren[[#This Row],[2015]]/1000, 0)</f>
        <v>0</v>
      </c>
      <c r="F173" s="15">
        <f>IF(ISNUMBER(Refsz_Verbräuche[[#This Row],[2016]]), Refsz_Verbräuche[[#This Row],[2016]]*Emissionsfaktoren[[#This Row],[2016]]/1000, 0)</f>
        <v>0</v>
      </c>
      <c r="G173" s="15">
        <f>IF(ISNUMBER(Refsz_Verbräuche[[#This Row],[2017]]), Refsz_Verbräuche[[#This Row],[2017]]*Emissionsfaktoren[[#This Row],[2017]]/1000, 0)</f>
        <v>0</v>
      </c>
      <c r="H173" s="15">
        <f>IF(ISNUMBER(Refsz_Verbräuche[[#This Row],[2018]]), Refsz_Verbräuche[[#This Row],[2018]]*Emissionsfaktoren[[#This Row],[2018]]/1000, 0)</f>
        <v>0</v>
      </c>
      <c r="I173" s="15">
        <f>IF(ISNUMBER(Refsz_Verbräuche[[#This Row],[2019]]), Refsz_Verbräuche[[#This Row],[2019]]*Emissionsfaktoren[[#This Row],[2019]]/1000, 0)</f>
        <v>0</v>
      </c>
      <c r="J173" s="15">
        <f>IF(ISNUMBER(Refsz_Verbräuche[[#This Row],[2020]]), Refsz_Verbräuche[[#This Row],[2020]]*Emissionsfaktoren[[#This Row],[2020]]/1000, 0)</f>
        <v>0</v>
      </c>
      <c r="K173" s="15">
        <f>IF(ISNUMBER(Refsz_Verbräuche[[#This Row],[2021]]), Refsz_Verbräuche[[#This Row],[2021]]*Emissionsfaktoren[[#This Row],[2021]]/1000, 0)</f>
        <v>0</v>
      </c>
      <c r="L173" s="15">
        <f>IF(ISNUMBER(Refsz_Verbräuche[[#This Row],[2022]]), Refsz_Verbräuche[[#This Row],[2022]]*Emissionsfaktoren[[#This Row],[2022]]/1000, 0)</f>
        <v>0</v>
      </c>
      <c r="M173" s="15">
        <f>IF(ISNUMBER(Refsz_Verbräuche[[#This Row],[2023]]), Refsz_Verbräuche[[#This Row],[2023]]*Emissionsfaktoren[[#This Row],[2023]]/1000, 0)</f>
        <v>0</v>
      </c>
      <c r="N173" s="15">
        <f>IF(ISNUMBER(Refsz_Verbräuche[[#This Row],[2024]]), Refsz_Verbräuche[[#This Row],[2024]]*Emissionsfaktoren[[#This Row],[2024]]/1000, 0)</f>
        <v>0</v>
      </c>
      <c r="O173" s="15">
        <f>IF(ISNUMBER(Refsz_Verbräuche[[#This Row],[2025]]), Refsz_Verbräuche[[#This Row],[2025]]*Emissionsfaktoren[[#This Row],[2025]]/1000, 0)</f>
        <v>0</v>
      </c>
      <c r="P173" s="15">
        <f>IF(ISNUMBER(Refsz_Verbräuche[[#This Row],[2026]]), Refsz_Verbräuche[[#This Row],[2026]]*Emissionsfaktoren[[#This Row],[2026]]/1000, 0)</f>
        <v>0</v>
      </c>
      <c r="Q173" s="15">
        <f>IF(ISNUMBER(Refsz_Verbräuche[[#This Row],[2027]]), Refsz_Verbräuche[[#This Row],[2027]]*Emissionsfaktoren[[#This Row],[2027]]/1000, 0)</f>
        <v>0</v>
      </c>
      <c r="R173" s="15">
        <f>IF(ISNUMBER(Refsz_Verbräuche[[#This Row],[2028]]), Refsz_Verbräuche[[#This Row],[2028]]*Emissionsfaktoren[[#This Row],[2028]]/1000, 0)</f>
        <v>0</v>
      </c>
      <c r="S173" s="15">
        <f>IF(ISNUMBER(Refsz_Verbräuche[[#This Row],[2029]]), Refsz_Verbräuche[[#This Row],[2029]]*Emissionsfaktoren[[#This Row],[2029]]/1000, 0)</f>
        <v>0</v>
      </c>
      <c r="T173" s="15">
        <f>IF(ISNUMBER(Refsz_Verbräuche[[#This Row],[2030]]), Refsz_Verbräuche[[#This Row],[2030]]*Emissionsfaktoren[[#This Row],[2030]]/1000, 0)</f>
        <v>0</v>
      </c>
      <c r="U173" s="15">
        <f>IF(ISNUMBER(Refsz_Verbräuche[[#This Row],[2035]]), Refsz_Verbräuche[[#This Row],[2035]]*Emissionsfaktoren[[#This Row],[2035]]/1000, 0)</f>
        <v>0</v>
      </c>
      <c r="V173" s="15">
        <f>IF(ISNUMBER(Refsz_Verbräuche[[#This Row],[2040]]), Refsz_Verbräuche[[#This Row],[2040]]*Emissionsfaktoren[[#This Row],[2040]]/1000, 0)</f>
        <v>0</v>
      </c>
      <c r="W173" s="15">
        <f>IF(ISNUMBER(Refsz_Verbräuche[[#This Row],[2045]]), Refsz_Verbräuche[[#This Row],[2045]]*Emissionsfaktoren[[#This Row],[2045]]/1000, 0)</f>
        <v>0</v>
      </c>
      <c r="X173" s="15">
        <f>IF(ISNUMBER(Refsz_Verbräuche[[#This Row],[2050]]), Refsz_Verbräuche[[#This Row],[2050]]*Emissionsfaktoren[[#This Row],[2050]]/1000, 0)</f>
        <v>0</v>
      </c>
    </row>
    <row r="174" spans="2:24" ht="16.5" hidden="1" x14ac:dyDescent="0.45">
      <c r="B174" s="15">
        <v>114</v>
      </c>
      <c r="C174" s="20" t="str">
        <f>Refsz_Verbräuche[[#This Row],[Datenpunkt]]</f>
        <v>Metalle (Abfall)</v>
      </c>
      <c r="D174" t="s">
        <v>208</v>
      </c>
      <c r="E174" s="15">
        <f>IF(ISNUMBER(Refsz_Verbräuche[[#This Row],[2015]]), Refsz_Verbräuche[[#This Row],[2015]]*Emissionsfaktoren[[#This Row],[2015]]/1000, 0)</f>
        <v>0</v>
      </c>
      <c r="F174" s="15">
        <f>IF(ISNUMBER(Refsz_Verbräuche[[#This Row],[2016]]), Refsz_Verbräuche[[#This Row],[2016]]*Emissionsfaktoren[[#This Row],[2016]]/1000, 0)</f>
        <v>0</v>
      </c>
      <c r="G174" s="15">
        <f>IF(ISNUMBER(Refsz_Verbräuche[[#This Row],[2017]]), Refsz_Verbräuche[[#This Row],[2017]]*Emissionsfaktoren[[#This Row],[2017]]/1000, 0)</f>
        <v>0</v>
      </c>
      <c r="H174" s="15">
        <f>IF(ISNUMBER(Refsz_Verbräuche[[#This Row],[2018]]), Refsz_Verbräuche[[#This Row],[2018]]*Emissionsfaktoren[[#This Row],[2018]]/1000, 0)</f>
        <v>0</v>
      </c>
      <c r="I174" s="15">
        <f>IF(ISNUMBER(Refsz_Verbräuche[[#This Row],[2019]]), Refsz_Verbräuche[[#This Row],[2019]]*Emissionsfaktoren[[#This Row],[2019]]/1000, 0)</f>
        <v>0</v>
      </c>
      <c r="J174" s="15">
        <f>IF(ISNUMBER(Refsz_Verbräuche[[#This Row],[2020]]), Refsz_Verbräuche[[#This Row],[2020]]*Emissionsfaktoren[[#This Row],[2020]]/1000, 0)</f>
        <v>0</v>
      </c>
      <c r="K174" s="15">
        <f>IF(ISNUMBER(Refsz_Verbräuche[[#This Row],[2021]]), Refsz_Verbräuche[[#This Row],[2021]]*Emissionsfaktoren[[#This Row],[2021]]/1000, 0)</f>
        <v>0</v>
      </c>
      <c r="L174" s="15">
        <f>IF(ISNUMBER(Refsz_Verbräuche[[#This Row],[2022]]), Refsz_Verbräuche[[#This Row],[2022]]*Emissionsfaktoren[[#This Row],[2022]]/1000, 0)</f>
        <v>0</v>
      </c>
      <c r="M174" s="15">
        <f>IF(ISNUMBER(Refsz_Verbräuche[[#This Row],[2023]]), Refsz_Verbräuche[[#This Row],[2023]]*Emissionsfaktoren[[#This Row],[2023]]/1000, 0)</f>
        <v>0</v>
      </c>
      <c r="N174" s="15">
        <f>IF(ISNUMBER(Refsz_Verbräuche[[#This Row],[2024]]), Refsz_Verbräuche[[#This Row],[2024]]*Emissionsfaktoren[[#This Row],[2024]]/1000, 0)</f>
        <v>0</v>
      </c>
      <c r="O174" s="15">
        <f>IF(ISNUMBER(Refsz_Verbräuche[[#This Row],[2025]]), Refsz_Verbräuche[[#This Row],[2025]]*Emissionsfaktoren[[#This Row],[2025]]/1000, 0)</f>
        <v>0</v>
      </c>
      <c r="P174" s="15">
        <f>IF(ISNUMBER(Refsz_Verbräuche[[#This Row],[2026]]), Refsz_Verbräuche[[#This Row],[2026]]*Emissionsfaktoren[[#This Row],[2026]]/1000, 0)</f>
        <v>0</v>
      </c>
      <c r="Q174" s="15">
        <f>IF(ISNUMBER(Refsz_Verbräuche[[#This Row],[2027]]), Refsz_Verbräuche[[#This Row],[2027]]*Emissionsfaktoren[[#This Row],[2027]]/1000, 0)</f>
        <v>0</v>
      </c>
      <c r="R174" s="15">
        <f>IF(ISNUMBER(Refsz_Verbräuche[[#This Row],[2028]]), Refsz_Verbräuche[[#This Row],[2028]]*Emissionsfaktoren[[#This Row],[2028]]/1000, 0)</f>
        <v>0</v>
      </c>
      <c r="S174" s="15">
        <f>IF(ISNUMBER(Refsz_Verbräuche[[#This Row],[2029]]), Refsz_Verbräuche[[#This Row],[2029]]*Emissionsfaktoren[[#This Row],[2029]]/1000, 0)</f>
        <v>0</v>
      </c>
      <c r="T174" s="15">
        <f>IF(ISNUMBER(Refsz_Verbräuche[[#This Row],[2030]]), Refsz_Verbräuche[[#This Row],[2030]]*Emissionsfaktoren[[#This Row],[2030]]/1000, 0)</f>
        <v>0</v>
      </c>
      <c r="U174" s="15">
        <f>IF(ISNUMBER(Refsz_Verbräuche[[#This Row],[2035]]), Refsz_Verbräuche[[#This Row],[2035]]*Emissionsfaktoren[[#This Row],[2035]]/1000, 0)</f>
        <v>0</v>
      </c>
      <c r="V174" s="15">
        <f>IF(ISNUMBER(Refsz_Verbräuche[[#This Row],[2040]]), Refsz_Verbräuche[[#This Row],[2040]]*Emissionsfaktoren[[#This Row],[2040]]/1000, 0)</f>
        <v>0</v>
      </c>
      <c r="W174" s="15">
        <f>IF(ISNUMBER(Refsz_Verbräuche[[#This Row],[2045]]), Refsz_Verbräuche[[#This Row],[2045]]*Emissionsfaktoren[[#This Row],[2045]]/1000, 0)</f>
        <v>0</v>
      </c>
      <c r="X174" s="15">
        <f>IF(ISNUMBER(Refsz_Verbräuche[[#This Row],[2050]]), Refsz_Verbräuche[[#This Row],[2050]]*Emissionsfaktoren[[#This Row],[2050]]/1000, 0)</f>
        <v>0</v>
      </c>
    </row>
    <row r="175" spans="2:24" ht="16.5" hidden="1" x14ac:dyDescent="0.45">
      <c r="B175" s="15">
        <v>115</v>
      </c>
      <c r="C175" s="20" t="str">
        <f>Refsz_Verbräuche[[#This Row],[Datenpunkt]]</f>
        <v>Bauschutt</v>
      </c>
      <c r="D175" t="s">
        <v>208</v>
      </c>
      <c r="E175" s="15">
        <f>IF(ISNUMBER(Refsz_Verbräuche[[#This Row],[2015]]), Refsz_Verbräuche[[#This Row],[2015]]*Emissionsfaktoren[[#This Row],[2015]]/1000, 0)</f>
        <v>0</v>
      </c>
      <c r="F175" s="15">
        <f>IF(ISNUMBER(Refsz_Verbräuche[[#This Row],[2016]]), Refsz_Verbräuche[[#This Row],[2016]]*Emissionsfaktoren[[#This Row],[2016]]/1000, 0)</f>
        <v>0</v>
      </c>
      <c r="G175" s="15">
        <f>IF(ISNUMBER(Refsz_Verbräuche[[#This Row],[2017]]), Refsz_Verbräuche[[#This Row],[2017]]*Emissionsfaktoren[[#This Row],[2017]]/1000, 0)</f>
        <v>0</v>
      </c>
      <c r="H175" s="15">
        <f>IF(ISNUMBER(Refsz_Verbräuche[[#This Row],[2018]]), Refsz_Verbräuche[[#This Row],[2018]]*Emissionsfaktoren[[#This Row],[2018]]/1000, 0)</f>
        <v>0</v>
      </c>
      <c r="I175" s="15">
        <f>IF(ISNUMBER(Refsz_Verbräuche[[#This Row],[2019]]), Refsz_Verbräuche[[#This Row],[2019]]*Emissionsfaktoren[[#This Row],[2019]]/1000, 0)</f>
        <v>0</v>
      </c>
      <c r="J175" s="15">
        <f>IF(ISNUMBER(Refsz_Verbräuche[[#This Row],[2020]]), Refsz_Verbräuche[[#This Row],[2020]]*Emissionsfaktoren[[#This Row],[2020]]/1000, 0)</f>
        <v>0</v>
      </c>
      <c r="K175" s="15">
        <f>IF(ISNUMBER(Refsz_Verbräuche[[#This Row],[2021]]), Refsz_Verbräuche[[#This Row],[2021]]*Emissionsfaktoren[[#This Row],[2021]]/1000, 0)</f>
        <v>0</v>
      </c>
      <c r="L175" s="15">
        <f>IF(ISNUMBER(Refsz_Verbräuche[[#This Row],[2022]]), Refsz_Verbräuche[[#This Row],[2022]]*Emissionsfaktoren[[#This Row],[2022]]/1000, 0)</f>
        <v>0</v>
      </c>
      <c r="M175" s="15">
        <f>IF(ISNUMBER(Refsz_Verbräuche[[#This Row],[2023]]), Refsz_Verbräuche[[#This Row],[2023]]*Emissionsfaktoren[[#This Row],[2023]]/1000, 0)</f>
        <v>0</v>
      </c>
      <c r="N175" s="15">
        <f>IF(ISNUMBER(Refsz_Verbräuche[[#This Row],[2024]]), Refsz_Verbräuche[[#This Row],[2024]]*Emissionsfaktoren[[#This Row],[2024]]/1000, 0)</f>
        <v>0</v>
      </c>
      <c r="O175" s="15">
        <f>IF(ISNUMBER(Refsz_Verbräuche[[#This Row],[2025]]), Refsz_Verbräuche[[#This Row],[2025]]*Emissionsfaktoren[[#This Row],[2025]]/1000, 0)</f>
        <v>0</v>
      </c>
      <c r="P175" s="15">
        <f>IF(ISNUMBER(Refsz_Verbräuche[[#This Row],[2026]]), Refsz_Verbräuche[[#This Row],[2026]]*Emissionsfaktoren[[#This Row],[2026]]/1000, 0)</f>
        <v>0</v>
      </c>
      <c r="Q175" s="15">
        <f>IF(ISNUMBER(Refsz_Verbräuche[[#This Row],[2027]]), Refsz_Verbräuche[[#This Row],[2027]]*Emissionsfaktoren[[#This Row],[2027]]/1000, 0)</f>
        <v>0</v>
      </c>
      <c r="R175" s="15">
        <f>IF(ISNUMBER(Refsz_Verbräuche[[#This Row],[2028]]), Refsz_Verbräuche[[#This Row],[2028]]*Emissionsfaktoren[[#This Row],[2028]]/1000, 0)</f>
        <v>0</v>
      </c>
      <c r="S175" s="15">
        <f>IF(ISNUMBER(Refsz_Verbräuche[[#This Row],[2029]]), Refsz_Verbräuche[[#This Row],[2029]]*Emissionsfaktoren[[#This Row],[2029]]/1000, 0)</f>
        <v>0</v>
      </c>
      <c r="T175" s="15">
        <f>IF(ISNUMBER(Refsz_Verbräuche[[#This Row],[2030]]), Refsz_Verbräuche[[#This Row],[2030]]*Emissionsfaktoren[[#This Row],[2030]]/1000, 0)</f>
        <v>0</v>
      </c>
      <c r="U175" s="15">
        <f>IF(ISNUMBER(Refsz_Verbräuche[[#This Row],[2035]]), Refsz_Verbräuche[[#This Row],[2035]]*Emissionsfaktoren[[#This Row],[2035]]/1000, 0)</f>
        <v>0</v>
      </c>
      <c r="V175" s="15">
        <f>IF(ISNUMBER(Refsz_Verbräuche[[#This Row],[2040]]), Refsz_Verbräuche[[#This Row],[2040]]*Emissionsfaktoren[[#This Row],[2040]]/1000, 0)</f>
        <v>0</v>
      </c>
      <c r="W175" s="15">
        <f>IF(ISNUMBER(Refsz_Verbräuche[[#This Row],[2045]]), Refsz_Verbräuche[[#This Row],[2045]]*Emissionsfaktoren[[#This Row],[2045]]/1000, 0)</f>
        <v>0</v>
      </c>
      <c r="X175" s="15">
        <f>IF(ISNUMBER(Refsz_Verbräuche[[#This Row],[2050]]), Refsz_Verbräuche[[#This Row],[2050]]*Emissionsfaktoren[[#This Row],[2050]]/1000, 0)</f>
        <v>0</v>
      </c>
    </row>
    <row r="176" spans="2:24" ht="16.5" hidden="1" x14ac:dyDescent="0.45">
      <c r="B176" s="15">
        <v>116</v>
      </c>
      <c r="C176" s="20">
        <f>Refsz_Verbräuche[[#This Row],[Datenpunkt]]</f>
        <v>0</v>
      </c>
      <c r="D176" t="s">
        <v>208</v>
      </c>
      <c r="E176" s="15">
        <f>IF(ISNUMBER(Refsz_Verbräuche[[#This Row],[2015]]), Refsz_Verbräuche[[#This Row],[2015]]*Emissionsfaktoren[[#This Row],[2015]]/1000, 0)</f>
        <v>0</v>
      </c>
      <c r="F176" s="15">
        <f>IF(ISNUMBER(Refsz_Verbräuche[[#This Row],[2016]]), Refsz_Verbräuche[[#This Row],[2016]]*Emissionsfaktoren[[#This Row],[2016]]/1000, 0)</f>
        <v>0</v>
      </c>
      <c r="G176" s="15">
        <f>IF(ISNUMBER(Refsz_Verbräuche[[#This Row],[2017]]), Refsz_Verbräuche[[#This Row],[2017]]*Emissionsfaktoren[[#This Row],[2017]]/1000, 0)</f>
        <v>0</v>
      </c>
      <c r="H176" s="15">
        <f>IF(ISNUMBER(Refsz_Verbräuche[[#This Row],[2018]]), Refsz_Verbräuche[[#This Row],[2018]]*Emissionsfaktoren[[#This Row],[2018]]/1000, 0)</f>
        <v>0</v>
      </c>
      <c r="I176" s="15">
        <f>IF(ISNUMBER(Refsz_Verbräuche[[#This Row],[2019]]), Refsz_Verbräuche[[#This Row],[2019]]*Emissionsfaktoren[[#This Row],[2019]]/1000, 0)</f>
        <v>0</v>
      </c>
      <c r="J176" s="15">
        <f>IF(ISNUMBER(Refsz_Verbräuche[[#This Row],[2020]]), Refsz_Verbräuche[[#This Row],[2020]]*Emissionsfaktoren[[#This Row],[2020]]/1000, 0)</f>
        <v>0</v>
      </c>
      <c r="K176" s="15">
        <f>IF(ISNUMBER(Refsz_Verbräuche[[#This Row],[2021]]), Refsz_Verbräuche[[#This Row],[2021]]*Emissionsfaktoren[[#This Row],[2021]]/1000, 0)</f>
        <v>0</v>
      </c>
      <c r="L176" s="15">
        <f>IF(ISNUMBER(Refsz_Verbräuche[[#This Row],[2022]]), Refsz_Verbräuche[[#This Row],[2022]]*Emissionsfaktoren[[#This Row],[2022]]/1000, 0)</f>
        <v>0</v>
      </c>
      <c r="M176" s="15">
        <f>IF(ISNUMBER(Refsz_Verbräuche[[#This Row],[2023]]), Refsz_Verbräuche[[#This Row],[2023]]*Emissionsfaktoren[[#This Row],[2023]]/1000, 0)</f>
        <v>0</v>
      </c>
      <c r="N176" s="15">
        <f>IF(ISNUMBER(Refsz_Verbräuche[[#This Row],[2024]]), Refsz_Verbräuche[[#This Row],[2024]]*Emissionsfaktoren[[#This Row],[2024]]/1000, 0)</f>
        <v>0</v>
      </c>
      <c r="O176" s="15">
        <f>IF(ISNUMBER(Refsz_Verbräuche[[#This Row],[2025]]), Refsz_Verbräuche[[#This Row],[2025]]*Emissionsfaktoren[[#This Row],[2025]]/1000, 0)</f>
        <v>0</v>
      </c>
      <c r="P176" s="15">
        <f>IF(ISNUMBER(Refsz_Verbräuche[[#This Row],[2026]]), Refsz_Verbräuche[[#This Row],[2026]]*Emissionsfaktoren[[#This Row],[2026]]/1000, 0)</f>
        <v>0</v>
      </c>
      <c r="Q176" s="15">
        <f>IF(ISNUMBER(Refsz_Verbräuche[[#This Row],[2027]]), Refsz_Verbräuche[[#This Row],[2027]]*Emissionsfaktoren[[#This Row],[2027]]/1000, 0)</f>
        <v>0</v>
      </c>
      <c r="R176" s="15">
        <f>IF(ISNUMBER(Refsz_Verbräuche[[#This Row],[2028]]), Refsz_Verbräuche[[#This Row],[2028]]*Emissionsfaktoren[[#This Row],[2028]]/1000, 0)</f>
        <v>0</v>
      </c>
      <c r="S176" s="15">
        <f>IF(ISNUMBER(Refsz_Verbräuche[[#This Row],[2029]]), Refsz_Verbräuche[[#This Row],[2029]]*Emissionsfaktoren[[#This Row],[2029]]/1000, 0)</f>
        <v>0</v>
      </c>
      <c r="T176" s="15">
        <f>IF(ISNUMBER(Refsz_Verbräuche[[#This Row],[2030]]), Refsz_Verbräuche[[#This Row],[2030]]*Emissionsfaktoren[[#This Row],[2030]]/1000, 0)</f>
        <v>0</v>
      </c>
      <c r="U176" s="15">
        <f>IF(ISNUMBER(Refsz_Verbräuche[[#This Row],[2035]]), Refsz_Verbräuche[[#This Row],[2035]]*Emissionsfaktoren[[#This Row],[2035]]/1000, 0)</f>
        <v>0</v>
      </c>
      <c r="V176" s="15">
        <f>IF(ISNUMBER(Refsz_Verbräuche[[#This Row],[2040]]), Refsz_Verbräuche[[#This Row],[2040]]*Emissionsfaktoren[[#This Row],[2040]]/1000, 0)</f>
        <v>0</v>
      </c>
      <c r="W176" s="15">
        <f>IF(ISNUMBER(Refsz_Verbräuche[[#This Row],[2045]]), Refsz_Verbräuche[[#This Row],[2045]]*Emissionsfaktoren[[#This Row],[2045]]/1000, 0)</f>
        <v>0</v>
      </c>
      <c r="X176" s="15">
        <f>IF(ISNUMBER(Refsz_Verbräuche[[#This Row],[2050]]), Refsz_Verbräuche[[#This Row],[2050]]*Emissionsfaktoren[[#This Row],[2050]]/1000, 0)</f>
        <v>0</v>
      </c>
    </row>
    <row r="177" spans="2:24" ht="16.5" hidden="1" x14ac:dyDescent="0.45">
      <c r="B177" s="15">
        <v>117</v>
      </c>
      <c r="C177" s="20" t="str">
        <f>Refsz_Verbräuche[[#This Row],[Datenpunkt]]</f>
        <v>Branntkalk</v>
      </c>
      <c r="D177" t="s">
        <v>208</v>
      </c>
      <c r="E177" s="15">
        <f>IF(ISNUMBER(Refsz_Verbräuche[[#This Row],[2015]]), Refsz_Verbräuche[[#This Row],[2015]]*Emissionsfaktoren[[#This Row],[2015]]/1000, 0)</f>
        <v>0</v>
      </c>
      <c r="F177" s="15">
        <f>IF(ISNUMBER(Refsz_Verbräuche[[#This Row],[2016]]), Refsz_Verbräuche[[#This Row],[2016]]*Emissionsfaktoren[[#This Row],[2016]]/1000, 0)</f>
        <v>0</v>
      </c>
      <c r="G177" s="15">
        <f>IF(ISNUMBER(Refsz_Verbräuche[[#This Row],[2017]]), Refsz_Verbräuche[[#This Row],[2017]]*Emissionsfaktoren[[#This Row],[2017]]/1000, 0)</f>
        <v>0</v>
      </c>
      <c r="H177" s="15">
        <f>IF(ISNUMBER(Refsz_Verbräuche[[#This Row],[2018]]), Refsz_Verbräuche[[#This Row],[2018]]*Emissionsfaktoren[[#This Row],[2018]]/1000, 0)</f>
        <v>0</v>
      </c>
      <c r="I177" s="15">
        <f>IF(ISNUMBER(Refsz_Verbräuche[[#This Row],[2019]]), Refsz_Verbräuche[[#This Row],[2019]]*Emissionsfaktoren[[#This Row],[2019]]/1000, 0)</f>
        <v>0</v>
      </c>
      <c r="J177" s="15">
        <f>IF(ISNUMBER(Refsz_Verbräuche[[#This Row],[2020]]), Refsz_Verbräuche[[#This Row],[2020]]*Emissionsfaktoren[[#This Row],[2020]]/1000, 0)</f>
        <v>0</v>
      </c>
      <c r="K177" s="15">
        <f>IF(ISNUMBER(Refsz_Verbräuche[[#This Row],[2021]]), Refsz_Verbräuche[[#This Row],[2021]]*Emissionsfaktoren[[#This Row],[2021]]/1000, 0)</f>
        <v>0</v>
      </c>
      <c r="L177" s="15">
        <f>IF(ISNUMBER(Refsz_Verbräuche[[#This Row],[2022]]), Refsz_Verbräuche[[#This Row],[2022]]*Emissionsfaktoren[[#This Row],[2022]]/1000, 0)</f>
        <v>0</v>
      </c>
      <c r="M177" s="15">
        <f>IF(ISNUMBER(Refsz_Verbräuche[[#This Row],[2023]]), Refsz_Verbräuche[[#This Row],[2023]]*Emissionsfaktoren[[#This Row],[2023]]/1000, 0)</f>
        <v>0</v>
      </c>
      <c r="N177" s="15">
        <f>IF(ISNUMBER(Refsz_Verbräuche[[#This Row],[2024]]), Refsz_Verbräuche[[#This Row],[2024]]*Emissionsfaktoren[[#This Row],[2024]]/1000, 0)</f>
        <v>0</v>
      </c>
      <c r="O177" s="15">
        <f>IF(ISNUMBER(Refsz_Verbräuche[[#This Row],[2025]]), Refsz_Verbräuche[[#This Row],[2025]]*Emissionsfaktoren[[#This Row],[2025]]/1000, 0)</f>
        <v>0</v>
      </c>
      <c r="P177" s="15">
        <f>IF(ISNUMBER(Refsz_Verbräuche[[#This Row],[2026]]), Refsz_Verbräuche[[#This Row],[2026]]*Emissionsfaktoren[[#This Row],[2026]]/1000, 0)</f>
        <v>0</v>
      </c>
      <c r="Q177" s="15">
        <f>IF(ISNUMBER(Refsz_Verbräuche[[#This Row],[2027]]), Refsz_Verbräuche[[#This Row],[2027]]*Emissionsfaktoren[[#This Row],[2027]]/1000, 0)</f>
        <v>0</v>
      </c>
      <c r="R177" s="15">
        <f>IF(ISNUMBER(Refsz_Verbräuche[[#This Row],[2028]]), Refsz_Verbräuche[[#This Row],[2028]]*Emissionsfaktoren[[#This Row],[2028]]/1000, 0)</f>
        <v>0</v>
      </c>
      <c r="S177" s="15">
        <f>IF(ISNUMBER(Refsz_Verbräuche[[#This Row],[2029]]), Refsz_Verbräuche[[#This Row],[2029]]*Emissionsfaktoren[[#This Row],[2029]]/1000, 0)</f>
        <v>0</v>
      </c>
      <c r="T177" s="15">
        <f>IF(ISNUMBER(Refsz_Verbräuche[[#This Row],[2030]]), Refsz_Verbräuche[[#This Row],[2030]]*Emissionsfaktoren[[#This Row],[2030]]/1000, 0)</f>
        <v>0</v>
      </c>
      <c r="U177" s="15">
        <f>IF(ISNUMBER(Refsz_Verbräuche[[#This Row],[2035]]), Refsz_Verbräuche[[#This Row],[2035]]*Emissionsfaktoren[[#This Row],[2035]]/1000, 0)</f>
        <v>0</v>
      </c>
      <c r="V177" s="15">
        <f>IF(ISNUMBER(Refsz_Verbräuche[[#This Row],[2040]]), Refsz_Verbräuche[[#This Row],[2040]]*Emissionsfaktoren[[#This Row],[2040]]/1000, 0)</f>
        <v>0</v>
      </c>
      <c r="W177" s="15">
        <f>IF(ISNUMBER(Refsz_Verbräuche[[#This Row],[2045]]), Refsz_Verbräuche[[#This Row],[2045]]*Emissionsfaktoren[[#This Row],[2045]]/1000, 0)</f>
        <v>0</v>
      </c>
      <c r="X177" s="15">
        <f>IF(ISNUMBER(Refsz_Verbräuche[[#This Row],[2050]]), Refsz_Verbräuche[[#This Row],[2050]]*Emissionsfaktoren[[#This Row],[2050]]/1000, 0)</f>
        <v>0</v>
      </c>
    </row>
    <row r="178" spans="2:24" ht="16.5" hidden="1" x14ac:dyDescent="0.45">
      <c r="B178" s="15">
        <v>118</v>
      </c>
      <c r="C178" s="20" t="str">
        <f>Refsz_Verbräuche[[#This Row],[Datenpunkt]]</f>
        <v>Gips</v>
      </c>
      <c r="D178" t="s">
        <v>208</v>
      </c>
      <c r="E178" s="15">
        <f>IF(ISNUMBER(Refsz_Verbräuche[[#This Row],[2015]]), Refsz_Verbräuche[[#This Row],[2015]]*Emissionsfaktoren[[#This Row],[2015]]/1000, 0)</f>
        <v>0</v>
      </c>
      <c r="F178" s="15">
        <f>IF(ISNUMBER(Refsz_Verbräuche[[#This Row],[2016]]), Refsz_Verbräuche[[#This Row],[2016]]*Emissionsfaktoren[[#This Row],[2016]]/1000, 0)</f>
        <v>0</v>
      </c>
      <c r="G178" s="15">
        <f>IF(ISNUMBER(Refsz_Verbräuche[[#This Row],[2017]]), Refsz_Verbräuche[[#This Row],[2017]]*Emissionsfaktoren[[#This Row],[2017]]/1000, 0)</f>
        <v>0</v>
      </c>
      <c r="H178" s="15">
        <f>IF(ISNUMBER(Refsz_Verbräuche[[#This Row],[2018]]), Refsz_Verbräuche[[#This Row],[2018]]*Emissionsfaktoren[[#This Row],[2018]]/1000, 0)</f>
        <v>0</v>
      </c>
      <c r="I178" s="15">
        <f>IF(ISNUMBER(Refsz_Verbräuche[[#This Row],[2019]]), Refsz_Verbräuche[[#This Row],[2019]]*Emissionsfaktoren[[#This Row],[2019]]/1000, 0)</f>
        <v>0</v>
      </c>
      <c r="J178" s="15">
        <f>IF(ISNUMBER(Refsz_Verbräuche[[#This Row],[2020]]), Refsz_Verbräuche[[#This Row],[2020]]*Emissionsfaktoren[[#This Row],[2020]]/1000, 0)</f>
        <v>0</v>
      </c>
      <c r="K178" s="15">
        <f>IF(ISNUMBER(Refsz_Verbräuche[[#This Row],[2021]]), Refsz_Verbräuche[[#This Row],[2021]]*Emissionsfaktoren[[#This Row],[2021]]/1000, 0)</f>
        <v>0</v>
      </c>
      <c r="L178" s="15">
        <f>IF(ISNUMBER(Refsz_Verbräuche[[#This Row],[2022]]), Refsz_Verbräuche[[#This Row],[2022]]*Emissionsfaktoren[[#This Row],[2022]]/1000, 0)</f>
        <v>0</v>
      </c>
      <c r="M178" s="15">
        <f>IF(ISNUMBER(Refsz_Verbräuche[[#This Row],[2023]]), Refsz_Verbräuche[[#This Row],[2023]]*Emissionsfaktoren[[#This Row],[2023]]/1000, 0)</f>
        <v>0</v>
      </c>
      <c r="N178" s="15">
        <f>IF(ISNUMBER(Refsz_Verbräuche[[#This Row],[2024]]), Refsz_Verbräuche[[#This Row],[2024]]*Emissionsfaktoren[[#This Row],[2024]]/1000, 0)</f>
        <v>0</v>
      </c>
      <c r="O178" s="15">
        <f>IF(ISNUMBER(Refsz_Verbräuche[[#This Row],[2025]]), Refsz_Verbräuche[[#This Row],[2025]]*Emissionsfaktoren[[#This Row],[2025]]/1000, 0)</f>
        <v>0</v>
      </c>
      <c r="P178" s="15">
        <f>IF(ISNUMBER(Refsz_Verbräuche[[#This Row],[2026]]), Refsz_Verbräuche[[#This Row],[2026]]*Emissionsfaktoren[[#This Row],[2026]]/1000, 0)</f>
        <v>0</v>
      </c>
      <c r="Q178" s="15">
        <f>IF(ISNUMBER(Refsz_Verbräuche[[#This Row],[2027]]), Refsz_Verbräuche[[#This Row],[2027]]*Emissionsfaktoren[[#This Row],[2027]]/1000, 0)</f>
        <v>0</v>
      </c>
      <c r="R178" s="15">
        <f>IF(ISNUMBER(Refsz_Verbräuche[[#This Row],[2028]]), Refsz_Verbräuche[[#This Row],[2028]]*Emissionsfaktoren[[#This Row],[2028]]/1000, 0)</f>
        <v>0</v>
      </c>
      <c r="S178" s="15">
        <f>IF(ISNUMBER(Refsz_Verbräuche[[#This Row],[2029]]), Refsz_Verbräuche[[#This Row],[2029]]*Emissionsfaktoren[[#This Row],[2029]]/1000, 0)</f>
        <v>0</v>
      </c>
      <c r="T178" s="15">
        <f>IF(ISNUMBER(Refsz_Verbräuche[[#This Row],[2030]]), Refsz_Verbräuche[[#This Row],[2030]]*Emissionsfaktoren[[#This Row],[2030]]/1000, 0)</f>
        <v>0</v>
      </c>
      <c r="U178" s="15">
        <f>IF(ISNUMBER(Refsz_Verbräuche[[#This Row],[2035]]), Refsz_Verbräuche[[#This Row],[2035]]*Emissionsfaktoren[[#This Row],[2035]]/1000, 0)</f>
        <v>0</v>
      </c>
      <c r="V178" s="15">
        <f>IF(ISNUMBER(Refsz_Verbräuche[[#This Row],[2040]]), Refsz_Verbräuche[[#This Row],[2040]]*Emissionsfaktoren[[#This Row],[2040]]/1000, 0)</f>
        <v>0</v>
      </c>
      <c r="W178" s="15">
        <f>IF(ISNUMBER(Refsz_Verbräuche[[#This Row],[2045]]), Refsz_Verbräuche[[#This Row],[2045]]*Emissionsfaktoren[[#This Row],[2045]]/1000, 0)</f>
        <v>0</v>
      </c>
      <c r="X178" s="15">
        <f>IF(ISNUMBER(Refsz_Verbräuche[[#This Row],[2050]]), Refsz_Verbräuche[[#This Row],[2050]]*Emissionsfaktoren[[#This Row],[2050]]/1000, 0)</f>
        <v>0</v>
      </c>
    </row>
    <row r="179" spans="2:24" ht="16.5" hidden="1" x14ac:dyDescent="0.45">
      <c r="B179" s="15">
        <v>119</v>
      </c>
      <c r="C179" s="20" t="str">
        <f>Refsz_Verbräuche[[#This Row],[Datenpunkt]]</f>
        <v>Gipsplatte</v>
      </c>
      <c r="D179" t="s">
        <v>208</v>
      </c>
      <c r="E179" s="15">
        <f>IF(ISNUMBER(Refsz_Verbräuche[[#This Row],[2015]]), Refsz_Verbräuche[[#This Row],[2015]]*Emissionsfaktoren[[#This Row],[2015]]/1000, 0)</f>
        <v>0</v>
      </c>
      <c r="F179" s="15">
        <f>IF(ISNUMBER(Refsz_Verbräuche[[#This Row],[2016]]), Refsz_Verbräuche[[#This Row],[2016]]*Emissionsfaktoren[[#This Row],[2016]]/1000, 0)</f>
        <v>0</v>
      </c>
      <c r="G179" s="15">
        <f>IF(ISNUMBER(Refsz_Verbräuche[[#This Row],[2017]]), Refsz_Verbräuche[[#This Row],[2017]]*Emissionsfaktoren[[#This Row],[2017]]/1000, 0)</f>
        <v>0</v>
      </c>
      <c r="H179" s="15">
        <f>IF(ISNUMBER(Refsz_Verbräuche[[#This Row],[2018]]), Refsz_Verbräuche[[#This Row],[2018]]*Emissionsfaktoren[[#This Row],[2018]]/1000, 0)</f>
        <v>0</v>
      </c>
      <c r="I179" s="15">
        <f>IF(ISNUMBER(Refsz_Verbräuche[[#This Row],[2019]]), Refsz_Verbräuche[[#This Row],[2019]]*Emissionsfaktoren[[#This Row],[2019]]/1000, 0)</f>
        <v>0</v>
      </c>
      <c r="J179" s="15">
        <f>IF(ISNUMBER(Refsz_Verbräuche[[#This Row],[2020]]), Refsz_Verbräuche[[#This Row],[2020]]*Emissionsfaktoren[[#This Row],[2020]]/1000, 0)</f>
        <v>0</v>
      </c>
      <c r="K179" s="15">
        <f>IF(ISNUMBER(Refsz_Verbräuche[[#This Row],[2021]]), Refsz_Verbräuche[[#This Row],[2021]]*Emissionsfaktoren[[#This Row],[2021]]/1000, 0)</f>
        <v>0</v>
      </c>
      <c r="L179" s="15">
        <f>IF(ISNUMBER(Refsz_Verbräuche[[#This Row],[2022]]), Refsz_Verbräuche[[#This Row],[2022]]*Emissionsfaktoren[[#This Row],[2022]]/1000, 0)</f>
        <v>0</v>
      </c>
      <c r="M179" s="15">
        <f>IF(ISNUMBER(Refsz_Verbräuche[[#This Row],[2023]]), Refsz_Verbräuche[[#This Row],[2023]]*Emissionsfaktoren[[#This Row],[2023]]/1000, 0)</f>
        <v>0</v>
      </c>
      <c r="N179" s="15">
        <f>IF(ISNUMBER(Refsz_Verbräuche[[#This Row],[2024]]), Refsz_Verbräuche[[#This Row],[2024]]*Emissionsfaktoren[[#This Row],[2024]]/1000, 0)</f>
        <v>0</v>
      </c>
      <c r="O179" s="15">
        <f>IF(ISNUMBER(Refsz_Verbräuche[[#This Row],[2025]]), Refsz_Verbräuche[[#This Row],[2025]]*Emissionsfaktoren[[#This Row],[2025]]/1000, 0)</f>
        <v>0</v>
      </c>
      <c r="P179" s="15">
        <f>IF(ISNUMBER(Refsz_Verbräuche[[#This Row],[2026]]), Refsz_Verbräuche[[#This Row],[2026]]*Emissionsfaktoren[[#This Row],[2026]]/1000, 0)</f>
        <v>0</v>
      </c>
      <c r="Q179" s="15">
        <f>IF(ISNUMBER(Refsz_Verbräuche[[#This Row],[2027]]), Refsz_Verbräuche[[#This Row],[2027]]*Emissionsfaktoren[[#This Row],[2027]]/1000, 0)</f>
        <v>0</v>
      </c>
      <c r="R179" s="15">
        <f>IF(ISNUMBER(Refsz_Verbräuche[[#This Row],[2028]]), Refsz_Verbräuche[[#This Row],[2028]]*Emissionsfaktoren[[#This Row],[2028]]/1000, 0)</f>
        <v>0</v>
      </c>
      <c r="S179" s="15">
        <f>IF(ISNUMBER(Refsz_Verbräuche[[#This Row],[2029]]), Refsz_Verbräuche[[#This Row],[2029]]*Emissionsfaktoren[[#This Row],[2029]]/1000, 0)</f>
        <v>0</v>
      </c>
      <c r="T179" s="15">
        <f>IF(ISNUMBER(Refsz_Verbräuche[[#This Row],[2030]]), Refsz_Verbräuche[[#This Row],[2030]]*Emissionsfaktoren[[#This Row],[2030]]/1000, 0)</f>
        <v>0</v>
      </c>
      <c r="U179" s="15">
        <f>IF(ISNUMBER(Refsz_Verbräuche[[#This Row],[2035]]), Refsz_Verbräuche[[#This Row],[2035]]*Emissionsfaktoren[[#This Row],[2035]]/1000, 0)</f>
        <v>0</v>
      </c>
      <c r="V179" s="15">
        <f>IF(ISNUMBER(Refsz_Verbräuche[[#This Row],[2040]]), Refsz_Verbräuche[[#This Row],[2040]]*Emissionsfaktoren[[#This Row],[2040]]/1000, 0)</f>
        <v>0</v>
      </c>
      <c r="W179" s="15">
        <f>IF(ISNUMBER(Refsz_Verbräuche[[#This Row],[2045]]), Refsz_Verbräuche[[#This Row],[2045]]*Emissionsfaktoren[[#This Row],[2045]]/1000, 0)</f>
        <v>0</v>
      </c>
      <c r="X179" s="15">
        <f>IF(ISNUMBER(Refsz_Verbräuche[[#This Row],[2050]]), Refsz_Verbräuche[[#This Row],[2050]]*Emissionsfaktoren[[#This Row],[2050]]/1000, 0)</f>
        <v>0</v>
      </c>
    </row>
    <row r="180" spans="2:24" ht="16.5" hidden="1" x14ac:dyDescent="0.45">
      <c r="B180" s="15">
        <v>120</v>
      </c>
      <c r="C180" s="20" t="str">
        <f>Refsz_Verbräuche[[#This Row],[Datenpunkt]]</f>
        <v>Glas (flach)</v>
      </c>
      <c r="D180" t="s">
        <v>208</v>
      </c>
      <c r="E180" s="15">
        <f>IF(ISNUMBER(Refsz_Verbräuche[[#This Row],[2015]]), Refsz_Verbräuche[[#This Row],[2015]]*Emissionsfaktoren[[#This Row],[2015]]/1000, 0)</f>
        <v>0</v>
      </c>
      <c r="F180" s="15">
        <f>IF(ISNUMBER(Refsz_Verbräuche[[#This Row],[2016]]), Refsz_Verbräuche[[#This Row],[2016]]*Emissionsfaktoren[[#This Row],[2016]]/1000, 0)</f>
        <v>0</v>
      </c>
      <c r="G180" s="15">
        <f>IF(ISNUMBER(Refsz_Verbräuche[[#This Row],[2017]]), Refsz_Verbräuche[[#This Row],[2017]]*Emissionsfaktoren[[#This Row],[2017]]/1000, 0)</f>
        <v>0</v>
      </c>
      <c r="H180" s="15">
        <f>IF(ISNUMBER(Refsz_Verbräuche[[#This Row],[2018]]), Refsz_Verbräuche[[#This Row],[2018]]*Emissionsfaktoren[[#This Row],[2018]]/1000, 0)</f>
        <v>0</v>
      </c>
      <c r="I180" s="15">
        <f>IF(ISNUMBER(Refsz_Verbräuche[[#This Row],[2019]]), Refsz_Verbräuche[[#This Row],[2019]]*Emissionsfaktoren[[#This Row],[2019]]/1000, 0)</f>
        <v>0</v>
      </c>
      <c r="J180" s="15">
        <f>IF(ISNUMBER(Refsz_Verbräuche[[#This Row],[2020]]), Refsz_Verbräuche[[#This Row],[2020]]*Emissionsfaktoren[[#This Row],[2020]]/1000, 0)</f>
        <v>0</v>
      </c>
      <c r="K180" s="15">
        <f>IF(ISNUMBER(Refsz_Verbräuche[[#This Row],[2021]]), Refsz_Verbräuche[[#This Row],[2021]]*Emissionsfaktoren[[#This Row],[2021]]/1000, 0)</f>
        <v>0</v>
      </c>
      <c r="L180" s="15">
        <f>IF(ISNUMBER(Refsz_Verbräuche[[#This Row],[2022]]), Refsz_Verbräuche[[#This Row],[2022]]*Emissionsfaktoren[[#This Row],[2022]]/1000, 0)</f>
        <v>0</v>
      </c>
      <c r="M180" s="15">
        <f>IF(ISNUMBER(Refsz_Verbräuche[[#This Row],[2023]]), Refsz_Verbräuche[[#This Row],[2023]]*Emissionsfaktoren[[#This Row],[2023]]/1000, 0)</f>
        <v>0</v>
      </c>
      <c r="N180" s="15">
        <f>IF(ISNUMBER(Refsz_Verbräuche[[#This Row],[2024]]), Refsz_Verbräuche[[#This Row],[2024]]*Emissionsfaktoren[[#This Row],[2024]]/1000, 0)</f>
        <v>0</v>
      </c>
      <c r="O180" s="15">
        <f>IF(ISNUMBER(Refsz_Verbräuche[[#This Row],[2025]]), Refsz_Verbräuche[[#This Row],[2025]]*Emissionsfaktoren[[#This Row],[2025]]/1000, 0)</f>
        <v>0</v>
      </c>
      <c r="P180" s="15">
        <f>IF(ISNUMBER(Refsz_Verbräuche[[#This Row],[2026]]), Refsz_Verbräuche[[#This Row],[2026]]*Emissionsfaktoren[[#This Row],[2026]]/1000, 0)</f>
        <v>0</v>
      </c>
      <c r="Q180" s="15">
        <f>IF(ISNUMBER(Refsz_Verbräuche[[#This Row],[2027]]), Refsz_Verbräuche[[#This Row],[2027]]*Emissionsfaktoren[[#This Row],[2027]]/1000, 0)</f>
        <v>0</v>
      </c>
      <c r="R180" s="15">
        <f>IF(ISNUMBER(Refsz_Verbräuche[[#This Row],[2028]]), Refsz_Verbräuche[[#This Row],[2028]]*Emissionsfaktoren[[#This Row],[2028]]/1000, 0)</f>
        <v>0</v>
      </c>
      <c r="S180" s="15">
        <f>IF(ISNUMBER(Refsz_Verbräuche[[#This Row],[2029]]), Refsz_Verbräuche[[#This Row],[2029]]*Emissionsfaktoren[[#This Row],[2029]]/1000, 0)</f>
        <v>0</v>
      </c>
      <c r="T180" s="15">
        <f>IF(ISNUMBER(Refsz_Verbräuche[[#This Row],[2030]]), Refsz_Verbräuche[[#This Row],[2030]]*Emissionsfaktoren[[#This Row],[2030]]/1000, 0)</f>
        <v>0</v>
      </c>
      <c r="U180" s="15">
        <f>IF(ISNUMBER(Refsz_Verbräuche[[#This Row],[2035]]), Refsz_Verbräuche[[#This Row],[2035]]*Emissionsfaktoren[[#This Row],[2035]]/1000, 0)</f>
        <v>0</v>
      </c>
      <c r="V180" s="15">
        <f>IF(ISNUMBER(Refsz_Verbräuche[[#This Row],[2040]]), Refsz_Verbräuche[[#This Row],[2040]]*Emissionsfaktoren[[#This Row],[2040]]/1000, 0)</f>
        <v>0</v>
      </c>
      <c r="W180" s="15">
        <f>IF(ISNUMBER(Refsz_Verbräuche[[#This Row],[2045]]), Refsz_Verbräuche[[#This Row],[2045]]*Emissionsfaktoren[[#This Row],[2045]]/1000, 0)</f>
        <v>0</v>
      </c>
      <c r="X180" s="15">
        <f>IF(ISNUMBER(Refsz_Verbräuche[[#This Row],[2050]]), Refsz_Verbräuche[[#This Row],[2050]]*Emissionsfaktoren[[#This Row],[2050]]/1000, 0)</f>
        <v>0</v>
      </c>
    </row>
    <row r="181" spans="2:24" ht="16.5" hidden="1" x14ac:dyDescent="0.45">
      <c r="B181" s="15">
        <v>121</v>
      </c>
      <c r="C181" s="20" t="str">
        <f>Refsz_Verbräuche[[#This Row],[Datenpunkt]]</f>
        <v>Gussasphalt</v>
      </c>
      <c r="D181" t="s">
        <v>208</v>
      </c>
      <c r="E181" s="15">
        <f>IF(ISNUMBER(Refsz_Verbräuche[[#This Row],[2015]]), Refsz_Verbräuche[[#This Row],[2015]]*Emissionsfaktoren[[#This Row],[2015]]/1000, 0)</f>
        <v>0</v>
      </c>
      <c r="F181" s="15">
        <f>IF(ISNUMBER(Refsz_Verbräuche[[#This Row],[2016]]), Refsz_Verbräuche[[#This Row],[2016]]*Emissionsfaktoren[[#This Row],[2016]]/1000, 0)</f>
        <v>0</v>
      </c>
      <c r="G181" s="15">
        <f>IF(ISNUMBER(Refsz_Verbräuche[[#This Row],[2017]]), Refsz_Verbräuche[[#This Row],[2017]]*Emissionsfaktoren[[#This Row],[2017]]/1000, 0)</f>
        <v>0</v>
      </c>
      <c r="H181" s="15">
        <f>IF(ISNUMBER(Refsz_Verbräuche[[#This Row],[2018]]), Refsz_Verbräuche[[#This Row],[2018]]*Emissionsfaktoren[[#This Row],[2018]]/1000, 0)</f>
        <v>0</v>
      </c>
      <c r="I181" s="15">
        <f>IF(ISNUMBER(Refsz_Verbräuche[[#This Row],[2019]]), Refsz_Verbräuche[[#This Row],[2019]]*Emissionsfaktoren[[#This Row],[2019]]/1000, 0)</f>
        <v>0</v>
      </c>
      <c r="J181" s="15">
        <f>IF(ISNUMBER(Refsz_Verbräuche[[#This Row],[2020]]), Refsz_Verbräuche[[#This Row],[2020]]*Emissionsfaktoren[[#This Row],[2020]]/1000, 0)</f>
        <v>0</v>
      </c>
      <c r="K181" s="15">
        <f>IF(ISNUMBER(Refsz_Verbräuche[[#This Row],[2021]]), Refsz_Verbräuche[[#This Row],[2021]]*Emissionsfaktoren[[#This Row],[2021]]/1000, 0)</f>
        <v>0</v>
      </c>
      <c r="L181" s="15">
        <f>IF(ISNUMBER(Refsz_Verbräuche[[#This Row],[2022]]), Refsz_Verbräuche[[#This Row],[2022]]*Emissionsfaktoren[[#This Row],[2022]]/1000, 0)</f>
        <v>0</v>
      </c>
      <c r="M181" s="15">
        <f>IF(ISNUMBER(Refsz_Verbräuche[[#This Row],[2023]]), Refsz_Verbräuche[[#This Row],[2023]]*Emissionsfaktoren[[#This Row],[2023]]/1000, 0)</f>
        <v>0</v>
      </c>
      <c r="N181" s="15">
        <f>IF(ISNUMBER(Refsz_Verbräuche[[#This Row],[2024]]), Refsz_Verbräuche[[#This Row],[2024]]*Emissionsfaktoren[[#This Row],[2024]]/1000, 0)</f>
        <v>0</v>
      </c>
      <c r="O181" s="15">
        <f>IF(ISNUMBER(Refsz_Verbräuche[[#This Row],[2025]]), Refsz_Verbräuche[[#This Row],[2025]]*Emissionsfaktoren[[#This Row],[2025]]/1000, 0)</f>
        <v>0</v>
      </c>
      <c r="P181" s="15">
        <f>IF(ISNUMBER(Refsz_Verbräuche[[#This Row],[2026]]), Refsz_Verbräuche[[#This Row],[2026]]*Emissionsfaktoren[[#This Row],[2026]]/1000, 0)</f>
        <v>0</v>
      </c>
      <c r="Q181" s="15">
        <f>IF(ISNUMBER(Refsz_Verbräuche[[#This Row],[2027]]), Refsz_Verbräuche[[#This Row],[2027]]*Emissionsfaktoren[[#This Row],[2027]]/1000, 0)</f>
        <v>0</v>
      </c>
      <c r="R181" s="15">
        <f>IF(ISNUMBER(Refsz_Verbräuche[[#This Row],[2028]]), Refsz_Verbräuche[[#This Row],[2028]]*Emissionsfaktoren[[#This Row],[2028]]/1000, 0)</f>
        <v>0</v>
      </c>
      <c r="S181" s="15">
        <f>IF(ISNUMBER(Refsz_Verbräuche[[#This Row],[2029]]), Refsz_Verbräuche[[#This Row],[2029]]*Emissionsfaktoren[[#This Row],[2029]]/1000, 0)</f>
        <v>0</v>
      </c>
      <c r="T181" s="15">
        <f>IF(ISNUMBER(Refsz_Verbräuche[[#This Row],[2030]]), Refsz_Verbräuche[[#This Row],[2030]]*Emissionsfaktoren[[#This Row],[2030]]/1000, 0)</f>
        <v>0</v>
      </c>
      <c r="U181" s="15">
        <f>IF(ISNUMBER(Refsz_Verbräuche[[#This Row],[2035]]), Refsz_Verbräuche[[#This Row],[2035]]*Emissionsfaktoren[[#This Row],[2035]]/1000, 0)</f>
        <v>0</v>
      </c>
      <c r="V181" s="15">
        <f>IF(ISNUMBER(Refsz_Verbräuche[[#This Row],[2040]]), Refsz_Verbräuche[[#This Row],[2040]]*Emissionsfaktoren[[#This Row],[2040]]/1000, 0)</f>
        <v>0</v>
      </c>
      <c r="W181" s="15">
        <f>IF(ISNUMBER(Refsz_Verbräuche[[#This Row],[2045]]), Refsz_Verbräuche[[#This Row],[2045]]*Emissionsfaktoren[[#This Row],[2045]]/1000, 0)</f>
        <v>0</v>
      </c>
      <c r="X181" s="15">
        <f>IF(ISNUMBER(Refsz_Verbräuche[[#This Row],[2050]]), Refsz_Verbräuche[[#This Row],[2050]]*Emissionsfaktoren[[#This Row],[2050]]/1000, 0)</f>
        <v>0</v>
      </c>
    </row>
    <row r="182" spans="2:24" ht="16.5" hidden="1" x14ac:dyDescent="0.45">
      <c r="B182" s="15">
        <v>122</v>
      </c>
      <c r="C182" s="20" t="str">
        <f>Refsz_Verbräuche[[#This Row],[Datenpunkt]]</f>
        <v>Kalksandstein</v>
      </c>
      <c r="D182" t="s">
        <v>208</v>
      </c>
      <c r="E182" s="15">
        <f>IF(ISNUMBER(Refsz_Verbräuche[[#This Row],[2015]]), Refsz_Verbräuche[[#This Row],[2015]]*Emissionsfaktoren[[#This Row],[2015]]/1000, 0)</f>
        <v>0</v>
      </c>
      <c r="F182" s="15">
        <f>IF(ISNUMBER(Refsz_Verbräuche[[#This Row],[2016]]), Refsz_Verbräuche[[#This Row],[2016]]*Emissionsfaktoren[[#This Row],[2016]]/1000, 0)</f>
        <v>0</v>
      </c>
      <c r="G182" s="15">
        <f>IF(ISNUMBER(Refsz_Verbräuche[[#This Row],[2017]]), Refsz_Verbräuche[[#This Row],[2017]]*Emissionsfaktoren[[#This Row],[2017]]/1000, 0)</f>
        <v>0</v>
      </c>
      <c r="H182" s="15">
        <f>IF(ISNUMBER(Refsz_Verbräuche[[#This Row],[2018]]), Refsz_Verbräuche[[#This Row],[2018]]*Emissionsfaktoren[[#This Row],[2018]]/1000, 0)</f>
        <v>0</v>
      </c>
      <c r="I182" s="15">
        <f>IF(ISNUMBER(Refsz_Verbräuche[[#This Row],[2019]]), Refsz_Verbräuche[[#This Row],[2019]]*Emissionsfaktoren[[#This Row],[2019]]/1000, 0)</f>
        <v>0</v>
      </c>
      <c r="J182" s="15">
        <f>IF(ISNUMBER(Refsz_Verbräuche[[#This Row],[2020]]), Refsz_Verbräuche[[#This Row],[2020]]*Emissionsfaktoren[[#This Row],[2020]]/1000, 0)</f>
        <v>0</v>
      </c>
      <c r="K182" s="15">
        <f>IF(ISNUMBER(Refsz_Verbräuche[[#This Row],[2021]]), Refsz_Verbräuche[[#This Row],[2021]]*Emissionsfaktoren[[#This Row],[2021]]/1000, 0)</f>
        <v>0</v>
      </c>
      <c r="L182" s="15">
        <f>IF(ISNUMBER(Refsz_Verbräuche[[#This Row],[2022]]), Refsz_Verbräuche[[#This Row],[2022]]*Emissionsfaktoren[[#This Row],[2022]]/1000, 0)</f>
        <v>0</v>
      </c>
      <c r="M182" s="15">
        <f>IF(ISNUMBER(Refsz_Verbräuche[[#This Row],[2023]]), Refsz_Verbräuche[[#This Row],[2023]]*Emissionsfaktoren[[#This Row],[2023]]/1000, 0)</f>
        <v>0</v>
      </c>
      <c r="N182" s="15">
        <f>IF(ISNUMBER(Refsz_Verbräuche[[#This Row],[2024]]), Refsz_Verbräuche[[#This Row],[2024]]*Emissionsfaktoren[[#This Row],[2024]]/1000, 0)</f>
        <v>0</v>
      </c>
      <c r="O182" s="15">
        <f>IF(ISNUMBER(Refsz_Verbräuche[[#This Row],[2025]]), Refsz_Verbräuche[[#This Row],[2025]]*Emissionsfaktoren[[#This Row],[2025]]/1000, 0)</f>
        <v>0</v>
      </c>
      <c r="P182" s="15">
        <f>IF(ISNUMBER(Refsz_Verbräuche[[#This Row],[2026]]), Refsz_Verbräuche[[#This Row],[2026]]*Emissionsfaktoren[[#This Row],[2026]]/1000, 0)</f>
        <v>0</v>
      </c>
      <c r="Q182" s="15">
        <f>IF(ISNUMBER(Refsz_Verbräuche[[#This Row],[2027]]), Refsz_Verbräuche[[#This Row],[2027]]*Emissionsfaktoren[[#This Row],[2027]]/1000, 0)</f>
        <v>0</v>
      </c>
      <c r="R182" s="15">
        <f>IF(ISNUMBER(Refsz_Verbräuche[[#This Row],[2028]]), Refsz_Verbräuche[[#This Row],[2028]]*Emissionsfaktoren[[#This Row],[2028]]/1000, 0)</f>
        <v>0</v>
      </c>
      <c r="S182" s="15">
        <f>IF(ISNUMBER(Refsz_Verbräuche[[#This Row],[2029]]), Refsz_Verbräuche[[#This Row],[2029]]*Emissionsfaktoren[[#This Row],[2029]]/1000, 0)</f>
        <v>0</v>
      </c>
      <c r="T182" s="15">
        <f>IF(ISNUMBER(Refsz_Verbräuche[[#This Row],[2030]]), Refsz_Verbräuche[[#This Row],[2030]]*Emissionsfaktoren[[#This Row],[2030]]/1000, 0)</f>
        <v>0</v>
      </c>
      <c r="U182" s="15">
        <f>IF(ISNUMBER(Refsz_Verbräuche[[#This Row],[2035]]), Refsz_Verbräuche[[#This Row],[2035]]*Emissionsfaktoren[[#This Row],[2035]]/1000, 0)</f>
        <v>0</v>
      </c>
      <c r="V182" s="15">
        <f>IF(ISNUMBER(Refsz_Verbräuche[[#This Row],[2040]]), Refsz_Verbräuche[[#This Row],[2040]]*Emissionsfaktoren[[#This Row],[2040]]/1000, 0)</f>
        <v>0</v>
      </c>
      <c r="W182" s="15">
        <f>IF(ISNUMBER(Refsz_Verbräuche[[#This Row],[2045]]), Refsz_Verbräuche[[#This Row],[2045]]*Emissionsfaktoren[[#This Row],[2045]]/1000, 0)</f>
        <v>0</v>
      </c>
      <c r="X182" s="15">
        <f>IF(ISNUMBER(Refsz_Verbräuche[[#This Row],[2050]]), Refsz_Verbräuche[[#This Row],[2050]]*Emissionsfaktoren[[#This Row],[2050]]/1000, 0)</f>
        <v>0</v>
      </c>
    </row>
    <row r="183" spans="2:24" ht="16.5" hidden="1" x14ac:dyDescent="0.45">
      <c r="B183" s="15">
        <v>123</v>
      </c>
      <c r="C183" s="20" t="str">
        <f>Refsz_Verbräuche[[#This Row],[Datenpunkt]]</f>
        <v>Porenbetonstein</v>
      </c>
      <c r="D183" t="s">
        <v>208</v>
      </c>
      <c r="E183" s="15">
        <f>IF(ISNUMBER(Refsz_Verbräuche[[#This Row],[2015]]), Refsz_Verbräuche[[#This Row],[2015]]*Emissionsfaktoren[[#This Row],[2015]]/1000, 0)</f>
        <v>0</v>
      </c>
      <c r="F183" s="15">
        <f>IF(ISNUMBER(Refsz_Verbräuche[[#This Row],[2016]]), Refsz_Verbräuche[[#This Row],[2016]]*Emissionsfaktoren[[#This Row],[2016]]/1000, 0)</f>
        <v>0</v>
      </c>
      <c r="G183" s="15">
        <f>IF(ISNUMBER(Refsz_Verbräuche[[#This Row],[2017]]), Refsz_Verbräuche[[#This Row],[2017]]*Emissionsfaktoren[[#This Row],[2017]]/1000, 0)</f>
        <v>0</v>
      </c>
      <c r="H183" s="15">
        <f>IF(ISNUMBER(Refsz_Verbräuche[[#This Row],[2018]]), Refsz_Verbräuche[[#This Row],[2018]]*Emissionsfaktoren[[#This Row],[2018]]/1000, 0)</f>
        <v>0</v>
      </c>
      <c r="I183" s="15">
        <f>IF(ISNUMBER(Refsz_Verbräuche[[#This Row],[2019]]), Refsz_Verbräuche[[#This Row],[2019]]*Emissionsfaktoren[[#This Row],[2019]]/1000, 0)</f>
        <v>0</v>
      </c>
      <c r="J183" s="15">
        <f>IF(ISNUMBER(Refsz_Verbräuche[[#This Row],[2020]]), Refsz_Verbräuche[[#This Row],[2020]]*Emissionsfaktoren[[#This Row],[2020]]/1000, 0)</f>
        <v>0</v>
      </c>
      <c r="K183" s="15">
        <f>IF(ISNUMBER(Refsz_Verbräuche[[#This Row],[2021]]), Refsz_Verbräuche[[#This Row],[2021]]*Emissionsfaktoren[[#This Row],[2021]]/1000, 0)</f>
        <v>0</v>
      </c>
      <c r="L183" s="15">
        <f>IF(ISNUMBER(Refsz_Verbräuche[[#This Row],[2022]]), Refsz_Verbräuche[[#This Row],[2022]]*Emissionsfaktoren[[#This Row],[2022]]/1000, 0)</f>
        <v>0</v>
      </c>
      <c r="M183" s="15">
        <f>IF(ISNUMBER(Refsz_Verbräuche[[#This Row],[2023]]), Refsz_Verbräuche[[#This Row],[2023]]*Emissionsfaktoren[[#This Row],[2023]]/1000, 0)</f>
        <v>0</v>
      </c>
      <c r="N183" s="15">
        <f>IF(ISNUMBER(Refsz_Verbräuche[[#This Row],[2024]]), Refsz_Verbräuche[[#This Row],[2024]]*Emissionsfaktoren[[#This Row],[2024]]/1000, 0)</f>
        <v>0</v>
      </c>
      <c r="O183" s="15">
        <f>IF(ISNUMBER(Refsz_Verbräuche[[#This Row],[2025]]), Refsz_Verbräuche[[#This Row],[2025]]*Emissionsfaktoren[[#This Row],[2025]]/1000, 0)</f>
        <v>0</v>
      </c>
      <c r="P183" s="15">
        <f>IF(ISNUMBER(Refsz_Verbräuche[[#This Row],[2026]]), Refsz_Verbräuche[[#This Row],[2026]]*Emissionsfaktoren[[#This Row],[2026]]/1000, 0)</f>
        <v>0</v>
      </c>
      <c r="Q183" s="15">
        <f>IF(ISNUMBER(Refsz_Verbräuche[[#This Row],[2027]]), Refsz_Verbräuche[[#This Row],[2027]]*Emissionsfaktoren[[#This Row],[2027]]/1000, 0)</f>
        <v>0</v>
      </c>
      <c r="R183" s="15">
        <f>IF(ISNUMBER(Refsz_Verbräuche[[#This Row],[2028]]), Refsz_Verbräuche[[#This Row],[2028]]*Emissionsfaktoren[[#This Row],[2028]]/1000, 0)</f>
        <v>0</v>
      </c>
      <c r="S183" s="15">
        <f>IF(ISNUMBER(Refsz_Verbräuche[[#This Row],[2029]]), Refsz_Verbräuche[[#This Row],[2029]]*Emissionsfaktoren[[#This Row],[2029]]/1000, 0)</f>
        <v>0</v>
      </c>
      <c r="T183" s="15">
        <f>IF(ISNUMBER(Refsz_Verbräuche[[#This Row],[2030]]), Refsz_Verbräuche[[#This Row],[2030]]*Emissionsfaktoren[[#This Row],[2030]]/1000, 0)</f>
        <v>0</v>
      </c>
      <c r="U183" s="15">
        <f>IF(ISNUMBER(Refsz_Verbräuche[[#This Row],[2035]]), Refsz_Verbräuche[[#This Row],[2035]]*Emissionsfaktoren[[#This Row],[2035]]/1000, 0)</f>
        <v>0</v>
      </c>
      <c r="V183" s="15">
        <f>IF(ISNUMBER(Refsz_Verbräuche[[#This Row],[2040]]), Refsz_Verbräuche[[#This Row],[2040]]*Emissionsfaktoren[[#This Row],[2040]]/1000, 0)</f>
        <v>0</v>
      </c>
      <c r="W183" s="15">
        <f>IF(ISNUMBER(Refsz_Verbräuche[[#This Row],[2045]]), Refsz_Verbräuche[[#This Row],[2045]]*Emissionsfaktoren[[#This Row],[2045]]/1000, 0)</f>
        <v>0</v>
      </c>
      <c r="X183" s="15">
        <f>IF(ISNUMBER(Refsz_Verbräuche[[#This Row],[2050]]), Refsz_Verbräuche[[#This Row],[2050]]*Emissionsfaktoren[[#This Row],[2050]]/1000, 0)</f>
        <v>0</v>
      </c>
    </row>
    <row r="184" spans="2:24" ht="16.5" hidden="1" x14ac:dyDescent="0.45">
      <c r="B184" s="15">
        <v>124</v>
      </c>
      <c r="C184" s="20" t="str">
        <f>Refsz_Verbräuche[[#This Row],[Datenpunkt]]</f>
        <v>Steinwolle</v>
      </c>
      <c r="D184" t="s">
        <v>208</v>
      </c>
      <c r="E184" s="15">
        <f>IF(ISNUMBER(Refsz_Verbräuche[[#This Row],[2015]]), Refsz_Verbräuche[[#This Row],[2015]]*Emissionsfaktoren[[#This Row],[2015]]/1000, 0)</f>
        <v>0</v>
      </c>
      <c r="F184" s="15">
        <f>IF(ISNUMBER(Refsz_Verbräuche[[#This Row],[2016]]), Refsz_Verbräuche[[#This Row],[2016]]*Emissionsfaktoren[[#This Row],[2016]]/1000, 0)</f>
        <v>0</v>
      </c>
      <c r="G184" s="15">
        <f>IF(ISNUMBER(Refsz_Verbräuche[[#This Row],[2017]]), Refsz_Verbräuche[[#This Row],[2017]]*Emissionsfaktoren[[#This Row],[2017]]/1000, 0)</f>
        <v>0</v>
      </c>
      <c r="H184" s="15">
        <f>IF(ISNUMBER(Refsz_Verbräuche[[#This Row],[2018]]), Refsz_Verbräuche[[#This Row],[2018]]*Emissionsfaktoren[[#This Row],[2018]]/1000, 0)</f>
        <v>0</v>
      </c>
      <c r="I184" s="15">
        <f>IF(ISNUMBER(Refsz_Verbräuche[[#This Row],[2019]]), Refsz_Verbräuche[[#This Row],[2019]]*Emissionsfaktoren[[#This Row],[2019]]/1000, 0)</f>
        <v>0</v>
      </c>
      <c r="J184" s="15">
        <f>IF(ISNUMBER(Refsz_Verbräuche[[#This Row],[2020]]), Refsz_Verbräuche[[#This Row],[2020]]*Emissionsfaktoren[[#This Row],[2020]]/1000, 0)</f>
        <v>0</v>
      </c>
      <c r="K184" s="15">
        <f>IF(ISNUMBER(Refsz_Verbräuche[[#This Row],[2021]]), Refsz_Verbräuche[[#This Row],[2021]]*Emissionsfaktoren[[#This Row],[2021]]/1000, 0)</f>
        <v>0</v>
      </c>
      <c r="L184" s="15">
        <f>IF(ISNUMBER(Refsz_Verbräuche[[#This Row],[2022]]), Refsz_Verbräuche[[#This Row],[2022]]*Emissionsfaktoren[[#This Row],[2022]]/1000, 0)</f>
        <v>0</v>
      </c>
      <c r="M184" s="15">
        <f>IF(ISNUMBER(Refsz_Verbräuche[[#This Row],[2023]]), Refsz_Verbräuche[[#This Row],[2023]]*Emissionsfaktoren[[#This Row],[2023]]/1000, 0)</f>
        <v>0</v>
      </c>
      <c r="N184" s="15">
        <f>IF(ISNUMBER(Refsz_Verbräuche[[#This Row],[2024]]), Refsz_Verbräuche[[#This Row],[2024]]*Emissionsfaktoren[[#This Row],[2024]]/1000, 0)</f>
        <v>0</v>
      </c>
      <c r="O184" s="15">
        <f>IF(ISNUMBER(Refsz_Verbräuche[[#This Row],[2025]]), Refsz_Verbräuche[[#This Row],[2025]]*Emissionsfaktoren[[#This Row],[2025]]/1000, 0)</f>
        <v>0</v>
      </c>
      <c r="P184" s="15">
        <f>IF(ISNUMBER(Refsz_Verbräuche[[#This Row],[2026]]), Refsz_Verbräuche[[#This Row],[2026]]*Emissionsfaktoren[[#This Row],[2026]]/1000, 0)</f>
        <v>0</v>
      </c>
      <c r="Q184" s="15">
        <f>IF(ISNUMBER(Refsz_Verbräuche[[#This Row],[2027]]), Refsz_Verbräuche[[#This Row],[2027]]*Emissionsfaktoren[[#This Row],[2027]]/1000, 0)</f>
        <v>0</v>
      </c>
      <c r="R184" s="15">
        <f>IF(ISNUMBER(Refsz_Verbräuche[[#This Row],[2028]]), Refsz_Verbräuche[[#This Row],[2028]]*Emissionsfaktoren[[#This Row],[2028]]/1000, 0)</f>
        <v>0</v>
      </c>
      <c r="S184" s="15">
        <f>IF(ISNUMBER(Refsz_Verbräuche[[#This Row],[2029]]), Refsz_Verbräuche[[#This Row],[2029]]*Emissionsfaktoren[[#This Row],[2029]]/1000, 0)</f>
        <v>0</v>
      </c>
      <c r="T184" s="15">
        <f>IF(ISNUMBER(Refsz_Verbräuche[[#This Row],[2030]]), Refsz_Verbräuche[[#This Row],[2030]]*Emissionsfaktoren[[#This Row],[2030]]/1000, 0)</f>
        <v>0</v>
      </c>
      <c r="U184" s="15">
        <f>IF(ISNUMBER(Refsz_Verbräuche[[#This Row],[2035]]), Refsz_Verbräuche[[#This Row],[2035]]*Emissionsfaktoren[[#This Row],[2035]]/1000, 0)</f>
        <v>0</v>
      </c>
      <c r="V184" s="15">
        <f>IF(ISNUMBER(Refsz_Verbräuche[[#This Row],[2040]]), Refsz_Verbräuche[[#This Row],[2040]]*Emissionsfaktoren[[#This Row],[2040]]/1000, 0)</f>
        <v>0</v>
      </c>
      <c r="W184" s="15">
        <f>IF(ISNUMBER(Refsz_Verbräuche[[#This Row],[2045]]), Refsz_Verbräuche[[#This Row],[2045]]*Emissionsfaktoren[[#This Row],[2045]]/1000, 0)</f>
        <v>0</v>
      </c>
      <c r="X184" s="15">
        <f>IF(ISNUMBER(Refsz_Verbräuche[[#This Row],[2050]]), Refsz_Verbräuche[[#This Row],[2050]]*Emissionsfaktoren[[#This Row],[2050]]/1000, 0)</f>
        <v>0</v>
      </c>
    </row>
    <row r="185" spans="2:24" ht="16.5" hidden="1" x14ac:dyDescent="0.45">
      <c r="B185" s="15">
        <v>125</v>
      </c>
      <c r="C185" s="20" t="str">
        <f>Refsz_Verbräuche[[#This Row],[Datenpunkt]]</f>
        <v>Tonziegel (fürs Dach)</v>
      </c>
      <c r="D185" t="s">
        <v>208</v>
      </c>
      <c r="E185" s="15">
        <f>IF(ISNUMBER(Refsz_Verbräuche[[#This Row],[2015]]), Refsz_Verbräuche[[#This Row],[2015]]*Emissionsfaktoren[[#This Row],[2015]]/1000, 0)</f>
        <v>0</v>
      </c>
      <c r="F185" s="15">
        <f>IF(ISNUMBER(Refsz_Verbräuche[[#This Row],[2016]]), Refsz_Verbräuche[[#This Row],[2016]]*Emissionsfaktoren[[#This Row],[2016]]/1000, 0)</f>
        <v>0</v>
      </c>
      <c r="G185" s="15">
        <f>IF(ISNUMBER(Refsz_Verbräuche[[#This Row],[2017]]), Refsz_Verbräuche[[#This Row],[2017]]*Emissionsfaktoren[[#This Row],[2017]]/1000, 0)</f>
        <v>0</v>
      </c>
      <c r="H185" s="15">
        <f>IF(ISNUMBER(Refsz_Verbräuche[[#This Row],[2018]]), Refsz_Verbräuche[[#This Row],[2018]]*Emissionsfaktoren[[#This Row],[2018]]/1000, 0)</f>
        <v>0</v>
      </c>
      <c r="I185" s="15">
        <f>IF(ISNUMBER(Refsz_Verbräuche[[#This Row],[2019]]), Refsz_Verbräuche[[#This Row],[2019]]*Emissionsfaktoren[[#This Row],[2019]]/1000, 0)</f>
        <v>0</v>
      </c>
      <c r="J185" s="15">
        <f>IF(ISNUMBER(Refsz_Verbräuche[[#This Row],[2020]]), Refsz_Verbräuche[[#This Row],[2020]]*Emissionsfaktoren[[#This Row],[2020]]/1000, 0)</f>
        <v>0</v>
      </c>
      <c r="K185" s="15">
        <f>IF(ISNUMBER(Refsz_Verbräuche[[#This Row],[2021]]), Refsz_Verbräuche[[#This Row],[2021]]*Emissionsfaktoren[[#This Row],[2021]]/1000, 0)</f>
        <v>0</v>
      </c>
      <c r="L185" s="15">
        <f>IF(ISNUMBER(Refsz_Verbräuche[[#This Row],[2022]]), Refsz_Verbräuche[[#This Row],[2022]]*Emissionsfaktoren[[#This Row],[2022]]/1000, 0)</f>
        <v>0</v>
      </c>
      <c r="M185" s="15">
        <f>IF(ISNUMBER(Refsz_Verbräuche[[#This Row],[2023]]), Refsz_Verbräuche[[#This Row],[2023]]*Emissionsfaktoren[[#This Row],[2023]]/1000, 0)</f>
        <v>0</v>
      </c>
      <c r="N185" s="15">
        <f>IF(ISNUMBER(Refsz_Verbräuche[[#This Row],[2024]]), Refsz_Verbräuche[[#This Row],[2024]]*Emissionsfaktoren[[#This Row],[2024]]/1000, 0)</f>
        <v>0</v>
      </c>
      <c r="O185" s="15">
        <f>IF(ISNUMBER(Refsz_Verbräuche[[#This Row],[2025]]), Refsz_Verbräuche[[#This Row],[2025]]*Emissionsfaktoren[[#This Row],[2025]]/1000, 0)</f>
        <v>0</v>
      </c>
      <c r="P185" s="15">
        <f>IF(ISNUMBER(Refsz_Verbräuche[[#This Row],[2026]]), Refsz_Verbräuche[[#This Row],[2026]]*Emissionsfaktoren[[#This Row],[2026]]/1000, 0)</f>
        <v>0</v>
      </c>
      <c r="Q185" s="15">
        <f>IF(ISNUMBER(Refsz_Verbräuche[[#This Row],[2027]]), Refsz_Verbräuche[[#This Row],[2027]]*Emissionsfaktoren[[#This Row],[2027]]/1000, 0)</f>
        <v>0</v>
      </c>
      <c r="R185" s="15">
        <f>IF(ISNUMBER(Refsz_Verbräuche[[#This Row],[2028]]), Refsz_Verbräuche[[#This Row],[2028]]*Emissionsfaktoren[[#This Row],[2028]]/1000, 0)</f>
        <v>0</v>
      </c>
      <c r="S185" s="15">
        <f>IF(ISNUMBER(Refsz_Verbräuche[[#This Row],[2029]]), Refsz_Verbräuche[[#This Row],[2029]]*Emissionsfaktoren[[#This Row],[2029]]/1000, 0)</f>
        <v>0</v>
      </c>
      <c r="T185" s="15">
        <f>IF(ISNUMBER(Refsz_Verbräuche[[#This Row],[2030]]), Refsz_Verbräuche[[#This Row],[2030]]*Emissionsfaktoren[[#This Row],[2030]]/1000, 0)</f>
        <v>0</v>
      </c>
      <c r="U185" s="15">
        <f>IF(ISNUMBER(Refsz_Verbräuche[[#This Row],[2035]]), Refsz_Verbräuche[[#This Row],[2035]]*Emissionsfaktoren[[#This Row],[2035]]/1000, 0)</f>
        <v>0</v>
      </c>
      <c r="V185" s="15">
        <f>IF(ISNUMBER(Refsz_Verbräuche[[#This Row],[2040]]), Refsz_Verbräuche[[#This Row],[2040]]*Emissionsfaktoren[[#This Row],[2040]]/1000, 0)</f>
        <v>0</v>
      </c>
      <c r="W185" s="15">
        <f>IF(ISNUMBER(Refsz_Verbräuche[[#This Row],[2045]]), Refsz_Verbräuche[[#This Row],[2045]]*Emissionsfaktoren[[#This Row],[2045]]/1000, 0)</f>
        <v>0</v>
      </c>
      <c r="X185" s="15">
        <f>IF(ISNUMBER(Refsz_Verbräuche[[#This Row],[2050]]), Refsz_Verbräuche[[#This Row],[2050]]*Emissionsfaktoren[[#This Row],[2050]]/1000, 0)</f>
        <v>0</v>
      </c>
    </row>
    <row r="186" spans="2:24" ht="16.5" hidden="1" x14ac:dyDescent="0.45">
      <c r="B186" s="15">
        <v>126</v>
      </c>
      <c r="C186" s="20" t="str">
        <f>Refsz_Verbräuche[[#This Row],[Datenpunkt]]</f>
        <v>Zement (Portland)</v>
      </c>
      <c r="D186" t="s">
        <v>208</v>
      </c>
      <c r="E186" s="15">
        <f>IF(ISNUMBER(Refsz_Verbräuche[[#This Row],[2015]]), Refsz_Verbräuche[[#This Row],[2015]]*Emissionsfaktoren[[#This Row],[2015]]/1000, 0)</f>
        <v>0</v>
      </c>
      <c r="F186" s="15">
        <f>IF(ISNUMBER(Refsz_Verbräuche[[#This Row],[2016]]), Refsz_Verbräuche[[#This Row],[2016]]*Emissionsfaktoren[[#This Row],[2016]]/1000, 0)</f>
        <v>0</v>
      </c>
      <c r="G186" s="15">
        <f>IF(ISNUMBER(Refsz_Verbräuche[[#This Row],[2017]]), Refsz_Verbräuche[[#This Row],[2017]]*Emissionsfaktoren[[#This Row],[2017]]/1000, 0)</f>
        <v>0</v>
      </c>
      <c r="H186" s="15">
        <f>IF(ISNUMBER(Refsz_Verbräuche[[#This Row],[2018]]), Refsz_Verbräuche[[#This Row],[2018]]*Emissionsfaktoren[[#This Row],[2018]]/1000, 0)</f>
        <v>0</v>
      </c>
      <c r="I186" s="15">
        <f>IF(ISNUMBER(Refsz_Verbräuche[[#This Row],[2019]]), Refsz_Verbräuche[[#This Row],[2019]]*Emissionsfaktoren[[#This Row],[2019]]/1000, 0)</f>
        <v>0</v>
      </c>
      <c r="J186" s="15">
        <f>IF(ISNUMBER(Refsz_Verbräuche[[#This Row],[2020]]), Refsz_Verbräuche[[#This Row],[2020]]*Emissionsfaktoren[[#This Row],[2020]]/1000, 0)</f>
        <v>0</v>
      </c>
      <c r="K186" s="15">
        <f>IF(ISNUMBER(Refsz_Verbräuche[[#This Row],[2021]]), Refsz_Verbräuche[[#This Row],[2021]]*Emissionsfaktoren[[#This Row],[2021]]/1000, 0)</f>
        <v>0</v>
      </c>
      <c r="L186" s="15">
        <f>IF(ISNUMBER(Refsz_Verbräuche[[#This Row],[2022]]), Refsz_Verbräuche[[#This Row],[2022]]*Emissionsfaktoren[[#This Row],[2022]]/1000, 0)</f>
        <v>0</v>
      </c>
      <c r="M186" s="15">
        <f>IF(ISNUMBER(Refsz_Verbräuche[[#This Row],[2023]]), Refsz_Verbräuche[[#This Row],[2023]]*Emissionsfaktoren[[#This Row],[2023]]/1000, 0)</f>
        <v>0</v>
      </c>
      <c r="N186" s="15">
        <f>IF(ISNUMBER(Refsz_Verbräuche[[#This Row],[2024]]), Refsz_Verbräuche[[#This Row],[2024]]*Emissionsfaktoren[[#This Row],[2024]]/1000, 0)</f>
        <v>0</v>
      </c>
      <c r="O186" s="15">
        <f>IF(ISNUMBER(Refsz_Verbräuche[[#This Row],[2025]]), Refsz_Verbräuche[[#This Row],[2025]]*Emissionsfaktoren[[#This Row],[2025]]/1000, 0)</f>
        <v>0</v>
      </c>
      <c r="P186" s="15">
        <f>IF(ISNUMBER(Refsz_Verbräuche[[#This Row],[2026]]), Refsz_Verbräuche[[#This Row],[2026]]*Emissionsfaktoren[[#This Row],[2026]]/1000, 0)</f>
        <v>0</v>
      </c>
      <c r="Q186" s="15">
        <f>IF(ISNUMBER(Refsz_Verbräuche[[#This Row],[2027]]), Refsz_Verbräuche[[#This Row],[2027]]*Emissionsfaktoren[[#This Row],[2027]]/1000, 0)</f>
        <v>0</v>
      </c>
      <c r="R186" s="15">
        <f>IF(ISNUMBER(Refsz_Verbräuche[[#This Row],[2028]]), Refsz_Verbräuche[[#This Row],[2028]]*Emissionsfaktoren[[#This Row],[2028]]/1000, 0)</f>
        <v>0</v>
      </c>
      <c r="S186" s="15">
        <f>IF(ISNUMBER(Refsz_Verbräuche[[#This Row],[2029]]), Refsz_Verbräuche[[#This Row],[2029]]*Emissionsfaktoren[[#This Row],[2029]]/1000, 0)</f>
        <v>0</v>
      </c>
      <c r="T186" s="15">
        <f>IF(ISNUMBER(Refsz_Verbräuche[[#This Row],[2030]]), Refsz_Verbräuche[[#This Row],[2030]]*Emissionsfaktoren[[#This Row],[2030]]/1000, 0)</f>
        <v>0</v>
      </c>
      <c r="U186" s="15">
        <f>IF(ISNUMBER(Refsz_Verbräuche[[#This Row],[2035]]), Refsz_Verbräuche[[#This Row],[2035]]*Emissionsfaktoren[[#This Row],[2035]]/1000, 0)</f>
        <v>0</v>
      </c>
      <c r="V186" s="15">
        <f>IF(ISNUMBER(Refsz_Verbräuche[[#This Row],[2040]]), Refsz_Verbräuche[[#This Row],[2040]]*Emissionsfaktoren[[#This Row],[2040]]/1000, 0)</f>
        <v>0</v>
      </c>
      <c r="W186" s="15">
        <f>IF(ISNUMBER(Refsz_Verbräuche[[#This Row],[2045]]), Refsz_Verbräuche[[#This Row],[2045]]*Emissionsfaktoren[[#This Row],[2045]]/1000, 0)</f>
        <v>0</v>
      </c>
      <c r="X186" s="15">
        <f>IF(ISNUMBER(Refsz_Verbräuche[[#This Row],[2050]]), Refsz_Verbräuche[[#This Row],[2050]]*Emissionsfaktoren[[#This Row],[2050]]/1000, 0)</f>
        <v>0</v>
      </c>
    </row>
    <row r="187" spans="2:24" ht="16.5" hidden="1" x14ac:dyDescent="0.45">
      <c r="B187" s="15">
        <v>127</v>
      </c>
      <c r="C187" s="20" t="str">
        <f>Refsz_Verbräuche[[#This Row],[Datenpunkt]]</f>
        <v>Kies</v>
      </c>
      <c r="D187" t="s">
        <v>208</v>
      </c>
      <c r="E187" s="15">
        <f>IF(ISNUMBER(Refsz_Verbräuche[[#This Row],[2015]]), Refsz_Verbräuche[[#This Row],[2015]]*Emissionsfaktoren[[#This Row],[2015]]/1000, 0)</f>
        <v>0</v>
      </c>
      <c r="F187" s="15">
        <f>IF(ISNUMBER(Refsz_Verbräuche[[#This Row],[2016]]), Refsz_Verbräuche[[#This Row],[2016]]*Emissionsfaktoren[[#This Row],[2016]]/1000, 0)</f>
        <v>0</v>
      </c>
      <c r="G187" s="15">
        <f>IF(ISNUMBER(Refsz_Verbräuche[[#This Row],[2017]]), Refsz_Verbräuche[[#This Row],[2017]]*Emissionsfaktoren[[#This Row],[2017]]/1000, 0)</f>
        <v>0</v>
      </c>
      <c r="H187" s="15">
        <f>IF(ISNUMBER(Refsz_Verbräuche[[#This Row],[2018]]), Refsz_Verbräuche[[#This Row],[2018]]*Emissionsfaktoren[[#This Row],[2018]]/1000, 0)</f>
        <v>0</v>
      </c>
      <c r="I187" s="15">
        <f>IF(ISNUMBER(Refsz_Verbräuche[[#This Row],[2019]]), Refsz_Verbräuche[[#This Row],[2019]]*Emissionsfaktoren[[#This Row],[2019]]/1000, 0)</f>
        <v>0</v>
      </c>
      <c r="J187" s="15">
        <f>IF(ISNUMBER(Refsz_Verbräuche[[#This Row],[2020]]), Refsz_Verbräuche[[#This Row],[2020]]*Emissionsfaktoren[[#This Row],[2020]]/1000, 0)</f>
        <v>0</v>
      </c>
      <c r="K187" s="15">
        <f>IF(ISNUMBER(Refsz_Verbräuche[[#This Row],[2021]]), Refsz_Verbräuche[[#This Row],[2021]]*Emissionsfaktoren[[#This Row],[2021]]/1000, 0)</f>
        <v>0</v>
      </c>
      <c r="L187" s="15">
        <f>IF(ISNUMBER(Refsz_Verbräuche[[#This Row],[2022]]), Refsz_Verbräuche[[#This Row],[2022]]*Emissionsfaktoren[[#This Row],[2022]]/1000, 0)</f>
        <v>0</v>
      </c>
      <c r="M187" s="15">
        <f>IF(ISNUMBER(Refsz_Verbräuche[[#This Row],[2023]]), Refsz_Verbräuche[[#This Row],[2023]]*Emissionsfaktoren[[#This Row],[2023]]/1000, 0)</f>
        <v>0</v>
      </c>
      <c r="N187" s="15">
        <f>IF(ISNUMBER(Refsz_Verbräuche[[#This Row],[2024]]), Refsz_Verbräuche[[#This Row],[2024]]*Emissionsfaktoren[[#This Row],[2024]]/1000, 0)</f>
        <v>0</v>
      </c>
      <c r="O187" s="15">
        <f>IF(ISNUMBER(Refsz_Verbräuche[[#This Row],[2025]]), Refsz_Verbräuche[[#This Row],[2025]]*Emissionsfaktoren[[#This Row],[2025]]/1000, 0)</f>
        <v>0</v>
      </c>
      <c r="P187" s="15">
        <f>IF(ISNUMBER(Refsz_Verbräuche[[#This Row],[2026]]), Refsz_Verbräuche[[#This Row],[2026]]*Emissionsfaktoren[[#This Row],[2026]]/1000, 0)</f>
        <v>0</v>
      </c>
      <c r="Q187" s="15">
        <f>IF(ISNUMBER(Refsz_Verbräuche[[#This Row],[2027]]), Refsz_Verbräuche[[#This Row],[2027]]*Emissionsfaktoren[[#This Row],[2027]]/1000, 0)</f>
        <v>0</v>
      </c>
      <c r="R187" s="15">
        <f>IF(ISNUMBER(Refsz_Verbräuche[[#This Row],[2028]]), Refsz_Verbräuche[[#This Row],[2028]]*Emissionsfaktoren[[#This Row],[2028]]/1000, 0)</f>
        <v>0</v>
      </c>
      <c r="S187" s="15">
        <f>IF(ISNUMBER(Refsz_Verbräuche[[#This Row],[2029]]), Refsz_Verbräuche[[#This Row],[2029]]*Emissionsfaktoren[[#This Row],[2029]]/1000, 0)</f>
        <v>0</v>
      </c>
      <c r="T187" s="15">
        <f>IF(ISNUMBER(Refsz_Verbräuche[[#This Row],[2030]]), Refsz_Verbräuche[[#This Row],[2030]]*Emissionsfaktoren[[#This Row],[2030]]/1000, 0)</f>
        <v>0</v>
      </c>
      <c r="U187" s="15">
        <f>IF(ISNUMBER(Refsz_Verbräuche[[#This Row],[2035]]), Refsz_Verbräuche[[#This Row],[2035]]*Emissionsfaktoren[[#This Row],[2035]]/1000, 0)</f>
        <v>0</v>
      </c>
      <c r="V187" s="15">
        <f>IF(ISNUMBER(Refsz_Verbräuche[[#This Row],[2040]]), Refsz_Verbräuche[[#This Row],[2040]]*Emissionsfaktoren[[#This Row],[2040]]/1000, 0)</f>
        <v>0</v>
      </c>
      <c r="W187" s="15">
        <f>IF(ISNUMBER(Refsz_Verbräuche[[#This Row],[2045]]), Refsz_Verbräuche[[#This Row],[2045]]*Emissionsfaktoren[[#This Row],[2045]]/1000, 0)</f>
        <v>0</v>
      </c>
      <c r="X187" s="15">
        <f>IF(ISNUMBER(Refsz_Verbräuche[[#This Row],[2050]]), Refsz_Verbräuche[[#This Row],[2050]]*Emissionsfaktoren[[#This Row],[2050]]/1000, 0)</f>
        <v>0</v>
      </c>
    </row>
    <row r="188" spans="2:24" ht="16.5" hidden="1" x14ac:dyDescent="0.45">
      <c r="B188" s="15">
        <v>128</v>
      </c>
      <c r="C188" s="20" t="str">
        <f>Refsz_Verbräuche[[#This Row],[Datenpunkt]]</f>
        <v>Sand</v>
      </c>
      <c r="D188" t="s">
        <v>208</v>
      </c>
      <c r="E188" s="15">
        <f>IF(ISNUMBER(Refsz_Verbräuche[[#This Row],[2015]]), Refsz_Verbräuche[[#This Row],[2015]]*Emissionsfaktoren[[#This Row],[2015]]/1000, 0)</f>
        <v>0</v>
      </c>
      <c r="F188" s="15">
        <f>IF(ISNUMBER(Refsz_Verbräuche[[#This Row],[2016]]), Refsz_Verbräuche[[#This Row],[2016]]*Emissionsfaktoren[[#This Row],[2016]]/1000, 0)</f>
        <v>0</v>
      </c>
      <c r="G188" s="15">
        <f>IF(ISNUMBER(Refsz_Verbräuche[[#This Row],[2017]]), Refsz_Verbräuche[[#This Row],[2017]]*Emissionsfaktoren[[#This Row],[2017]]/1000, 0)</f>
        <v>0</v>
      </c>
      <c r="H188" s="15">
        <f>IF(ISNUMBER(Refsz_Verbräuche[[#This Row],[2018]]), Refsz_Verbräuche[[#This Row],[2018]]*Emissionsfaktoren[[#This Row],[2018]]/1000, 0)</f>
        <v>0</v>
      </c>
      <c r="I188" s="15">
        <f>IF(ISNUMBER(Refsz_Verbräuche[[#This Row],[2019]]), Refsz_Verbräuche[[#This Row],[2019]]*Emissionsfaktoren[[#This Row],[2019]]/1000, 0)</f>
        <v>0</v>
      </c>
      <c r="J188" s="15">
        <f>IF(ISNUMBER(Refsz_Verbräuche[[#This Row],[2020]]), Refsz_Verbräuche[[#This Row],[2020]]*Emissionsfaktoren[[#This Row],[2020]]/1000, 0)</f>
        <v>0</v>
      </c>
      <c r="K188" s="15">
        <f>IF(ISNUMBER(Refsz_Verbräuche[[#This Row],[2021]]), Refsz_Verbräuche[[#This Row],[2021]]*Emissionsfaktoren[[#This Row],[2021]]/1000, 0)</f>
        <v>0</v>
      </c>
      <c r="L188" s="15">
        <f>IF(ISNUMBER(Refsz_Verbräuche[[#This Row],[2022]]), Refsz_Verbräuche[[#This Row],[2022]]*Emissionsfaktoren[[#This Row],[2022]]/1000, 0)</f>
        <v>0</v>
      </c>
      <c r="M188" s="15">
        <f>IF(ISNUMBER(Refsz_Verbräuche[[#This Row],[2023]]), Refsz_Verbräuche[[#This Row],[2023]]*Emissionsfaktoren[[#This Row],[2023]]/1000, 0)</f>
        <v>0</v>
      </c>
      <c r="N188" s="15">
        <f>IF(ISNUMBER(Refsz_Verbräuche[[#This Row],[2024]]), Refsz_Verbräuche[[#This Row],[2024]]*Emissionsfaktoren[[#This Row],[2024]]/1000, 0)</f>
        <v>0</v>
      </c>
      <c r="O188" s="15">
        <f>IF(ISNUMBER(Refsz_Verbräuche[[#This Row],[2025]]), Refsz_Verbräuche[[#This Row],[2025]]*Emissionsfaktoren[[#This Row],[2025]]/1000, 0)</f>
        <v>0</v>
      </c>
      <c r="P188" s="15">
        <f>IF(ISNUMBER(Refsz_Verbräuche[[#This Row],[2026]]), Refsz_Verbräuche[[#This Row],[2026]]*Emissionsfaktoren[[#This Row],[2026]]/1000, 0)</f>
        <v>0</v>
      </c>
      <c r="Q188" s="15">
        <f>IF(ISNUMBER(Refsz_Verbräuche[[#This Row],[2027]]), Refsz_Verbräuche[[#This Row],[2027]]*Emissionsfaktoren[[#This Row],[2027]]/1000, 0)</f>
        <v>0</v>
      </c>
      <c r="R188" s="15">
        <f>IF(ISNUMBER(Refsz_Verbräuche[[#This Row],[2028]]), Refsz_Verbräuche[[#This Row],[2028]]*Emissionsfaktoren[[#This Row],[2028]]/1000, 0)</f>
        <v>0</v>
      </c>
      <c r="S188" s="15">
        <f>IF(ISNUMBER(Refsz_Verbräuche[[#This Row],[2029]]), Refsz_Verbräuche[[#This Row],[2029]]*Emissionsfaktoren[[#This Row],[2029]]/1000, 0)</f>
        <v>0</v>
      </c>
      <c r="T188" s="15">
        <f>IF(ISNUMBER(Refsz_Verbräuche[[#This Row],[2030]]), Refsz_Verbräuche[[#This Row],[2030]]*Emissionsfaktoren[[#This Row],[2030]]/1000, 0)</f>
        <v>0</v>
      </c>
      <c r="U188" s="15">
        <f>IF(ISNUMBER(Refsz_Verbräuche[[#This Row],[2035]]), Refsz_Verbräuche[[#This Row],[2035]]*Emissionsfaktoren[[#This Row],[2035]]/1000, 0)</f>
        <v>0</v>
      </c>
      <c r="V188" s="15">
        <f>IF(ISNUMBER(Refsz_Verbräuche[[#This Row],[2040]]), Refsz_Verbräuche[[#This Row],[2040]]*Emissionsfaktoren[[#This Row],[2040]]/1000, 0)</f>
        <v>0</v>
      </c>
      <c r="W188" s="15">
        <f>IF(ISNUMBER(Refsz_Verbräuche[[#This Row],[2045]]), Refsz_Verbräuche[[#This Row],[2045]]*Emissionsfaktoren[[#This Row],[2045]]/1000, 0)</f>
        <v>0</v>
      </c>
      <c r="X188" s="15">
        <f>IF(ISNUMBER(Refsz_Verbräuche[[#This Row],[2050]]), Refsz_Verbräuche[[#This Row],[2050]]*Emissionsfaktoren[[#This Row],[2050]]/1000, 0)</f>
        <v>0</v>
      </c>
    </row>
    <row r="189" spans="2:24" ht="16.5" hidden="1" x14ac:dyDescent="0.45">
      <c r="B189" s="15">
        <v>129</v>
      </c>
      <c r="C189" s="20" t="str">
        <f>Refsz_Verbräuche[[#This Row],[Datenpunkt]]</f>
        <v>Kupferdraht</v>
      </c>
      <c r="D189" t="s">
        <v>208</v>
      </c>
      <c r="E189" s="15">
        <f>IF(ISNUMBER(Refsz_Verbräuche[[#This Row],[2015]]), Refsz_Verbräuche[[#This Row],[2015]]*Emissionsfaktoren[[#This Row],[2015]]/1000, 0)</f>
        <v>0</v>
      </c>
      <c r="F189" s="15">
        <f>IF(ISNUMBER(Refsz_Verbräuche[[#This Row],[2016]]), Refsz_Verbräuche[[#This Row],[2016]]*Emissionsfaktoren[[#This Row],[2016]]/1000, 0)</f>
        <v>0</v>
      </c>
      <c r="G189" s="15">
        <f>IF(ISNUMBER(Refsz_Verbräuche[[#This Row],[2017]]), Refsz_Verbräuche[[#This Row],[2017]]*Emissionsfaktoren[[#This Row],[2017]]/1000, 0)</f>
        <v>0</v>
      </c>
      <c r="H189" s="15">
        <f>IF(ISNUMBER(Refsz_Verbräuche[[#This Row],[2018]]), Refsz_Verbräuche[[#This Row],[2018]]*Emissionsfaktoren[[#This Row],[2018]]/1000, 0)</f>
        <v>0</v>
      </c>
      <c r="I189" s="15">
        <f>IF(ISNUMBER(Refsz_Verbräuche[[#This Row],[2019]]), Refsz_Verbräuche[[#This Row],[2019]]*Emissionsfaktoren[[#This Row],[2019]]/1000, 0)</f>
        <v>0</v>
      </c>
      <c r="J189" s="15">
        <f>IF(ISNUMBER(Refsz_Verbräuche[[#This Row],[2020]]), Refsz_Verbräuche[[#This Row],[2020]]*Emissionsfaktoren[[#This Row],[2020]]/1000, 0)</f>
        <v>0</v>
      </c>
      <c r="K189" s="15">
        <f>IF(ISNUMBER(Refsz_Verbräuche[[#This Row],[2021]]), Refsz_Verbräuche[[#This Row],[2021]]*Emissionsfaktoren[[#This Row],[2021]]/1000, 0)</f>
        <v>0</v>
      </c>
      <c r="L189" s="15">
        <f>IF(ISNUMBER(Refsz_Verbräuche[[#This Row],[2022]]), Refsz_Verbräuche[[#This Row],[2022]]*Emissionsfaktoren[[#This Row],[2022]]/1000, 0)</f>
        <v>0</v>
      </c>
      <c r="M189" s="15">
        <f>IF(ISNUMBER(Refsz_Verbräuche[[#This Row],[2023]]), Refsz_Verbräuche[[#This Row],[2023]]*Emissionsfaktoren[[#This Row],[2023]]/1000, 0)</f>
        <v>0</v>
      </c>
      <c r="N189" s="15">
        <f>IF(ISNUMBER(Refsz_Verbräuche[[#This Row],[2024]]), Refsz_Verbräuche[[#This Row],[2024]]*Emissionsfaktoren[[#This Row],[2024]]/1000, 0)</f>
        <v>0</v>
      </c>
      <c r="O189" s="15">
        <f>IF(ISNUMBER(Refsz_Verbräuche[[#This Row],[2025]]), Refsz_Verbräuche[[#This Row],[2025]]*Emissionsfaktoren[[#This Row],[2025]]/1000, 0)</f>
        <v>0</v>
      </c>
      <c r="P189" s="15">
        <f>IF(ISNUMBER(Refsz_Verbräuche[[#This Row],[2026]]), Refsz_Verbräuche[[#This Row],[2026]]*Emissionsfaktoren[[#This Row],[2026]]/1000, 0)</f>
        <v>0</v>
      </c>
      <c r="Q189" s="15">
        <f>IF(ISNUMBER(Refsz_Verbräuche[[#This Row],[2027]]), Refsz_Verbräuche[[#This Row],[2027]]*Emissionsfaktoren[[#This Row],[2027]]/1000, 0)</f>
        <v>0</v>
      </c>
      <c r="R189" s="15">
        <f>IF(ISNUMBER(Refsz_Verbräuche[[#This Row],[2028]]), Refsz_Verbräuche[[#This Row],[2028]]*Emissionsfaktoren[[#This Row],[2028]]/1000, 0)</f>
        <v>0</v>
      </c>
      <c r="S189" s="15">
        <f>IF(ISNUMBER(Refsz_Verbräuche[[#This Row],[2029]]), Refsz_Verbräuche[[#This Row],[2029]]*Emissionsfaktoren[[#This Row],[2029]]/1000, 0)</f>
        <v>0</v>
      </c>
      <c r="T189" s="15">
        <f>IF(ISNUMBER(Refsz_Verbräuche[[#This Row],[2030]]), Refsz_Verbräuche[[#This Row],[2030]]*Emissionsfaktoren[[#This Row],[2030]]/1000, 0)</f>
        <v>0</v>
      </c>
      <c r="U189" s="15">
        <f>IF(ISNUMBER(Refsz_Verbräuche[[#This Row],[2035]]), Refsz_Verbräuche[[#This Row],[2035]]*Emissionsfaktoren[[#This Row],[2035]]/1000, 0)</f>
        <v>0</v>
      </c>
      <c r="V189" s="15">
        <f>IF(ISNUMBER(Refsz_Verbräuche[[#This Row],[2040]]), Refsz_Verbräuche[[#This Row],[2040]]*Emissionsfaktoren[[#This Row],[2040]]/1000, 0)</f>
        <v>0</v>
      </c>
      <c r="W189" s="15">
        <f>IF(ISNUMBER(Refsz_Verbräuche[[#This Row],[2045]]), Refsz_Verbräuche[[#This Row],[2045]]*Emissionsfaktoren[[#This Row],[2045]]/1000, 0)</f>
        <v>0</v>
      </c>
      <c r="X189" s="15">
        <f>IF(ISNUMBER(Refsz_Verbräuche[[#This Row],[2050]]), Refsz_Verbräuche[[#This Row],[2050]]*Emissionsfaktoren[[#This Row],[2050]]/1000, 0)</f>
        <v>0</v>
      </c>
    </row>
    <row r="190" spans="2:24" ht="16.5" hidden="1" x14ac:dyDescent="0.45">
      <c r="B190" s="15">
        <v>130</v>
      </c>
      <c r="C190" s="20" t="str">
        <f>Refsz_Verbräuche[[#This Row],[Datenpunkt]]</f>
        <v>Kupferrohr</v>
      </c>
      <c r="D190" t="s">
        <v>208</v>
      </c>
      <c r="E190" s="15">
        <f>IF(ISNUMBER(Refsz_Verbräuche[[#This Row],[2015]]), Refsz_Verbräuche[[#This Row],[2015]]*Emissionsfaktoren[[#This Row],[2015]]/1000, 0)</f>
        <v>0</v>
      </c>
      <c r="F190" s="15">
        <f>IF(ISNUMBER(Refsz_Verbräuche[[#This Row],[2016]]), Refsz_Verbräuche[[#This Row],[2016]]*Emissionsfaktoren[[#This Row],[2016]]/1000, 0)</f>
        <v>0</v>
      </c>
      <c r="G190" s="15">
        <f>IF(ISNUMBER(Refsz_Verbräuche[[#This Row],[2017]]), Refsz_Verbräuche[[#This Row],[2017]]*Emissionsfaktoren[[#This Row],[2017]]/1000, 0)</f>
        <v>0</v>
      </c>
      <c r="H190" s="15">
        <f>IF(ISNUMBER(Refsz_Verbräuche[[#This Row],[2018]]), Refsz_Verbräuche[[#This Row],[2018]]*Emissionsfaktoren[[#This Row],[2018]]/1000, 0)</f>
        <v>0</v>
      </c>
      <c r="I190" s="15">
        <f>IF(ISNUMBER(Refsz_Verbräuche[[#This Row],[2019]]), Refsz_Verbräuche[[#This Row],[2019]]*Emissionsfaktoren[[#This Row],[2019]]/1000, 0)</f>
        <v>0</v>
      </c>
      <c r="J190" s="15">
        <f>IF(ISNUMBER(Refsz_Verbräuche[[#This Row],[2020]]), Refsz_Verbräuche[[#This Row],[2020]]*Emissionsfaktoren[[#This Row],[2020]]/1000, 0)</f>
        <v>0</v>
      </c>
      <c r="K190" s="15">
        <f>IF(ISNUMBER(Refsz_Verbräuche[[#This Row],[2021]]), Refsz_Verbräuche[[#This Row],[2021]]*Emissionsfaktoren[[#This Row],[2021]]/1000, 0)</f>
        <v>0</v>
      </c>
      <c r="L190" s="15">
        <f>IF(ISNUMBER(Refsz_Verbräuche[[#This Row],[2022]]), Refsz_Verbräuche[[#This Row],[2022]]*Emissionsfaktoren[[#This Row],[2022]]/1000, 0)</f>
        <v>0</v>
      </c>
      <c r="M190" s="15">
        <f>IF(ISNUMBER(Refsz_Verbräuche[[#This Row],[2023]]), Refsz_Verbräuche[[#This Row],[2023]]*Emissionsfaktoren[[#This Row],[2023]]/1000, 0)</f>
        <v>0</v>
      </c>
      <c r="N190" s="15">
        <f>IF(ISNUMBER(Refsz_Verbräuche[[#This Row],[2024]]), Refsz_Verbräuche[[#This Row],[2024]]*Emissionsfaktoren[[#This Row],[2024]]/1000, 0)</f>
        <v>0</v>
      </c>
      <c r="O190" s="15">
        <f>IF(ISNUMBER(Refsz_Verbräuche[[#This Row],[2025]]), Refsz_Verbräuche[[#This Row],[2025]]*Emissionsfaktoren[[#This Row],[2025]]/1000, 0)</f>
        <v>0</v>
      </c>
      <c r="P190" s="15">
        <f>IF(ISNUMBER(Refsz_Verbräuche[[#This Row],[2026]]), Refsz_Verbräuche[[#This Row],[2026]]*Emissionsfaktoren[[#This Row],[2026]]/1000, 0)</f>
        <v>0</v>
      </c>
      <c r="Q190" s="15">
        <f>IF(ISNUMBER(Refsz_Verbräuche[[#This Row],[2027]]), Refsz_Verbräuche[[#This Row],[2027]]*Emissionsfaktoren[[#This Row],[2027]]/1000, 0)</f>
        <v>0</v>
      </c>
      <c r="R190" s="15">
        <f>IF(ISNUMBER(Refsz_Verbräuche[[#This Row],[2028]]), Refsz_Verbräuche[[#This Row],[2028]]*Emissionsfaktoren[[#This Row],[2028]]/1000, 0)</f>
        <v>0</v>
      </c>
      <c r="S190" s="15">
        <f>IF(ISNUMBER(Refsz_Verbräuche[[#This Row],[2029]]), Refsz_Verbräuche[[#This Row],[2029]]*Emissionsfaktoren[[#This Row],[2029]]/1000, 0)</f>
        <v>0</v>
      </c>
      <c r="T190" s="15">
        <f>IF(ISNUMBER(Refsz_Verbräuche[[#This Row],[2030]]), Refsz_Verbräuche[[#This Row],[2030]]*Emissionsfaktoren[[#This Row],[2030]]/1000, 0)</f>
        <v>0</v>
      </c>
      <c r="U190" s="15">
        <f>IF(ISNUMBER(Refsz_Verbräuche[[#This Row],[2035]]), Refsz_Verbräuche[[#This Row],[2035]]*Emissionsfaktoren[[#This Row],[2035]]/1000, 0)</f>
        <v>0</v>
      </c>
      <c r="V190" s="15">
        <f>IF(ISNUMBER(Refsz_Verbräuche[[#This Row],[2040]]), Refsz_Verbräuche[[#This Row],[2040]]*Emissionsfaktoren[[#This Row],[2040]]/1000, 0)</f>
        <v>0</v>
      </c>
      <c r="W190" s="15">
        <f>IF(ISNUMBER(Refsz_Verbräuche[[#This Row],[2045]]), Refsz_Verbräuche[[#This Row],[2045]]*Emissionsfaktoren[[#This Row],[2045]]/1000, 0)</f>
        <v>0</v>
      </c>
      <c r="X190" s="15">
        <f>IF(ISNUMBER(Refsz_Verbräuche[[#This Row],[2050]]), Refsz_Verbräuche[[#This Row],[2050]]*Emissionsfaktoren[[#This Row],[2050]]/1000, 0)</f>
        <v>0</v>
      </c>
    </row>
    <row r="191" spans="2:24" ht="16.5" hidden="1" x14ac:dyDescent="0.45">
      <c r="B191" s="15">
        <v>131</v>
      </c>
      <c r="C191" s="20" t="str">
        <f>Refsz_Verbräuche[[#This Row],[Datenpunkt]]</f>
        <v>Stahl-Blech</v>
      </c>
      <c r="D191" t="s">
        <v>208</v>
      </c>
      <c r="E191" s="15">
        <f>IF(ISNUMBER(Refsz_Verbräuche[[#This Row],[2015]]), Refsz_Verbräuche[[#This Row],[2015]]*Emissionsfaktoren[[#This Row],[2015]]/1000, 0)</f>
        <v>0</v>
      </c>
      <c r="F191" s="15">
        <f>IF(ISNUMBER(Refsz_Verbräuche[[#This Row],[2016]]), Refsz_Verbräuche[[#This Row],[2016]]*Emissionsfaktoren[[#This Row],[2016]]/1000, 0)</f>
        <v>0</v>
      </c>
      <c r="G191" s="15">
        <f>IF(ISNUMBER(Refsz_Verbräuche[[#This Row],[2017]]), Refsz_Verbräuche[[#This Row],[2017]]*Emissionsfaktoren[[#This Row],[2017]]/1000, 0)</f>
        <v>0</v>
      </c>
      <c r="H191" s="15">
        <f>IF(ISNUMBER(Refsz_Verbräuche[[#This Row],[2018]]), Refsz_Verbräuche[[#This Row],[2018]]*Emissionsfaktoren[[#This Row],[2018]]/1000, 0)</f>
        <v>0</v>
      </c>
      <c r="I191" s="15">
        <f>IF(ISNUMBER(Refsz_Verbräuche[[#This Row],[2019]]), Refsz_Verbräuche[[#This Row],[2019]]*Emissionsfaktoren[[#This Row],[2019]]/1000, 0)</f>
        <v>0</v>
      </c>
      <c r="J191" s="15">
        <f>IF(ISNUMBER(Refsz_Verbräuche[[#This Row],[2020]]), Refsz_Verbräuche[[#This Row],[2020]]*Emissionsfaktoren[[#This Row],[2020]]/1000, 0)</f>
        <v>0</v>
      </c>
      <c r="K191" s="15">
        <f>IF(ISNUMBER(Refsz_Verbräuche[[#This Row],[2021]]), Refsz_Verbräuche[[#This Row],[2021]]*Emissionsfaktoren[[#This Row],[2021]]/1000, 0)</f>
        <v>0</v>
      </c>
      <c r="L191" s="15">
        <f>IF(ISNUMBER(Refsz_Verbräuche[[#This Row],[2022]]), Refsz_Verbräuche[[#This Row],[2022]]*Emissionsfaktoren[[#This Row],[2022]]/1000, 0)</f>
        <v>0</v>
      </c>
      <c r="M191" s="15">
        <f>IF(ISNUMBER(Refsz_Verbräuche[[#This Row],[2023]]), Refsz_Verbräuche[[#This Row],[2023]]*Emissionsfaktoren[[#This Row],[2023]]/1000, 0)</f>
        <v>0</v>
      </c>
      <c r="N191" s="15">
        <f>IF(ISNUMBER(Refsz_Verbräuche[[#This Row],[2024]]), Refsz_Verbräuche[[#This Row],[2024]]*Emissionsfaktoren[[#This Row],[2024]]/1000, 0)</f>
        <v>0</v>
      </c>
      <c r="O191" s="15">
        <f>IF(ISNUMBER(Refsz_Verbräuche[[#This Row],[2025]]), Refsz_Verbräuche[[#This Row],[2025]]*Emissionsfaktoren[[#This Row],[2025]]/1000, 0)</f>
        <v>0</v>
      </c>
      <c r="P191" s="15">
        <f>IF(ISNUMBER(Refsz_Verbräuche[[#This Row],[2026]]), Refsz_Verbräuche[[#This Row],[2026]]*Emissionsfaktoren[[#This Row],[2026]]/1000, 0)</f>
        <v>0</v>
      </c>
      <c r="Q191" s="15">
        <f>IF(ISNUMBER(Refsz_Verbräuche[[#This Row],[2027]]), Refsz_Verbräuche[[#This Row],[2027]]*Emissionsfaktoren[[#This Row],[2027]]/1000, 0)</f>
        <v>0</v>
      </c>
      <c r="R191" s="15">
        <f>IF(ISNUMBER(Refsz_Verbräuche[[#This Row],[2028]]), Refsz_Verbräuche[[#This Row],[2028]]*Emissionsfaktoren[[#This Row],[2028]]/1000, 0)</f>
        <v>0</v>
      </c>
      <c r="S191" s="15">
        <f>IF(ISNUMBER(Refsz_Verbräuche[[#This Row],[2029]]), Refsz_Verbräuche[[#This Row],[2029]]*Emissionsfaktoren[[#This Row],[2029]]/1000, 0)</f>
        <v>0</v>
      </c>
      <c r="T191" s="15">
        <f>IF(ISNUMBER(Refsz_Verbräuche[[#This Row],[2030]]), Refsz_Verbräuche[[#This Row],[2030]]*Emissionsfaktoren[[#This Row],[2030]]/1000, 0)</f>
        <v>0</v>
      </c>
      <c r="U191" s="15">
        <f>IF(ISNUMBER(Refsz_Verbräuche[[#This Row],[2035]]), Refsz_Verbräuche[[#This Row],[2035]]*Emissionsfaktoren[[#This Row],[2035]]/1000, 0)</f>
        <v>0</v>
      </c>
      <c r="V191" s="15">
        <f>IF(ISNUMBER(Refsz_Verbräuche[[#This Row],[2040]]), Refsz_Verbräuche[[#This Row],[2040]]*Emissionsfaktoren[[#This Row],[2040]]/1000, 0)</f>
        <v>0</v>
      </c>
      <c r="W191" s="15">
        <f>IF(ISNUMBER(Refsz_Verbräuche[[#This Row],[2045]]), Refsz_Verbräuche[[#This Row],[2045]]*Emissionsfaktoren[[#This Row],[2045]]/1000, 0)</f>
        <v>0</v>
      </c>
      <c r="X191" s="15">
        <f>IF(ISNUMBER(Refsz_Verbräuche[[#This Row],[2050]]), Refsz_Verbräuche[[#This Row],[2050]]*Emissionsfaktoren[[#This Row],[2050]]/1000, 0)</f>
        <v>0</v>
      </c>
    </row>
    <row r="192" spans="2:24" ht="16.5" hidden="1" x14ac:dyDescent="0.45">
      <c r="B192" s="15">
        <v>132</v>
      </c>
      <c r="C192" s="20" t="str">
        <f>Refsz_Verbräuche[[#This Row],[Datenpunkt]]</f>
        <v>Stahl-Blech verzinkt</v>
      </c>
      <c r="D192" t="s">
        <v>208</v>
      </c>
      <c r="E192" s="15">
        <f>IF(ISNUMBER(Refsz_Verbräuche[[#This Row],[2015]]), Refsz_Verbräuche[[#This Row],[2015]]*Emissionsfaktoren[[#This Row],[2015]]/1000, 0)</f>
        <v>0</v>
      </c>
      <c r="F192" s="15">
        <f>IF(ISNUMBER(Refsz_Verbräuche[[#This Row],[2016]]), Refsz_Verbräuche[[#This Row],[2016]]*Emissionsfaktoren[[#This Row],[2016]]/1000, 0)</f>
        <v>0</v>
      </c>
      <c r="G192" s="15">
        <f>IF(ISNUMBER(Refsz_Verbräuche[[#This Row],[2017]]), Refsz_Verbräuche[[#This Row],[2017]]*Emissionsfaktoren[[#This Row],[2017]]/1000, 0)</f>
        <v>0</v>
      </c>
      <c r="H192" s="15">
        <f>IF(ISNUMBER(Refsz_Verbräuche[[#This Row],[2018]]), Refsz_Verbräuche[[#This Row],[2018]]*Emissionsfaktoren[[#This Row],[2018]]/1000, 0)</f>
        <v>0</v>
      </c>
      <c r="I192" s="15">
        <f>IF(ISNUMBER(Refsz_Verbräuche[[#This Row],[2019]]), Refsz_Verbräuche[[#This Row],[2019]]*Emissionsfaktoren[[#This Row],[2019]]/1000, 0)</f>
        <v>0</v>
      </c>
      <c r="J192" s="15">
        <f>IF(ISNUMBER(Refsz_Verbräuche[[#This Row],[2020]]), Refsz_Verbräuche[[#This Row],[2020]]*Emissionsfaktoren[[#This Row],[2020]]/1000, 0)</f>
        <v>0</v>
      </c>
      <c r="K192" s="15">
        <f>IF(ISNUMBER(Refsz_Verbräuche[[#This Row],[2021]]), Refsz_Verbräuche[[#This Row],[2021]]*Emissionsfaktoren[[#This Row],[2021]]/1000, 0)</f>
        <v>0</v>
      </c>
      <c r="L192" s="15">
        <f>IF(ISNUMBER(Refsz_Verbräuche[[#This Row],[2022]]), Refsz_Verbräuche[[#This Row],[2022]]*Emissionsfaktoren[[#This Row],[2022]]/1000, 0)</f>
        <v>0</v>
      </c>
      <c r="M192" s="15">
        <f>IF(ISNUMBER(Refsz_Verbräuche[[#This Row],[2023]]), Refsz_Verbräuche[[#This Row],[2023]]*Emissionsfaktoren[[#This Row],[2023]]/1000, 0)</f>
        <v>0</v>
      </c>
      <c r="N192" s="15">
        <f>IF(ISNUMBER(Refsz_Verbräuche[[#This Row],[2024]]), Refsz_Verbräuche[[#This Row],[2024]]*Emissionsfaktoren[[#This Row],[2024]]/1000, 0)</f>
        <v>0</v>
      </c>
      <c r="O192" s="15">
        <f>IF(ISNUMBER(Refsz_Verbräuche[[#This Row],[2025]]), Refsz_Verbräuche[[#This Row],[2025]]*Emissionsfaktoren[[#This Row],[2025]]/1000, 0)</f>
        <v>0</v>
      </c>
      <c r="P192" s="15">
        <f>IF(ISNUMBER(Refsz_Verbräuche[[#This Row],[2026]]), Refsz_Verbräuche[[#This Row],[2026]]*Emissionsfaktoren[[#This Row],[2026]]/1000, 0)</f>
        <v>0</v>
      </c>
      <c r="Q192" s="15">
        <f>IF(ISNUMBER(Refsz_Verbräuche[[#This Row],[2027]]), Refsz_Verbräuche[[#This Row],[2027]]*Emissionsfaktoren[[#This Row],[2027]]/1000, 0)</f>
        <v>0</v>
      </c>
      <c r="R192" s="15">
        <f>IF(ISNUMBER(Refsz_Verbräuche[[#This Row],[2028]]), Refsz_Verbräuche[[#This Row],[2028]]*Emissionsfaktoren[[#This Row],[2028]]/1000, 0)</f>
        <v>0</v>
      </c>
      <c r="S192" s="15">
        <f>IF(ISNUMBER(Refsz_Verbräuche[[#This Row],[2029]]), Refsz_Verbräuche[[#This Row],[2029]]*Emissionsfaktoren[[#This Row],[2029]]/1000, 0)</f>
        <v>0</v>
      </c>
      <c r="T192" s="15">
        <f>IF(ISNUMBER(Refsz_Verbräuche[[#This Row],[2030]]), Refsz_Verbräuche[[#This Row],[2030]]*Emissionsfaktoren[[#This Row],[2030]]/1000, 0)</f>
        <v>0</v>
      </c>
      <c r="U192" s="15">
        <f>IF(ISNUMBER(Refsz_Verbräuche[[#This Row],[2035]]), Refsz_Verbräuche[[#This Row],[2035]]*Emissionsfaktoren[[#This Row],[2035]]/1000, 0)</f>
        <v>0</v>
      </c>
      <c r="V192" s="15">
        <f>IF(ISNUMBER(Refsz_Verbräuche[[#This Row],[2040]]), Refsz_Verbräuche[[#This Row],[2040]]*Emissionsfaktoren[[#This Row],[2040]]/1000, 0)</f>
        <v>0</v>
      </c>
      <c r="W192" s="15">
        <f>IF(ISNUMBER(Refsz_Verbräuche[[#This Row],[2045]]), Refsz_Verbräuche[[#This Row],[2045]]*Emissionsfaktoren[[#This Row],[2045]]/1000, 0)</f>
        <v>0</v>
      </c>
      <c r="X192" s="15">
        <f>IF(ISNUMBER(Refsz_Verbräuche[[#This Row],[2050]]), Refsz_Verbräuche[[#This Row],[2050]]*Emissionsfaktoren[[#This Row],[2050]]/1000, 0)</f>
        <v>0</v>
      </c>
    </row>
    <row r="193" spans="2:24" ht="16.5" hidden="1" x14ac:dyDescent="0.45">
      <c r="B193" s="15">
        <v>133</v>
      </c>
      <c r="C193" s="20" t="str">
        <f>Refsz_Verbräuche[[#This Row],[Datenpunkt]]</f>
        <v>Stahl-Elektro</v>
      </c>
      <c r="D193" t="s">
        <v>208</v>
      </c>
      <c r="E193" s="15">
        <f>IF(ISNUMBER(Refsz_Verbräuche[[#This Row],[2015]]), Refsz_Verbräuche[[#This Row],[2015]]*Emissionsfaktoren[[#This Row],[2015]]/1000, 0)</f>
        <v>0</v>
      </c>
      <c r="F193" s="15">
        <f>IF(ISNUMBER(Refsz_Verbräuche[[#This Row],[2016]]), Refsz_Verbräuche[[#This Row],[2016]]*Emissionsfaktoren[[#This Row],[2016]]/1000, 0)</f>
        <v>0</v>
      </c>
      <c r="G193" s="15">
        <f>IF(ISNUMBER(Refsz_Verbräuche[[#This Row],[2017]]), Refsz_Verbräuche[[#This Row],[2017]]*Emissionsfaktoren[[#This Row],[2017]]/1000, 0)</f>
        <v>0</v>
      </c>
      <c r="H193" s="15">
        <f>IF(ISNUMBER(Refsz_Verbräuche[[#This Row],[2018]]), Refsz_Verbräuche[[#This Row],[2018]]*Emissionsfaktoren[[#This Row],[2018]]/1000, 0)</f>
        <v>0</v>
      </c>
      <c r="I193" s="15">
        <f>IF(ISNUMBER(Refsz_Verbräuche[[#This Row],[2019]]), Refsz_Verbräuche[[#This Row],[2019]]*Emissionsfaktoren[[#This Row],[2019]]/1000, 0)</f>
        <v>0</v>
      </c>
      <c r="J193" s="15">
        <f>IF(ISNUMBER(Refsz_Verbräuche[[#This Row],[2020]]), Refsz_Verbräuche[[#This Row],[2020]]*Emissionsfaktoren[[#This Row],[2020]]/1000, 0)</f>
        <v>0</v>
      </c>
      <c r="K193" s="15">
        <f>IF(ISNUMBER(Refsz_Verbräuche[[#This Row],[2021]]), Refsz_Verbräuche[[#This Row],[2021]]*Emissionsfaktoren[[#This Row],[2021]]/1000, 0)</f>
        <v>0</v>
      </c>
      <c r="L193" s="15">
        <f>IF(ISNUMBER(Refsz_Verbräuche[[#This Row],[2022]]), Refsz_Verbräuche[[#This Row],[2022]]*Emissionsfaktoren[[#This Row],[2022]]/1000, 0)</f>
        <v>0</v>
      </c>
      <c r="M193" s="15">
        <f>IF(ISNUMBER(Refsz_Verbräuche[[#This Row],[2023]]), Refsz_Verbräuche[[#This Row],[2023]]*Emissionsfaktoren[[#This Row],[2023]]/1000, 0)</f>
        <v>0</v>
      </c>
      <c r="N193" s="15">
        <f>IF(ISNUMBER(Refsz_Verbräuche[[#This Row],[2024]]), Refsz_Verbräuche[[#This Row],[2024]]*Emissionsfaktoren[[#This Row],[2024]]/1000, 0)</f>
        <v>0</v>
      </c>
      <c r="O193" s="15">
        <f>IF(ISNUMBER(Refsz_Verbräuche[[#This Row],[2025]]), Refsz_Verbräuche[[#This Row],[2025]]*Emissionsfaktoren[[#This Row],[2025]]/1000, 0)</f>
        <v>0</v>
      </c>
      <c r="P193" s="15">
        <f>IF(ISNUMBER(Refsz_Verbräuche[[#This Row],[2026]]), Refsz_Verbräuche[[#This Row],[2026]]*Emissionsfaktoren[[#This Row],[2026]]/1000, 0)</f>
        <v>0</v>
      </c>
      <c r="Q193" s="15">
        <f>IF(ISNUMBER(Refsz_Verbräuche[[#This Row],[2027]]), Refsz_Verbräuche[[#This Row],[2027]]*Emissionsfaktoren[[#This Row],[2027]]/1000, 0)</f>
        <v>0</v>
      </c>
      <c r="R193" s="15">
        <f>IF(ISNUMBER(Refsz_Verbräuche[[#This Row],[2028]]), Refsz_Verbräuche[[#This Row],[2028]]*Emissionsfaktoren[[#This Row],[2028]]/1000, 0)</f>
        <v>0</v>
      </c>
      <c r="S193" s="15">
        <f>IF(ISNUMBER(Refsz_Verbräuche[[#This Row],[2029]]), Refsz_Verbräuche[[#This Row],[2029]]*Emissionsfaktoren[[#This Row],[2029]]/1000, 0)</f>
        <v>0</v>
      </c>
      <c r="T193" s="15">
        <f>IF(ISNUMBER(Refsz_Verbräuche[[#This Row],[2030]]), Refsz_Verbräuche[[#This Row],[2030]]*Emissionsfaktoren[[#This Row],[2030]]/1000, 0)</f>
        <v>0</v>
      </c>
      <c r="U193" s="15">
        <f>IF(ISNUMBER(Refsz_Verbräuche[[#This Row],[2035]]), Refsz_Verbräuche[[#This Row],[2035]]*Emissionsfaktoren[[#This Row],[2035]]/1000, 0)</f>
        <v>0</v>
      </c>
      <c r="V193" s="15">
        <f>IF(ISNUMBER(Refsz_Verbräuche[[#This Row],[2040]]), Refsz_Verbräuche[[#This Row],[2040]]*Emissionsfaktoren[[#This Row],[2040]]/1000, 0)</f>
        <v>0</v>
      </c>
      <c r="W193" s="15">
        <f>IF(ISNUMBER(Refsz_Verbräuche[[#This Row],[2045]]), Refsz_Verbräuche[[#This Row],[2045]]*Emissionsfaktoren[[#This Row],[2045]]/1000, 0)</f>
        <v>0</v>
      </c>
      <c r="X193" s="15">
        <f>IF(ISNUMBER(Refsz_Verbräuche[[#This Row],[2050]]), Refsz_Verbräuche[[#This Row],[2050]]*Emissionsfaktoren[[#This Row],[2050]]/1000, 0)</f>
        <v>0</v>
      </c>
    </row>
    <row r="194" spans="2:24" ht="16.5" hidden="1" x14ac:dyDescent="0.45">
      <c r="B194" s="15">
        <v>134</v>
      </c>
      <c r="C194" s="20" t="str">
        <f>Refsz_Verbräuche[[#This Row],[Datenpunkt]]</f>
        <v>Stahl-mix</v>
      </c>
      <c r="D194" t="s">
        <v>208</v>
      </c>
      <c r="E194" s="15">
        <f>IF(ISNUMBER(Refsz_Verbräuche[[#This Row],[2015]]), Refsz_Verbräuche[[#This Row],[2015]]*Emissionsfaktoren[[#This Row],[2015]]/1000, 0)</f>
        <v>0</v>
      </c>
      <c r="F194" s="15">
        <f>IF(ISNUMBER(Refsz_Verbräuche[[#This Row],[2016]]), Refsz_Verbräuche[[#This Row],[2016]]*Emissionsfaktoren[[#This Row],[2016]]/1000, 0)</f>
        <v>0</v>
      </c>
      <c r="G194" s="15">
        <f>IF(ISNUMBER(Refsz_Verbräuche[[#This Row],[2017]]), Refsz_Verbräuche[[#This Row],[2017]]*Emissionsfaktoren[[#This Row],[2017]]/1000, 0)</f>
        <v>0</v>
      </c>
      <c r="H194" s="15">
        <f>IF(ISNUMBER(Refsz_Verbräuche[[#This Row],[2018]]), Refsz_Verbräuche[[#This Row],[2018]]*Emissionsfaktoren[[#This Row],[2018]]/1000, 0)</f>
        <v>0</v>
      </c>
      <c r="I194" s="15">
        <f>IF(ISNUMBER(Refsz_Verbräuche[[#This Row],[2019]]), Refsz_Verbräuche[[#This Row],[2019]]*Emissionsfaktoren[[#This Row],[2019]]/1000, 0)</f>
        <v>0</v>
      </c>
      <c r="J194" s="15">
        <f>IF(ISNUMBER(Refsz_Verbräuche[[#This Row],[2020]]), Refsz_Verbräuche[[#This Row],[2020]]*Emissionsfaktoren[[#This Row],[2020]]/1000, 0)</f>
        <v>0</v>
      </c>
      <c r="K194" s="15">
        <f>IF(ISNUMBER(Refsz_Verbräuche[[#This Row],[2021]]), Refsz_Verbräuche[[#This Row],[2021]]*Emissionsfaktoren[[#This Row],[2021]]/1000, 0)</f>
        <v>0</v>
      </c>
      <c r="L194" s="15">
        <f>IF(ISNUMBER(Refsz_Verbräuche[[#This Row],[2022]]), Refsz_Verbräuche[[#This Row],[2022]]*Emissionsfaktoren[[#This Row],[2022]]/1000, 0)</f>
        <v>0</v>
      </c>
      <c r="M194" s="15">
        <f>IF(ISNUMBER(Refsz_Verbräuche[[#This Row],[2023]]), Refsz_Verbräuche[[#This Row],[2023]]*Emissionsfaktoren[[#This Row],[2023]]/1000, 0)</f>
        <v>0</v>
      </c>
      <c r="N194" s="15">
        <f>IF(ISNUMBER(Refsz_Verbräuche[[#This Row],[2024]]), Refsz_Verbräuche[[#This Row],[2024]]*Emissionsfaktoren[[#This Row],[2024]]/1000, 0)</f>
        <v>0</v>
      </c>
      <c r="O194" s="15">
        <f>IF(ISNUMBER(Refsz_Verbräuche[[#This Row],[2025]]), Refsz_Verbräuche[[#This Row],[2025]]*Emissionsfaktoren[[#This Row],[2025]]/1000, 0)</f>
        <v>0</v>
      </c>
      <c r="P194" s="15">
        <f>IF(ISNUMBER(Refsz_Verbräuche[[#This Row],[2026]]), Refsz_Verbräuche[[#This Row],[2026]]*Emissionsfaktoren[[#This Row],[2026]]/1000, 0)</f>
        <v>0</v>
      </c>
      <c r="Q194" s="15">
        <f>IF(ISNUMBER(Refsz_Verbräuche[[#This Row],[2027]]), Refsz_Verbräuche[[#This Row],[2027]]*Emissionsfaktoren[[#This Row],[2027]]/1000, 0)</f>
        <v>0</v>
      </c>
      <c r="R194" s="15">
        <f>IF(ISNUMBER(Refsz_Verbräuche[[#This Row],[2028]]), Refsz_Verbräuche[[#This Row],[2028]]*Emissionsfaktoren[[#This Row],[2028]]/1000, 0)</f>
        <v>0</v>
      </c>
      <c r="S194" s="15">
        <f>IF(ISNUMBER(Refsz_Verbräuche[[#This Row],[2029]]), Refsz_Verbräuche[[#This Row],[2029]]*Emissionsfaktoren[[#This Row],[2029]]/1000, 0)</f>
        <v>0</v>
      </c>
      <c r="T194" s="15">
        <f>IF(ISNUMBER(Refsz_Verbräuche[[#This Row],[2030]]), Refsz_Verbräuche[[#This Row],[2030]]*Emissionsfaktoren[[#This Row],[2030]]/1000, 0)</f>
        <v>0</v>
      </c>
      <c r="U194" s="15">
        <f>IF(ISNUMBER(Refsz_Verbräuche[[#This Row],[2035]]), Refsz_Verbräuche[[#This Row],[2035]]*Emissionsfaktoren[[#This Row],[2035]]/1000, 0)</f>
        <v>0</v>
      </c>
      <c r="V194" s="15">
        <f>IF(ISNUMBER(Refsz_Verbräuche[[#This Row],[2040]]), Refsz_Verbräuche[[#This Row],[2040]]*Emissionsfaktoren[[#This Row],[2040]]/1000, 0)</f>
        <v>0</v>
      </c>
      <c r="W194" s="15">
        <f>IF(ISNUMBER(Refsz_Verbräuche[[#This Row],[2045]]), Refsz_Verbräuche[[#This Row],[2045]]*Emissionsfaktoren[[#This Row],[2045]]/1000, 0)</f>
        <v>0</v>
      </c>
      <c r="X194" s="15">
        <f>IF(ISNUMBER(Refsz_Verbräuche[[#This Row],[2050]]), Refsz_Verbräuche[[#This Row],[2050]]*Emissionsfaktoren[[#This Row],[2050]]/1000, 0)</f>
        <v>0</v>
      </c>
    </row>
    <row r="195" spans="2:24" ht="16.5" hidden="1" x14ac:dyDescent="0.45">
      <c r="B195" s="15">
        <v>135</v>
      </c>
      <c r="C195" s="20" t="str">
        <f>Refsz_Verbräuche[[#This Row],[Datenpunkt]]</f>
        <v>Beton</v>
      </c>
      <c r="D195" t="s">
        <v>208</v>
      </c>
      <c r="E195" s="15">
        <f>IF(ISNUMBER(Refsz_Verbräuche[[#This Row],[2015]]), Refsz_Verbräuche[[#This Row],[2015]]*Emissionsfaktoren[[#This Row],[2015]]/1000, 0)</f>
        <v>0</v>
      </c>
      <c r="F195" s="15">
        <f>IF(ISNUMBER(Refsz_Verbräuche[[#This Row],[2016]]), Refsz_Verbräuche[[#This Row],[2016]]*Emissionsfaktoren[[#This Row],[2016]]/1000, 0)</f>
        <v>0</v>
      </c>
      <c r="G195" s="15">
        <f>IF(ISNUMBER(Refsz_Verbräuche[[#This Row],[2017]]), Refsz_Verbräuche[[#This Row],[2017]]*Emissionsfaktoren[[#This Row],[2017]]/1000, 0)</f>
        <v>0</v>
      </c>
      <c r="H195" s="15">
        <f>IF(ISNUMBER(Refsz_Verbräuche[[#This Row],[2018]]), Refsz_Verbräuche[[#This Row],[2018]]*Emissionsfaktoren[[#This Row],[2018]]/1000, 0)</f>
        <v>0</v>
      </c>
      <c r="I195" s="15">
        <f>IF(ISNUMBER(Refsz_Verbräuche[[#This Row],[2019]]), Refsz_Verbräuche[[#This Row],[2019]]*Emissionsfaktoren[[#This Row],[2019]]/1000, 0)</f>
        <v>0</v>
      </c>
      <c r="J195" s="15">
        <f>IF(ISNUMBER(Refsz_Verbräuche[[#This Row],[2020]]), Refsz_Verbräuche[[#This Row],[2020]]*Emissionsfaktoren[[#This Row],[2020]]/1000, 0)</f>
        <v>0</v>
      </c>
      <c r="K195" s="15">
        <f>IF(ISNUMBER(Refsz_Verbräuche[[#This Row],[2021]]), Refsz_Verbräuche[[#This Row],[2021]]*Emissionsfaktoren[[#This Row],[2021]]/1000, 0)</f>
        <v>0</v>
      </c>
      <c r="L195" s="15">
        <f>IF(ISNUMBER(Refsz_Verbräuche[[#This Row],[2022]]), Refsz_Verbräuche[[#This Row],[2022]]*Emissionsfaktoren[[#This Row],[2022]]/1000, 0)</f>
        <v>0</v>
      </c>
      <c r="M195" s="15">
        <f>IF(ISNUMBER(Refsz_Verbräuche[[#This Row],[2023]]), Refsz_Verbräuche[[#This Row],[2023]]*Emissionsfaktoren[[#This Row],[2023]]/1000, 0)</f>
        <v>0</v>
      </c>
      <c r="N195" s="15">
        <f>IF(ISNUMBER(Refsz_Verbräuche[[#This Row],[2024]]), Refsz_Verbräuche[[#This Row],[2024]]*Emissionsfaktoren[[#This Row],[2024]]/1000, 0)</f>
        <v>0</v>
      </c>
      <c r="O195" s="15">
        <f>IF(ISNUMBER(Refsz_Verbräuche[[#This Row],[2025]]), Refsz_Verbräuche[[#This Row],[2025]]*Emissionsfaktoren[[#This Row],[2025]]/1000, 0)</f>
        <v>0</v>
      </c>
      <c r="P195" s="15">
        <f>IF(ISNUMBER(Refsz_Verbräuche[[#This Row],[2026]]), Refsz_Verbräuche[[#This Row],[2026]]*Emissionsfaktoren[[#This Row],[2026]]/1000, 0)</f>
        <v>0</v>
      </c>
      <c r="Q195" s="15">
        <f>IF(ISNUMBER(Refsz_Verbräuche[[#This Row],[2027]]), Refsz_Verbräuche[[#This Row],[2027]]*Emissionsfaktoren[[#This Row],[2027]]/1000, 0)</f>
        <v>0</v>
      </c>
      <c r="R195" s="15">
        <f>IF(ISNUMBER(Refsz_Verbräuche[[#This Row],[2028]]), Refsz_Verbräuche[[#This Row],[2028]]*Emissionsfaktoren[[#This Row],[2028]]/1000, 0)</f>
        <v>0</v>
      </c>
      <c r="S195" s="15">
        <f>IF(ISNUMBER(Refsz_Verbräuche[[#This Row],[2029]]), Refsz_Verbräuche[[#This Row],[2029]]*Emissionsfaktoren[[#This Row],[2029]]/1000, 0)</f>
        <v>0</v>
      </c>
      <c r="T195" s="15">
        <f>IF(ISNUMBER(Refsz_Verbräuche[[#This Row],[2030]]), Refsz_Verbräuche[[#This Row],[2030]]*Emissionsfaktoren[[#This Row],[2030]]/1000, 0)</f>
        <v>0</v>
      </c>
      <c r="U195" s="15">
        <f>IF(ISNUMBER(Refsz_Verbräuche[[#This Row],[2035]]), Refsz_Verbräuche[[#This Row],[2035]]*Emissionsfaktoren[[#This Row],[2035]]/1000, 0)</f>
        <v>0</v>
      </c>
      <c r="V195" s="15">
        <f>IF(ISNUMBER(Refsz_Verbräuche[[#This Row],[2040]]), Refsz_Verbräuche[[#This Row],[2040]]*Emissionsfaktoren[[#This Row],[2040]]/1000, 0)</f>
        <v>0</v>
      </c>
      <c r="W195" s="15">
        <f>IF(ISNUMBER(Refsz_Verbräuche[[#This Row],[2045]]), Refsz_Verbräuche[[#This Row],[2045]]*Emissionsfaktoren[[#This Row],[2045]]/1000, 0)</f>
        <v>0</v>
      </c>
      <c r="X195" s="15">
        <f>IF(ISNUMBER(Refsz_Verbräuche[[#This Row],[2050]]), Refsz_Verbräuche[[#This Row],[2050]]*Emissionsfaktoren[[#This Row],[2050]]/1000, 0)</f>
        <v>0</v>
      </c>
    </row>
    <row r="196" spans="2:24" ht="16.5" hidden="1" x14ac:dyDescent="0.45">
      <c r="B196" s="15">
        <v>136</v>
      </c>
      <c r="C196" s="20" t="str">
        <f>Refsz_Verbräuche[[#This Row],[Datenpunkt]]</f>
        <v>Glaswolle</v>
      </c>
      <c r="D196" t="s">
        <v>208</v>
      </c>
      <c r="E196" s="15">
        <f>IF(ISNUMBER(Refsz_Verbräuche[[#This Row],[2015]]), Refsz_Verbräuche[[#This Row],[2015]]*Emissionsfaktoren[[#This Row],[2015]]/1000, 0)</f>
        <v>0</v>
      </c>
      <c r="F196" s="15">
        <f>IF(ISNUMBER(Refsz_Verbräuche[[#This Row],[2016]]), Refsz_Verbräuche[[#This Row],[2016]]*Emissionsfaktoren[[#This Row],[2016]]/1000, 0)</f>
        <v>0</v>
      </c>
      <c r="G196" s="15">
        <f>IF(ISNUMBER(Refsz_Verbräuche[[#This Row],[2017]]), Refsz_Verbräuche[[#This Row],[2017]]*Emissionsfaktoren[[#This Row],[2017]]/1000, 0)</f>
        <v>0</v>
      </c>
      <c r="H196" s="15">
        <f>IF(ISNUMBER(Refsz_Verbräuche[[#This Row],[2018]]), Refsz_Verbräuche[[#This Row],[2018]]*Emissionsfaktoren[[#This Row],[2018]]/1000, 0)</f>
        <v>0</v>
      </c>
      <c r="I196" s="15">
        <f>IF(ISNUMBER(Refsz_Verbräuche[[#This Row],[2019]]), Refsz_Verbräuche[[#This Row],[2019]]*Emissionsfaktoren[[#This Row],[2019]]/1000, 0)</f>
        <v>0</v>
      </c>
      <c r="J196" s="15">
        <f>IF(ISNUMBER(Refsz_Verbräuche[[#This Row],[2020]]), Refsz_Verbräuche[[#This Row],[2020]]*Emissionsfaktoren[[#This Row],[2020]]/1000, 0)</f>
        <v>0</v>
      </c>
      <c r="K196" s="15">
        <f>IF(ISNUMBER(Refsz_Verbräuche[[#This Row],[2021]]), Refsz_Verbräuche[[#This Row],[2021]]*Emissionsfaktoren[[#This Row],[2021]]/1000, 0)</f>
        <v>0</v>
      </c>
      <c r="L196" s="15">
        <f>IF(ISNUMBER(Refsz_Verbräuche[[#This Row],[2022]]), Refsz_Verbräuche[[#This Row],[2022]]*Emissionsfaktoren[[#This Row],[2022]]/1000, 0)</f>
        <v>0</v>
      </c>
      <c r="M196" s="15">
        <f>IF(ISNUMBER(Refsz_Verbräuche[[#This Row],[2023]]), Refsz_Verbräuche[[#This Row],[2023]]*Emissionsfaktoren[[#This Row],[2023]]/1000, 0)</f>
        <v>0</v>
      </c>
      <c r="N196" s="15">
        <f>IF(ISNUMBER(Refsz_Verbräuche[[#This Row],[2024]]), Refsz_Verbräuche[[#This Row],[2024]]*Emissionsfaktoren[[#This Row],[2024]]/1000, 0)</f>
        <v>0</v>
      </c>
      <c r="O196" s="15">
        <f>IF(ISNUMBER(Refsz_Verbräuche[[#This Row],[2025]]), Refsz_Verbräuche[[#This Row],[2025]]*Emissionsfaktoren[[#This Row],[2025]]/1000, 0)</f>
        <v>0</v>
      </c>
      <c r="P196" s="15">
        <f>IF(ISNUMBER(Refsz_Verbräuche[[#This Row],[2026]]), Refsz_Verbräuche[[#This Row],[2026]]*Emissionsfaktoren[[#This Row],[2026]]/1000, 0)</f>
        <v>0</v>
      </c>
      <c r="Q196" s="15">
        <f>IF(ISNUMBER(Refsz_Verbräuche[[#This Row],[2027]]), Refsz_Verbräuche[[#This Row],[2027]]*Emissionsfaktoren[[#This Row],[2027]]/1000, 0)</f>
        <v>0</v>
      </c>
      <c r="R196" s="15">
        <f>IF(ISNUMBER(Refsz_Verbräuche[[#This Row],[2028]]), Refsz_Verbräuche[[#This Row],[2028]]*Emissionsfaktoren[[#This Row],[2028]]/1000, 0)</f>
        <v>0</v>
      </c>
      <c r="S196" s="15">
        <f>IF(ISNUMBER(Refsz_Verbräuche[[#This Row],[2029]]), Refsz_Verbräuche[[#This Row],[2029]]*Emissionsfaktoren[[#This Row],[2029]]/1000, 0)</f>
        <v>0</v>
      </c>
      <c r="T196" s="15">
        <f>IF(ISNUMBER(Refsz_Verbräuche[[#This Row],[2030]]), Refsz_Verbräuche[[#This Row],[2030]]*Emissionsfaktoren[[#This Row],[2030]]/1000, 0)</f>
        <v>0</v>
      </c>
      <c r="U196" s="15">
        <f>IF(ISNUMBER(Refsz_Verbräuche[[#This Row],[2035]]), Refsz_Verbräuche[[#This Row],[2035]]*Emissionsfaktoren[[#This Row],[2035]]/1000, 0)</f>
        <v>0</v>
      </c>
      <c r="V196" s="15">
        <f>IF(ISNUMBER(Refsz_Verbräuche[[#This Row],[2040]]), Refsz_Verbräuche[[#This Row],[2040]]*Emissionsfaktoren[[#This Row],[2040]]/1000, 0)</f>
        <v>0</v>
      </c>
      <c r="W196" s="15">
        <f>IF(ISNUMBER(Refsz_Verbräuche[[#This Row],[2045]]), Refsz_Verbräuche[[#This Row],[2045]]*Emissionsfaktoren[[#This Row],[2045]]/1000, 0)</f>
        <v>0</v>
      </c>
      <c r="X196" s="15">
        <f>IF(ISNUMBER(Refsz_Verbräuche[[#This Row],[2050]]), Refsz_Verbräuche[[#This Row],[2050]]*Emissionsfaktoren[[#This Row],[2050]]/1000, 0)</f>
        <v>0</v>
      </c>
    </row>
    <row r="197" spans="2:24" ht="16.5" hidden="1" x14ac:dyDescent="0.45">
      <c r="B197" s="15">
        <v>137</v>
      </c>
      <c r="C197" s="20" t="str">
        <f>Refsz_Verbräuche[[#This Row],[Datenpunkt]]</f>
        <v>Konstruktionsvollholz</v>
      </c>
      <c r="D197" t="s">
        <v>208</v>
      </c>
      <c r="E197" s="15">
        <f>IF(ISNUMBER(Refsz_Verbräuche[[#This Row],[2015]]), Refsz_Verbräuche[[#This Row],[2015]]*Emissionsfaktoren[[#This Row],[2015]]/1000, 0)</f>
        <v>0</v>
      </c>
      <c r="F197" s="15">
        <f>IF(ISNUMBER(Refsz_Verbräuche[[#This Row],[2016]]), Refsz_Verbräuche[[#This Row],[2016]]*Emissionsfaktoren[[#This Row],[2016]]/1000, 0)</f>
        <v>0</v>
      </c>
      <c r="G197" s="15">
        <f>IF(ISNUMBER(Refsz_Verbräuche[[#This Row],[2017]]), Refsz_Verbräuche[[#This Row],[2017]]*Emissionsfaktoren[[#This Row],[2017]]/1000, 0)</f>
        <v>0</v>
      </c>
      <c r="H197" s="15">
        <f>IF(ISNUMBER(Refsz_Verbräuche[[#This Row],[2018]]), Refsz_Verbräuche[[#This Row],[2018]]*Emissionsfaktoren[[#This Row],[2018]]/1000, 0)</f>
        <v>0</v>
      </c>
      <c r="I197" s="15">
        <f>IF(ISNUMBER(Refsz_Verbräuche[[#This Row],[2019]]), Refsz_Verbräuche[[#This Row],[2019]]*Emissionsfaktoren[[#This Row],[2019]]/1000, 0)</f>
        <v>0</v>
      </c>
      <c r="J197" s="15">
        <f>IF(ISNUMBER(Refsz_Verbräuche[[#This Row],[2020]]), Refsz_Verbräuche[[#This Row],[2020]]*Emissionsfaktoren[[#This Row],[2020]]/1000, 0)</f>
        <v>0</v>
      </c>
      <c r="K197" s="15">
        <f>IF(ISNUMBER(Refsz_Verbräuche[[#This Row],[2021]]), Refsz_Verbräuche[[#This Row],[2021]]*Emissionsfaktoren[[#This Row],[2021]]/1000, 0)</f>
        <v>0</v>
      </c>
      <c r="L197" s="15">
        <f>IF(ISNUMBER(Refsz_Verbräuche[[#This Row],[2022]]), Refsz_Verbräuche[[#This Row],[2022]]*Emissionsfaktoren[[#This Row],[2022]]/1000, 0)</f>
        <v>0</v>
      </c>
      <c r="M197" s="15">
        <f>IF(ISNUMBER(Refsz_Verbräuche[[#This Row],[2023]]), Refsz_Verbräuche[[#This Row],[2023]]*Emissionsfaktoren[[#This Row],[2023]]/1000, 0)</f>
        <v>0</v>
      </c>
      <c r="N197" s="15">
        <f>IF(ISNUMBER(Refsz_Verbräuche[[#This Row],[2024]]), Refsz_Verbräuche[[#This Row],[2024]]*Emissionsfaktoren[[#This Row],[2024]]/1000, 0)</f>
        <v>0</v>
      </c>
      <c r="O197" s="15">
        <f>IF(ISNUMBER(Refsz_Verbräuche[[#This Row],[2025]]), Refsz_Verbräuche[[#This Row],[2025]]*Emissionsfaktoren[[#This Row],[2025]]/1000, 0)</f>
        <v>0</v>
      </c>
      <c r="P197" s="15">
        <f>IF(ISNUMBER(Refsz_Verbräuche[[#This Row],[2026]]), Refsz_Verbräuche[[#This Row],[2026]]*Emissionsfaktoren[[#This Row],[2026]]/1000, 0)</f>
        <v>0</v>
      </c>
      <c r="Q197" s="15">
        <f>IF(ISNUMBER(Refsz_Verbräuche[[#This Row],[2027]]), Refsz_Verbräuche[[#This Row],[2027]]*Emissionsfaktoren[[#This Row],[2027]]/1000, 0)</f>
        <v>0</v>
      </c>
      <c r="R197" s="15">
        <f>IF(ISNUMBER(Refsz_Verbräuche[[#This Row],[2028]]), Refsz_Verbräuche[[#This Row],[2028]]*Emissionsfaktoren[[#This Row],[2028]]/1000, 0)</f>
        <v>0</v>
      </c>
      <c r="S197" s="15">
        <f>IF(ISNUMBER(Refsz_Verbräuche[[#This Row],[2029]]), Refsz_Verbräuche[[#This Row],[2029]]*Emissionsfaktoren[[#This Row],[2029]]/1000, 0)</f>
        <v>0</v>
      </c>
      <c r="T197" s="15">
        <f>IF(ISNUMBER(Refsz_Verbräuche[[#This Row],[2030]]), Refsz_Verbräuche[[#This Row],[2030]]*Emissionsfaktoren[[#This Row],[2030]]/1000, 0)</f>
        <v>0</v>
      </c>
      <c r="U197" s="15">
        <f>IF(ISNUMBER(Refsz_Verbräuche[[#This Row],[2035]]), Refsz_Verbräuche[[#This Row],[2035]]*Emissionsfaktoren[[#This Row],[2035]]/1000, 0)</f>
        <v>0</v>
      </c>
      <c r="V197" s="15">
        <f>IF(ISNUMBER(Refsz_Verbräuche[[#This Row],[2040]]), Refsz_Verbräuche[[#This Row],[2040]]*Emissionsfaktoren[[#This Row],[2040]]/1000, 0)</f>
        <v>0</v>
      </c>
      <c r="W197" s="15">
        <f>IF(ISNUMBER(Refsz_Verbräuche[[#This Row],[2045]]), Refsz_Verbräuche[[#This Row],[2045]]*Emissionsfaktoren[[#This Row],[2045]]/1000, 0)</f>
        <v>0</v>
      </c>
      <c r="X197" s="15">
        <f>IF(ISNUMBER(Refsz_Verbräuche[[#This Row],[2050]]), Refsz_Verbräuche[[#This Row],[2050]]*Emissionsfaktoren[[#This Row],[2050]]/1000, 0)</f>
        <v>0</v>
      </c>
    </row>
    <row r="198" spans="2:24" ht="16.5" hidden="1" x14ac:dyDescent="0.45">
      <c r="B198" s="15">
        <v>138</v>
      </c>
      <c r="C198" s="20" t="str">
        <f>Refsz_Verbräuche[[#This Row],[Datenpunkt]]</f>
        <v>Spanplatte</v>
      </c>
      <c r="D198" t="s">
        <v>208</v>
      </c>
      <c r="E198" s="15">
        <f>IF(ISNUMBER(Refsz_Verbräuche[[#This Row],[2015]]), Refsz_Verbräuche[[#This Row],[2015]]*Emissionsfaktoren[[#This Row],[2015]]/1000, 0)</f>
        <v>0</v>
      </c>
      <c r="F198" s="15">
        <f>IF(ISNUMBER(Refsz_Verbräuche[[#This Row],[2016]]), Refsz_Verbräuche[[#This Row],[2016]]*Emissionsfaktoren[[#This Row],[2016]]/1000, 0)</f>
        <v>0</v>
      </c>
      <c r="G198" s="15">
        <f>IF(ISNUMBER(Refsz_Verbräuche[[#This Row],[2017]]), Refsz_Verbräuche[[#This Row],[2017]]*Emissionsfaktoren[[#This Row],[2017]]/1000, 0)</f>
        <v>0</v>
      </c>
      <c r="H198" s="15">
        <f>IF(ISNUMBER(Refsz_Verbräuche[[#This Row],[2018]]), Refsz_Verbräuche[[#This Row],[2018]]*Emissionsfaktoren[[#This Row],[2018]]/1000, 0)</f>
        <v>0</v>
      </c>
      <c r="I198" s="15">
        <f>IF(ISNUMBER(Refsz_Verbräuche[[#This Row],[2019]]), Refsz_Verbräuche[[#This Row],[2019]]*Emissionsfaktoren[[#This Row],[2019]]/1000, 0)</f>
        <v>0</v>
      </c>
      <c r="J198" s="15">
        <f>IF(ISNUMBER(Refsz_Verbräuche[[#This Row],[2020]]), Refsz_Verbräuche[[#This Row],[2020]]*Emissionsfaktoren[[#This Row],[2020]]/1000, 0)</f>
        <v>0</v>
      </c>
      <c r="K198" s="15">
        <f>IF(ISNUMBER(Refsz_Verbräuche[[#This Row],[2021]]), Refsz_Verbräuche[[#This Row],[2021]]*Emissionsfaktoren[[#This Row],[2021]]/1000, 0)</f>
        <v>0</v>
      </c>
      <c r="L198" s="15">
        <f>IF(ISNUMBER(Refsz_Verbräuche[[#This Row],[2022]]), Refsz_Verbräuche[[#This Row],[2022]]*Emissionsfaktoren[[#This Row],[2022]]/1000, 0)</f>
        <v>0</v>
      </c>
      <c r="M198" s="15">
        <f>IF(ISNUMBER(Refsz_Verbräuche[[#This Row],[2023]]), Refsz_Verbräuche[[#This Row],[2023]]*Emissionsfaktoren[[#This Row],[2023]]/1000, 0)</f>
        <v>0</v>
      </c>
      <c r="N198" s="15">
        <f>IF(ISNUMBER(Refsz_Verbräuche[[#This Row],[2024]]), Refsz_Verbräuche[[#This Row],[2024]]*Emissionsfaktoren[[#This Row],[2024]]/1000, 0)</f>
        <v>0</v>
      </c>
      <c r="O198" s="15">
        <f>IF(ISNUMBER(Refsz_Verbräuche[[#This Row],[2025]]), Refsz_Verbräuche[[#This Row],[2025]]*Emissionsfaktoren[[#This Row],[2025]]/1000, 0)</f>
        <v>0</v>
      </c>
      <c r="P198" s="15">
        <f>IF(ISNUMBER(Refsz_Verbräuche[[#This Row],[2026]]), Refsz_Verbräuche[[#This Row],[2026]]*Emissionsfaktoren[[#This Row],[2026]]/1000, 0)</f>
        <v>0</v>
      </c>
      <c r="Q198" s="15">
        <f>IF(ISNUMBER(Refsz_Verbräuche[[#This Row],[2027]]), Refsz_Verbräuche[[#This Row],[2027]]*Emissionsfaktoren[[#This Row],[2027]]/1000, 0)</f>
        <v>0</v>
      </c>
      <c r="R198" s="15">
        <f>IF(ISNUMBER(Refsz_Verbräuche[[#This Row],[2028]]), Refsz_Verbräuche[[#This Row],[2028]]*Emissionsfaktoren[[#This Row],[2028]]/1000, 0)</f>
        <v>0</v>
      </c>
      <c r="S198" s="15">
        <f>IF(ISNUMBER(Refsz_Verbräuche[[#This Row],[2029]]), Refsz_Verbräuche[[#This Row],[2029]]*Emissionsfaktoren[[#This Row],[2029]]/1000, 0)</f>
        <v>0</v>
      </c>
      <c r="T198" s="15">
        <f>IF(ISNUMBER(Refsz_Verbräuche[[#This Row],[2030]]), Refsz_Verbräuche[[#This Row],[2030]]*Emissionsfaktoren[[#This Row],[2030]]/1000, 0)</f>
        <v>0</v>
      </c>
      <c r="U198" s="15">
        <f>IF(ISNUMBER(Refsz_Verbräuche[[#This Row],[2035]]), Refsz_Verbräuche[[#This Row],[2035]]*Emissionsfaktoren[[#This Row],[2035]]/1000, 0)</f>
        <v>0</v>
      </c>
      <c r="V198" s="15">
        <f>IF(ISNUMBER(Refsz_Verbräuche[[#This Row],[2040]]), Refsz_Verbräuche[[#This Row],[2040]]*Emissionsfaktoren[[#This Row],[2040]]/1000, 0)</f>
        <v>0</v>
      </c>
      <c r="W198" s="15">
        <f>IF(ISNUMBER(Refsz_Verbräuche[[#This Row],[2045]]), Refsz_Verbräuche[[#This Row],[2045]]*Emissionsfaktoren[[#This Row],[2045]]/1000, 0)</f>
        <v>0</v>
      </c>
      <c r="X198" s="15">
        <f>IF(ISNUMBER(Refsz_Verbräuche[[#This Row],[2050]]), Refsz_Verbräuche[[#This Row],[2050]]*Emissionsfaktoren[[#This Row],[2050]]/1000, 0)</f>
        <v>0</v>
      </c>
    </row>
    <row r="199" spans="2:24" ht="16.5" hidden="1" x14ac:dyDescent="0.45">
      <c r="B199" s="15">
        <v>139</v>
      </c>
      <c r="C199" s="20" t="str">
        <f>Refsz_Verbräuche[[#This Row],[Datenpunkt]]</f>
        <v>Perlit</v>
      </c>
      <c r="D199" t="s">
        <v>208</v>
      </c>
      <c r="E199" s="15">
        <f>IF(ISNUMBER(Refsz_Verbräuche[[#This Row],[2015]]), Refsz_Verbräuche[[#This Row],[2015]]*Emissionsfaktoren[[#This Row],[2015]]/1000, 0)</f>
        <v>0</v>
      </c>
      <c r="F199" s="15">
        <f>IF(ISNUMBER(Refsz_Verbräuche[[#This Row],[2016]]), Refsz_Verbräuche[[#This Row],[2016]]*Emissionsfaktoren[[#This Row],[2016]]/1000, 0)</f>
        <v>0</v>
      </c>
      <c r="G199" s="15">
        <f>IF(ISNUMBER(Refsz_Verbräuche[[#This Row],[2017]]), Refsz_Verbräuche[[#This Row],[2017]]*Emissionsfaktoren[[#This Row],[2017]]/1000, 0)</f>
        <v>0</v>
      </c>
      <c r="H199" s="15">
        <f>IF(ISNUMBER(Refsz_Verbräuche[[#This Row],[2018]]), Refsz_Verbräuche[[#This Row],[2018]]*Emissionsfaktoren[[#This Row],[2018]]/1000, 0)</f>
        <v>0</v>
      </c>
      <c r="I199" s="15">
        <f>IF(ISNUMBER(Refsz_Verbräuche[[#This Row],[2019]]), Refsz_Verbräuche[[#This Row],[2019]]*Emissionsfaktoren[[#This Row],[2019]]/1000, 0)</f>
        <v>0</v>
      </c>
      <c r="J199" s="15">
        <f>IF(ISNUMBER(Refsz_Verbräuche[[#This Row],[2020]]), Refsz_Verbräuche[[#This Row],[2020]]*Emissionsfaktoren[[#This Row],[2020]]/1000, 0)</f>
        <v>0</v>
      </c>
      <c r="K199" s="15">
        <f>IF(ISNUMBER(Refsz_Verbräuche[[#This Row],[2021]]), Refsz_Verbräuche[[#This Row],[2021]]*Emissionsfaktoren[[#This Row],[2021]]/1000, 0)</f>
        <v>0</v>
      </c>
      <c r="L199" s="15">
        <f>IF(ISNUMBER(Refsz_Verbräuche[[#This Row],[2022]]), Refsz_Verbräuche[[#This Row],[2022]]*Emissionsfaktoren[[#This Row],[2022]]/1000, 0)</f>
        <v>0</v>
      </c>
      <c r="M199" s="15">
        <f>IF(ISNUMBER(Refsz_Verbräuche[[#This Row],[2023]]), Refsz_Verbräuche[[#This Row],[2023]]*Emissionsfaktoren[[#This Row],[2023]]/1000, 0)</f>
        <v>0</v>
      </c>
      <c r="N199" s="15">
        <f>IF(ISNUMBER(Refsz_Verbräuche[[#This Row],[2024]]), Refsz_Verbräuche[[#This Row],[2024]]*Emissionsfaktoren[[#This Row],[2024]]/1000, 0)</f>
        <v>0</v>
      </c>
      <c r="O199" s="15">
        <f>IF(ISNUMBER(Refsz_Verbräuche[[#This Row],[2025]]), Refsz_Verbräuche[[#This Row],[2025]]*Emissionsfaktoren[[#This Row],[2025]]/1000, 0)</f>
        <v>0</v>
      </c>
      <c r="P199" s="15">
        <f>IF(ISNUMBER(Refsz_Verbräuche[[#This Row],[2026]]), Refsz_Verbräuche[[#This Row],[2026]]*Emissionsfaktoren[[#This Row],[2026]]/1000, 0)</f>
        <v>0</v>
      </c>
      <c r="Q199" s="15">
        <f>IF(ISNUMBER(Refsz_Verbräuche[[#This Row],[2027]]), Refsz_Verbräuche[[#This Row],[2027]]*Emissionsfaktoren[[#This Row],[2027]]/1000, 0)</f>
        <v>0</v>
      </c>
      <c r="R199" s="15">
        <f>IF(ISNUMBER(Refsz_Verbräuche[[#This Row],[2028]]), Refsz_Verbräuche[[#This Row],[2028]]*Emissionsfaktoren[[#This Row],[2028]]/1000, 0)</f>
        <v>0</v>
      </c>
      <c r="S199" s="15">
        <f>IF(ISNUMBER(Refsz_Verbräuche[[#This Row],[2029]]), Refsz_Verbräuche[[#This Row],[2029]]*Emissionsfaktoren[[#This Row],[2029]]/1000, 0)</f>
        <v>0</v>
      </c>
      <c r="T199" s="15">
        <f>IF(ISNUMBER(Refsz_Verbräuche[[#This Row],[2030]]), Refsz_Verbräuche[[#This Row],[2030]]*Emissionsfaktoren[[#This Row],[2030]]/1000, 0)</f>
        <v>0</v>
      </c>
      <c r="U199" s="15">
        <f>IF(ISNUMBER(Refsz_Verbräuche[[#This Row],[2035]]), Refsz_Verbräuche[[#This Row],[2035]]*Emissionsfaktoren[[#This Row],[2035]]/1000, 0)</f>
        <v>0</v>
      </c>
      <c r="V199" s="15">
        <f>IF(ISNUMBER(Refsz_Verbräuche[[#This Row],[2040]]), Refsz_Verbräuche[[#This Row],[2040]]*Emissionsfaktoren[[#This Row],[2040]]/1000, 0)</f>
        <v>0</v>
      </c>
      <c r="W199" s="15">
        <f>IF(ISNUMBER(Refsz_Verbräuche[[#This Row],[2045]]), Refsz_Verbräuche[[#This Row],[2045]]*Emissionsfaktoren[[#This Row],[2045]]/1000, 0)</f>
        <v>0</v>
      </c>
      <c r="X199" s="15">
        <f>IF(ISNUMBER(Refsz_Verbräuche[[#This Row],[2050]]), Refsz_Verbräuche[[#This Row],[2050]]*Emissionsfaktoren[[#This Row],[2050]]/1000, 0)</f>
        <v>0</v>
      </c>
    </row>
    <row r="200" spans="2:24" ht="16.5" hidden="1" x14ac:dyDescent="0.45">
      <c r="B200" s="15">
        <v>140</v>
      </c>
      <c r="C200" s="20" t="str">
        <f>Refsz_Verbräuche[[#This Row],[Datenpunkt]]</f>
        <v>Stahlbeton Fertigteil Decke (20cm Dicke)</v>
      </c>
      <c r="D200" t="s">
        <v>208</v>
      </c>
      <c r="E200" s="15">
        <f>IF(ISNUMBER(Refsz_Verbräuche[[#This Row],[2015]]), Refsz_Verbräuche[[#This Row],[2015]]*Emissionsfaktoren[[#This Row],[2015]]/1000, 0)</f>
        <v>0</v>
      </c>
      <c r="F200" s="15">
        <f>IF(ISNUMBER(Refsz_Verbräuche[[#This Row],[2016]]), Refsz_Verbräuche[[#This Row],[2016]]*Emissionsfaktoren[[#This Row],[2016]]/1000, 0)</f>
        <v>0</v>
      </c>
      <c r="G200" s="15">
        <f>IF(ISNUMBER(Refsz_Verbräuche[[#This Row],[2017]]), Refsz_Verbräuche[[#This Row],[2017]]*Emissionsfaktoren[[#This Row],[2017]]/1000, 0)</f>
        <v>0</v>
      </c>
      <c r="H200" s="15">
        <f>IF(ISNUMBER(Refsz_Verbräuche[[#This Row],[2018]]), Refsz_Verbräuche[[#This Row],[2018]]*Emissionsfaktoren[[#This Row],[2018]]/1000, 0)</f>
        <v>0</v>
      </c>
      <c r="I200" s="15">
        <f>IF(ISNUMBER(Refsz_Verbräuche[[#This Row],[2019]]), Refsz_Verbräuche[[#This Row],[2019]]*Emissionsfaktoren[[#This Row],[2019]]/1000, 0)</f>
        <v>0</v>
      </c>
      <c r="J200" s="15">
        <f>IF(ISNUMBER(Refsz_Verbräuche[[#This Row],[2020]]), Refsz_Verbräuche[[#This Row],[2020]]*Emissionsfaktoren[[#This Row],[2020]]/1000, 0)</f>
        <v>0</v>
      </c>
      <c r="K200" s="15">
        <f>IF(ISNUMBER(Refsz_Verbräuche[[#This Row],[2021]]), Refsz_Verbräuche[[#This Row],[2021]]*Emissionsfaktoren[[#This Row],[2021]]/1000, 0)</f>
        <v>0</v>
      </c>
      <c r="L200" s="15">
        <f>IF(ISNUMBER(Refsz_Verbräuche[[#This Row],[2022]]), Refsz_Verbräuche[[#This Row],[2022]]*Emissionsfaktoren[[#This Row],[2022]]/1000, 0)</f>
        <v>0</v>
      </c>
      <c r="M200" s="15">
        <f>IF(ISNUMBER(Refsz_Verbräuche[[#This Row],[2023]]), Refsz_Verbräuche[[#This Row],[2023]]*Emissionsfaktoren[[#This Row],[2023]]/1000, 0)</f>
        <v>0</v>
      </c>
      <c r="N200" s="15">
        <f>IF(ISNUMBER(Refsz_Verbräuche[[#This Row],[2024]]), Refsz_Verbräuche[[#This Row],[2024]]*Emissionsfaktoren[[#This Row],[2024]]/1000, 0)</f>
        <v>0</v>
      </c>
      <c r="O200" s="15">
        <f>IF(ISNUMBER(Refsz_Verbräuche[[#This Row],[2025]]), Refsz_Verbräuche[[#This Row],[2025]]*Emissionsfaktoren[[#This Row],[2025]]/1000, 0)</f>
        <v>0</v>
      </c>
      <c r="P200" s="15">
        <f>IF(ISNUMBER(Refsz_Verbräuche[[#This Row],[2026]]), Refsz_Verbräuche[[#This Row],[2026]]*Emissionsfaktoren[[#This Row],[2026]]/1000, 0)</f>
        <v>0</v>
      </c>
      <c r="Q200" s="15">
        <f>IF(ISNUMBER(Refsz_Verbräuche[[#This Row],[2027]]), Refsz_Verbräuche[[#This Row],[2027]]*Emissionsfaktoren[[#This Row],[2027]]/1000, 0)</f>
        <v>0</v>
      </c>
      <c r="R200" s="15">
        <f>IF(ISNUMBER(Refsz_Verbräuche[[#This Row],[2028]]), Refsz_Verbräuche[[#This Row],[2028]]*Emissionsfaktoren[[#This Row],[2028]]/1000, 0)</f>
        <v>0</v>
      </c>
      <c r="S200" s="15">
        <f>IF(ISNUMBER(Refsz_Verbräuche[[#This Row],[2029]]), Refsz_Verbräuche[[#This Row],[2029]]*Emissionsfaktoren[[#This Row],[2029]]/1000, 0)</f>
        <v>0</v>
      </c>
      <c r="T200" s="15">
        <f>IF(ISNUMBER(Refsz_Verbräuche[[#This Row],[2030]]), Refsz_Verbräuche[[#This Row],[2030]]*Emissionsfaktoren[[#This Row],[2030]]/1000, 0)</f>
        <v>0</v>
      </c>
      <c r="U200" s="15">
        <f>IF(ISNUMBER(Refsz_Verbräuche[[#This Row],[2035]]), Refsz_Verbräuche[[#This Row],[2035]]*Emissionsfaktoren[[#This Row],[2035]]/1000, 0)</f>
        <v>0</v>
      </c>
      <c r="V200" s="15">
        <f>IF(ISNUMBER(Refsz_Verbräuche[[#This Row],[2040]]), Refsz_Verbräuche[[#This Row],[2040]]*Emissionsfaktoren[[#This Row],[2040]]/1000, 0)</f>
        <v>0</v>
      </c>
      <c r="W200" s="15">
        <f>IF(ISNUMBER(Refsz_Verbräuche[[#This Row],[2045]]), Refsz_Verbräuche[[#This Row],[2045]]*Emissionsfaktoren[[#This Row],[2045]]/1000, 0)</f>
        <v>0</v>
      </c>
      <c r="X200" s="15">
        <f>IF(ISNUMBER(Refsz_Verbräuche[[#This Row],[2050]]), Refsz_Verbräuche[[#This Row],[2050]]*Emissionsfaktoren[[#This Row],[2050]]/1000, 0)</f>
        <v>0</v>
      </c>
    </row>
    <row r="201" spans="2:24" ht="16.5" hidden="1" x14ac:dyDescent="0.45">
      <c r="B201" s="15">
        <v>141</v>
      </c>
      <c r="C201" s="20" t="str">
        <f>Refsz_Verbräuche[[#This Row],[Datenpunkt]]</f>
        <v>Stahlbeton Fertigteil Wand (12cm Dicke)</v>
      </c>
      <c r="D201" t="s">
        <v>208</v>
      </c>
      <c r="E201" s="15">
        <f>IF(ISNUMBER(Refsz_Verbräuche[[#This Row],[2015]]), Refsz_Verbräuche[[#This Row],[2015]]*Emissionsfaktoren[[#This Row],[2015]]/1000, 0)</f>
        <v>0</v>
      </c>
      <c r="F201" s="15">
        <f>IF(ISNUMBER(Refsz_Verbräuche[[#This Row],[2016]]), Refsz_Verbräuche[[#This Row],[2016]]*Emissionsfaktoren[[#This Row],[2016]]/1000, 0)</f>
        <v>0</v>
      </c>
      <c r="G201" s="15">
        <f>IF(ISNUMBER(Refsz_Verbräuche[[#This Row],[2017]]), Refsz_Verbräuche[[#This Row],[2017]]*Emissionsfaktoren[[#This Row],[2017]]/1000, 0)</f>
        <v>0</v>
      </c>
      <c r="H201" s="15">
        <f>IF(ISNUMBER(Refsz_Verbräuche[[#This Row],[2018]]), Refsz_Verbräuche[[#This Row],[2018]]*Emissionsfaktoren[[#This Row],[2018]]/1000, 0)</f>
        <v>0</v>
      </c>
      <c r="I201" s="15">
        <f>IF(ISNUMBER(Refsz_Verbräuche[[#This Row],[2019]]), Refsz_Verbräuche[[#This Row],[2019]]*Emissionsfaktoren[[#This Row],[2019]]/1000, 0)</f>
        <v>0</v>
      </c>
      <c r="J201" s="15">
        <f>IF(ISNUMBER(Refsz_Verbräuche[[#This Row],[2020]]), Refsz_Verbräuche[[#This Row],[2020]]*Emissionsfaktoren[[#This Row],[2020]]/1000, 0)</f>
        <v>0</v>
      </c>
      <c r="K201" s="15">
        <f>IF(ISNUMBER(Refsz_Verbräuche[[#This Row],[2021]]), Refsz_Verbräuche[[#This Row],[2021]]*Emissionsfaktoren[[#This Row],[2021]]/1000, 0)</f>
        <v>0</v>
      </c>
      <c r="L201" s="15">
        <f>IF(ISNUMBER(Refsz_Verbräuche[[#This Row],[2022]]), Refsz_Verbräuche[[#This Row],[2022]]*Emissionsfaktoren[[#This Row],[2022]]/1000, 0)</f>
        <v>0</v>
      </c>
      <c r="M201" s="15">
        <f>IF(ISNUMBER(Refsz_Verbräuche[[#This Row],[2023]]), Refsz_Verbräuche[[#This Row],[2023]]*Emissionsfaktoren[[#This Row],[2023]]/1000, 0)</f>
        <v>0</v>
      </c>
      <c r="N201" s="15">
        <f>IF(ISNUMBER(Refsz_Verbräuche[[#This Row],[2024]]), Refsz_Verbräuche[[#This Row],[2024]]*Emissionsfaktoren[[#This Row],[2024]]/1000, 0)</f>
        <v>0</v>
      </c>
      <c r="O201" s="15">
        <f>IF(ISNUMBER(Refsz_Verbräuche[[#This Row],[2025]]), Refsz_Verbräuche[[#This Row],[2025]]*Emissionsfaktoren[[#This Row],[2025]]/1000, 0)</f>
        <v>0</v>
      </c>
      <c r="P201" s="15">
        <f>IF(ISNUMBER(Refsz_Verbräuche[[#This Row],[2026]]), Refsz_Verbräuche[[#This Row],[2026]]*Emissionsfaktoren[[#This Row],[2026]]/1000, 0)</f>
        <v>0</v>
      </c>
      <c r="Q201" s="15">
        <f>IF(ISNUMBER(Refsz_Verbräuche[[#This Row],[2027]]), Refsz_Verbräuche[[#This Row],[2027]]*Emissionsfaktoren[[#This Row],[2027]]/1000, 0)</f>
        <v>0</v>
      </c>
      <c r="R201" s="15">
        <f>IF(ISNUMBER(Refsz_Verbräuche[[#This Row],[2028]]), Refsz_Verbräuche[[#This Row],[2028]]*Emissionsfaktoren[[#This Row],[2028]]/1000, 0)</f>
        <v>0</v>
      </c>
      <c r="S201" s="15">
        <f>IF(ISNUMBER(Refsz_Verbräuche[[#This Row],[2029]]), Refsz_Verbräuche[[#This Row],[2029]]*Emissionsfaktoren[[#This Row],[2029]]/1000, 0)</f>
        <v>0</v>
      </c>
      <c r="T201" s="15">
        <f>IF(ISNUMBER(Refsz_Verbräuche[[#This Row],[2030]]), Refsz_Verbräuche[[#This Row],[2030]]*Emissionsfaktoren[[#This Row],[2030]]/1000, 0)</f>
        <v>0</v>
      </c>
      <c r="U201" s="15">
        <f>IF(ISNUMBER(Refsz_Verbräuche[[#This Row],[2035]]), Refsz_Verbräuche[[#This Row],[2035]]*Emissionsfaktoren[[#This Row],[2035]]/1000, 0)</f>
        <v>0</v>
      </c>
      <c r="V201" s="15">
        <f>IF(ISNUMBER(Refsz_Verbräuche[[#This Row],[2040]]), Refsz_Verbräuche[[#This Row],[2040]]*Emissionsfaktoren[[#This Row],[2040]]/1000, 0)</f>
        <v>0</v>
      </c>
      <c r="W201" s="15">
        <f>IF(ISNUMBER(Refsz_Verbräuche[[#This Row],[2045]]), Refsz_Verbräuche[[#This Row],[2045]]*Emissionsfaktoren[[#This Row],[2045]]/1000, 0)</f>
        <v>0</v>
      </c>
      <c r="X201" s="15">
        <f>IF(ISNUMBER(Refsz_Verbräuche[[#This Row],[2050]]), Refsz_Verbräuche[[#This Row],[2050]]*Emissionsfaktoren[[#This Row],[2050]]/1000, 0)</f>
        <v>0</v>
      </c>
    </row>
    <row r="202" spans="2:24" ht="16.5" hidden="1" x14ac:dyDescent="0.45">
      <c r="B202" s="15">
        <v>142</v>
      </c>
      <c r="C202" s="20" t="str">
        <f>Refsz_Verbräuche[[#This Row],[Datenpunkt]]</f>
        <v xml:space="preserve">Stahlbeton Fertigteil Treppe (1,1 m Breite, 9 Stufen a 16 cm) </v>
      </c>
      <c r="D202" t="s">
        <v>208</v>
      </c>
      <c r="E202" s="15">
        <f>IF(ISNUMBER(Refsz_Verbräuche[[#This Row],[2015]]), Refsz_Verbräuche[[#This Row],[2015]]*Emissionsfaktoren[[#This Row],[2015]]/1000, 0)</f>
        <v>0</v>
      </c>
      <c r="F202" s="15">
        <f>IF(ISNUMBER(Refsz_Verbräuche[[#This Row],[2016]]), Refsz_Verbräuche[[#This Row],[2016]]*Emissionsfaktoren[[#This Row],[2016]]/1000, 0)</f>
        <v>0</v>
      </c>
      <c r="G202" s="15">
        <f>IF(ISNUMBER(Refsz_Verbräuche[[#This Row],[2017]]), Refsz_Verbräuche[[#This Row],[2017]]*Emissionsfaktoren[[#This Row],[2017]]/1000, 0)</f>
        <v>0</v>
      </c>
      <c r="H202" s="15">
        <f>IF(ISNUMBER(Refsz_Verbräuche[[#This Row],[2018]]), Refsz_Verbräuche[[#This Row],[2018]]*Emissionsfaktoren[[#This Row],[2018]]/1000, 0)</f>
        <v>0</v>
      </c>
      <c r="I202" s="15">
        <f>IF(ISNUMBER(Refsz_Verbräuche[[#This Row],[2019]]), Refsz_Verbräuche[[#This Row],[2019]]*Emissionsfaktoren[[#This Row],[2019]]/1000, 0)</f>
        <v>0</v>
      </c>
      <c r="J202" s="15">
        <f>IF(ISNUMBER(Refsz_Verbräuche[[#This Row],[2020]]), Refsz_Verbräuche[[#This Row],[2020]]*Emissionsfaktoren[[#This Row],[2020]]/1000, 0)</f>
        <v>0</v>
      </c>
      <c r="K202" s="15">
        <f>IF(ISNUMBER(Refsz_Verbräuche[[#This Row],[2021]]), Refsz_Verbräuche[[#This Row],[2021]]*Emissionsfaktoren[[#This Row],[2021]]/1000, 0)</f>
        <v>0</v>
      </c>
      <c r="L202" s="15">
        <f>IF(ISNUMBER(Refsz_Verbräuche[[#This Row],[2022]]), Refsz_Verbräuche[[#This Row],[2022]]*Emissionsfaktoren[[#This Row],[2022]]/1000, 0)</f>
        <v>0</v>
      </c>
      <c r="M202" s="15">
        <f>IF(ISNUMBER(Refsz_Verbräuche[[#This Row],[2023]]), Refsz_Verbräuche[[#This Row],[2023]]*Emissionsfaktoren[[#This Row],[2023]]/1000, 0)</f>
        <v>0</v>
      </c>
      <c r="N202" s="15">
        <f>IF(ISNUMBER(Refsz_Verbräuche[[#This Row],[2024]]), Refsz_Verbräuche[[#This Row],[2024]]*Emissionsfaktoren[[#This Row],[2024]]/1000, 0)</f>
        <v>0</v>
      </c>
      <c r="O202" s="15">
        <f>IF(ISNUMBER(Refsz_Verbräuche[[#This Row],[2025]]), Refsz_Verbräuche[[#This Row],[2025]]*Emissionsfaktoren[[#This Row],[2025]]/1000, 0)</f>
        <v>0</v>
      </c>
      <c r="P202" s="15">
        <f>IF(ISNUMBER(Refsz_Verbräuche[[#This Row],[2026]]), Refsz_Verbräuche[[#This Row],[2026]]*Emissionsfaktoren[[#This Row],[2026]]/1000, 0)</f>
        <v>0</v>
      </c>
      <c r="Q202" s="15">
        <f>IF(ISNUMBER(Refsz_Verbräuche[[#This Row],[2027]]), Refsz_Verbräuche[[#This Row],[2027]]*Emissionsfaktoren[[#This Row],[2027]]/1000, 0)</f>
        <v>0</v>
      </c>
      <c r="R202" s="15">
        <f>IF(ISNUMBER(Refsz_Verbräuche[[#This Row],[2028]]), Refsz_Verbräuche[[#This Row],[2028]]*Emissionsfaktoren[[#This Row],[2028]]/1000, 0)</f>
        <v>0</v>
      </c>
      <c r="S202" s="15">
        <f>IF(ISNUMBER(Refsz_Verbräuche[[#This Row],[2029]]), Refsz_Verbräuche[[#This Row],[2029]]*Emissionsfaktoren[[#This Row],[2029]]/1000, 0)</f>
        <v>0</v>
      </c>
      <c r="T202" s="15">
        <f>IF(ISNUMBER(Refsz_Verbräuche[[#This Row],[2030]]), Refsz_Verbräuche[[#This Row],[2030]]*Emissionsfaktoren[[#This Row],[2030]]/1000, 0)</f>
        <v>0</v>
      </c>
      <c r="U202" s="15">
        <f>IF(ISNUMBER(Refsz_Verbräuche[[#This Row],[2035]]), Refsz_Verbräuche[[#This Row],[2035]]*Emissionsfaktoren[[#This Row],[2035]]/1000, 0)</f>
        <v>0</v>
      </c>
      <c r="V202" s="15">
        <f>IF(ISNUMBER(Refsz_Verbräuche[[#This Row],[2040]]), Refsz_Verbräuche[[#This Row],[2040]]*Emissionsfaktoren[[#This Row],[2040]]/1000, 0)</f>
        <v>0</v>
      </c>
      <c r="W202" s="15">
        <f>IF(ISNUMBER(Refsz_Verbräuche[[#This Row],[2045]]), Refsz_Verbräuche[[#This Row],[2045]]*Emissionsfaktoren[[#This Row],[2045]]/1000, 0)</f>
        <v>0</v>
      </c>
      <c r="X202" s="15">
        <f>IF(ISNUMBER(Refsz_Verbräuche[[#This Row],[2050]]), Refsz_Verbräuche[[#This Row],[2050]]*Emissionsfaktoren[[#This Row],[2050]]/1000, 0)</f>
        <v>0</v>
      </c>
    </row>
    <row r="203" spans="2:24" ht="16.5" hidden="1" x14ac:dyDescent="0.45">
      <c r="B203" s="15">
        <v>143</v>
      </c>
      <c r="C203" s="20" t="str">
        <f>Refsz_Verbräuche[[#This Row],[Datenpunkt]]</f>
        <v>Mineralwolle</v>
      </c>
      <c r="D203" t="s">
        <v>208</v>
      </c>
      <c r="E203" s="15">
        <f>IF(ISNUMBER(Refsz_Verbräuche[[#This Row],[2015]]), Refsz_Verbräuche[[#This Row],[2015]]*Emissionsfaktoren[[#This Row],[2015]]/1000, 0)</f>
        <v>0</v>
      </c>
      <c r="F203" s="15">
        <f>IF(ISNUMBER(Refsz_Verbräuche[[#This Row],[2016]]), Refsz_Verbräuche[[#This Row],[2016]]*Emissionsfaktoren[[#This Row],[2016]]/1000, 0)</f>
        <v>0</v>
      </c>
      <c r="G203" s="15">
        <f>IF(ISNUMBER(Refsz_Verbräuche[[#This Row],[2017]]), Refsz_Verbräuche[[#This Row],[2017]]*Emissionsfaktoren[[#This Row],[2017]]/1000, 0)</f>
        <v>0</v>
      </c>
      <c r="H203" s="15">
        <f>IF(ISNUMBER(Refsz_Verbräuche[[#This Row],[2018]]), Refsz_Verbräuche[[#This Row],[2018]]*Emissionsfaktoren[[#This Row],[2018]]/1000, 0)</f>
        <v>0</v>
      </c>
      <c r="I203" s="15">
        <f>IF(ISNUMBER(Refsz_Verbräuche[[#This Row],[2019]]), Refsz_Verbräuche[[#This Row],[2019]]*Emissionsfaktoren[[#This Row],[2019]]/1000, 0)</f>
        <v>0</v>
      </c>
      <c r="J203" s="15">
        <f>IF(ISNUMBER(Refsz_Verbräuche[[#This Row],[2020]]), Refsz_Verbräuche[[#This Row],[2020]]*Emissionsfaktoren[[#This Row],[2020]]/1000, 0)</f>
        <v>0</v>
      </c>
      <c r="K203" s="15">
        <f>IF(ISNUMBER(Refsz_Verbräuche[[#This Row],[2021]]), Refsz_Verbräuche[[#This Row],[2021]]*Emissionsfaktoren[[#This Row],[2021]]/1000, 0)</f>
        <v>0</v>
      </c>
      <c r="L203" s="15">
        <f>IF(ISNUMBER(Refsz_Verbräuche[[#This Row],[2022]]), Refsz_Verbräuche[[#This Row],[2022]]*Emissionsfaktoren[[#This Row],[2022]]/1000, 0)</f>
        <v>0</v>
      </c>
      <c r="M203" s="15">
        <f>IF(ISNUMBER(Refsz_Verbräuche[[#This Row],[2023]]), Refsz_Verbräuche[[#This Row],[2023]]*Emissionsfaktoren[[#This Row],[2023]]/1000, 0)</f>
        <v>0</v>
      </c>
      <c r="N203" s="15">
        <f>IF(ISNUMBER(Refsz_Verbräuche[[#This Row],[2024]]), Refsz_Verbräuche[[#This Row],[2024]]*Emissionsfaktoren[[#This Row],[2024]]/1000, 0)</f>
        <v>0</v>
      </c>
      <c r="O203" s="15">
        <f>IF(ISNUMBER(Refsz_Verbräuche[[#This Row],[2025]]), Refsz_Verbräuche[[#This Row],[2025]]*Emissionsfaktoren[[#This Row],[2025]]/1000, 0)</f>
        <v>0</v>
      </c>
      <c r="P203" s="15">
        <f>IF(ISNUMBER(Refsz_Verbräuche[[#This Row],[2026]]), Refsz_Verbräuche[[#This Row],[2026]]*Emissionsfaktoren[[#This Row],[2026]]/1000, 0)</f>
        <v>0</v>
      </c>
      <c r="Q203" s="15">
        <f>IF(ISNUMBER(Refsz_Verbräuche[[#This Row],[2027]]), Refsz_Verbräuche[[#This Row],[2027]]*Emissionsfaktoren[[#This Row],[2027]]/1000, 0)</f>
        <v>0</v>
      </c>
      <c r="R203" s="15">
        <f>IF(ISNUMBER(Refsz_Verbräuche[[#This Row],[2028]]), Refsz_Verbräuche[[#This Row],[2028]]*Emissionsfaktoren[[#This Row],[2028]]/1000, 0)</f>
        <v>0</v>
      </c>
      <c r="S203" s="15">
        <f>IF(ISNUMBER(Refsz_Verbräuche[[#This Row],[2029]]), Refsz_Verbräuche[[#This Row],[2029]]*Emissionsfaktoren[[#This Row],[2029]]/1000, 0)</f>
        <v>0</v>
      </c>
      <c r="T203" s="15">
        <f>IF(ISNUMBER(Refsz_Verbräuche[[#This Row],[2030]]), Refsz_Verbräuche[[#This Row],[2030]]*Emissionsfaktoren[[#This Row],[2030]]/1000, 0)</f>
        <v>0</v>
      </c>
      <c r="U203" s="15">
        <f>IF(ISNUMBER(Refsz_Verbräuche[[#This Row],[2035]]), Refsz_Verbräuche[[#This Row],[2035]]*Emissionsfaktoren[[#This Row],[2035]]/1000, 0)</f>
        <v>0</v>
      </c>
      <c r="V203" s="15">
        <f>IF(ISNUMBER(Refsz_Verbräuche[[#This Row],[2040]]), Refsz_Verbräuche[[#This Row],[2040]]*Emissionsfaktoren[[#This Row],[2040]]/1000, 0)</f>
        <v>0</v>
      </c>
      <c r="W203" s="15">
        <f>IF(ISNUMBER(Refsz_Verbräuche[[#This Row],[2045]]), Refsz_Verbräuche[[#This Row],[2045]]*Emissionsfaktoren[[#This Row],[2045]]/1000, 0)</f>
        <v>0</v>
      </c>
      <c r="X203" s="15">
        <f>IF(ISNUMBER(Refsz_Verbräuche[[#This Row],[2050]]), Refsz_Verbräuche[[#This Row],[2050]]*Emissionsfaktoren[[#This Row],[2050]]/1000, 0)</f>
        <v>0</v>
      </c>
    </row>
    <row r="204" spans="2:24" ht="16.5" hidden="1" x14ac:dyDescent="0.45">
      <c r="B204" s="15">
        <v>144</v>
      </c>
      <c r="C204" s="20" t="str">
        <f>Refsz_Verbräuche[[#This Row],[Datenpunkt]]</f>
        <v>Mauerziegel (ungefüllt)</v>
      </c>
      <c r="D204" t="s">
        <v>208</v>
      </c>
      <c r="E204" s="15">
        <f>IF(ISNUMBER(Refsz_Verbräuche[[#This Row],[2015]]), Refsz_Verbräuche[[#This Row],[2015]]*Emissionsfaktoren[[#This Row],[2015]]/1000, 0)</f>
        <v>0</v>
      </c>
      <c r="F204" s="15">
        <f>IF(ISNUMBER(Refsz_Verbräuche[[#This Row],[2016]]), Refsz_Verbräuche[[#This Row],[2016]]*Emissionsfaktoren[[#This Row],[2016]]/1000, 0)</f>
        <v>0</v>
      </c>
      <c r="G204" s="15">
        <f>IF(ISNUMBER(Refsz_Verbräuche[[#This Row],[2017]]), Refsz_Verbräuche[[#This Row],[2017]]*Emissionsfaktoren[[#This Row],[2017]]/1000, 0)</f>
        <v>0</v>
      </c>
      <c r="H204" s="15">
        <f>IF(ISNUMBER(Refsz_Verbräuche[[#This Row],[2018]]), Refsz_Verbräuche[[#This Row],[2018]]*Emissionsfaktoren[[#This Row],[2018]]/1000, 0)</f>
        <v>0</v>
      </c>
      <c r="I204" s="15">
        <f>IF(ISNUMBER(Refsz_Verbräuche[[#This Row],[2019]]), Refsz_Verbräuche[[#This Row],[2019]]*Emissionsfaktoren[[#This Row],[2019]]/1000, 0)</f>
        <v>0</v>
      </c>
      <c r="J204" s="15">
        <f>IF(ISNUMBER(Refsz_Verbräuche[[#This Row],[2020]]), Refsz_Verbräuche[[#This Row],[2020]]*Emissionsfaktoren[[#This Row],[2020]]/1000, 0)</f>
        <v>0</v>
      </c>
      <c r="K204" s="15">
        <f>IF(ISNUMBER(Refsz_Verbräuche[[#This Row],[2021]]), Refsz_Verbräuche[[#This Row],[2021]]*Emissionsfaktoren[[#This Row],[2021]]/1000, 0)</f>
        <v>0</v>
      </c>
      <c r="L204" s="15">
        <f>IF(ISNUMBER(Refsz_Verbräuche[[#This Row],[2022]]), Refsz_Verbräuche[[#This Row],[2022]]*Emissionsfaktoren[[#This Row],[2022]]/1000, 0)</f>
        <v>0</v>
      </c>
      <c r="M204" s="15">
        <f>IF(ISNUMBER(Refsz_Verbräuche[[#This Row],[2023]]), Refsz_Verbräuche[[#This Row],[2023]]*Emissionsfaktoren[[#This Row],[2023]]/1000, 0)</f>
        <v>0</v>
      </c>
      <c r="N204" s="15">
        <f>IF(ISNUMBER(Refsz_Verbräuche[[#This Row],[2024]]), Refsz_Verbräuche[[#This Row],[2024]]*Emissionsfaktoren[[#This Row],[2024]]/1000, 0)</f>
        <v>0</v>
      </c>
      <c r="O204" s="15">
        <f>IF(ISNUMBER(Refsz_Verbräuche[[#This Row],[2025]]), Refsz_Verbräuche[[#This Row],[2025]]*Emissionsfaktoren[[#This Row],[2025]]/1000, 0)</f>
        <v>0</v>
      </c>
      <c r="P204" s="15">
        <f>IF(ISNUMBER(Refsz_Verbräuche[[#This Row],[2026]]), Refsz_Verbräuche[[#This Row],[2026]]*Emissionsfaktoren[[#This Row],[2026]]/1000, 0)</f>
        <v>0</v>
      </c>
      <c r="Q204" s="15">
        <f>IF(ISNUMBER(Refsz_Verbräuche[[#This Row],[2027]]), Refsz_Verbräuche[[#This Row],[2027]]*Emissionsfaktoren[[#This Row],[2027]]/1000, 0)</f>
        <v>0</v>
      </c>
      <c r="R204" s="15">
        <f>IF(ISNUMBER(Refsz_Verbräuche[[#This Row],[2028]]), Refsz_Verbräuche[[#This Row],[2028]]*Emissionsfaktoren[[#This Row],[2028]]/1000, 0)</f>
        <v>0</v>
      </c>
      <c r="S204" s="15">
        <f>IF(ISNUMBER(Refsz_Verbräuche[[#This Row],[2029]]), Refsz_Verbräuche[[#This Row],[2029]]*Emissionsfaktoren[[#This Row],[2029]]/1000, 0)</f>
        <v>0</v>
      </c>
      <c r="T204" s="15">
        <f>IF(ISNUMBER(Refsz_Verbräuche[[#This Row],[2030]]), Refsz_Verbräuche[[#This Row],[2030]]*Emissionsfaktoren[[#This Row],[2030]]/1000, 0)</f>
        <v>0</v>
      </c>
      <c r="U204" s="15">
        <f>IF(ISNUMBER(Refsz_Verbräuche[[#This Row],[2035]]), Refsz_Verbräuche[[#This Row],[2035]]*Emissionsfaktoren[[#This Row],[2035]]/1000, 0)</f>
        <v>0</v>
      </c>
      <c r="V204" s="15">
        <f>IF(ISNUMBER(Refsz_Verbräuche[[#This Row],[2040]]), Refsz_Verbräuche[[#This Row],[2040]]*Emissionsfaktoren[[#This Row],[2040]]/1000, 0)</f>
        <v>0</v>
      </c>
      <c r="W204" s="15">
        <f>IF(ISNUMBER(Refsz_Verbräuche[[#This Row],[2045]]), Refsz_Verbräuche[[#This Row],[2045]]*Emissionsfaktoren[[#This Row],[2045]]/1000, 0)</f>
        <v>0</v>
      </c>
      <c r="X204" s="15">
        <f>IF(ISNUMBER(Refsz_Verbräuche[[#This Row],[2050]]), Refsz_Verbräuche[[#This Row],[2050]]*Emissionsfaktoren[[#This Row],[2050]]/1000, 0)</f>
        <v>0</v>
      </c>
    </row>
    <row r="205" spans="2:24" ht="16.5" hidden="1" x14ac:dyDescent="0.45">
      <c r="B205" s="15">
        <v>145</v>
      </c>
      <c r="C205" s="20">
        <f>Refsz_Verbräuche[[#This Row],[Datenpunkt]]</f>
        <v>0</v>
      </c>
      <c r="D205" t="s">
        <v>208</v>
      </c>
      <c r="E205" s="15">
        <f>IF(ISNUMBER(Refsz_Verbräuche[[#This Row],[2015]]), Refsz_Verbräuche[[#This Row],[2015]]*Emissionsfaktoren[[#This Row],[2015]]/1000, 0)</f>
        <v>0</v>
      </c>
      <c r="F205" s="15">
        <f>IF(ISNUMBER(Refsz_Verbräuche[[#This Row],[2016]]), Refsz_Verbräuche[[#This Row],[2016]]*Emissionsfaktoren[[#This Row],[2016]]/1000, 0)</f>
        <v>0</v>
      </c>
      <c r="G205" s="15">
        <f>IF(ISNUMBER(Refsz_Verbräuche[[#This Row],[2017]]), Refsz_Verbräuche[[#This Row],[2017]]*Emissionsfaktoren[[#This Row],[2017]]/1000, 0)</f>
        <v>0</v>
      </c>
      <c r="H205" s="15">
        <f>IF(ISNUMBER(Refsz_Verbräuche[[#This Row],[2018]]), Refsz_Verbräuche[[#This Row],[2018]]*Emissionsfaktoren[[#This Row],[2018]]/1000, 0)</f>
        <v>0</v>
      </c>
      <c r="I205" s="15">
        <f>IF(ISNUMBER(Refsz_Verbräuche[[#This Row],[2019]]), Refsz_Verbräuche[[#This Row],[2019]]*Emissionsfaktoren[[#This Row],[2019]]/1000, 0)</f>
        <v>0</v>
      </c>
      <c r="J205" s="15">
        <f>IF(ISNUMBER(Refsz_Verbräuche[[#This Row],[2020]]), Refsz_Verbräuche[[#This Row],[2020]]*Emissionsfaktoren[[#This Row],[2020]]/1000, 0)</f>
        <v>0</v>
      </c>
      <c r="K205" s="15">
        <f>IF(ISNUMBER(Refsz_Verbräuche[[#This Row],[2021]]), Refsz_Verbräuche[[#This Row],[2021]]*Emissionsfaktoren[[#This Row],[2021]]/1000, 0)</f>
        <v>0</v>
      </c>
      <c r="L205" s="15">
        <f>IF(ISNUMBER(Refsz_Verbräuche[[#This Row],[2022]]), Refsz_Verbräuche[[#This Row],[2022]]*Emissionsfaktoren[[#This Row],[2022]]/1000, 0)</f>
        <v>0</v>
      </c>
      <c r="M205" s="15">
        <f>IF(ISNUMBER(Refsz_Verbräuche[[#This Row],[2023]]), Refsz_Verbräuche[[#This Row],[2023]]*Emissionsfaktoren[[#This Row],[2023]]/1000, 0)</f>
        <v>0</v>
      </c>
      <c r="N205" s="15">
        <f>IF(ISNUMBER(Refsz_Verbräuche[[#This Row],[2024]]), Refsz_Verbräuche[[#This Row],[2024]]*Emissionsfaktoren[[#This Row],[2024]]/1000, 0)</f>
        <v>0</v>
      </c>
      <c r="O205" s="15">
        <f>IF(ISNUMBER(Refsz_Verbräuche[[#This Row],[2025]]), Refsz_Verbräuche[[#This Row],[2025]]*Emissionsfaktoren[[#This Row],[2025]]/1000, 0)</f>
        <v>0</v>
      </c>
      <c r="P205" s="15">
        <f>IF(ISNUMBER(Refsz_Verbräuche[[#This Row],[2026]]), Refsz_Verbräuche[[#This Row],[2026]]*Emissionsfaktoren[[#This Row],[2026]]/1000, 0)</f>
        <v>0</v>
      </c>
      <c r="Q205" s="15">
        <f>IF(ISNUMBER(Refsz_Verbräuche[[#This Row],[2027]]), Refsz_Verbräuche[[#This Row],[2027]]*Emissionsfaktoren[[#This Row],[2027]]/1000, 0)</f>
        <v>0</v>
      </c>
      <c r="R205" s="15">
        <f>IF(ISNUMBER(Refsz_Verbräuche[[#This Row],[2028]]), Refsz_Verbräuche[[#This Row],[2028]]*Emissionsfaktoren[[#This Row],[2028]]/1000, 0)</f>
        <v>0</v>
      </c>
      <c r="S205" s="15">
        <f>IF(ISNUMBER(Refsz_Verbräuche[[#This Row],[2029]]), Refsz_Verbräuche[[#This Row],[2029]]*Emissionsfaktoren[[#This Row],[2029]]/1000, 0)</f>
        <v>0</v>
      </c>
      <c r="T205" s="15">
        <f>IF(ISNUMBER(Refsz_Verbräuche[[#This Row],[2030]]), Refsz_Verbräuche[[#This Row],[2030]]*Emissionsfaktoren[[#This Row],[2030]]/1000, 0)</f>
        <v>0</v>
      </c>
      <c r="U205" s="15">
        <f>IF(ISNUMBER(Refsz_Verbräuche[[#This Row],[2035]]), Refsz_Verbräuche[[#This Row],[2035]]*Emissionsfaktoren[[#This Row],[2035]]/1000, 0)</f>
        <v>0</v>
      </c>
      <c r="V205" s="15">
        <f>IF(ISNUMBER(Refsz_Verbräuche[[#This Row],[2040]]), Refsz_Verbräuche[[#This Row],[2040]]*Emissionsfaktoren[[#This Row],[2040]]/1000, 0)</f>
        <v>0</v>
      </c>
      <c r="W205" s="15">
        <f>IF(ISNUMBER(Refsz_Verbräuche[[#This Row],[2045]]), Refsz_Verbräuche[[#This Row],[2045]]*Emissionsfaktoren[[#This Row],[2045]]/1000, 0)</f>
        <v>0</v>
      </c>
      <c r="X205" s="15">
        <f>IF(ISNUMBER(Refsz_Verbräuche[[#This Row],[2050]]), Refsz_Verbräuche[[#This Row],[2050]]*Emissionsfaktoren[[#This Row],[2050]]/1000, 0)</f>
        <v>0</v>
      </c>
    </row>
    <row r="206" spans="2:24" ht="16.5" hidden="1" x14ac:dyDescent="0.45">
      <c r="B206" s="15">
        <v>146</v>
      </c>
      <c r="C206" s="20" t="str">
        <f>Refsz_Verbräuche[[#This Row],[Datenpunkt]]</f>
        <v>Holzfaserdämmpatte (flexibe Matte)</v>
      </c>
      <c r="D206" t="s">
        <v>208</v>
      </c>
      <c r="E206" s="15">
        <f>IF(ISNUMBER(Refsz_Verbräuche[[#This Row],[2015]]), Refsz_Verbräuche[[#This Row],[2015]]*Emissionsfaktoren[[#This Row],[2015]]/1000, 0)</f>
        <v>0</v>
      </c>
      <c r="F206" s="15">
        <f>IF(ISNUMBER(Refsz_Verbräuche[[#This Row],[2016]]), Refsz_Verbräuche[[#This Row],[2016]]*Emissionsfaktoren[[#This Row],[2016]]/1000, 0)</f>
        <v>0</v>
      </c>
      <c r="G206" s="15">
        <f>IF(ISNUMBER(Refsz_Verbräuche[[#This Row],[2017]]), Refsz_Verbräuche[[#This Row],[2017]]*Emissionsfaktoren[[#This Row],[2017]]/1000, 0)</f>
        <v>0</v>
      </c>
      <c r="H206" s="15">
        <f>IF(ISNUMBER(Refsz_Verbräuche[[#This Row],[2018]]), Refsz_Verbräuche[[#This Row],[2018]]*Emissionsfaktoren[[#This Row],[2018]]/1000, 0)</f>
        <v>0</v>
      </c>
      <c r="I206" s="15">
        <f>IF(ISNUMBER(Refsz_Verbräuche[[#This Row],[2019]]), Refsz_Verbräuche[[#This Row],[2019]]*Emissionsfaktoren[[#This Row],[2019]]/1000, 0)</f>
        <v>0</v>
      </c>
      <c r="J206" s="15">
        <f>IF(ISNUMBER(Refsz_Verbräuche[[#This Row],[2020]]), Refsz_Verbräuche[[#This Row],[2020]]*Emissionsfaktoren[[#This Row],[2020]]/1000, 0)</f>
        <v>0</v>
      </c>
      <c r="K206" s="15">
        <f>IF(ISNUMBER(Refsz_Verbräuche[[#This Row],[2021]]), Refsz_Verbräuche[[#This Row],[2021]]*Emissionsfaktoren[[#This Row],[2021]]/1000, 0)</f>
        <v>0</v>
      </c>
      <c r="L206" s="15">
        <f>IF(ISNUMBER(Refsz_Verbräuche[[#This Row],[2022]]), Refsz_Verbräuche[[#This Row],[2022]]*Emissionsfaktoren[[#This Row],[2022]]/1000, 0)</f>
        <v>0</v>
      </c>
      <c r="M206" s="15">
        <f>IF(ISNUMBER(Refsz_Verbräuche[[#This Row],[2023]]), Refsz_Verbräuche[[#This Row],[2023]]*Emissionsfaktoren[[#This Row],[2023]]/1000, 0)</f>
        <v>0</v>
      </c>
      <c r="N206" s="15">
        <f>IF(ISNUMBER(Refsz_Verbräuche[[#This Row],[2024]]), Refsz_Verbräuche[[#This Row],[2024]]*Emissionsfaktoren[[#This Row],[2024]]/1000, 0)</f>
        <v>0</v>
      </c>
      <c r="O206" s="15">
        <f>IF(ISNUMBER(Refsz_Verbräuche[[#This Row],[2025]]), Refsz_Verbräuche[[#This Row],[2025]]*Emissionsfaktoren[[#This Row],[2025]]/1000, 0)</f>
        <v>0</v>
      </c>
      <c r="P206" s="15">
        <f>IF(ISNUMBER(Refsz_Verbräuche[[#This Row],[2026]]), Refsz_Verbräuche[[#This Row],[2026]]*Emissionsfaktoren[[#This Row],[2026]]/1000, 0)</f>
        <v>0</v>
      </c>
      <c r="Q206" s="15">
        <f>IF(ISNUMBER(Refsz_Verbräuche[[#This Row],[2027]]), Refsz_Verbräuche[[#This Row],[2027]]*Emissionsfaktoren[[#This Row],[2027]]/1000, 0)</f>
        <v>0</v>
      </c>
      <c r="R206" s="15">
        <f>IF(ISNUMBER(Refsz_Verbräuche[[#This Row],[2028]]), Refsz_Verbräuche[[#This Row],[2028]]*Emissionsfaktoren[[#This Row],[2028]]/1000, 0)</f>
        <v>0</v>
      </c>
      <c r="S206" s="15">
        <f>IF(ISNUMBER(Refsz_Verbräuche[[#This Row],[2029]]), Refsz_Verbräuche[[#This Row],[2029]]*Emissionsfaktoren[[#This Row],[2029]]/1000, 0)</f>
        <v>0</v>
      </c>
      <c r="T206" s="15">
        <f>IF(ISNUMBER(Refsz_Verbräuche[[#This Row],[2030]]), Refsz_Verbräuche[[#This Row],[2030]]*Emissionsfaktoren[[#This Row],[2030]]/1000, 0)</f>
        <v>0</v>
      </c>
      <c r="U206" s="15">
        <f>IF(ISNUMBER(Refsz_Verbräuche[[#This Row],[2035]]), Refsz_Verbräuche[[#This Row],[2035]]*Emissionsfaktoren[[#This Row],[2035]]/1000, 0)</f>
        <v>0</v>
      </c>
      <c r="V206" s="15">
        <f>IF(ISNUMBER(Refsz_Verbräuche[[#This Row],[2040]]), Refsz_Verbräuche[[#This Row],[2040]]*Emissionsfaktoren[[#This Row],[2040]]/1000, 0)</f>
        <v>0</v>
      </c>
      <c r="W206" s="15">
        <f>IF(ISNUMBER(Refsz_Verbräuche[[#This Row],[2045]]), Refsz_Verbräuche[[#This Row],[2045]]*Emissionsfaktoren[[#This Row],[2045]]/1000, 0)</f>
        <v>0</v>
      </c>
      <c r="X206" s="15">
        <f>IF(ISNUMBER(Refsz_Verbräuche[[#This Row],[2050]]), Refsz_Verbräuche[[#This Row],[2050]]*Emissionsfaktoren[[#This Row],[2050]]/1000, 0)</f>
        <v>0</v>
      </c>
    </row>
    <row r="207" spans="2:24" ht="16.5" hidden="1" x14ac:dyDescent="0.45">
      <c r="B207" s="15">
        <v>147</v>
      </c>
      <c r="C207" s="20">
        <f>Refsz_Verbräuche[[#This Row],[Datenpunkt]]</f>
        <v>0</v>
      </c>
      <c r="D207" t="s">
        <v>208</v>
      </c>
      <c r="E207" s="15">
        <f>IF(ISNUMBER(Refsz_Verbräuche[[#This Row],[2015]]), Refsz_Verbräuche[[#This Row],[2015]]*Emissionsfaktoren[[#This Row],[2015]]/1000, 0)</f>
        <v>0</v>
      </c>
      <c r="F207" s="15">
        <f>IF(ISNUMBER(Refsz_Verbräuche[[#This Row],[2016]]), Refsz_Verbräuche[[#This Row],[2016]]*Emissionsfaktoren[[#This Row],[2016]]/1000, 0)</f>
        <v>0</v>
      </c>
      <c r="G207" s="15">
        <f>IF(ISNUMBER(Refsz_Verbräuche[[#This Row],[2017]]), Refsz_Verbräuche[[#This Row],[2017]]*Emissionsfaktoren[[#This Row],[2017]]/1000, 0)</f>
        <v>0</v>
      </c>
      <c r="H207" s="15">
        <f>IF(ISNUMBER(Refsz_Verbräuche[[#This Row],[2018]]), Refsz_Verbräuche[[#This Row],[2018]]*Emissionsfaktoren[[#This Row],[2018]]/1000, 0)</f>
        <v>0</v>
      </c>
      <c r="I207" s="15">
        <f>IF(ISNUMBER(Refsz_Verbräuche[[#This Row],[2019]]), Refsz_Verbräuche[[#This Row],[2019]]*Emissionsfaktoren[[#This Row],[2019]]/1000, 0)</f>
        <v>0</v>
      </c>
      <c r="J207" s="15">
        <f>IF(ISNUMBER(Refsz_Verbräuche[[#This Row],[2020]]), Refsz_Verbräuche[[#This Row],[2020]]*Emissionsfaktoren[[#This Row],[2020]]/1000, 0)</f>
        <v>0</v>
      </c>
      <c r="K207" s="15">
        <f>IF(ISNUMBER(Refsz_Verbräuche[[#This Row],[2021]]), Refsz_Verbräuche[[#This Row],[2021]]*Emissionsfaktoren[[#This Row],[2021]]/1000, 0)</f>
        <v>0</v>
      </c>
      <c r="L207" s="15">
        <f>IF(ISNUMBER(Refsz_Verbräuche[[#This Row],[2022]]), Refsz_Verbräuche[[#This Row],[2022]]*Emissionsfaktoren[[#This Row],[2022]]/1000, 0)</f>
        <v>0</v>
      </c>
      <c r="M207" s="15">
        <f>IF(ISNUMBER(Refsz_Verbräuche[[#This Row],[2023]]), Refsz_Verbräuche[[#This Row],[2023]]*Emissionsfaktoren[[#This Row],[2023]]/1000, 0)</f>
        <v>0</v>
      </c>
      <c r="N207" s="15">
        <f>IF(ISNUMBER(Refsz_Verbräuche[[#This Row],[2024]]), Refsz_Verbräuche[[#This Row],[2024]]*Emissionsfaktoren[[#This Row],[2024]]/1000, 0)</f>
        <v>0</v>
      </c>
      <c r="O207" s="15">
        <f>IF(ISNUMBER(Refsz_Verbräuche[[#This Row],[2025]]), Refsz_Verbräuche[[#This Row],[2025]]*Emissionsfaktoren[[#This Row],[2025]]/1000, 0)</f>
        <v>0</v>
      </c>
      <c r="P207" s="15">
        <f>IF(ISNUMBER(Refsz_Verbräuche[[#This Row],[2026]]), Refsz_Verbräuche[[#This Row],[2026]]*Emissionsfaktoren[[#This Row],[2026]]/1000, 0)</f>
        <v>0</v>
      </c>
      <c r="Q207" s="15">
        <f>IF(ISNUMBER(Refsz_Verbräuche[[#This Row],[2027]]), Refsz_Verbräuche[[#This Row],[2027]]*Emissionsfaktoren[[#This Row],[2027]]/1000, 0)</f>
        <v>0</v>
      </c>
      <c r="R207" s="15">
        <f>IF(ISNUMBER(Refsz_Verbräuche[[#This Row],[2028]]), Refsz_Verbräuche[[#This Row],[2028]]*Emissionsfaktoren[[#This Row],[2028]]/1000, 0)</f>
        <v>0</v>
      </c>
      <c r="S207" s="15">
        <f>IF(ISNUMBER(Refsz_Verbräuche[[#This Row],[2029]]), Refsz_Verbräuche[[#This Row],[2029]]*Emissionsfaktoren[[#This Row],[2029]]/1000, 0)</f>
        <v>0</v>
      </c>
      <c r="T207" s="15">
        <f>IF(ISNUMBER(Refsz_Verbräuche[[#This Row],[2030]]), Refsz_Verbräuche[[#This Row],[2030]]*Emissionsfaktoren[[#This Row],[2030]]/1000, 0)</f>
        <v>0</v>
      </c>
      <c r="U207" s="15">
        <f>IF(ISNUMBER(Refsz_Verbräuche[[#This Row],[2035]]), Refsz_Verbräuche[[#This Row],[2035]]*Emissionsfaktoren[[#This Row],[2035]]/1000, 0)</f>
        <v>0</v>
      </c>
      <c r="V207" s="15">
        <f>IF(ISNUMBER(Refsz_Verbräuche[[#This Row],[2040]]), Refsz_Verbräuche[[#This Row],[2040]]*Emissionsfaktoren[[#This Row],[2040]]/1000, 0)</f>
        <v>0</v>
      </c>
      <c r="W207" s="15">
        <f>IF(ISNUMBER(Refsz_Verbräuche[[#This Row],[2045]]), Refsz_Verbräuche[[#This Row],[2045]]*Emissionsfaktoren[[#This Row],[2045]]/1000, 0)</f>
        <v>0</v>
      </c>
      <c r="X207" s="15">
        <f>IF(ISNUMBER(Refsz_Verbräuche[[#This Row],[2050]]), Refsz_Verbräuche[[#This Row],[2050]]*Emissionsfaktoren[[#This Row],[2050]]/1000, 0)</f>
        <v>0</v>
      </c>
    </row>
    <row r="208" spans="2:24" ht="16.5" hidden="1" x14ac:dyDescent="0.45">
      <c r="B208" s="15">
        <v>148</v>
      </c>
      <c r="C208" s="20" t="str">
        <f>Refsz_Verbräuche[[#This Row],[Datenpunkt]]</f>
        <v>Kompensation</v>
      </c>
      <c r="D208" t="s">
        <v>208</v>
      </c>
      <c r="E208" s="15">
        <f>IF(ISNUMBER(Refsz_Verbräuche[[#This Row],[2015]]), Refsz_Verbräuche[[#This Row],[2015]]*Emissionsfaktoren[[#This Row],[2015]]/1000, 0)</f>
        <v>0</v>
      </c>
      <c r="F208" s="15">
        <f>IF(ISNUMBER(Refsz_Verbräuche[[#This Row],[2016]]), Refsz_Verbräuche[[#This Row],[2016]]*Emissionsfaktoren[[#This Row],[2016]]/1000, 0)</f>
        <v>0</v>
      </c>
      <c r="G208" s="15">
        <f>IF(ISNUMBER(Refsz_Verbräuche[[#This Row],[2017]]), Refsz_Verbräuche[[#This Row],[2017]]*Emissionsfaktoren[[#This Row],[2017]]/1000, 0)</f>
        <v>0</v>
      </c>
      <c r="H208" s="15">
        <f>IF(ISNUMBER(Refsz_Verbräuche[[#This Row],[2018]]), Refsz_Verbräuche[[#This Row],[2018]]*Emissionsfaktoren[[#This Row],[2018]]/1000, 0)</f>
        <v>0</v>
      </c>
      <c r="I208" s="15">
        <f>IF(ISNUMBER(Refsz_Verbräuche[[#This Row],[2019]]), Refsz_Verbräuche[[#This Row],[2019]]*Emissionsfaktoren[[#This Row],[2019]]/1000, 0)</f>
        <v>0</v>
      </c>
      <c r="J208" s="15">
        <f>IF(ISNUMBER(Refsz_Verbräuche[[#This Row],[2020]]), Refsz_Verbräuche[[#This Row],[2020]]*Emissionsfaktoren[[#This Row],[2020]]/1000, 0)</f>
        <v>0</v>
      </c>
      <c r="K208" s="15">
        <f>IF(ISNUMBER(Refsz_Verbräuche[[#This Row],[2021]]), Refsz_Verbräuche[[#This Row],[2021]]*Emissionsfaktoren[[#This Row],[2021]]/1000, 0)</f>
        <v>0</v>
      </c>
      <c r="L208" s="15">
        <f>IF(ISNUMBER(Refsz_Verbräuche[[#This Row],[2022]]), Refsz_Verbräuche[[#This Row],[2022]]*Emissionsfaktoren[[#This Row],[2022]]/1000, 0)</f>
        <v>0</v>
      </c>
      <c r="M208" s="15">
        <f>IF(ISNUMBER(Refsz_Verbräuche[[#This Row],[2023]]), Refsz_Verbräuche[[#This Row],[2023]]*Emissionsfaktoren[[#This Row],[2023]]/1000, 0)</f>
        <v>0</v>
      </c>
      <c r="N208" s="15">
        <f>IF(ISNUMBER(Refsz_Verbräuche[[#This Row],[2024]]), Refsz_Verbräuche[[#This Row],[2024]]*Emissionsfaktoren[[#This Row],[2024]]/1000, 0)</f>
        <v>0</v>
      </c>
      <c r="O208" s="15">
        <f>IF(ISNUMBER(Refsz_Verbräuche[[#This Row],[2025]]), Refsz_Verbräuche[[#This Row],[2025]]*Emissionsfaktoren[[#This Row],[2025]]/1000, 0)</f>
        <v>0</v>
      </c>
      <c r="P208" s="15">
        <f>IF(ISNUMBER(Refsz_Verbräuche[[#This Row],[2026]]), Refsz_Verbräuche[[#This Row],[2026]]*Emissionsfaktoren[[#This Row],[2026]]/1000, 0)</f>
        <v>0</v>
      </c>
      <c r="Q208" s="15">
        <f>IF(ISNUMBER(Refsz_Verbräuche[[#This Row],[2027]]), Refsz_Verbräuche[[#This Row],[2027]]*Emissionsfaktoren[[#This Row],[2027]]/1000, 0)</f>
        <v>0</v>
      </c>
      <c r="R208" s="15">
        <f>IF(ISNUMBER(Refsz_Verbräuche[[#This Row],[2028]]), Refsz_Verbräuche[[#This Row],[2028]]*Emissionsfaktoren[[#This Row],[2028]]/1000, 0)</f>
        <v>0</v>
      </c>
      <c r="S208" s="15">
        <f>IF(ISNUMBER(Refsz_Verbräuche[[#This Row],[2029]]), Refsz_Verbräuche[[#This Row],[2029]]*Emissionsfaktoren[[#This Row],[2029]]/1000, 0)</f>
        <v>0</v>
      </c>
      <c r="T208" s="15">
        <f>IF(ISNUMBER(Refsz_Verbräuche[[#This Row],[2030]]), Refsz_Verbräuche[[#This Row],[2030]]*Emissionsfaktoren[[#This Row],[2030]]/1000, 0)</f>
        <v>0</v>
      </c>
      <c r="U208" s="15">
        <f>IF(ISNUMBER(Refsz_Verbräuche[[#This Row],[2035]]), Refsz_Verbräuche[[#This Row],[2035]]*Emissionsfaktoren[[#This Row],[2035]]/1000, 0)</f>
        <v>0</v>
      </c>
      <c r="V208" s="15">
        <f>IF(ISNUMBER(Refsz_Verbräuche[[#This Row],[2040]]), Refsz_Verbräuche[[#This Row],[2040]]*Emissionsfaktoren[[#This Row],[2040]]/1000, 0)</f>
        <v>0</v>
      </c>
      <c r="W208" s="15">
        <f>IF(ISNUMBER(Refsz_Verbräuche[[#This Row],[2045]]), Refsz_Verbräuche[[#This Row],[2045]]*Emissionsfaktoren[[#This Row],[2045]]/1000, 0)</f>
        <v>0</v>
      </c>
      <c r="X208" s="15">
        <f>IF(ISNUMBER(Refsz_Verbräuche[[#This Row],[2050]]), Refsz_Verbräuche[[#This Row],[2050]]*Emissionsfaktoren[[#This Row],[2050]]/1000, 0)</f>
        <v>0</v>
      </c>
    </row>
    <row r="209" spans="2:24" ht="16.5" hidden="1" x14ac:dyDescent="0.45">
      <c r="B209" s="15">
        <v>149</v>
      </c>
      <c r="C209" s="20">
        <f>Refsz_Verbräuche[[#This Row],[Datenpunkt]]</f>
        <v>0</v>
      </c>
      <c r="D209" t="s">
        <v>208</v>
      </c>
      <c r="E209" s="15">
        <f>IF(ISNUMBER(Refsz_Verbräuche[[#This Row],[2015]]), Refsz_Verbräuche[[#This Row],[2015]]*Emissionsfaktoren[[#This Row],[2015]]/1000, 0)</f>
        <v>0</v>
      </c>
      <c r="F209" s="15">
        <f>IF(ISNUMBER(Refsz_Verbräuche[[#This Row],[2016]]), Refsz_Verbräuche[[#This Row],[2016]]*Emissionsfaktoren[[#This Row],[2016]]/1000, 0)</f>
        <v>0</v>
      </c>
      <c r="G209" s="15">
        <f>IF(ISNUMBER(Refsz_Verbräuche[[#This Row],[2017]]), Refsz_Verbräuche[[#This Row],[2017]]*Emissionsfaktoren[[#This Row],[2017]]/1000, 0)</f>
        <v>0</v>
      </c>
      <c r="H209" s="15">
        <f>IF(ISNUMBER(Refsz_Verbräuche[[#This Row],[2018]]), Refsz_Verbräuche[[#This Row],[2018]]*Emissionsfaktoren[[#This Row],[2018]]/1000, 0)</f>
        <v>0</v>
      </c>
      <c r="I209" s="15">
        <f>IF(ISNUMBER(Refsz_Verbräuche[[#This Row],[2019]]), Refsz_Verbräuche[[#This Row],[2019]]*Emissionsfaktoren[[#This Row],[2019]]/1000, 0)</f>
        <v>0</v>
      </c>
      <c r="J209" s="15">
        <f>IF(ISNUMBER(Refsz_Verbräuche[[#This Row],[2020]]), Refsz_Verbräuche[[#This Row],[2020]]*Emissionsfaktoren[[#This Row],[2020]]/1000, 0)</f>
        <v>0</v>
      </c>
      <c r="K209" s="15">
        <f>IF(ISNUMBER(Refsz_Verbräuche[[#This Row],[2021]]), Refsz_Verbräuche[[#This Row],[2021]]*Emissionsfaktoren[[#This Row],[2021]]/1000, 0)</f>
        <v>0</v>
      </c>
      <c r="L209" s="15">
        <f>IF(ISNUMBER(Refsz_Verbräuche[[#This Row],[2022]]), Refsz_Verbräuche[[#This Row],[2022]]*Emissionsfaktoren[[#This Row],[2022]]/1000, 0)</f>
        <v>0</v>
      </c>
      <c r="M209" s="15">
        <f>IF(ISNUMBER(Refsz_Verbräuche[[#This Row],[2023]]), Refsz_Verbräuche[[#This Row],[2023]]*Emissionsfaktoren[[#This Row],[2023]]/1000, 0)</f>
        <v>0</v>
      </c>
      <c r="N209" s="15">
        <f>IF(ISNUMBER(Refsz_Verbräuche[[#This Row],[2024]]), Refsz_Verbräuche[[#This Row],[2024]]*Emissionsfaktoren[[#This Row],[2024]]/1000, 0)</f>
        <v>0</v>
      </c>
      <c r="O209" s="15">
        <f>IF(ISNUMBER(Refsz_Verbräuche[[#This Row],[2025]]), Refsz_Verbräuche[[#This Row],[2025]]*Emissionsfaktoren[[#This Row],[2025]]/1000, 0)</f>
        <v>0</v>
      </c>
      <c r="P209" s="15">
        <f>IF(ISNUMBER(Refsz_Verbräuche[[#This Row],[2026]]), Refsz_Verbräuche[[#This Row],[2026]]*Emissionsfaktoren[[#This Row],[2026]]/1000, 0)</f>
        <v>0</v>
      </c>
      <c r="Q209" s="15">
        <f>IF(ISNUMBER(Refsz_Verbräuche[[#This Row],[2027]]), Refsz_Verbräuche[[#This Row],[2027]]*Emissionsfaktoren[[#This Row],[2027]]/1000, 0)</f>
        <v>0</v>
      </c>
      <c r="R209" s="15">
        <f>IF(ISNUMBER(Refsz_Verbräuche[[#This Row],[2028]]), Refsz_Verbräuche[[#This Row],[2028]]*Emissionsfaktoren[[#This Row],[2028]]/1000, 0)</f>
        <v>0</v>
      </c>
      <c r="S209" s="15">
        <f>IF(ISNUMBER(Refsz_Verbräuche[[#This Row],[2029]]), Refsz_Verbräuche[[#This Row],[2029]]*Emissionsfaktoren[[#This Row],[2029]]/1000, 0)</f>
        <v>0</v>
      </c>
      <c r="T209" s="15">
        <f>IF(ISNUMBER(Refsz_Verbräuche[[#This Row],[2030]]), Refsz_Verbräuche[[#This Row],[2030]]*Emissionsfaktoren[[#This Row],[2030]]/1000, 0)</f>
        <v>0</v>
      </c>
      <c r="U209" s="15">
        <f>IF(ISNUMBER(Refsz_Verbräuche[[#This Row],[2035]]), Refsz_Verbräuche[[#This Row],[2035]]*Emissionsfaktoren[[#This Row],[2035]]/1000, 0)</f>
        <v>0</v>
      </c>
      <c r="V209" s="15">
        <f>IF(ISNUMBER(Refsz_Verbräuche[[#This Row],[2040]]), Refsz_Verbräuche[[#This Row],[2040]]*Emissionsfaktoren[[#This Row],[2040]]/1000, 0)</f>
        <v>0</v>
      </c>
      <c r="W209" s="15">
        <f>IF(ISNUMBER(Refsz_Verbräuche[[#This Row],[2045]]), Refsz_Verbräuche[[#This Row],[2045]]*Emissionsfaktoren[[#This Row],[2045]]/1000, 0)</f>
        <v>0</v>
      </c>
      <c r="X209" s="15">
        <f>IF(ISNUMBER(Refsz_Verbräuche[[#This Row],[2050]]), Refsz_Verbräuche[[#This Row],[2050]]*Emissionsfaktoren[[#This Row],[2050]]/1000, 0)</f>
        <v>0</v>
      </c>
    </row>
    <row r="210" spans="2:24" ht="16.5" hidden="1" x14ac:dyDescent="0.45">
      <c r="B210" s="15">
        <v>150</v>
      </c>
      <c r="C210" s="20">
        <f>Refsz_Verbräuche[[#This Row],[Datenpunkt]]</f>
        <v>0</v>
      </c>
      <c r="D210" t="s">
        <v>208</v>
      </c>
      <c r="E210" s="15">
        <f>IF(ISNUMBER(Refsz_Verbräuche[[#This Row],[2015]]), Refsz_Verbräuche[[#This Row],[2015]]*Emissionsfaktoren[[#This Row],[2015]]/1000, 0)</f>
        <v>0</v>
      </c>
      <c r="F210" s="15">
        <f>IF(ISNUMBER(Refsz_Verbräuche[[#This Row],[2016]]), Refsz_Verbräuche[[#This Row],[2016]]*Emissionsfaktoren[[#This Row],[2016]]/1000, 0)</f>
        <v>0</v>
      </c>
      <c r="G210" s="15">
        <f>IF(ISNUMBER(Refsz_Verbräuche[[#This Row],[2017]]), Refsz_Verbräuche[[#This Row],[2017]]*Emissionsfaktoren[[#This Row],[2017]]/1000, 0)</f>
        <v>0</v>
      </c>
      <c r="H210" s="15">
        <f>IF(ISNUMBER(Refsz_Verbräuche[[#This Row],[2018]]), Refsz_Verbräuche[[#This Row],[2018]]*Emissionsfaktoren[[#This Row],[2018]]/1000, 0)</f>
        <v>0</v>
      </c>
      <c r="I210" s="15">
        <f>IF(ISNUMBER(Refsz_Verbräuche[[#This Row],[2019]]), Refsz_Verbräuche[[#This Row],[2019]]*Emissionsfaktoren[[#This Row],[2019]]/1000, 0)</f>
        <v>0</v>
      </c>
      <c r="J210" s="15">
        <f>IF(ISNUMBER(Refsz_Verbräuche[[#This Row],[2020]]), Refsz_Verbräuche[[#This Row],[2020]]*Emissionsfaktoren[[#This Row],[2020]]/1000, 0)</f>
        <v>0</v>
      </c>
      <c r="K210" s="15">
        <f>IF(ISNUMBER(Refsz_Verbräuche[[#This Row],[2021]]), Refsz_Verbräuche[[#This Row],[2021]]*Emissionsfaktoren[[#This Row],[2021]]/1000, 0)</f>
        <v>0</v>
      </c>
      <c r="L210" s="15">
        <f>IF(ISNUMBER(Refsz_Verbräuche[[#This Row],[2022]]), Refsz_Verbräuche[[#This Row],[2022]]*Emissionsfaktoren[[#This Row],[2022]]/1000, 0)</f>
        <v>0</v>
      </c>
      <c r="M210" s="15">
        <f>IF(ISNUMBER(Refsz_Verbräuche[[#This Row],[2023]]), Refsz_Verbräuche[[#This Row],[2023]]*Emissionsfaktoren[[#This Row],[2023]]/1000, 0)</f>
        <v>0</v>
      </c>
      <c r="N210" s="15">
        <f>IF(ISNUMBER(Refsz_Verbräuche[[#This Row],[2024]]), Refsz_Verbräuche[[#This Row],[2024]]*Emissionsfaktoren[[#This Row],[2024]]/1000, 0)</f>
        <v>0</v>
      </c>
      <c r="O210" s="15">
        <f>IF(ISNUMBER(Refsz_Verbräuche[[#This Row],[2025]]), Refsz_Verbräuche[[#This Row],[2025]]*Emissionsfaktoren[[#This Row],[2025]]/1000, 0)</f>
        <v>0</v>
      </c>
      <c r="P210" s="15">
        <f>IF(ISNUMBER(Refsz_Verbräuche[[#This Row],[2026]]), Refsz_Verbräuche[[#This Row],[2026]]*Emissionsfaktoren[[#This Row],[2026]]/1000, 0)</f>
        <v>0</v>
      </c>
      <c r="Q210" s="15">
        <f>IF(ISNUMBER(Refsz_Verbräuche[[#This Row],[2027]]), Refsz_Verbräuche[[#This Row],[2027]]*Emissionsfaktoren[[#This Row],[2027]]/1000, 0)</f>
        <v>0</v>
      </c>
      <c r="R210" s="15">
        <f>IF(ISNUMBER(Refsz_Verbräuche[[#This Row],[2028]]), Refsz_Verbräuche[[#This Row],[2028]]*Emissionsfaktoren[[#This Row],[2028]]/1000, 0)</f>
        <v>0</v>
      </c>
      <c r="S210" s="15">
        <f>IF(ISNUMBER(Refsz_Verbräuche[[#This Row],[2029]]), Refsz_Verbräuche[[#This Row],[2029]]*Emissionsfaktoren[[#This Row],[2029]]/1000, 0)</f>
        <v>0</v>
      </c>
      <c r="T210" s="15">
        <f>IF(ISNUMBER(Refsz_Verbräuche[[#This Row],[2030]]), Refsz_Verbräuche[[#This Row],[2030]]*Emissionsfaktoren[[#This Row],[2030]]/1000, 0)</f>
        <v>0</v>
      </c>
      <c r="U210" s="15">
        <f>IF(ISNUMBER(Refsz_Verbräuche[[#This Row],[2035]]), Refsz_Verbräuche[[#This Row],[2035]]*Emissionsfaktoren[[#This Row],[2035]]/1000, 0)</f>
        <v>0</v>
      </c>
      <c r="V210" s="15">
        <f>IF(ISNUMBER(Refsz_Verbräuche[[#This Row],[2040]]), Refsz_Verbräuche[[#This Row],[2040]]*Emissionsfaktoren[[#This Row],[2040]]/1000, 0)</f>
        <v>0</v>
      </c>
      <c r="W210" s="15">
        <f>IF(ISNUMBER(Refsz_Verbräuche[[#This Row],[2045]]), Refsz_Verbräuche[[#This Row],[2045]]*Emissionsfaktoren[[#This Row],[2045]]/1000, 0)</f>
        <v>0</v>
      </c>
      <c r="X210" s="15">
        <f>IF(ISNUMBER(Refsz_Verbräuche[[#This Row],[2050]]), Refsz_Verbräuche[[#This Row],[2050]]*Emissionsfaktoren[[#This Row],[2050]]/1000, 0)</f>
        <v>0</v>
      </c>
    </row>
    <row r="211" spans="2:24" ht="16.5" hidden="1" x14ac:dyDescent="0.45">
      <c r="B211" s="15">
        <v>151</v>
      </c>
      <c r="C211" s="20">
        <f>Refsz_Verbräuche[[#This Row],[Datenpunkt]]</f>
        <v>0</v>
      </c>
      <c r="D211" t="s">
        <v>208</v>
      </c>
      <c r="E211" s="15">
        <f>IF(ISNUMBER(Refsz_Verbräuche[[#This Row],[2015]]), Refsz_Verbräuche[[#This Row],[2015]]*Emissionsfaktoren[[#This Row],[2015]]/1000, 0)</f>
        <v>0</v>
      </c>
      <c r="F211" s="15">
        <f>IF(ISNUMBER(Refsz_Verbräuche[[#This Row],[2016]]), Refsz_Verbräuche[[#This Row],[2016]]*Emissionsfaktoren[[#This Row],[2016]]/1000, 0)</f>
        <v>0</v>
      </c>
      <c r="G211" s="15">
        <f>IF(ISNUMBER(Refsz_Verbräuche[[#This Row],[2017]]), Refsz_Verbräuche[[#This Row],[2017]]*Emissionsfaktoren[[#This Row],[2017]]/1000, 0)</f>
        <v>0</v>
      </c>
      <c r="H211" s="15">
        <f>IF(ISNUMBER(Refsz_Verbräuche[[#This Row],[2018]]), Refsz_Verbräuche[[#This Row],[2018]]*Emissionsfaktoren[[#This Row],[2018]]/1000, 0)</f>
        <v>0</v>
      </c>
      <c r="I211" s="15">
        <f>IF(ISNUMBER(Refsz_Verbräuche[[#This Row],[2019]]), Refsz_Verbräuche[[#This Row],[2019]]*Emissionsfaktoren[[#This Row],[2019]]/1000, 0)</f>
        <v>0</v>
      </c>
      <c r="J211" s="15">
        <f>IF(ISNUMBER(Refsz_Verbräuche[[#This Row],[2020]]), Refsz_Verbräuche[[#This Row],[2020]]*Emissionsfaktoren[[#This Row],[2020]]/1000, 0)</f>
        <v>0</v>
      </c>
      <c r="K211" s="15">
        <f>IF(ISNUMBER(Refsz_Verbräuche[[#This Row],[2021]]), Refsz_Verbräuche[[#This Row],[2021]]*Emissionsfaktoren[[#This Row],[2021]]/1000, 0)</f>
        <v>0</v>
      </c>
      <c r="L211" s="15">
        <f>IF(ISNUMBER(Refsz_Verbräuche[[#This Row],[2022]]), Refsz_Verbräuche[[#This Row],[2022]]*Emissionsfaktoren[[#This Row],[2022]]/1000, 0)</f>
        <v>0</v>
      </c>
      <c r="M211" s="15">
        <f>IF(ISNUMBER(Refsz_Verbräuche[[#This Row],[2023]]), Refsz_Verbräuche[[#This Row],[2023]]*Emissionsfaktoren[[#This Row],[2023]]/1000, 0)</f>
        <v>0</v>
      </c>
      <c r="N211" s="15">
        <f>IF(ISNUMBER(Refsz_Verbräuche[[#This Row],[2024]]), Refsz_Verbräuche[[#This Row],[2024]]*Emissionsfaktoren[[#This Row],[2024]]/1000, 0)</f>
        <v>0</v>
      </c>
      <c r="O211" s="15">
        <f>IF(ISNUMBER(Refsz_Verbräuche[[#This Row],[2025]]), Refsz_Verbräuche[[#This Row],[2025]]*Emissionsfaktoren[[#This Row],[2025]]/1000, 0)</f>
        <v>0</v>
      </c>
      <c r="P211" s="15">
        <f>IF(ISNUMBER(Refsz_Verbräuche[[#This Row],[2026]]), Refsz_Verbräuche[[#This Row],[2026]]*Emissionsfaktoren[[#This Row],[2026]]/1000, 0)</f>
        <v>0</v>
      </c>
      <c r="Q211" s="15">
        <f>IF(ISNUMBER(Refsz_Verbräuche[[#This Row],[2027]]), Refsz_Verbräuche[[#This Row],[2027]]*Emissionsfaktoren[[#This Row],[2027]]/1000, 0)</f>
        <v>0</v>
      </c>
      <c r="R211" s="15">
        <f>IF(ISNUMBER(Refsz_Verbräuche[[#This Row],[2028]]), Refsz_Verbräuche[[#This Row],[2028]]*Emissionsfaktoren[[#This Row],[2028]]/1000, 0)</f>
        <v>0</v>
      </c>
      <c r="S211" s="15">
        <f>IF(ISNUMBER(Refsz_Verbräuche[[#This Row],[2029]]), Refsz_Verbräuche[[#This Row],[2029]]*Emissionsfaktoren[[#This Row],[2029]]/1000, 0)</f>
        <v>0</v>
      </c>
      <c r="T211" s="15">
        <f>IF(ISNUMBER(Refsz_Verbräuche[[#This Row],[2030]]), Refsz_Verbräuche[[#This Row],[2030]]*Emissionsfaktoren[[#This Row],[2030]]/1000, 0)</f>
        <v>0</v>
      </c>
      <c r="U211" s="15">
        <f>IF(ISNUMBER(Refsz_Verbräuche[[#This Row],[2035]]), Refsz_Verbräuche[[#This Row],[2035]]*Emissionsfaktoren[[#This Row],[2035]]/1000, 0)</f>
        <v>0</v>
      </c>
      <c r="V211" s="15">
        <f>IF(ISNUMBER(Refsz_Verbräuche[[#This Row],[2040]]), Refsz_Verbräuche[[#This Row],[2040]]*Emissionsfaktoren[[#This Row],[2040]]/1000, 0)</f>
        <v>0</v>
      </c>
      <c r="W211" s="15">
        <f>IF(ISNUMBER(Refsz_Verbräuche[[#This Row],[2045]]), Refsz_Verbräuche[[#This Row],[2045]]*Emissionsfaktoren[[#This Row],[2045]]/1000, 0)</f>
        <v>0</v>
      </c>
      <c r="X211" s="15">
        <f>IF(ISNUMBER(Refsz_Verbräuche[[#This Row],[2050]]), Refsz_Verbräuche[[#This Row],[2050]]*Emissionsfaktoren[[#This Row],[2050]]/1000, 0)</f>
        <v>0</v>
      </c>
    </row>
    <row r="212" spans="2:24" ht="16.5" hidden="1" x14ac:dyDescent="0.45">
      <c r="B212" s="15">
        <v>152</v>
      </c>
      <c r="C212" s="20">
        <f>Refsz_Verbräuche[[#This Row],[Datenpunkt]]</f>
        <v>0</v>
      </c>
      <c r="D212" t="s">
        <v>208</v>
      </c>
      <c r="E212" s="15">
        <f>IF(ISNUMBER(Refsz_Verbräuche[[#This Row],[2015]]), Refsz_Verbräuche[[#This Row],[2015]]*Emissionsfaktoren[[#This Row],[2015]]/1000, 0)</f>
        <v>0</v>
      </c>
      <c r="F212" s="15">
        <f>IF(ISNUMBER(Refsz_Verbräuche[[#This Row],[2016]]), Refsz_Verbräuche[[#This Row],[2016]]*Emissionsfaktoren[[#This Row],[2016]]/1000, 0)</f>
        <v>0</v>
      </c>
      <c r="G212" s="15">
        <f>IF(ISNUMBER(Refsz_Verbräuche[[#This Row],[2017]]), Refsz_Verbräuche[[#This Row],[2017]]*Emissionsfaktoren[[#This Row],[2017]]/1000, 0)</f>
        <v>0</v>
      </c>
      <c r="H212" s="15">
        <f>IF(ISNUMBER(Refsz_Verbräuche[[#This Row],[2018]]), Refsz_Verbräuche[[#This Row],[2018]]*Emissionsfaktoren[[#This Row],[2018]]/1000, 0)</f>
        <v>0</v>
      </c>
      <c r="I212" s="15">
        <f>IF(ISNUMBER(Refsz_Verbräuche[[#This Row],[2019]]), Refsz_Verbräuche[[#This Row],[2019]]*Emissionsfaktoren[[#This Row],[2019]]/1000, 0)</f>
        <v>0</v>
      </c>
      <c r="J212" s="15">
        <f>IF(ISNUMBER(Refsz_Verbräuche[[#This Row],[2020]]), Refsz_Verbräuche[[#This Row],[2020]]*Emissionsfaktoren[[#This Row],[2020]]/1000, 0)</f>
        <v>0</v>
      </c>
      <c r="K212" s="15">
        <f>IF(ISNUMBER(Refsz_Verbräuche[[#This Row],[2021]]), Refsz_Verbräuche[[#This Row],[2021]]*Emissionsfaktoren[[#This Row],[2021]]/1000, 0)</f>
        <v>0</v>
      </c>
      <c r="L212" s="15">
        <f>IF(ISNUMBER(Refsz_Verbräuche[[#This Row],[2022]]), Refsz_Verbräuche[[#This Row],[2022]]*Emissionsfaktoren[[#This Row],[2022]]/1000, 0)</f>
        <v>0</v>
      </c>
      <c r="M212" s="15">
        <f>IF(ISNUMBER(Refsz_Verbräuche[[#This Row],[2023]]), Refsz_Verbräuche[[#This Row],[2023]]*Emissionsfaktoren[[#This Row],[2023]]/1000, 0)</f>
        <v>0</v>
      </c>
      <c r="N212" s="15">
        <f>IF(ISNUMBER(Refsz_Verbräuche[[#This Row],[2024]]), Refsz_Verbräuche[[#This Row],[2024]]*Emissionsfaktoren[[#This Row],[2024]]/1000, 0)</f>
        <v>0</v>
      </c>
      <c r="O212" s="15">
        <f>IF(ISNUMBER(Refsz_Verbräuche[[#This Row],[2025]]), Refsz_Verbräuche[[#This Row],[2025]]*Emissionsfaktoren[[#This Row],[2025]]/1000, 0)</f>
        <v>0</v>
      </c>
      <c r="P212" s="15">
        <f>IF(ISNUMBER(Refsz_Verbräuche[[#This Row],[2026]]), Refsz_Verbräuche[[#This Row],[2026]]*Emissionsfaktoren[[#This Row],[2026]]/1000, 0)</f>
        <v>0</v>
      </c>
      <c r="Q212" s="15">
        <f>IF(ISNUMBER(Refsz_Verbräuche[[#This Row],[2027]]), Refsz_Verbräuche[[#This Row],[2027]]*Emissionsfaktoren[[#This Row],[2027]]/1000, 0)</f>
        <v>0</v>
      </c>
      <c r="R212" s="15">
        <f>IF(ISNUMBER(Refsz_Verbräuche[[#This Row],[2028]]), Refsz_Verbräuche[[#This Row],[2028]]*Emissionsfaktoren[[#This Row],[2028]]/1000, 0)</f>
        <v>0</v>
      </c>
      <c r="S212" s="15">
        <f>IF(ISNUMBER(Refsz_Verbräuche[[#This Row],[2029]]), Refsz_Verbräuche[[#This Row],[2029]]*Emissionsfaktoren[[#This Row],[2029]]/1000, 0)</f>
        <v>0</v>
      </c>
      <c r="T212" s="15">
        <f>IF(ISNUMBER(Refsz_Verbräuche[[#This Row],[2030]]), Refsz_Verbräuche[[#This Row],[2030]]*Emissionsfaktoren[[#This Row],[2030]]/1000, 0)</f>
        <v>0</v>
      </c>
      <c r="U212" s="15">
        <f>IF(ISNUMBER(Refsz_Verbräuche[[#This Row],[2035]]), Refsz_Verbräuche[[#This Row],[2035]]*Emissionsfaktoren[[#This Row],[2035]]/1000, 0)</f>
        <v>0</v>
      </c>
      <c r="V212" s="15">
        <f>IF(ISNUMBER(Refsz_Verbräuche[[#This Row],[2040]]), Refsz_Verbräuche[[#This Row],[2040]]*Emissionsfaktoren[[#This Row],[2040]]/1000, 0)</f>
        <v>0</v>
      </c>
      <c r="W212" s="15">
        <f>IF(ISNUMBER(Refsz_Verbräuche[[#This Row],[2045]]), Refsz_Verbräuche[[#This Row],[2045]]*Emissionsfaktoren[[#This Row],[2045]]/1000, 0)</f>
        <v>0</v>
      </c>
      <c r="X212" s="15">
        <f>IF(ISNUMBER(Refsz_Verbräuche[[#This Row],[2050]]), Refsz_Verbräuche[[#This Row],[2050]]*Emissionsfaktoren[[#This Row],[2050]]/1000, 0)</f>
        <v>0</v>
      </c>
    </row>
    <row r="213" spans="2:24" ht="16.5" hidden="1" x14ac:dyDescent="0.45">
      <c r="B213" s="15">
        <v>153</v>
      </c>
      <c r="C213" s="20">
        <f>Refsz_Verbräuche[[#This Row],[Datenpunkt]]</f>
        <v>0</v>
      </c>
      <c r="D213" t="s">
        <v>208</v>
      </c>
      <c r="E213" s="15">
        <f>IF(ISNUMBER(Refsz_Verbräuche[[#This Row],[2015]]), Refsz_Verbräuche[[#This Row],[2015]]*Emissionsfaktoren[[#This Row],[2015]]/1000, 0)</f>
        <v>0</v>
      </c>
      <c r="F213" s="15">
        <f>IF(ISNUMBER(Refsz_Verbräuche[[#This Row],[2016]]), Refsz_Verbräuche[[#This Row],[2016]]*Emissionsfaktoren[[#This Row],[2016]]/1000, 0)</f>
        <v>0</v>
      </c>
      <c r="G213" s="15">
        <f>IF(ISNUMBER(Refsz_Verbräuche[[#This Row],[2017]]), Refsz_Verbräuche[[#This Row],[2017]]*Emissionsfaktoren[[#This Row],[2017]]/1000, 0)</f>
        <v>0</v>
      </c>
      <c r="H213" s="15">
        <f>IF(ISNUMBER(Refsz_Verbräuche[[#This Row],[2018]]), Refsz_Verbräuche[[#This Row],[2018]]*Emissionsfaktoren[[#This Row],[2018]]/1000, 0)</f>
        <v>0</v>
      </c>
      <c r="I213" s="15">
        <f>IF(ISNUMBER(Refsz_Verbräuche[[#This Row],[2019]]), Refsz_Verbräuche[[#This Row],[2019]]*Emissionsfaktoren[[#This Row],[2019]]/1000, 0)</f>
        <v>0</v>
      </c>
      <c r="J213" s="15">
        <f>IF(ISNUMBER(Refsz_Verbräuche[[#This Row],[2020]]), Refsz_Verbräuche[[#This Row],[2020]]*Emissionsfaktoren[[#This Row],[2020]]/1000, 0)</f>
        <v>0</v>
      </c>
      <c r="K213" s="15">
        <f>IF(ISNUMBER(Refsz_Verbräuche[[#This Row],[2021]]), Refsz_Verbräuche[[#This Row],[2021]]*Emissionsfaktoren[[#This Row],[2021]]/1000, 0)</f>
        <v>0</v>
      </c>
      <c r="L213" s="15">
        <f>IF(ISNUMBER(Refsz_Verbräuche[[#This Row],[2022]]), Refsz_Verbräuche[[#This Row],[2022]]*Emissionsfaktoren[[#This Row],[2022]]/1000, 0)</f>
        <v>0</v>
      </c>
      <c r="M213" s="15">
        <f>IF(ISNUMBER(Refsz_Verbräuche[[#This Row],[2023]]), Refsz_Verbräuche[[#This Row],[2023]]*Emissionsfaktoren[[#This Row],[2023]]/1000, 0)</f>
        <v>0</v>
      </c>
      <c r="N213" s="15">
        <f>IF(ISNUMBER(Refsz_Verbräuche[[#This Row],[2024]]), Refsz_Verbräuche[[#This Row],[2024]]*Emissionsfaktoren[[#This Row],[2024]]/1000, 0)</f>
        <v>0</v>
      </c>
      <c r="O213" s="15">
        <f>IF(ISNUMBER(Refsz_Verbräuche[[#This Row],[2025]]), Refsz_Verbräuche[[#This Row],[2025]]*Emissionsfaktoren[[#This Row],[2025]]/1000, 0)</f>
        <v>0</v>
      </c>
      <c r="P213" s="15">
        <f>IF(ISNUMBER(Refsz_Verbräuche[[#This Row],[2026]]), Refsz_Verbräuche[[#This Row],[2026]]*Emissionsfaktoren[[#This Row],[2026]]/1000, 0)</f>
        <v>0</v>
      </c>
      <c r="Q213" s="15">
        <f>IF(ISNUMBER(Refsz_Verbräuche[[#This Row],[2027]]), Refsz_Verbräuche[[#This Row],[2027]]*Emissionsfaktoren[[#This Row],[2027]]/1000, 0)</f>
        <v>0</v>
      </c>
      <c r="R213" s="15">
        <f>IF(ISNUMBER(Refsz_Verbräuche[[#This Row],[2028]]), Refsz_Verbräuche[[#This Row],[2028]]*Emissionsfaktoren[[#This Row],[2028]]/1000, 0)</f>
        <v>0</v>
      </c>
      <c r="S213" s="15">
        <f>IF(ISNUMBER(Refsz_Verbräuche[[#This Row],[2029]]), Refsz_Verbräuche[[#This Row],[2029]]*Emissionsfaktoren[[#This Row],[2029]]/1000, 0)</f>
        <v>0</v>
      </c>
      <c r="T213" s="15">
        <f>IF(ISNUMBER(Refsz_Verbräuche[[#This Row],[2030]]), Refsz_Verbräuche[[#This Row],[2030]]*Emissionsfaktoren[[#This Row],[2030]]/1000, 0)</f>
        <v>0</v>
      </c>
      <c r="U213" s="15">
        <f>IF(ISNUMBER(Refsz_Verbräuche[[#This Row],[2035]]), Refsz_Verbräuche[[#This Row],[2035]]*Emissionsfaktoren[[#This Row],[2035]]/1000, 0)</f>
        <v>0</v>
      </c>
      <c r="V213" s="15">
        <f>IF(ISNUMBER(Refsz_Verbräuche[[#This Row],[2040]]), Refsz_Verbräuche[[#This Row],[2040]]*Emissionsfaktoren[[#This Row],[2040]]/1000, 0)</f>
        <v>0</v>
      </c>
      <c r="W213" s="15">
        <f>IF(ISNUMBER(Refsz_Verbräuche[[#This Row],[2045]]), Refsz_Verbräuche[[#This Row],[2045]]*Emissionsfaktoren[[#This Row],[2045]]/1000, 0)</f>
        <v>0</v>
      </c>
      <c r="X213" s="15">
        <f>IF(ISNUMBER(Refsz_Verbräuche[[#This Row],[2050]]), Refsz_Verbräuche[[#This Row],[2050]]*Emissionsfaktoren[[#This Row],[2050]]/1000, 0)</f>
        <v>0</v>
      </c>
    </row>
    <row r="214" spans="2:24" ht="16.5" hidden="1" x14ac:dyDescent="0.45">
      <c r="B214" s="15">
        <v>154</v>
      </c>
      <c r="C214" s="20">
        <f>Refsz_Verbräuche[[#This Row],[Datenpunkt]]</f>
        <v>0</v>
      </c>
      <c r="D214" t="s">
        <v>208</v>
      </c>
      <c r="E214" s="15">
        <f>IF(ISNUMBER(Refsz_Verbräuche[[#This Row],[2015]]), Refsz_Verbräuche[[#This Row],[2015]]*Emissionsfaktoren[[#This Row],[2015]]/1000, 0)</f>
        <v>0</v>
      </c>
      <c r="F214" s="15">
        <f>IF(ISNUMBER(Refsz_Verbräuche[[#This Row],[2016]]), Refsz_Verbräuche[[#This Row],[2016]]*Emissionsfaktoren[[#This Row],[2016]]/1000, 0)</f>
        <v>0</v>
      </c>
      <c r="G214" s="15">
        <f>IF(ISNUMBER(Refsz_Verbräuche[[#This Row],[2017]]), Refsz_Verbräuche[[#This Row],[2017]]*Emissionsfaktoren[[#This Row],[2017]]/1000, 0)</f>
        <v>0</v>
      </c>
      <c r="H214" s="15">
        <f>IF(ISNUMBER(Refsz_Verbräuche[[#This Row],[2018]]), Refsz_Verbräuche[[#This Row],[2018]]*Emissionsfaktoren[[#This Row],[2018]]/1000, 0)</f>
        <v>0</v>
      </c>
      <c r="I214" s="15">
        <f>IF(ISNUMBER(Refsz_Verbräuche[[#This Row],[2019]]), Refsz_Verbräuche[[#This Row],[2019]]*Emissionsfaktoren[[#This Row],[2019]]/1000, 0)</f>
        <v>0</v>
      </c>
      <c r="J214" s="15">
        <f>IF(ISNUMBER(Refsz_Verbräuche[[#This Row],[2020]]), Refsz_Verbräuche[[#This Row],[2020]]*Emissionsfaktoren[[#This Row],[2020]]/1000, 0)</f>
        <v>0</v>
      </c>
      <c r="K214" s="15">
        <f>IF(ISNUMBER(Refsz_Verbräuche[[#This Row],[2021]]), Refsz_Verbräuche[[#This Row],[2021]]*Emissionsfaktoren[[#This Row],[2021]]/1000, 0)</f>
        <v>0</v>
      </c>
      <c r="L214" s="15">
        <f>IF(ISNUMBER(Refsz_Verbräuche[[#This Row],[2022]]), Refsz_Verbräuche[[#This Row],[2022]]*Emissionsfaktoren[[#This Row],[2022]]/1000, 0)</f>
        <v>0</v>
      </c>
      <c r="M214" s="15">
        <f>IF(ISNUMBER(Refsz_Verbräuche[[#This Row],[2023]]), Refsz_Verbräuche[[#This Row],[2023]]*Emissionsfaktoren[[#This Row],[2023]]/1000, 0)</f>
        <v>0</v>
      </c>
      <c r="N214" s="15">
        <f>IF(ISNUMBER(Refsz_Verbräuche[[#This Row],[2024]]), Refsz_Verbräuche[[#This Row],[2024]]*Emissionsfaktoren[[#This Row],[2024]]/1000, 0)</f>
        <v>0</v>
      </c>
      <c r="O214" s="15">
        <f>IF(ISNUMBER(Refsz_Verbräuche[[#This Row],[2025]]), Refsz_Verbräuche[[#This Row],[2025]]*Emissionsfaktoren[[#This Row],[2025]]/1000, 0)</f>
        <v>0</v>
      </c>
      <c r="P214" s="15">
        <f>IF(ISNUMBER(Refsz_Verbräuche[[#This Row],[2026]]), Refsz_Verbräuche[[#This Row],[2026]]*Emissionsfaktoren[[#This Row],[2026]]/1000, 0)</f>
        <v>0</v>
      </c>
      <c r="Q214" s="15">
        <f>IF(ISNUMBER(Refsz_Verbräuche[[#This Row],[2027]]), Refsz_Verbräuche[[#This Row],[2027]]*Emissionsfaktoren[[#This Row],[2027]]/1000, 0)</f>
        <v>0</v>
      </c>
      <c r="R214" s="15">
        <f>IF(ISNUMBER(Refsz_Verbräuche[[#This Row],[2028]]), Refsz_Verbräuche[[#This Row],[2028]]*Emissionsfaktoren[[#This Row],[2028]]/1000, 0)</f>
        <v>0</v>
      </c>
      <c r="S214" s="15">
        <f>IF(ISNUMBER(Refsz_Verbräuche[[#This Row],[2029]]), Refsz_Verbräuche[[#This Row],[2029]]*Emissionsfaktoren[[#This Row],[2029]]/1000, 0)</f>
        <v>0</v>
      </c>
      <c r="T214" s="15">
        <f>IF(ISNUMBER(Refsz_Verbräuche[[#This Row],[2030]]), Refsz_Verbräuche[[#This Row],[2030]]*Emissionsfaktoren[[#This Row],[2030]]/1000, 0)</f>
        <v>0</v>
      </c>
      <c r="U214" s="15">
        <f>IF(ISNUMBER(Refsz_Verbräuche[[#This Row],[2035]]), Refsz_Verbräuche[[#This Row],[2035]]*Emissionsfaktoren[[#This Row],[2035]]/1000, 0)</f>
        <v>0</v>
      </c>
      <c r="V214" s="15">
        <f>IF(ISNUMBER(Refsz_Verbräuche[[#This Row],[2040]]), Refsz_Verbräuche[[#This Row],[2040]]*Emissionsfaktoren[[#This Row],[2040]]/1000, 0)</f>
        <v>0</v>
      </c>
      <c r="W214" s="15">
        <f>IF(ISNUMBER(Refsz_Verbräuche[[#This Row],[2045]]), Refsz_Verbräuche[[#This Row],[2045]]*Emissionsfaktoren[[#This Row],[2045]]/1000, 0)</f>
        <v>0</v>
      </c>
      <c r="X214" s="15">
        <f>IF(ISNUMBER(Refsz_Verbräuche[[#This Row],[2050]]), Refsz_Verbräuche[[#This Row],[2050]]*Emissionsfaktoren[[#This Row],[2050]]/1000, 0)</f>
        <v>0</v>
      </c>
    </row>
    <row r="215" spans="2:24" ht="16.5" hidden="1" x14ac:dyDescent="0.45">
      <c r="B215" s="15">
        <v>155</v>
      </c>
      <c r="C215" s="20">
        <f>Refsz_Verbräuche[[#This Row],[Datenpunkt]]</f>
        <v>0</v>
      </c>
      <c r="D215" t="s">
        <v>208</v>
      </c>
      <c r="E215" s="15">
        <f>IF(ISNUMBER(Refsz_Verbräuche[[#This Row],[2015]]), Refsz_Verbräuche[[#This Row],[2015]]*Emissionsfaktoren[[#This Row],[2015]]/1000, 0)</f>
        <v>0</v>
      </c>
      <c r="F215" s="15">
        <f>IF(ISNUMBER(Refsz_Verbräuche[[#This Row],[2016]]), Refsz_Verbräuche[[#This Row],[2016]]*Emissionsfaktoren[[#This Row],[2016]]/1000, 0)</f>
        <v>0</v>
      </c>
      <c r="G215" s="15">
        <f>IF(ISNUMBER(Refsz_Verbräuche[[#This Row],[2017]]), Refsz_Verbräuche[[#This Row],[2017]]*Emissionsfaktoren[[#This Row],[2017]]/1000, 0)</f>
        <v>0</v>
      </c>
      <c r="H215" s="15">
        <f>IF(ISNUMBER(Refsz_Verbräuche[[#This Row],[2018]]), Refsz_Verbräuche[[#This Row],[2018]]*Emissionsfaktoren[[#This Row],[2018]]/1000, 0)</f>
        <v>0</v>
      </c>
      <c r="I215" s="15">
        <f>IF(ISNUMBER(Refsz_Verbräuche[[#This Row],[2019]]), Refsz_Verbräuche[[#This Row],[2019]]*Emissionsfaktoren[[#This Row],[2019]]/1000, 0)</f>
        <v>0</v>
      </c>
      <c r="J215" s="15">
        <f>IF(ISNUMBER(Refsz_Verbräuche[[#This Row],[2020]]), Refsz_Verbräuche[[#This Row],[2020]]*Emissionsfaktoren[[#This Row],[2020]]/1000, 0)</f>
        <v>0</v>
      </c>
      <c r="K215" s="15">
        <f>IF(ISNUMBER(Refsz_Verbräuche[[#This Row],[2021]]), Refsz_Verbräuche[[#This Row],[2021]]*Emissionsfaktoren[[#This Row],[2021]]/1000, 0)</f>
        <v>0</v>
      </c>
      <c r="L215" s="15">
        <f>IF(ISNUMBER(Refsz_Verbräuche[[#This Row],[2022]]), Refsz_Verbräuche[[#This Row],[2022]]*Emissionsfaktoren[[#This Row],[2022]]/1000, 0)</f>
        <v>0</v>
      </c>
      <c r="M215" s="15">
        <f>IF(ISNUMBER(Refsz_Verbräuche[[#This Row],[2023]]), Refsz_Verbräuche[[#This Row],[2023]]*Emissionsfaktoren[[#This Row],[2023]]/1000, 0)</f>
        <v>0</v>
      </c>
      <c r="N215" s="15">
        <f>IF(ISNUMBER(Refsz_Verbräuche[[#This Row],[2024]]), Refsz_Verbräuche[[#This Row],[2024]]*Emissionsfaktoren[[#This Row],[2024]]/1000, 0)</f>
        <v>0</v>
      </c>
      <c r="O215" s="15">
        <f>IF(ISNUMBER(Refsz_Verbräuche[[#This Row],[2025]]), Refsz_Verbräuche[[#This Row],[2025]]*Emissionsfaktoren[[#This Row],[2025]]/1000, 0)</f>
        <v>0</v>
      </c>
      <c r="P215" s="15">
        <f>IF(ISNUMBER(Refsz_Verbräuche[[#This Row],[2026]]), Refsz_Verbräuche[[#This Row],[2026]]*Emissionsfaktoren[[#This Row],[2026]]/1000, 0)</f>
        <v>0</v>
      </c>
      <c r="Q215" s="15">
        <f>IF(ISNUMBER(Refsz_Verbräuche[[#This Row],[2027]]), Refsz_Verbräuche[[#This Row],[2027]]*Emissionsfaktoren[[#This Row],[2027]]/1000, 0)</f>
        <v>0</v>
      </c>
      <c r="R215" s="15">
        <f>IF(ISNUMBER(Refsz_Verbräuche[[#This Row],[2028]]), Refsz_Verbräuche[[#This Row],[2028]]*Emissionsfaktoren[[#This Row],[2028]]/1000, 0)</f>
        <v>0</v>
      </c>
      <c r="S215" s="15">
        <f>IF(ISNUMBER(Refsz_Verbräuche[[#This Row],[2029]]), Refsz_Verbräuche[[#This Row],[2029]]*Emissionsfaktoren[[#This Row],[2029]]/1000, 0)</f>
        <v>0</v>
      </c>
      <c r="T215" s="15">
        <f>IF(ISNUMBER(Refsz_Verbräuche[[#This Row],[2030]]), Refsz_Verbräuche[[#This Row],[2030]]*Emissionsfaktoren[[#This Row],[2030]]/1000, 0)</f>
        <v>0</v>
      </c>
      <c r="U215" s="15">
        <f>IF(ISNUMBER(Refsz_Verbräuche[[#This Row],[2035]]), Refsz_Verbräuche[[#This Row],[2035]]*Emissionsfaktoren[[#This Row],[2035]]/1000, 0)</f>
        <v>0</v>
      </c>
      <c r="V215" s="15">
        <f>IF(ISNUMBER(Refsz_Verbräuche[[#This Row],[2040]]), Refsz_Verbräuche[[#This Row],[2040]]*Emissionsfaktoren[[#This Row],[2040]]/1000, 0)</f>
        <v>0</v>
      </c>
      <c r="W215" s="15">
        <f>IF(ISNUMBER(Refsz_Verbräuche[[#This Row],[2045]]), Refsz_Verbräuche[[#This Row],[2045]]*Emissionsfaktoren[[#This Row],[2045]]/1000, 0)</f>
        <v>0</v>
      </c>
      <c r="X215" s="15">
        <f>IF(ISNUMBER(Refsz_Verbräuche[[#This Row],[2050]]), Refsz_Verbräuche[[#This Row],[2050]]*Emissionsfaktoren[[#This Row],[2050]]/1000, 0)</f>
        <v>0</v>
      </c>
    </row>
    <row r="216" spans="2:24" ht="16.5" hidden="1" x14ac:dyDescent="0.45">
      <c r="B216" s="15">
        <v>156</v>
      </c>
      <c r="C216" s="20">
        <f>Refsz_Verbräuche[[#This Row],[Datenpunkt]]</f>
        <v>0</v>
      </c>
      <c r="D216" t="s">
        <v>208</v>
      </c>
      <c r="E216" s="15">
        <f>IF(ISNUMBER(Refsz_Verbräuche[[#This Row],[2015]]), Refsz_Verbräuche[[#This Row],[2015]]*Emissionsfaktoren[[#This Row],[2015]]/1000, 0)</f>
        <v>0</v>
      </c>
      <c r="F216" s="15">
        <f>IF(ISNUMBER(Refsz_Verbräuche[[#This Row],[2016]]), Refsz_Verbräuche[[#This Row],[2016]]*Emissionsfaktoren[[#This Row],[2016]]/1000, 0)</f>
        <v>0</v>
      </c>
      <c r="G216" s="15">
        <f>IF(ISNUMBER(Refsz_Verbräuche[[#This Row],[2017]]), Refsz_Verbräuche[[#This Row],[2017]]*Emissionsfaktoren[[#This Row],[2017]]/1000, 0)</f>
        <v>0</v>
      </c>
      <c r="H216" s="15">
        <f>IF(ISNUMBER(Refsz_Verbräuche[[#This Row],[2018]]), Refsz_Verbräuche[[#This Row],[2018]]*Emissionsfaktoren[[#This Row],[2018]]/1000, 0)</f>
        <v>0</v>
      </c>
      <c r="I216" s="15">
        <f>IF(ISNUMBER(Refsz_Verbräuche[[#This Row],[2019]]), Refsz_Verbräuche[[#This Row],[2019]]*Emissionsfaktoren[[#This Row],[2019]]/1000, 0)</f>
        <v>0</v>
      </c>
      <c r="J216" s="15">
        <f>IF(ISNUMBER(Refsz_Verbräuche[[#This Row],[2020]]), Refsz_Verbräuche[[#This Row],[2020]]*Emissionsfaktoren[[#This Row],[2020]]/1000, 0)</f>
        <v>0</v>
      </c>
      <c r="K216" s="15">
        <f>IF(ISNUMBER(Refsz_Verbräuche[[#This Row],[2021]]), Refsz_Verbräuche[[#This Row],[2021]]*Emissionsfaktoren[[#This Row],[2021]]/1000, 0)</f>
        <v>0</v>
      </c>
      <c r="L216" s="15">
        <f>IF(ISNUMBER(Refsz_Verbräuche[[#This Row],[2022]]), Refsz_Verbräuche[[#This Row],[2022]]*Emissionsfaktoren[[#This Row],[2022]]/1000, 0)</f>
        <v>0</v>
      </c>
      <c r="M216" s="15">
        <f>IF(ISNUMBER(Refsz_Verbräuche[[#This Row],[2023]]), Refsz_Verbräuche[[#This Row],[2023]]*Emissionsfaktoren[[#This Row],[2023]]/1000, 0)</f>
        <v>0</v>
      </c>
      <c r="N216" s="15">
        <f>IF(ISNUMBER(Refsz_Verbräuche[[#This Row],[2024]]), Refsz_Verbräuche[[#This Row],[2024]]*Emissionsfaktoren[[#This Row],[2024]]/1000, 0)</f>
        <v>0</v>
      </c>
      <c r="O216" s="15">
        <f>IF(ISNUMBER(Refsz_Verbräuche[[#This Row],[2025]]), Refsz_Verbräuche[[#This Row],[2025]]*Emissionsfaktoren[[#This Row],[2025]]/1000, 0)</f>
        <v>0</v>
      </c>
      <c r="P216" s="15">
        <f>IF(ISNUMBER(Refsz_Verbräuche[[#This Row],[2026]]), Refsz_Verbräuche[[#This Row],[2026]]*Emissionsfaktoren[[#This Row],[2026]]/1000, 0)</f>
        <v>0</v>
      </c>
      <c r="Q216" s="15">
        <f>IF(ISNUMBER(Refsz_Verbräuche[[#This Row],[2027]]), Refsz_Verbräuche[[#This Row],[2027]]*Emissionsfaktoren[[#This Row],[2027]]/1000, 0)</f>
        <v>0</v>
      </c>
      <c r="R216" s="15">
        <f>IF(ISNUMBER(Refsz_Verbräuche[[#This Row],[2028]]), Refsz_Verbräuche[[#This Row],[2028]]*Emissionsfaktoren[[#This Row],[2028]]/1000, 0)</f>
        <v>0</v>
      </c>
      <c r="S216" s="15">
        <f>IF(ISNUMBER(Refsz_Verbräuche[[#This Row],[2029]]), Refsz_Verbräuche[[#This Row],[2029]]*Emissionsfaktoren[[#This Row],[2029]]/1000, 0)</f>
        <v>0</v>
      </c>
      <c r="T216" s="15">
        <f>IF(ISNUMBER(Refsz_Verbräuche[[#This Row],[2030]]), Refsz_Verbräuche[[#This Row],[2030]]*Emissionsfaktoren[[#This Row],[2030]]/1000, 0)</f>
        <v>0</v>
      </c>
      <c r="U216" s="15">
        <f>IF(ISNUMBER(Refsz_Verbräuche[[#This Row],[2035]]), Refsz_Verbräuche[[#This Row],[2035]]*Emissionsfaktoren[[#This Row],[2035]]/1000, 0)</f>
        <v>0</v>
      </c>
      <c r="V216" s="15">
        <f>IF(ISNUMBER(Refsz_Verbräuche[[#This Row],[2040]]), Refsz_Verbräuche[[#This Row],[2040]]*Emissionsfaktoren[[#This Row],[2040]]/1000, 0)</f>
        <v>0</v>
      </c>
      <c r="W216" s="15">
        <f>IF(ISNUMBER(Refsz_Verbräuche[[#This Row],[2045]]), Refsz_Verbräuche[[#This Row],[2045]]*Emissionsfaktoren[[#This Row],[2045]]/1000, 0)</f>
        <v>0</v>
      </c>
      <c r="X216" s="15">
        <f>IF(ISNUMBER(Refsz_Verbräuche[[#This Row],[2050]]), Refsz_Verbräuche[[#This Row],[2050]]*Emissionsfaktoren[[#This Row],[2050]]/1000, 0)</f>
        <v>0</v>
      </c>
    </row>
    <row r="217" spans="2:24" ht="16.5" hidden="1" x14ac:dyDescent="0.45">
      <c r="B217" s="15">
        <v>157</v>
      </c>
      <c r="C217" s="20">
        <f>Refsz_Verbräuche[[#This Row],[Datenpunkt]]</f>
        <v>0</v>
      </c>
      <c r="D217" t="s">
        <v>208</v>
      </c>
      <c r="E217" s="15">
        <f>IF(ISNUMBER(Refsz_Verbräuche[[#This Row],[2015]]), Refsz_Verbräuche[[#This Row],[2015]]*Emissionsfaktoren[[#This Row],[2015]]/1000, 0)</f>
        <v>0</v>
      </c>
      <c r="F217" s="15">
        <f>IF(ISNUMBER(Refsz_Verbräuche[[#This Row],[2016]]), Refsz_Verbräuche[[#This Row],[2016]]*Emissionsfaktoren[[#This Row],[2016]]/1000, 0)</f>
        <v>0</v>
      </c>
      <c r="G217" s="15">
        <f>IF(ISNUMBER(Refsz_Verbräuche[[#This Row],[2017]]), Refsz_Verbräuche[[#This Row],[2017]]*Emissionsfaktoren[[#This Row],[2017]]/1000, 0)</f>
        <v>0</v>
      </c>
      <c r="H217" s="15">
        <f>IF(ISNUMBER(Refsz_Verbräuche[[#This Row],[2018]]), Refsz_Verbräuche[[#This Row],[2018]]*Emissionsfaktoren[[#This Row],[2018]]/1000, 0)</f>
        <v>0</v>
      </c>
      <c r="I217" s="15">
        <f>IF(ISNUMBER(Refsz_Verbräuche[[#This Row],[2019]]), Refsz_Verbräuche[[#This Row],[2019]]*Emissionsfaktoren[[#This Row],[2019]]/1000, 0)</f>
        <v>0</v>
      </c>
      <c r="J217" s="15">
        <f>IF(ISNUMBER(Refsz_Verbräuche[[#This Row],[2020]]), Refsz_Verbräuche[[#This Row],[2020]]*Emissionsfaktoren[[#This Row],[2020]]/1000, 0)</f>
        <v>0</v>
      </c>
      <c r="K217" s="15">
        <f>IF(ISNUMBER(Refsz_Verbräuche[[#This Row],[2021]]), Refsz_Verbräuche[[#This Row],[2021]]*Emissionsfaktoren[[#This Row],[2021]]/1000, 0)</f>
        <v>0</v>
      </c>
      <c r="L217" s="15">
        <f>IF(ISNUMBER(Refsz_Verbräuche[[#This Row],[2022]]), Refsz_Verbräuche[[#This Row],[2022]]*Emissionsfaktoren[[#This Row],[2022]]/1000, 0)</f>
        <v>0</v>
      </c>
      <c r="M217" s="15">
        <f>IF(ISNUMBER(Refsz_Verbräuche[[#This Row],[2023]]), Refsz_Verbräuche[[#This Row],[2023]]*Emissionsfaktoren[[#This Row],[2023]]/1000, 0)</f>
        <v>0</v>
      </c>
      <c r="N217" s="15">
        <f>IF(ISNUMBER(Refsz_Verbräuche[[#This Row],[2024]]), Refsz_Verbräuche[[#This Row],[2024]]*Emissionsfaktoren[[#This Row],[2024]]/1000, 0)</f>
        <v>0</v>
      </c>
      <c r="O217" s="15">
        <f>IF(ISNUMBER(Refsz_Verbräuche[[#This Row],[2025]]), Refsz_Verbräuche[[#This Row],[2025]]*Emissionsfaktoren[[#This Row],[2025]]/1000, 0)</f>
        <v>0</v>
      </c>
      <c r="P217" s="15">
        <f>IF(ISNUMBER(Refsz_Verbräuche[[#This Row],[2026]]), Refsz_Verbräuche[[#This Row],[2026]]*Emissionsfaktoren[[#This Row],[2026]]/1000, 0)</f>
        <v>0</v>
      </c>
      <c r="Q217" s="15">
        <f>IF(ISNUMBER(Refsz_Verbräuche[[#This Row],[2027]]), Refsz_Verbräuche[[#This Row],[2027]]*Emissionsfaktoren[[#This Row],[2027]]/1000, 0)</f>
        <v>0</v>
      </c>
      <c r="R217" s="15">
        <f>IF(ISNUMBER(Refsz_Verbräuche[[#This Row],[2028]]), Refsz_Verbräuche[[#This Row],[2028]]*Emissionsfaktoren[[#This Row],[2028]]/1000, 0)</f>
        <v>0</v>
      </c>
      <c r="S217" s="15">
        <f>IF(ISNUMBER(Refsz_Verbräuche[[#This Row],[2029]]), Refsz_Verbräuche[[#This Row],[2029]]*Emissionsfaktoren[[#This Row],[2029]]/1000, 0)</f>
        <v>0</v>
      </c>
      <c r="T217" s="15">
        <f>IF(ISNUMBER(Refsz_Verbräuche[[#This Row],[2030]]), Refsz_Verbräuche[[#This Row],[2030]]*Emissionsfaktoren[[#This Row],[2030]]/1000, 0)</f>
        <v>0</v>
      </c>
      <c r="U217" s="15">
        <f>IF(ISNUMBER(Refsz_Verbräuche[[#This Row],[2035]]), Refsz_Verbräuche[[#This Row],[2035]]*Emissionsfaktoren[[#This Row],[2035]]/1000, 0)</f>
        <v>0</v>
      </c>
      <c r="V217" s="15">
        <f>IF(ISNUMBER(Refsz_Verbräuche[[#This Row],[2040]]), Refsz_Verbräuche[[#This Row],[2040]]*Emissionsfaktoren[[#This Row],[2040]]/1000, 0)</f>
        <v>0</v>
      </c>
      <c r="W217" s="15">
        <f>IF(ISNUMBER(Refsz_Verbräuche[[#This Row],[2045]]), Refsz_Verbräuche[[#This Row],[2045]]*Emissionsfaktoren[[#This Row],[2045]]/1000, 0)</f>
        <v>0</v>
      </c>
      <c r="X217" s="15">
        <f>IF(ISNUMBER(Refsz_Verbräuche[[#This Row],[2050]]), Refsz_Verbräuche[[#This Row],[2050]]*Emissionsfaktoren[[#This Row],[2050]]/1000, 0)</f>
        <v>0</v>
      </c>
    </row>
    <row r="218" spans="2:24" ht="16.5" hidden="1" x14ac:dyDescent="0.45">
      <c r="B218" s="15">
        <v>158</v>
      </c>
      <c r="C218" s="20">
        <f>Refsz_Verbräuche[[#This Row],[Datenpunkt]]</f>
        <v>0</v>
      </c>
      <c r="D218" t="s">
        <v>208</v>
      </c>
      <c r="E218" s="15">
        <f>IF(ISNUMBER(Refsz_Verbräuche[[#This Row],[2015]]), Refsz_Verbräuche[[#This Row],[2015]]*Emissionsfaktoren[[#This Row],[2015]]/1000, 0)</f>
        <v>0</v>
      </c>
      <c r="F218" s="15">
        <f>IF(ISNUMBER(Refsz_Verbräuche[[#This Row],[2016]]), Refsz_Verbräuche[[#This Row],[2016]]*Emissionsfaktoren[[#This Row],[2016]]/1000, 0)</f>
        <v>0</v>
      </c>
      <c r="G218" s="15">
        <f>IF(ISNUMBER(Refsz_Verbräuche[[#This Row],[2017]]), Refsz_Verbräuche[[#This Row],[2017]]*Emissionsfaktoren[[#This Row],[2017]]/1000, 0)</f>
        <v>0</v>
      </c>
      <c r="H218" s="15">
        <f>IF(ISNUMBER(Refsz_Verbräuche[[#This Row],[2018]]), Refsz_Verbräuche[[#This Row],[2018]]*Emissionsfaktoren[[#This Row],[2018]]/1000, 0)</f>
        <v>0</v>
      </c>
      <c r="I218" s="15">
        <f>IF(ISNUMBER(Refsz_Verbräuche[[#This Row],[2019]]), Refsz_Verbräuche[[#This Row],[2019]]*Emissionsfaktoren[[#This Row],[2019]]/1000, 0)</f>
        <v>0</v>
      </c>
      <c r="J218" s="15">
        <f>IF(ISNUMBER(Refsz_Verbräuche[[#This Row],[2020]]), Refsz_Verbräuche[[#This Row],[2020]]*Emissionsfaktoren[[#This Row],[2020]]/1000, 0)</f>
        <v>0</v>
      </c>
      <c r="K218" s="15">
        <f>IF(ISNUMBER(Refsz_Verbräuche[[#This Row],[2021]]), Refsz_Verbräuche[[#This Row],[2021]]*Emissionsfaktoren[[#This Row],[2021]]/1000, 0)</f>
        <v>0</v>
      </c>
      <c r="L218" s="15">
        <f>IF(ISNUMBER(Refsz_Verbräuche[[#This Row],[2022]]), Refsz_Verbräuche[[#This Row],[2022]]*Emissionsfaktoren[[#This Row],[2022]]/1000, 0)</f>
        <v>0</v>
      </c>
      <c r="M218" s="15">
        <f>IF(ISNUMBER(Refsz_Verbräuche[[#This Row],[2023]]), Refsz_Verbräuche[[#This Row],[2023]]*Emissionsfaktoren[[#This Row],[2023]]/1000, 0)</f>
        <v>0</v>
      </c>
      <c r="N218" s="15">
        <f>IF(ISNUMBER(Refsz_Verbräuche[[#This Row],[2024]]), Refsz_Verbräuche[[#This Row],[2024]]*Emissionsfaktoren[[#This Row],[2024]]/1000, 0)</f>
        <v>0</v>
      </c>
      <c r="O218" s="15">
        <f>IF(ISNUMBER(Refsz_Verbräuche[[#This Row],[2025]]), Refsz_Verbräuche[[#This Row],[2025]]*Emissionsfaktoren[[#This Row],[2025]]/1000, 0)</f>
        <v>0</v>
      </c>
      <c r="P218" s="15">
        <f>IF(ISNUMBER(Refsz_Verbräuche[[#This Row],[2026]]), Refsz_Verbräuche[[#This Row],[2026]]*Emissionsfaktoren[[#This Row],[2026]]/1000, 0)</f>
        <v>0</v>
      </c>
      <c r="Q218" s="15">
        <f>IF(ISNUMBER(Refsz_Verbräuche[[#This Row],[2027]]), Refsz_Verbräuche[[#This Row],[2027]]*Emissionsfaktoren[[#This Row],[2027]]/1000, 0)</f>
        <v>0</v>
      </c>
      <c r="R218" s="15">
        <f>IF(ISNUMBER(Refsz_Verbräuche[[#This Row],[2028]]), Refsz_Verbräuche[[#This Row],[2028]]*Emissionsfaktoren[[#This Row],[2028]]/1000, 0)</f>
        <v>0</v>
      </c>
      <c r="S218" s="15">
        <f>IF(ISNUMBER(Refsz_Verbräuche[[#This Row],[2029]]), Refsz_Verbräuche[[#This Row],[2029]]*Emissionsfaktoren[[#This Row],[2029]]/1000, 0)</f>
        <v>0</v>
      </c>
      <c r="T218" s="15">
        <f>IF(ISNUMBER(Refsz_Verbräuche[[#This Row],[2030]]), Refsz_Verbräuche[[#This Row],[2030]]*Emissionsfaktoren[[#This Row],[2030]]/1000, 0)</f>
        <v>0</v>
      </c>
      <c r="U218" s="15">
        <f>IF(ISNUMBER(Refsz_Verbräuche[[#This Row],[2035]]), Refsz_Verbräuche[[#This Row],[2035]]*Emissionsfaktoren[[#This Row],[2035]]/1000, 0)</f>
        <v>0</v>
      </c>
      <c r="V218" s="15">
        <f>IF(ISNUMBER(Refsz_Verbräuche[[#This Row],[2040]]), Refsz_Verbräuche[[#This Row],[2040]]*Emissionsfaktoren[[#This Row],[2040]]/1000, 0)</f>
        <v>0</v>
      </c>
      <c r="W218" s="15">
        <f>IF(ISNUMBER(Refsz_Verbräuche[[#This Row],[2045]]), Refsz_Verbräuche[[#This Row],[2045]]*Emissionsfaktoren[[#This Row],[2045]]/1000, 0)</f>
        <v>0</v>
      </c>
      <c r="X218" s="15">
        <f>IF(ISNUMBER(Refsz_Verbräuche[[#This Row],[2050]]), Refsz_Verbräuche[[#This Row],[2050]]*Emissionsfaktoren[[#This Row],[2050]]/1000, 0)</f>
        <v>0</v>
      </c>
    </row>
    <row r="219" spans="2:24" ht="16.5" hidden="1" x14ac:dyDescent="0.45">
      <c r="B219" s="15">
        <v>159</v>
      </c>
      <c r="C219" s="20">
        <f>Refsz_Verbräuche[[#This Row],[Datenpunkt]]</f>
        <v>0</v>
      </c>
      <c r="D219" t="s">
        <v>208</v>
      </c>
      <c r="E219" s="15">
        <f>IF(ISNUMBER(Refsz_Verbräuche[[#This Row],[2015]]), Refsz_Verbräuche[[#This Row],[2015]]*Emissionsfaktoren[[#This Row],[2015]]/1000, 0)</f>
        <v>0</v>
      </c>
      <c r="F219" s="15">
        <f>IF(ISNUMBER(Refsz_Verbräuche[[#This Row],[2016]]), Refsz_Verbräuche[[#This Row],[2016]]*Emissionsfaktoren[[#This Row],[2016]]/1000, 0)</f>
        <v>0</v>
      </c>
      <c r="G219" s="15">
        <f>IF(ISNUMBER(Refsz_Verbräuche[[#This Row],[2017]]), Refsz_Verbräuche[[#This Row],[2017]]*Emissionsfaktoren[[#This Row],[2017]]/1000, 0)</f>
        <v>0</v>
      </c>
      <c r="H219" s="15">
        <f>IF(ISNUMBER(Refsz_Verbräuche[[#This Row],[2018]]), Refsz_Verbräuche[[#This Row],[2018]]*Emissionsfaktoren[[#This Row],[2018]]/1000, 0)</f>
        <v>0</v>
      </c>
      <c r="I219" s="15">
        <f>IF(ISNUMBER(Refsz_Verbräuche[[#This Row],[2019]]), Refsz_Verbräuche[[#This Row],[2019]]*Emissionsfaktoren[[#This Row],[2019]]/1000, 0)</f>
        <v>0</v>
      </c>
      <c r="J219" s="15">
        <f>IF(ISNUMBER(Refsz_Verbräuche[[#This Row],[2020]]), Refsz_Verbräuche[[#This Row],[2020]]*Emissionsfaktoren[[#This Row],[2020]]/1000, 0)</f>
        <v>0</v>
      </c>
      <c r="K219" s="15">
        <f>IF(ISNUMBER(Refsz_Verbräuche[[#This Row],[2021]]), Refsz_Verbräuche[[#This Row],[2021]]*Emissionsfaktoren[[#This Row],[2021]]/1000, 0)</f>
        <v>0</v>
      </c>
      <c r="L219" s="15">
        <f>IF(ISNUMBER(Refsz_Verbräuche[[#This Row],[2022]]), Refsz_Verbräuche[[#This Row],[2022]]*Emissionsfaktoren[[#This Row],[2022]]/1000, 0)</f>
        <v>0</v>
      </c>
      <c r="M219" s="15">
        <f>IF(ISNUMBER(Refsz_Verbräuche[[#This Row],[2023]]), Refsz_Verbräuche[[#This Row],[2023]]*Emissionsfaktoren[[#This Row],[2023]]/1000, 0)</f>
        <v>0</v>
      </c>
      <c r="N219" s="15">
        <f>IF(ISNUMBER(Refsz_Verbräuche[[#This Row],[2024]]), Refsz_Verbräuche[[#This Row],[2024]]*Emissionsfaktoren[[#This Row],[2024]]/1000, 0)</f>
        <v>0</v>
      </c>
      <c r="O219" s="15">
        <f>IF(ISNUMBER(Refsz_Verbräuche[[#This Row],[2025]]), Refsz_Verbräuche[[#This Row],[2025]]*Emissionsfaktoren[[#This Row],[2025]]/1000, 0)</f>
        <v>0</v>
      </c>
      <c r="P219" s="15">
        <f>IF(ISNUMBER(Refsz_Verbräuche[[#This Row],[2026]]), Refsz_Verbräuche[[#This Row],[2026]]*Emissionsfaktoren[[#This Row],[2026]]/1000, 0)</f>
        <v>0</v>
      </c>
      <c r="Q219" s="15">
        <f>IF(ISNUMBER(Refsz_Verbräuche[[#This Row],[2027]]), Refsz_Verbräuche[[#This Row],[2027]]*Emissionsfaktoren[[#This Row],[2027]]/1000, 0)</f>
        <v>0</v>
      </c>
      <c r="R219" s="15">
        <f>IF(ISNUMBER(Refsz_Verbräuche[[#This Row],[2028]]), Refsz_Verbräuche[[#This Row],[2028]]*Emissionsfaktoren[[#This Row],[2028]]/1000, 0)</f>
        <v>0</v>
      </c>
      <c r="S219" s="15">
        <f>IF(ISNUMBER(Refsz_Verbräuche[[#This Row],[2029]]), Refsz_Verbräuche[[#This Row],[2029]]*Emissionsfaktoren[[#This Row],[2029]]/1000, 0)</f>
        <v>0</v>
      </c>
      <c r="T219" s="15">
        <f>IF(ISNUMBER(Refsz_Verbräuche[[#This Row],[2030]]), Refsz_Verbräuche[[#This Row],[2030]]*Emissionsfaktoren[[#This Row],[2030]]/1000, 0)</f>
        <v>0</v>
      </c>
      <c r="U219" s="15">
        <f>IF(ISNUMBER(Refsz_Verbräuche[[#This Row],[2035]]), Refsz_Verbräuche[[#This Row],[2035]]*Emissionsfaktoren[[#This Row],[2035]]/1000, 0)</f>
        <v>0</v>
      </c>
      <c r="V219" s="15">
        <f>IF(ISNUMBER(Refsz_Verbräuche[[#This Row],[2040]]), Refsz_Verbräuche[[#This Row],[2040]]*Emissionsfaktoren[[#This Row],[2040]]/1000, 0)</f>
        <v>0</v>
      </c>
      <c r="W219" s="15">
        <f>IF(ISNUMBER(Refsz_Verbräuche[[#This Row],[2045]]), Refsz_Verbräuche[[#This Row],[2045]]*Emissionsfaktoren[[#This Row],[2045]]/1000, 0)</f>
        <v>0</v>
      </c>
      <c r="X219" s="15">
        <f>IF(ISNUMBER(Refsz_Verbräuche[[#This Row],[2050]]), Refsz_Verbräuche[[#This Row],[2050]]*Emissionsfaktoren[[#This Row],[2050]]/1000, 0)</f>
        <v>0</v>
      </c>
    </row>
    <row r="220" spans="2:24" ht="16.5" hidden="1" x14ac:dyDescent="0.45">
      <c r="B220" s="15">
        <v>160</v>
      </c>
      <c r="C220" s="20">
        <f>Refsz_Verbräuche[[#This Row],[Datenpunkt]]</f>
        <v>0</v>
      </c>
      <c r="D220" t="s">
        <v>208</v>
      </c>
      <c r="E220" s="15">
        <f>IF(ISNUMBER(Refsz_Verbräuche[[#This Row],[2015]]), Refsz_Verbräuche[[#This Row],[2015]]*Emissionsfaktoren[[#This Row],[2015]]/1000, 0)</f>
        <v>0</v>
      </c>
      <c r="F220" s="15">
        <f>IF(ISNUMBER(Refsz_Verbräuche[[#This Row],[2016]]), Refsz_Verbräuche[[#This Row],[2016]]*Emissionsfaktoren[[#This Row],[2016]]/1000, 0)</f>
        <v>0</v>
      </c>
      <c r="G220" s="15">
        <f>IF(ISNUMBER(Refsz_Verbräuche[[#This Row],[2017]]), Refsz_Verbräuche[[#This Row],[2017]]*Emissionsfaktoren[[#This Row],[2017]]/1000, 0)</f>
        <v>0</v>
      </c>
      <c r="H220" s="15">
        <f>IF(ISNUMBER(Refsz_Verbräuche[[#This Row],[2018]]), Refsz_Verbräuche[[#This Row],[2018]]*Emissionsfaktoren[[#This Row],[2018]]/1000, 0)</f>
        <v>0</v>
      </c>
      <c r="I220" s="15">
        <f>IF(ISNUMBER(Refsz_Verbräuche[[#This Row],[2019]]), Refsz_Verbräuche[[#This Row],[2019]]*Emissionsfaktoren[[#This Row],[2019]]/1000, 0)</f>
        <v>0</v>
      </c>
      <c r="J220" s="15">
        <f>IF(ISNUMBER(Refsz_Verbräuche[[#This Row],[2020]]), Refsz_Verbräuche[[#This Row],[2020]]*Emissionsfaktoren[[#This Row],[2020]]/1000, 0)</f>
        <v>0</v>
      </c>
      <c r="K220" s="15">
        <f>IF(ISNUMBER(Refsz_Verbräuche[[#This Row],[2021]]), Refsz_Verbräuche[[#This Row],[2021]]*Emissionsfaktoren[[#This Row],[2021]]/1000, 0)</f>
        <v>0</v>
      </c>
      <c r="L220" s="15">
        <f>IF(ISNUMBER(Refsz_Verbräuche[[#This Row],[2022]]), Refsz_Verbräuche[[#This Row],[2022]]*Emissionsfaktoren[[#This Row],[2022]]/1000, 0)</f>
        <v>0</v>
      </c>
      <c r="M220" s="15">
        <f>IF(ISNUMBER(Refsz_Verbräuche[[#This Row],[2023]]), Refsz_Verbräuche[[#This Row],[2023]]*Emissionsfaktoren[[#This Row],[2023]]/1000, 0)</f>
        <v>0</v>
      </c>
      <c r="N220" s="15">
        <f>IF(ISNUMBER(Refsz_Verbräuche[[#This Row],[2024]]), Refsz_Verbräuche[[#This Row],[2024]]*Emissionsfaktoren[[#This Row],[2024]]/1000, 0)</f>
        <v>0</v>
      </c>
      <c r="O220" s="15">
        <f>IF(ISNUMBER(Refsz_Verbräuche[[#This Row],[2025]]), Refsz_Verbräuche[[#This Row],[2025]]*Emissionsfaktoren[[#This Row],[2025]]/1000, 0)</f>
        <v>0</v>
      </c>
      <c r="P220" s="15">
        <f>IF(ISNUMBER(Refsz_Verbräuche[[#This Row],[2026]]), Refsz_Verbräuche[[#This Row],[2026]]*Emissionsfaktoren[[#This Row],[2026]]/1000, 0)</f>
        <v>0</v>
      </c>
      <c r="Q220" s="15">
        <f>IF(ISNUMBER(Refsz_Verbräuche[[#This Row],[2027]]), Refsz_Verbräuche[[#This Row],[2027]]*Emissionsfaktoren[[#This Row],[2027]]/1000, 0)</f>
        <v>0</v>
      </c>
      <c r="R220" s="15">
        <f>IF(ISNUMBER(Refsz_Verbräuche[[#This Row],[2028]]), Refsz_Verbräuche[[#This Row],[2028]]*Emissionsfaktoren[[#This Row],[2028]]/1000, 0)</f>
        <v>0</v>
      </c>
      <c r="S220" s="15">
        <f>IF(ISNUMBER(Refsz_Verbräuche[[#This Row],[2029]]), Refsz_Verbräuche[[#This Row],[2029]]*Emissionsfaktoren[[#This Row],[2029]]/1000, 0)</f>
        <v>0</v>
      </c>
      <c r="T220" s="15">
        <f>IF(ISNUMBER(Refsz_Verbräuche[[#This Row],[2030]]), Refsz_Verbräuche[[#This Row],[2030]]*Emissionsfaktoren[[#This Row],[2030]]/1000, 0)</f>
        <v>0</v>
      </c>
      <c r="U220" s="15">
        <f>IF(ISNUMBER(Refsz_Verbräuche[[#This Row],[2035]]), Refsz_Verbräuche[[#This Row],[2035]]*Emissionsfaktoren[[#This Row],[2035]]/1000, 0)</f>
        <v>0</v>
      </c>
      <c r="V220" s="15">
        <f>IF(ISNUMBER(Refsz_Verbräuche[[#This Row],[2040]]), Refsz_Verbräuche[[#This Row],[2040]]*Emissionsfaktoren[[#This Row],[2040]]/1000, 0)</f>
        <v>0</v>
      </c>
      <c r="W220" s="15">
        <f>IF(ISNUMBER(Refsz_Verbräuche[[#This Row],[2045]]), Refsz_Verbräuche[[#This Row],[2045]]*Emissionsfaktoren[[#This Row],[2045]]/1000, 0)</f>
        <v>0</v>
      </c>
      <c r="X220" s="15">
        <f>IF(ISNUMBER(Refsz_Verbräuche[[#This Row],[2050]]), Refsz_Verbräuche[[#This Row],[2050]]*Emissionsfaktoren[[#This Row],[2050]]/1000, 0)</f>
        <v>0</v>
      </c>
    </row>
    <row r="221" spans="2:24" ht="16.5" hidden="1" x14ac:dyDescent="0.45">
      <c r="B221" s="15">
        <v>161</v>
      </c>
      <c r="C221" s="20">
        <f>Refsz_Verbräuche[[#This Row],[Datenpunkt]]</f>
        <v>0</v>
      </c>
      <c r="D221" t="s">
        <v>208</v>
      </c>
      <c r="E221" s="15">
        <f>IF(ISNUMBER(Refsz_Verbräuche[[#This Row],[2015]]), Refsz_Verbräuche[[#This Row],[2015]]*Emissionsfaktoren[[#This Row],[2015]]/1000, 0)</f>
        <v>0</v>
      </c>
      <c r="F221" s="15">
        <f>IF(ISNUMBER(Refsz_Verbräuche[[#This Row],[2016]]), Refsz_Verbräuche[[#This Row],[2016]]*Emissionsfaktoren[[#This Row],[2016]]/1000, 0)</f>
        <v>0</v>
      </c>
      <c r="G221" s="15">
        <f>IF(ISNUMBER(Refsz_Verbräuche[[#This Row],[2017]]), Refsz_Verbräuche[[#This Row],[2017]]*Emissionsfaktoren[[#This Row],[2017]]/1000, 0)</f>
        <v>0</v>
      </c>
      <c r="H221" s="15">
        <f>IF(ISNUMBER(Refsz_Verbräuche[[#This Row],[2018]]), Refsz_Verbräuche[[#This Row],[2018]]*Emissionsfaktoren[[#This Row],[2018]]/1000, 0)</f>
        <v>0</v>
      </c>
      <c r="I221" s="15">
        <f>IF(ISNUMBER(Refsz_Verbräuche[[#This Row],[2019]]), Refsz_Verbräuche[[#This Row],[2019]]*Emissionsfaktoren[[#This Row],[2019]]/1000, 0)</f>
        <v>0</v>
      </c>
      <c r="J221" s="15">
        <f>IF(ISNUMBER(Refsz_Verbräuche[[#This Row],[2020]]), Refsz_Verbräuche[[#This Row],[2020]]*Emissionsfaktoren[[#This Row],[2020]]/1000, 0)</f>
        <v>0</v>
      </c>
      <c r="K221" s="15">
        <f>IF(ISNUMBER(Refsz_Verbräuche[[#This Row],[2021]]), Refsz_Verbräuche[[#This Row],[2021]]*Emissionsfaktoren[[#This Row],[2021]]/1000, 0)</f>
        <v>0</v>
      </c>
      <c r="L221" s="15">
        <f>IF(ISNUMBER(Refsz_Verbräuche[[#This Row],[2022]]), Refsz_Verbräuche[[#This Row],[2022]]*Emissionsfaktoren[[#This Row],[2022]]/1000, 0)</f>
        <v>0</v>
      </c>
      <c r="M221" s="15">
        <f>IF(ISNUMBER(Refsz_Verbräuche[[#This Row],[2023]]), Refsz_Verbräuche[[#This Row],[2023]]*Emissionsfaktoren[[#This Row],[2023]]/1000, 0)</f>
        <v>0</v>
      </c>
      <c r="N221" s="15">
        <f>IF(ISNUMBER(Refsz_Verbräuche[[#This Row],[2024]]), Refsz_Verbräuche[[#This Row],[2024]]*Emissionsfaktoren[[#This Row],[2024]]/1000, 0)</f>
        <v>0</v>
      </c>
      <c r="O221" s="15">
        <f>IF(ISNUMBER(Refsz_Verbräuche[[#This Row],[2025]]), Refsz_Verbräuche[[#This Row],[2025]]*Emissionsfaktoren[[#This Row],[2025]]/1000, 0)</f>
        <v>0</v>
      </c>
      <c r="P221" s="15">
        <f>IF(ISNUMBER(Refsz_Verbräuche[[#This Row],[2026]]), Refsz_Verbräuche[[#This Row],[2026]]*Emissionsfaktoren[[#This Row],[2026]]/1000, 0)</f>
        <v>0</v>
      </c>
      <c r="Q221" s="15">
        <f>IF(ISNUMBER(Refsz_Verbräuche[[#This Row],[2027]]), Refsz_Verbräuche[[#This Row],[2027]]*Emissionsfaktoren[[#This Row],[2027]]/1000, 0)</f>
        <v>0</v>
      </c>
      <c r="R221" s="15">
        <f>IF(ISNUMBER(Refsz_Verbräuche[[#This Row],[2028]]), Refsz_Verbräuche[[#This Row],[2028]]*Emissionsfaktoren[[#This Row],[2028]]/1000, 0)</f>
        <v>0</v>
      </c>
      <c r="S221" s="15">
        <f>IF(ISNUMBER(Refsz_Verbräuche[[#This Row],[2029]]), Refsz_Verbräuche[[#This Row],[2029]]*Emissionsfaktoren[[#This Row],[2029]]/1000, 0)</f>
        <v>0</v>
      </c>
      <c r="T221" s="15">
        <f>IF(ISNUMBER(Refsz_Verbräuche[[#This Row],[2030]]), Refsz_Verbräuche[[#This Row],[2030]]*Emissionsfaktoren[[#This Row],[2030]]/1000, 0)</f>
        <v>0</v>
      </c>
      <c r="U221" s="15">
        <f>IF(ISNUMBER(Refsz_Verbräuche[[#This Row],[2035]]), Refsz_Verbräuche[[#This Row],[2035]]*Emissionsfaktoren[[#This Row],[2035]]/1000, 0)</f>
        <v>0</v>
      </c>
      <c r="V221" s="15">
        <f>IF(ISNUMBER(Refsz_Verbräuche[[#This Row],[2040]]), Refsz_Verbräuche[[#This Row],[2040]]*Emissionsfaktoren[[#This Row],[2040]]/1000, 0)</f>
        <v>0</v>
      </c>
      <c r="W221" s="15">
        <f>IF(ISNUMBER(Refsz_Verbräuche[[#This Row],[2045]]), Refsz_Verbräuche[[#This Row],[2045]]*Emissionsfaktoren[[#This Row],[2045]]/1000, 0)</f>
        <v>0</v>
      </c>
      <c r="X221" s="15">
        <f>IF(ISNUMBER(Refsz_Verbräuche[[#This Row],[2050]]), Refsz_Verbräuche[[#This Row],[2050]]*Emissionsfaktoren[[#This Row],[2050]]/1000, 0)</f>
        <v>0</v>
      </c>
    </row>
    <row r="222" spans="2:24" hidden="1" x14ac:dyDescent="0.35"/>
    <row r="223" spans="2:24" hidden="1" x14ac:dyDescent="0.35"/>
    <row r="224" spans="2:24" ht="15.5" hidden="1" x14ac:dyDescent="0.35">
      <c r="B224" s="6" t="s">
        <v>477</v>
      </c>
      <c r="E224" s="14"/>
    </row>
    <row r="225" spans="2:25" hidden="1" x14ac:dyDescent="0.35">
      <c r="B225" t="s">
        <v>42</v>
      </c>
      <c r="C225" s="15" t="s">
        <v>28</v>
      </c>
      <c r="D225" t="s">
        <v>2</v>
      </c>
      <c r="E225" t="s">
        <v>3</v>
      </c>
      <c r="F225" t="s">
        <v>4</v>
      </c>
      <c r="G225" t="s">
        <v>5</v>
      </c>
      <c r="H225" t="s">
        <v>6</v>
      </c>
      <c r="I225" t="s">
        <v>7</v>
      </c>
      <c r="J225" t="s">
        <v>8</v>
      </c>
      <c r="K225" t="s">
        <v>9</v>
      </c>
      <c r="L225" t="s">
        <v>10</v>
      </c>
      <c r="M225" t="s">
        <v>11</v>
      </c>
      <c r="N225" t="s">
        <v>12</v>
      </c>
      <c r="O225" t="s">
        <v>13</v>
      </c>
      <c r="P225" t="s">
        <v>14</v>
      </c>
      <c r="Q225" t="s">
        <v>232</v>
      </c>
      <c r="R225" t="s">
        <v>233</v>
      </c>
      <c r="S225" t="s">
        <v>234</v>
      </c>
      <c r="T225" t="s">
        <v>15</v>
      </c>
      <c r="U225" t="s">
        <v>16</v>
      </c>
      <c r="V225" t="s">
        <v>17</v>
      </c>
      <c r="W225" t="s">
        <v>18</v>
      </c>
      <c r="X225" t="s">
        <v>19</v>
      </c>
      <c r="Y225" t="s">
        <v>49</v>
      </c>
    </row>
    <row r="226" spans="2:25" ht="16.5" hidden="1" x14ac:dyDescent="0.45">
      <c r="B226" s="15">
        <v>1</v>
      </c>
      <c r="C226" s="20" t="str">
        <f>'Refsz-Verbräuche'!C61</f>
        <v>Elektrischer Strom (Bundesmix)</v>
      </c>
      <c r="D226" t="s">
        <v>208</v>
      </c>
      <c r="E226" s="15">
        <f>IF(ISNUMBER('Refsz-Verbräuche'!E61), 'Refsz-Verbräuche'!E61*Emissionsfaktoren!E61/1000, 0)</f>
        <v>0</v>
      </c>
      <c r="F226" s="15">
        <f>IF(ISNUMBER('Refsz-Verbräuche'!F61), 'Refsz-Verbräuche'!F61*Emissionsfaktoren!F61/1000, 0)</f>
        <v>0</v>
      </c>
      <c r="G226" s="15">
        <f>IF(ISNUMBER('Refsz-Verbräuche'!G61), 'Refsz-Verbräuche'!G61*Emissionsfaktoren!G61/1000, 0)</f>
        <v>0</v>
      </c>
      <c r="H226" s="15">
        <f>IF(ISNUMBER('Refsz-Verbräuche'!H61), 'Refsz-Verbräuche'!H61*Emissionsfaktoren!H61/1000, 0)</f>
        <v>0</v>
      </c>
      <c r="I226" s="15">
        <f>IF(ISNUMBER('Refsz-Verbräuche'!I61), 'Refsz-Verbräuche'!I61*Emissionsfaktoren!I61/1000, 0)</f>
        <v>0</v>
      </c>
      <c r="J226" s="15">
        <f>IF(ISNUMBER('Refsz-Verbräuche'!J61), 'Refsz-Verbräuche'!J61*Emissionsfaktoren!J61/1000, 0)</f>
        <v>0</v>
      </c>
      <c r="K226" s="15">
        <f>IF(ISNUMBER('Refsz-Verbräuche'!K61), 'Refsz-Verbräuche'!K61*Emissionsfaktoren!K61/1000, 0)</f>
        <v>0</v>
      </c>
      <c r="L226" s="15">
        <f>IF('Refsz-Verbräuche'!$B$43=Refsz_Emissionen_Regiomix[[#Headers],[2022]],(SUM('Refsz-Verbräuche'!L61:L68))*Emissionsfaktoren!L61/1000,
IF('Refsz-Verbräuche'!$B$43&gt;Refsz_Verbräuche[[#Headers],[2022]],"'Refsz-Verbräuche'!L61);'Refsz-Verbräuche'!L61*Emissionsfaktoren!L61/1000",
IF('Refsz-Verbräuche'!$B$43&lt;Refsz_Verbräuche[[#Headers],[2022]],(SUM('Refsz-Verbräuche'!L61:L68))*Emissionsfaktoren!L61/1000)))</f>
        <v>0</v>
      </c>
      <c r="M226" s="15">
        <f>IF('Refsz-Verbräuche'!$B$43=Refsz_Emissionen_Regiomix[[#Headers],[2023]],(SUM('Refsz-Verbräuche'!M61:M68))*Emissionsfaktoren!M61/1000,
IF('Refsz-Verbräuche'!$B$43&gt;Refsz_Verbräuche[[#Headers],[2023]],"'Refsz-Verbräuche'!L61);'Refsz-Verbräuche'!L61*Emissionsfaktoren!L61/1000",
IF('Refsz-Verbräuche'!$B$43&lt;Refsz_Verbräuche[[#Headers],[2023]],(SUM('Refsz-Verbräuche'!M61:M68))*Emissionsfaktoren!M61/1000)))</f>
        <v>0</v>
      </c>
      <c r="N226" s="15">
        <f>IF('Refsz-Verbräuche'!$B$43=Refsz_Emissionen_Regiomix[[#Headers],[2024]],(SUM('Refsz-Verbräuche'!N61:N68))*Emissionsfaktoren!N61/1000,
IF('Refsz-Verbräuche'!$B$43&gt;Refsz_Verbräuche[[#Headers],[2024]],"'Refsz-Verbräuche'!L61);'Refsz-Verbräuche'!L61*Emissionsfaktoren!L61/1000",
IF('Refsz-Verbräuche'!$B$43&lt;Refsz_Verbräuche[[#Headers],[2024]],(SUM('Refsz-Verbräuche'!N61:N68))*Emissionsfaktoren!N61/1000)))</f>
        <v>0</v>
      </c>
      <c r="O226" s="15">
        <f>IF('Refsz-Verbräuche'!$B$43=Refsz_Emissionen_Regiomix[[#Headers],[2025]],(SUM('Refsz-Verbräuche'!O61:O68))*Emissionsfaktoren!O61/1000,
IF('Refsz-Verbräuche'!$B$43&gt;Refsz_Verbräuche[[#Headers],[2025]],"'Refsz-Verbräuche'!L61);'Refsz-Verbräuche'!L61*Emissionsfaktoren!L61/1000",
IF('Refsz-Verbräuche'!$B$43&lt;Refsz_Verbräuche[[#Headers],[2025]],(SUM('Refsz-Verbräuche'!O61:O68))*Emissionsfaktoren!O61/1000)))</f>
        <v>0</v>
      </c>
      <c r="P226" s="15">
        <f>IF('Refsz-Verbräuche'!$B$43=Refsz_Emissionen_Regiomix[[#Headers],[2026]],(SUM('Refsz-Verbräuche'!P61:P68))*Emissionsfaktoren!P61/1000,
IF('Refsz-Verbräuche'!$B$43&gt;Refsz_Verbräuche[[#Headers],[2026]],"'Refsz-Verbräuche'!L61);'Refsz-Verbräuche'!L61*Emissionsfaktoren!L61/1000",
IF('Refsz-Verbräuche'!$B$43&lt;Refsz_Verbräuche[[#Headers],[2026]],(SUM('Refsz-Verbräuche'!P61:P68))*Emissionsfaktoren!P61/1000)))</f>
        <v>0</v>
      </c>
      <c r="Q226" s="15">
        <f>IF('Refsz-Verbräuche'!$B$43=Refsz_Emissionen_Regiomix[[#Headers],[2027]],(SUM('Refsz-Verbräuche'!Q61:Q68))*Emissionsfaktoren!Q61/1000,
IF('Refsz-Verbräuche'!$B$43&gt;Refsz_Verbräuche[[#Headers],[2027]],"'Refsz-Verbräuche'!L61);'Refsz-Verbräuche'!L61*Emissionsfaktoren!L61/1000",
IF('Refsz-Verbräuche'!$B$43&lt;Refsz_Verbräuche[[#Headers],[2027]],(SUM('Refsz-Verbräuche'!Q61:Q68))*Emissionsfaktoren!Q61/1000)))</f>
        <v>0</v>
      </c>
      <c r="R226" s="15">
        <f>IF('Refsz-Verbräuche'!$B$43=Refsz_Emissionen_Regiomix[[#Headers],[2028]],(SUM('Refsz-Verbräuche'!R61:R68))*Emissionsfaktoren!R61/1000,
IF('Refsz-Verbräuche'!$B$43&gt;Refsz_Verbräuche[[#Headers],[2028]],"'Refsz-Verbräuche'!L61);'Refsz-Verbräuche'!L61*Emissionsfaktoren!L61/1000",
IF('Refsz-Verbräuche'!$B$43&lt;Refsz_Verbräuche[[#Headers],[2028]],(SUM('Refsz-Verbräuche'!R61:R68))*Emissionsfaktoren!R61/1000)))</f>
        <v>0</v>
      </c>
      <c r="S226" s="15">
        <f>IF('Refsz-Verbräuche'!$B$43=Refsz_Emissionen_Regiomix[[#Headers],[2029]],(SUM('Refsz-Verbräuche'!S61:S68))*Emissionsfaktoren!S61/1000,
IF('Refsz-Verbräuche'!$B$43&gt;Refsz_Verbräuche[[#Headers],[2029]],"'Refsz-Verbräuche'!L61);'Refsz-Verbräuche'!L61*Emissionsfaktoren!L61/1000",
IF('Refsz-Verbräuche'!$B$43&lt;Refsz_Verbräuche[[#Headers],[2029]],(SUM('Refsz-Verbräuche'!S61:S68))*Emissionsfaktoren!S61/1000)))</f>
        <v>0</v>
      </c>
      <c r="T226" s="15">
        <f>IF('Refsz-Verbräuche'!$B$43=Refsz_Emissionen_Regiomix[[#Headers],[2030]],(SUM('Refsz-Verbräuche'!T61:T68))*Emissionsfaktoren!T61/1000,
IF('Refsz-Verbräuche'!$B$43&gt;Refsz_Verbräuche[[#Headers],[2030]],"'Refsz-Verbräuche'!L61);'Refsz-Verbräuche'!L61*Emissionsfaktoren!L61/1000",
IF('Refsz-Verbräuche'!$B$43&lt;Refsz_Verbräuche[[#Headers],[2030]],(SUM('Refsz-Verbräuche'!T61:T68))*Emissionsfaktoren!T61/1000)))</f>
        <v>0</v>
      </c>
      <c r="U226" s="15">
        <f>IF('Refsz-Verbräuche'!$B$43=Refsz_Emissionen_Regiomix[[#Headers],[2035]],(SUM('Refsz-Verbräuche'!U61:U68))*Emissionsfaktoren!U61/1000,
IF('Refsz-Verbräuche'!$B$43&gt;Refsz_Verbräuche[[#Headers],[2035]],"'Refsz-Verbräuche'!L61);'Refsz-Verbräuche'!L61*Emissionsfaktoren!L61/1000",
IF('Refsz-Verbräuche'!$B$43&lt;Refsz_Verbräuche[[#Headers],[2035]],(SUM('Refsz-Verbräuche'!U61:U68))*Emissionsfaktoren!U61/1000)))</f>
        <v>0</v>
      </c>
      <c r="V226" s="15">
        <f>IF('Refsz-Verbräuche'!$B$43=Refsz_Emissionen_Regiomix[[#Headers],[2040]],(SUM('Refsz-Verbräuche'!V61:V68))*Emissionsfaktoren!V61/1000,
IF('Refsz-Verbräuche'!$B$43&gt;Refsz_Verbräuche[[#Headers],[2040]],"'Refsz-Verbräuche'!L61);'Refsz-Verbräuche'!L61*Emissionsfaktoren!L61/1000",
IF('Refsz-Verbräuche'!$B$43&lt;Refsz_Verbräuche[[#Headers],[2040]],(SUM('Refsz-Verbräuche'!V61:V68))*Emissionsfaktoren!V61/1000)))</f>
        <v>0</v>
      </c>
      <c r="W226" s="15">
        <f>IF('Refsz-Verbräuche'!$B$43=Refsz_Emissionen_Regiomix[[#Headers],[2045]],(SUM('Refsz-Verbräuche'!W61:W68))*Emissionsfaktoren!W61/1000,
IF('Refsz-Verbräuche'!$B$43&gt;Refsz_Verbräuche[[#Headers],[2045]],"'Refsz-Verbräuche'!L61);'Refsz-Verbräuche'!L61*Emissionsfaktoren!L61/1000",
IF('Refsz-Verbräuche'!$B$43&lt;Refsz_Verbräuche[[#Headers],[2045]],(SUM('Refsz-Verbräuche'!W61:W68))*Emissionsfaktoren!W61/1000)))</f>
        <v>0</v>
      </c>
      <c r="X226" s="15">
        <f>IF('Refsz-Verbräuche'!$B$43=Refsz_Emissionen_Regiomix[[#Headers],[2050]],(SUM('Refsz-Verbräuche'!X61:X68))*Emissionsfaktoren!X61/1000,
IF('Refsz-Verbräuche'!$B$43&gt;Refsz_Verbräuche[[#Headers],[2050]],"'Refsz-Verbräuche'!L61);'Refsz-Verbräuche'!L61*Emissionsfaktoren!L61/1000",
IF('Refsz-Verbräuche'!$B$43&lt;Refsz_Verbräuche[[#Headers],[2050]],(SUM('Refsz-Verbräuche'!X61:X68))*Emissionsfaktoren!X61/1000)))</f>
        <v>0</v>
      </c>
    </row>
    <row r="227" spans="2:25" ht="16.5" hidden="1" x14ac:dyDescent="0.45">
      <c r="B227" s="15">
        <v>2</v>
      </c>
      <c r="C227" s="20" t="str">
        <f>'Refsz-Verbräuche'!C62</f>
        <v>Elektrischer Strom (Bundesmix KS80)</v>
      </c>
      <c r="D227" t="s">
        <v>208</v>
      </c>
      <c r="E227" s="15">
        <f>IF(ISNUMBER('Refsz-Verbräuche'!E62), 'Refsz-Verbräuche'!E62*Emissionsfaktoren!E62/1000, 0)</f>
        <v>0</v>
      </c>
      <c r="F227" s="15">
        <f>IF(ISNUMBER('Refsz-Verbräuche'!F62), 'Refsz-Verbräuche'!F62*Emissionsfaktoren!F62/1000, 0)</f>
        <v>0</v>
      </c>
      <c r="G227" s="15">
        <f>IF(ISNUMBER('Refsz-Verbräuche'!G62), 'Refsz-Verbräuche'!G62*Emissionsfaktoren!G62/1000, 0)</f>
        <v>0</v>
      </c>
      <c r="H227" s="15">
        <f>IF(ISNUMBER('Refsz-Verbräuche'!H62), 'Refsz-Verbräuche'!H62*Emissionsfaktoren!H62/1000, 0)</f>
        <v>0</v>
      </c>
      <c r="I227" s="15">
        <f>IF(ISNUMBER('Refsz-Verbräuche'!I62), 'Refsz-Verbräuche'!I62*Emissionsfaktoren!I62/1000, 0)</f>
        <v>0</v>
      </c>
      <c r="J227" s="15">
        <f>IF(ISNUMBER('Refsz-Verbräuche'!J62), 'Refsz-Verbräuche'!J62*Emissionsfaktoren!J62/1000, 0)</f>
        <v>0</v>
      </c>
      <c r="K227" s="15">
        <f>IF(ISNUMBER('Refsz-Verbräuche'!K62), 'Refsz-Verbräuche'!K62*Emissionsfaktoren!K62/1000, 0)</f>
        <v>0</v>
      </c>
      <c r="L227" s="15">
        <f>IF(ISNUMBER('Refsz-Verbräuche'!L62), 'Refsz-Verbräuche'!L62*Emissionsfaktoren!L62/1000, 0)</f>
        <v>0</v>
      </c>
      <c r="M227" s="15">
        <f>IF(ISNUMBER('Refsz-Verbräuche'!M62), 'Refsz-Verbräuche'!M62*Emissionsfaktoren!M62/1000, 0)</f>
        <v>0</v>
      </c>
      <c r="N227" s="15">
        <f>IF(ISNUMBER('Refsz-Verbräuche'!N62), 'Refsz-Verbräuche'!N62*Emissionsfaktoren!N62/1000, 0)</f>
        <v>0</v>
      </c>
      <c r="O227" s="15">
        <f>IF(ISNUMBER('Refsz-Verbräuche'!O62), 'Refsz-Verbräuche'!O62*Emissionsfaktoren!O62/1000, 0)</f>
        <v>0</v>
      </c>
      <c r="P227" s="15">
        <f>IF(ISNUMBER('Refsz-Verbräuche'!P62), 'Refsz-Verbräuche'!P62*Emissionsfaktoren!P62/1000, 0)</f>
        <v>0</v>
      </c>
      <c r="Q227" s="15">
        <f>IF(ISNUMBER('Refsz-Verbräuche'!Q62), 'Refsz-Verbräuche'!Q62*Emissionsfaktoren!Q62/1000, 0)</f>
        <v>0</v>
      </c>
      <c r="R227" s="15">
        <f>IF(ISNUMBER('Refsz-Verbräuche'!R62), 'Refsz-Verbräuche'!R62*Emissionsfaktoren!R62/1000, 0)</f>
        <v>0</v>
      </c>
      <c r="S227" s="15">
        <f>IF(ISNUMBER('Refsz-Verbräuche'!S62), 'Refsz-Verbräuche'!S62*Emissionsfaktoren!S62/1000, 0)</f>
        <v>0</v>
      </c>
      <c r="T227" s="15">
        <f>IF(ISNUMBER('Refsz-Verbräuche'!T62), 'Refsz-Verbräuche'!T62*Emissionsfaktoren!T62/1000, 0)</f>
        <v>0</v>
      </c>
      <c r="U227" s="15">
        <f>IF(ISNUMBER('Refsz-Verbräuche'!U62), 'Refsz-Verbräuche'!U62*Emissionsfaktoren!U62/1000, 0)</f>
        <v>0</v>
      </c>
      <c r="V227" s="15">
        <f>IF(ISNUMBER('Refsz-Verbräuche'!V62), 'Refsz-Verbräuche'!V62*Emissionsfaktoren!V62/1000, 0)</f>
        <v>0</v>
      </c>
      <c r="W227" s="15">
        <f>IF(ISNUMBER('Refsz-Verbräuche'!W62), 'Refsz-Verbräuche'!W62*Emissionsfaktoren!W62/1000, 0)</f>
        <v>0</v>
      </c>
      <c r="X227" s="15">
        <f>IF(ISNUMBER('Refsz-Verbräuche'!X62), 'Refsz-Verbräuche'!X62*Emissionsfaktoren!X62/1000, 0)</f>
        <v>0</v>
      </c>
    </row>
    <row r="228" spans="2:25" ht="16.5" hidden="1" x14ac:dyDescent="0.45">
      <c r="B228" s="15">
        <v>3</v>
      </c>
      <c r="C228" s="20" t="str">
        <f>'Refsz-Verbräuche'!C63</f>
        <v>Elektrischer Strom (individueller Strommix Einrichtung 1)</v>
      </c>
      <c r="D228" t="s">
        <v>208</v>
      </c>
      <c r="E228" s="15">
        <f>IF(ISNUMBER('Refsz-Verbräuche'!E63), 'Refsz-Verbräuche'!E63*Emissionsfaktoren!E63/1000, 0)</f>
        <v>0</v>
      </c>
      <c r="F228" s="15">
        <f>IF(ISNUMBER('Refsz-Verbräuche'!F63), 'Refsz-Verbräuche'!F63*Emissionsfaktoren!F63/1000, 0)</f>
        <v>0</v>
      </c>
      <c r="G228" s="15">
        <f>IF(ISNUMBER('Refsz-Verbräuche'!G63), 'Refsz-Verbräuche'!G63*Emissionsfaktoren!G63/1000, 0)</f>
        <v>0</v>
      </c>
      <c r="H228" s="15">
        <f>IF(ISNUMBER('Refsz-Verbräuche'!H63), 'Refsz-Verbräuche'!H63*Emissionsfaktoren!H63/1000, 0)</f>
        <v>0</v>
      </c>
      <c r="I228" s="15">
        <f>IF(ISNUMBER('Refsz-Verbräuche'!I63), 'Refsz-Verbräuche'!I63*Emissionsfaktoren!I63/1000, 0)</f>
        <v>0</v>
      </c>
      <c r="J228" s="15">
        <f>IF(ISNUMBER('Refsz-Verbräuche'!J63), 'Refsz-Verbräuche'!J63*Emissionsfaktoren!J63/1000, 0)</f>
        <v>0</v>
      </c>
      <c r="K228" s="15">
        <f>IF(ISNUMBER('Refsz-Verbräuche'!K63), 'Refsz-Verbräuche'!K63*Emissionsfaktoren!K63/1000, 0)</f>
        <v>0</v>
      </c>
      <c r="L228" s="15">
        <f>IF(ISNUMBER('Refsz-Verbräuche'!L63), 'Refsz-Verbräuche'!L63*Emissionsfaktoren!L63/1000, 0)</f>
        <v>0</v>
      </c>
      <c r="M228" s="15">
        <f>IF(ISNUMBER('Refsz-Verbräuche'!M63), 'Refsz-Verbräuche'!M63*Emissionsfaktoren!M63/1000, 0)</f>
        <v>0</v>
      </c>
      <c r="N228" s="15">
        <f>IF(ISNUMBER('Refsz-Verbräuche'!N63), 'Refsz-Verbräuche'!N63*Emissionsfaktoren!N63/1000, 0)</f>
        <v>0</v>
      </c>
      <c r="O228" s="15">
        <f>IF(ISNUMBER('Refsz-Verbräuche'!O63), 'Refsz-Verbräuche'!O63*Emissionsfaktoren!O63/1000, 0)</f>
        <v>0</v>
      </c>
      <c r="P228" s="15">
        <f>IF(ISNUMBER('Refsz-Verbräuche'!P63), 'Refsz-Verbräuche'!P63*Emissionsfaktoren!P63/1000, 0)</f>
        <v>0</v>
      </c>
      <c r="Q228" s="15">
        <f>IF(ISNUMBER('Refsz-Verbräuche'!Q63), 'Refsz-Verbräuche'!Q63*Emissionsfaktoren!Q63/1000, 0)</f>
        <v>0</v>
      </c>
      <c r="R228" s="15">
        <f>IF(ISNUMBER('Refsz-Verbräuche'!R63), 'Refsz-Verbräuche'!R63*Emissionsfaktoren!R63/1000, 0)</f>
        <v>0</v>
      </c>
      <c r="S228" s="15">
        <f>IF(ISNUMBER('Refsz-Verbräuche'!S63), 'Refsz-Verbräuche'!S63*Emissionsfaktoren!S63/1000, 0)</f>
        <v>0</v>
      </c>
      <c r="T228" s="15">
        <f>IF(ISNUMBER('Refsz-Verbräuche'!T63), 'Refsz-Verbräuche'!T63*Emissionsfaktoren!T63/1000, 0)</f>
        <v>0</v>
      </c>
      <c r="U228" s="15">
        <f>IF(ISNUMBER('Refsz-Verbräuche'!U63), 'Refsz-Verbräuche'!U63*Emissionsfaktoren!U63/1000, 0)</f>
        <v>0</v>
      </c>
      <c r="V228" s="15">
        <f>IF(ISNUMBER('Refsz-Verbräuche'!V63), 'Refsz-Verbräuche'!V63*Emissionsfaktoren!V63/1000, 0)</f>
        <v>0</v>
      </c>
      <c r="W228" s="15">
        <f>IF(ISNUMBER('Refsz-Verbräuche'!W63), 'Refsz-Verbräuche'!W63*Emissionsfaktoren!W63/1000, 0)</f>
        <v>0</v>
      </c>
      <c r="X228" s="15">
        <f>IF(ISNUMBER('Refsz-Verbräuche'!X63), 'Refsz-Verbräuche'!X63*Emissionsfaktoren!X63/1000, 0)</f>
        <v>0</v>
      </c>
    </row>
    <row r="229" spans="2:25" ht="16.5" hidden="1" x14ac:dyDescent="0.45">
      <c r="B229" s="15">
        <v>4</v>
      </c>
      <c r="C229" s="20" t="str">
        <f>'Refsz-Verbräuche'!C64</f>
        <v>Elektrischer Strom (individueller Strommix Einrichtung 2)</v>
      </c>
      <c r="D229" t="s">
        <v>208</v>
      </c>
      <c r="E229" s="15">
        <f>IF(ISNUMBER('Refsz-Verbräuche'!E64), 'Refsz-Verbräuche'!E64*Emissionsfaktoren!E64/1000, 0)</f>
        <v>0</v>
      </c>
      <c r="F229" s="15">
        <f>IF(ISNUMBER('Refsz-Verbräuche'!F64), 'Refsz-Verbräuche'!F64*Emissionsfaktoren!F64/1000, 0)</f>
        <v>0</v>
      </c>
      <c r="G229" s="15">
        <f>IF(ISNUMBER('Refsz-Verbräuche'!G64), 'Refsz-Verbräuche'!G64*Emissionsfaktoren!G64/1000, 0)</f>
        <v>0</v>
      </c>
      <c r="H229" s="15">
        <f>IF(ISNUMBER('Refsz-Verbräuche'!H64), 'Refsz-Verbräuche'!H64*Emissionsfaktoren!H64/1000, 0)</f>
        <v>0</v>
      </c>
      <c r="I229" s="15">
        <f>IF(ISNUMBER('Refsz-Verbräuche'!I64), 'Refsz-Verbräuche'!I64*Emissionsfaktoren!I64/1000, 0)</f>
        <v>0</v>
      </c>
      <c r="J229" s="15">
        <f>IF(ISNUMBER('Refsz-Verbräuche'!J64), 'Refsz-Verbräuche'!J64*Emissionsfaktoren!J64/1000, 0)</f>
        <v>0</v>
      </c>
      <c r="K229" s="15">
        <f>IF(ISNUMBER('Refsz-Verbräuche'!K64), 'Refsz-Verbräuche'!K64*Emissionsfaktoren!K64/1000, 0)</f>
        <v>0</v>
      </c>
      <c r="L229" s="15">
        <f>IF(ISNUMBER('Refsz-Verbräuche'!L64), 'Refsz-Verbräuche'!L64*Emissionsfaktoren!L64/1000, 0)</f>
        <v>0</v>
      </c>
      <c r="M229" s="15">
        <f>IF(ISNUMBER('Refsz-Verbräuche'!M64), 'Refsz-Verbräuche'!M64*Emissionsfaktoren!M64/1000, 0)</f>
        <v>0</v>
      </c>
      <c r="N229" s="15">
        <f>IF(ISNUMBER('Refsz-Verbräuche'!N64), 'Refsz-Verbräuche'!N64*Emissionsfaktoren!N64/1000, 0)</f>
        <v>0</v>
      </c>
      <c r="O229" s="15">
        <f>IF(ISNUMBER('Refsz-Verbräuche'!O64), 'Refsz-Verbräuche'!O64*Emissionsfaktoren!O64/1000, 0)</f>
        <v>0</v>
      </c>
      <c r="P229" s="15">
        <f>IF(ISNUMBER('Refsz-Verbräuche'!P64), 'Refsz-Verbräuche'!P64*Emissionsfaktoren!P64/1000, 0)</f>
        <v>0</v>
      </c>
      <c r="Q229" s="15">
        <f>IF(ISNUMBER('Refsz-Verbräuche'!Q64), 'Refsz-Verbräuche'!Q64*Emissionsfaktoren!Q64/1000, 0)</f>
        <v>0</v>
      </c>
      <c r="R229" s="15">
        <f>IF(ISNUMBER('Refsz-Verbräuche'!R64), 'Refsz-Verbräuche'!R64*Emissionsfaktoren!R64/1000, 0)</f>
        <v>0</v>
      </c>
      <c r="S229" s="15">
        <f>IF(ISNUMBER('Refsz-Verbräuche'!S64), 'Refsz-Verbräuche'!S64*Emissionsfaktoren!S64/1000, 0)</f>
        <v>0</v>
      </c>
      <c r="T229" s="15">
        <f>IF(ISNUMBER('Refsz-Verbräuche'!T64), 'Refsz-Verbräuche'!T64*Emissionsfaktoren!T64/1000, 0)</f>
        <v>0</v>
      </c>
      <c r="U229" s="15">
        <f>IF(ISNUMBER('Refsz-Verbräuche'!U64), 'Refsz-Verbräuche'!U64*Emissionsfaktoren!U64/1000, 0)</f>
        <v>0</v>
      </c>
      <c r="V229" s="15">
        <f>IF(ISNUMBER('Refsz-Verbräuche'!V64), 'Refsz-Verbräuche'!V64*Emissionsfaktoren!V64/1000, 0)</f>
        <v>0</v>
      </c>
      <c r="W229" s="15">
        <f>IF(ISNUMBER('Refsz-Verbräuche'!W64), 'Refsz-Verbräuche'!W64*Emissionsfaktoren!W64/1000, 0)</f>
        <v>0</v>
      </c>
      <c r="X229" s="15">
        <f>IF(ISNUMBER('Refsz-Verbräuche'!X64), 'Refsz-Verbräuche'!X64*Emissionsfaktoren!X64/1000, 0)</f>
        <v>0</v>
      </c>
    </row>
    <row r="230" spans="2:25" ht="16.5" hidden="1" x14ac:dyDescent="0.45">
      <c r="B230" s="15">
        <v>5</v>
      </c>
      <c r="C230" s="20" t="str">
        <f>'Refsz-Verbräuche'!C65</f>
        <v>Elektrischer Strom (individueller Strommix Einrichtung 3)</v>
      </c>
      <c r="D230" t="s">
        <v>208</v>
      </c>
      <c r="E230" s="15">
        <f>IF(ISNUMBER('Refsz-Verbräuche'!E65), 'Refsz-Verbräuche'!E65*Emissionsfaktoren!E65/1000, 0)</f>
        <v>0</v>
      </c>
      <c r="F230" s="15">
        <f>IF(ISNUMBER('Refsz-Verbräuche'!F65), 'Refsz-Verbräuche'!F65*Emissionsfaktoren!F65/1000, 0)</f>
        <v>0</v>
      </c>
      <c r="G230" s="15">
        <f>IF(ISNUMBER('Refsz-Verbräuche'!G65), 'Refsz-Verbräuche'!G65*Emissionsfaktoren!G65/1000, 0)</f>
        <v>0</v>
      </c>
      <c r="H230" s="15">
        <f>IF(ISNUMBER('Refsz-Verbräuche'!H65), 'Refsz-Verbräuche'!H65*Emissionsfaktoren!H65/1000, 0)</f>
        <v>0</v>
      </c>
      <c r="I230" s="15">
        <f>IF(ISNUMBER('Refsz-Verbräuche'!I65), 'Refsz-Verbräuche'!I65*Emissionsfaktoren!I65/1000, 0)</f>
        <v>0</v>
      </c>
      <c r="J230" s="15">
        <f>IF(ISNUMBER('Refsz-Verbräuche'!J65), 'Refsz-Verbräuche'!J65*Emissionsfaktoren!J65/1000, 0)</f>
        <v>0</v>
      </c>
      <c r="K230" s="15">
        <f>IF(ISNUMBER('Refsz-Verbräuche'!K65), 'Refsz-Verbräuche'!K65*Emissionsfaktoren!K65/1000, 0)</f>
        <v>0</v>
      </c>
      <c r="L230" s="15">
        <f>IF(ISNUMBER('Refsz-Verbräuche'!L65), 'Refsz-Verbräuche'!L65*Emissionsfaktoren!L65/1000, 0)</f>
        <v>0</v>
      </c>
      <c r="M230" s="15">
        <f>IF(ISNUMBER('Refsz-Verbräuche'!M65), 'Refsz-Verbräuche'!M65*Emissionsfaktoren!M65/1000, 0)</f>
        <v>0</v>
      </c>
      <c r="N230" s="15">
        <f>IF(ISNUMBER('Refsz-Verbräuche'!N65), 'Refsz-Verbräuche'!N65*Emissionsfaktoren!N65/1000, 0)</f>
        <v>0</v>
      </c>
      <c r="O230" s="15">
        <f>IF(ISNUMBER('Refsz-Verbräuche'!O65), 'Refsz-Verbräuche'!O65*Emissionsfaktoren!O65/1000, 0)</f>
        <v>0</v>
      </c>
      <c r="P230" s="15">
        <f>IF(ISNUMBER('Refsz-Verbräuche'!P65), 'Refsz-Verbräuche'!P65*Emissionsfaktoren!P65/1000, 0)</f>
        <v>0</v>
      </c>
      <c r="Q230" s="15">
        <f>IF(ISNUMBER('Refsz-Verbräuche'!Q65), 'Refsz-Verbräuche'!Q65*Emissionsfaktoren!Q65/1000, 0)</f>
        <v>0</v>
      </c>
      <c r="R230" s="15">
        <f>IF(ISNUMBER('Refsz-Verbräuche'!R65), 'Refsz-Verbräuche'!R65*Emissionsfaktoren!R65/1000, 0)</f>
        <v>0</v>
      </c>
      <c r="S230" s="15">
        <f>IF(ISNUMBER('Refsz-Verbräuche'!S65), 'Refsz-Verbräuche'!S65*Emissionsfaktoren!S65/1000, 0)</f>
        <v>0</v>
      </c>
      <c r="T230" s="15">
        <f>IF(ISNUMBER('Refsz-Verbräuche'!T65), 'Refsz-Verbräuche'!T65*Emissionsfaktoren!T65/1000, 0)</f>
        <v>0</v>
      </c>
      <c r="U230" s="15">
        <f>IF(ISNUMBER('Refsz-Verbräuche'!U65), 'Refsz-Verbräuche'!U65*Emissionsfaktoren!U65/1000, 0)</f>
        <v>0</v>
      </c>
      <c r="V230" s="15">
        <f>IF(ISNUMBER('Refsz-Verbräuche'!V65), 'Refsz-Verbräuche'!V65*Emissionsfaktoren!V65/1000, 0)</f>
        <v>0</v>
      </c>
      <c r="W230" s="15">
        <f>IF(ISNUMBER('Refsz-Verbräuche'!W65), 'Refsz-Verbräuche'!W65*Emissionsfaktoren!W65/1000, 0)</f>
        <v>0</v>
      </c>
      <c r="X230" s="15">
        <f>IF(ISNUMBER('Refsz-Verbräuche'!X65), 'Refsz-Verbräuche'!X65*Emissionsfaktoren!X65/1000, 0)</f>
        <v>0</v>
      </c>
    </row>
    <row r="231" spans="2:25" ht="16.5" hidden="1" x14ac:dyDescent="0.45">
      <c r="B231" s="15">
        <v>6</v>
      </c>
      <c r="C231" s="20" t="str">
        <f>'Refsz-Verbräuche'!C66</f>
        <v>Elektrischer Strom (individueller Strommix Einrichtung 4)</v>
      </c>
      <c r="D231" t="s">
        <v>208</v>
      </c>
      <c r="E231" s="15">
        <f>IF(ISNUMBER('Refsz-Verbräuche'!E66), 'Refsz-Verbräuche'!E66*Emissionsfaktoren!E66/1000, 0)</f>
        <v>0</v>
      </c>
      <c r="F231" s="15">
        <f>IF(ISNUMBER('Refsz-Verbräuche'!F66), 'Refsz-Verbräuche'!F66*Emissionsfaktoren!F66/1000, 0)</f>
        <v>0</v>
      </c>
      <c r="G231" s="15">
        <f>IF(ISNUMBER('Refsz-Verbräuche'!G66), 'Refsz-Verbräuche'!G66*Emissionsfaktoren!G66/1000, 0)</f>
        <v>0</v>
      </c>
      <c r="H231" s="15">
        <f>IF(ISNUMBER('Refsz-Verbräuche'!H66), 'Refsz-Verbräuche'!H66*Emissionsfaktoren!H66/1000, 0)</f>
        <v>0</v>
      </c>
      <c r="I231" s="15">
        <f>IF(ISNUMBER('Refsz-Verbräuche'!I66), 'Refsz-Verbräuche'!I66*Emissionsfaktoren!I66/1000, 0)</f>
        <v>0</v>
      </c>
      <c r="J231" s="15">
        <f>IF(ISNUMBER('Refsz-Verbräuche'!J66), 'Refsz-Verbräuche'!J66*Emissionsfaktoren!J66/1000, 0)</f>
        <v>0</v>
      </c>
      <c r="K231" s="15">
        <f>IF(ISNUMBER('Refsz-Verbräuche'!K66), 'Refsz-Verbräuche'!K66*Emissionsfaktoren!K66/1000, 0)</f>
        <v>0</v>
      </c>
      <c r="L231" s="15">
        <f>IF(ISNUMBER('Refsz-Verbräuche'!L66), 'Refsz-Verbräuche'!L66*Emissionsfaktoren!L66/1000, 0)</f>
        <v>0</v>
      </c>
      <c r="M231" s="15">
        <f>IF(ISNUMBER('Refsz-Verbräuche'!M66), 'Refsz-Verbräuche'!M66*Emissionsfaktoren!M66/1000, 0)</f>
        <v>0</v>
      </c>
      <c r="N231" s="15">
        <f>IF(ISNUMBER('Refsz-Verbräuche'!N66), 'Refsz-Verbräuche'!N66*Emissionsfaktoren!N66/1000, 0)</f>
        <v>0</v>
      </c>
      <c r="O231" s="15">
        <f>IF(ISNUMBER('Refsz-Verbräuche'!O66), 'Refsz-Verbräuche'!O66*Emissionsfaktoren!O66/1000, 0)</f>
        <v>0</v>
      </c>
      <c r="P231" s="15">
        <f>IF(ISNUMBER('Refsz-Verbräuche'!P66), 'Refsz-Verbräuche'!P66*Emissionsfaktoren!P66/1000, 0)</f>
        <v>0</v>
      </c>
      <c r="Q231" s="15">
        <f>IF(ISNUMBER('Refsz-Verbräuche'!Q66), 'Refsz-Verbräuche'!Q66*Emissionsfaktoren!Q66/1000, 0)</f>
        <v>0</v>
      </c>
      <c r="R231" s="15">
        <f>IF(ISNUMBER('Refsz-Verbräuche'!R66), 'Refsz-Verbräuche'!R66*Emissionsfaktoren!R66/1000, 0)</f>
        <v>0</v>
      </c>
      <c r="S231" s="15">
        <f>IF(ISNUMBER('Refsz-Verbräuche'!S66), 'Refsz-Verbräuche'!S66*Emissionsfaktoren!S66/1000, 0)</f>
        <v>0</v>
      </c>
      <c r="T231" s="15">
        <f>IF(ISNUMBER('Refsz-Verbräuche'!T66), 'Refsz-Verbräuche'!T66*Emissionsfaktoren!T66/1000, 0)</f>
        <v>0</v>
      </c>
      <c r="U231" s="15">
        <f>IF(ISNUMBER('Refsz-Verbräuche'!U66), 'Refsz-Verbräuche'!U66*Emissionsfaktoren!U66/1000, 0)</f>
        <v>0</v>
      </c>
      <c r="V231" s="15">
        <f>IF(ISNUMBER('Refsz-Verbräuche'!V66), 'Refsz-Verbräuche'!V66*Emissionsfaktoren!V66/1000, 0)</f>
        <v>0</v>
      </c>
      <c r="W231" s="15">
        <f>IF(ISNUMBER('Refsz-Verbräuche'!W66), 'Refsz-Verbräuche'!W66*Emissionsfaktoren!W66/1000, 0)</f>
        <v>0</v>
      </c>
      <c r="X231" s="15">
        <f>IF(ISNUMBER('Refsz-Verbräuche'!X66), 'Refsz-Verbräuche'!X66*Emissionsfaktoren!X66/1000, 0)</f>
        <v>0</v>
      </c>
    </row>
    <row r="232" spans="2:25" ht="16.5" hidden="1" x14ac:dyDescent="0.45">
      <c r="B232" s="15">
        <v>7</v>
      </c>
      <c r="C232" s="20" t="str">
        <f>'Refsz-Verbräuche'!C67</f>
        <v>Elektrischer Strom (individueller Strommix Einrichtung 5)</v>
      </c>
      <c r="D232" t="s">
        <v>208</v>
      </c>
      <c r="E232" s="15">
        <f>IF(ISNUMBER('Refsz-Verbräuche'!E67), 'Refsz-Verbräuche'!E67*Emissionsfaktoren!E67/1000, 0)</f>
        <v>0</v>
      </c>
      <c r="F232" s="15">
        <f>IF(ISNUMBER('Refsz-Verbräuche'!F67), 'Refsz-Verbräuche'!F67*Emissionsfaktoren!F67/1000, 0)</f>
        <v>0</v>
      </c>
      <c r="G232" s="15">
        <f>IF(ISNUMBER('Refsz-Verbräuche'!G67), 'Refsz-Verbräuche'!G67*Emissionsfaktoren!G67/1000, 0)</f>
        <v>0</v>
      </c>
      <c r="H232" s="15">
        <f>IF(ISNUMBER('Refsz-Verbräuche'!H67), 'Refsz-Verbräuche'!H67*Emissionsfaktoren!H67/1000, 0)</f>
        <v>0</v>
      </c>
      <c r="I232" s="15">
        <f>IF(ISNUMBER('Refsz-Verbräuche'!I67), 'Refsz-Verbräuche'!I67*Emissionsfaktoren!I67/1000, 0)</f>
        <v>0</v>
      </c>
      <c r="J232" s="15">
        <f>IF(ISNUMBER('Refsz-Verbräuche'!J67), 'Refsz-Verbräuche'!J67*Emissionsfaktoren!J67/1000, 0)</f>
        <v>0</v>
      </c>
      <c r="K232" s="15">
        <f>IF(ISNUMBER('Refsz-Verbräuche'!K67), 'Refsz-Verbräuche'!K67*Emissionsfaktoren!K67/1000, 0)</f>
        <v>0</v>
      </c>
      <c r="L232" s="15">
        <f>IF(ISNUMBER('Refsz-Verbräuche'!L67), 'Refsz-Verbräuche'!L67*Emissionsfaktoren!L67/1000, 0)</f>
        <v>0</v>
      </c>
      <c r="M232" s="15">
        <f>IF(ISNUMBER('Refsz-Verbräuche'!M67), 'Refsz-Verbräuche'!M67*Emissionsfaktoren!M67/1000, 0)</f>
        <v>0</v>
      </c>
      <c r="N232" s="15">
        <f>IF(ISNUMBER('Refsz-Verbräuche'!N67), 'Refsz-Verbräuche'!N67*Emissionsfaktoren!N67/1000, 0)</f>
        <v>0</v>
      </c>
      <c r="O232" s="15">
        <f>IF(ISNUMBER('Refsz-Verbräuche'!O67), 'Refsz-Verbräuche'!O67*Emissionsfaktoren!O67/1000, 0)</f>
        <v>0</v>
      </c>
      <c r="P232" s="15">
        <f>IF(ISNUMBER('Refsz-Verbräuche'!P67), 'Refsz-Verbräuche'!P67*Emissionsfaktoren!P67/1000, 0)</f>
        <v>0</v>
      </c>
      <c r="Q232" s="15">
        <f>IF(ISNUMBER('Refsz-Verbräuche'!Q67), 'Refsz-Verbräuche'!Q67*Emissionsfaktoren!Q67/1000, 0)</f>
        <v>0</v>
      </c>
      <c r="R232" s="15">
        <f>IF(ISNUMBER('Refsz-Verbräuche'!R67), 'Refsz-Verbräuche'!R67*Emissionsfaktoren!R67/1000, 0)</f>
        <v>0</v>
      </c>
      <c r="S232" s="15">
        <f>IF(ISNUMBER('Refsz-Verbräuche'!S67), 'Refsz-Verbräuche'!S67*Emissionsfaktoren!S67/1000, 0)</f>
        <v>0</v>
      </c>
      <c r="T232" s="15">
        <f>IF(ISNUMBER('Refsz-Verbräuche'!T67), 'Refsz-Verbräuche'!T67*Emissionsfaktoren!T67/1000, 0)</f>
        <v>0</v>
      </c>
      <c r="U232" s="15">
        <f>IF(ISNUMBER('Refsz-Verbräuche'!U67), 'Refsz-Verbräuche'!U67*Emissionsfaktoren!U67/1000, 0)</f>
        <v>0</v>
      </c>
      <c r="V232" s="15">
        <f>IF(ISNUMBER('Refsz-Verbräuche'!V67), 'Refsz-Verbräuche'!V67*Emissionsfaktoren!V67/1000, 0)</f>
        <v>0</v>
      </c>
      <c r="W232" s="15">
        <f>IF(ISNUMBER('Refsz-Verbräuche'!W67), 'Refsz-Verbräuche'!W67*Emissionsfaktoren!W67/1000, 0)</f>
        <v>0</v>
      </c>
      <c r="X232" s="15">
        <f>IF(ISNUMBER('Refsz-Verbräuche'!X67), 'Refsz-Verbräuche'!X67*Emissionsfaktoren!X67/1000, 0)</f>
        <v>0</v>
      </c>
    </row>
    <row r="233" spans="2:25" ht="16.5" hidden="1" x14ac:dyDescent="0.45">
      <c r="B233" s="15">
        <v>8</v>
      </c>
      <c r="C233" s="20" t="str">
        <f>'Refsz-Verbräuche'!C68</f>
        <v>Elektrischer Strom (individueller Strommix Einrichtung 6)</v>
      </c>
      <c r="D233" t="s">
        <v>208</v>
      </c>
      <c r="E233" s="15">
        <f>IF(ISNUMBER('Refsz-Verbräuche'!E68), 'Refsz-Verbräuche'!E68*Emissionsfaktoren!E68/1000, 0)</f>
        <v>0</v>
      </c>
      <c r="F233" s="15">
        <f>IF(ISNUMBER('Refsz-Verbräuche'!F68), 'Refsz-Verbräuche'!F68*Emissionsfaktoren!F68/1000, 0)</f>
        <v>0</v>
      </c>
      <c r="G233" s="15">
        <f>IF(ISNUMBER('Refsz-Verbräuche'!G68), 'Refsz-Verbräuche'!G68*Emissionsfaktoren!G68/1000, 0)</f>
        <v>0</v>
      </c>
      <c r="H233" s="15">
        <f>IF(ISNUMBER('Refsz-Verbräuche'!H68), 'Refsz-Verbräuche'!H68*Emissionsfaktoren!H68/1000, 0)</f>
        <v>0</v>
      </c>
      <c r="I233" s="15">
        <f>IF(ISNUMBER('Refsz-Verbräuche'!I68), 'Refsz-Verbräuche'!I68*Emissionsfaktoren!I68/1000, 0)</f>
        <v>0</v>
      </c>
      <c r="J233" s="15">
        <f>IF(ISNUMBER('Refsz-Verbräuche'!J68), 'Refsz-Verbräuche'!J68*Emissionsfaktoren!J68/1000, 0)</f>
        <v>0</v>
      </c>
      <c r="K233" s="15">
        <f>IF(ISNUMBER('Refsz-Verbräuche'!K68), 'Refsz-Verbräuche'!K68*Emissionsfaktoren!K68/1000, 0)</f>
        <v>0</v>
      </c>
      <c r="L233" s="15">
        <f>IF(ISNUMBER('Refsz-Verbräuche'!L68), 'Refsz-Verbräuche'!L68*Emissionsfaktoren!L68/1000, 0)</f>
        <v>0</v>
      </c>
      <c r="M233" s="15">
        <f>IF(ISNUMBER('Refsz-Verbräuche'!M68), 'Refsz-Verbräuche'!M68*Emissionsfaktoren!M68/1000, 0)</f>
        <v>0</v>
      </c>
      <c r="N233" s="15">
        <f>IF(ISNUMBER('Refsz-Verbräuche'!N68), 'Refsz-Verbräuche'!N68*Emissionsfaktoren!N68/1000, 0)</f>
        <v>0</v>
      </c>
      <c r="O233" s="15">
        <f>IF(ISNUMBER('Refsz-Verbräuche'!O68), 'Refsz-Verbräuche'!O68*Emissionsfaktoren!O68/1000, 0)</f>
        <v>0</v>
      </c>
      <c r="P233" s="15">
        <f>IF(ISNUMBER('Refsz-Verbräuche'!P68), 'Refsz-Verbräuche'!P68*Emissionsfaktoren!P68/1000, 0)</f>
        <v>0</v>
      </c>
      <c r="Q233" s="15">
        <f>IF(ISNUMBER('Refsz-Verbräuche'!Q68), 'Refsz-Verbräuche'!Q68*Emissionsfaktoren!Q68/1000, 0)</f>
        <v>0</v>
      </c>
      <c r="R233" s="15">
        <f>IF(ISNUMBER('Refsz-Verbräuche'!R68), 'Refsz-Verbräuche'!R68*Emissionsfaktoren!R68/1000, 0)</f>
        <v>0</v>
      </c>
      <c r="S233" s="15">
        <f>IF(ISNUMBER('Refsz-Verbräuche'!S68), 'Refsz-Verbräuche'!S68*Emissionsfaktoren!S68/1000, 0)</f>
        <v>0</v>
      </c>
      <c r="T233" s="15">
        <f>IF(ISNUMBER('Refsz-Verbräuche'!T68), 'Refsz-Verbräuche'!T68*Emissionsfaktoren!T68/1000, 0)</f>
        <v>0</v>
      </c>
      <c r="U233" s="15">
        <f>IF(ISNUMBER('Refsz-Verbräuche'!U68), 'Refsz-Verbräuche'!U68*Emissionsfaktoren!U68/1000, 0)</f>
        <v>0</v>
      </c>
      <c r="V233" s="15">
        <f>IF(ISNUMBER('Refsz-Verbräuche'!V68), 'Refsz-Verbräuche'!V68*Emissionsfaktoren!V68/1000, 0)</f>
        <v>0</v>
      </c>
      <c r="W233" s="15">
        <f>IF(ISNUMBER('Refsz-Verbräuche'!W68), 'Refsz-Verbräuche'!W68*Emissionsfaktoren!W68/1000, 0)</f>
        <v>0</v>
      </c>
      <c r="X233" s="15">
        <f>IF(ISNUMBER('Refsz-Verbräuche'!X68), 'Refsz-Verbräuche'!X68*Emissionsfaktoren!X68/1000, 0)</f>
        <v>0</v>
      </c>
    </row>
    <row r="234" spans="2:25" ht="16.5" hidden="1" x14ac:dyDescent="0.45">
      <c r="B234" s="15">
        <v>9</v>
      </c>
      <c r="C234" s="20" t="str">
        <f>'Refsz-Verbräuche'!C69</f>
        <v>Elektrischer Strom (BHKW)</v>
      </c>
      <c r="D234" t="s">
        <v>208</v>
      </c>
      <c r="E234" s="15">
        <f>'Strommix &amp; BHKW'!D227+'Strommix &amp; BHKW'!D233+'Strommix &amp; BHKW'!D239+'Strommix &amp; BHKW'!D207</f>
        <v>0</v>
      </c>
      <c r="F234" s="15">
        <f>'Strommix &amp; BHKW'!E227+'Strommix &amp; BHKW'!E233+'Strommix &amp; BHKW'!E239+'Strommix &amp; BHKW'!E207</f>
        <v>0</v>
      </c>
      <c r="G234" s="15">
        <f>'Strommix &amp; BHKW'!F227+'Strommix &amp; BHKW'!F233+'Strommix &amp; BHKW'!F239+'Strommix &amp; BHKW'!F207</f>
        <v>0</v>
      </c>
      <c r="H234" s="15">
        <f>'Strommix &amp; BHKW'!G227+'Strommix &amp; BHKW'!G233+'Strommix &amp; BHKW'!G239+'Strommix &amp; BHKW'!G207</f>
        <v>0</v>
      </c>
      <c r="I234" s="15">
        <f>'Strommix &amp; BHKW'!H227+'Strommix &amp; BHKW'!H233+'Strommix &amp; BHKW'!H239+'Strommix &amp; BHKW'!H207</f>
        <v>0</v>
      </c>
      <c r="J234" s="15">
        <f>'Strommix &amp; BHKW'!I227+'Strommix &amp; BHKW'!I233+'Strommix &amp; BHKW'!I239+'Strommix &amp; BHKW'!I207</f>
        <v>0</v>
      </c>
      <c r="K234" s="15">
        <f>'Strommix &amp; BHKW'!J227+'Strommix &amp; BHKW'!J233+'Strommix &amp; BHKW'!J239+'Strommix &amp; BHKW'!J207</f>
        <v>0</v>
      </c>
      <c r="L234" s="15">
        <f>'Strommix &amp; BHKW'!K227+'Strommix &amp; BHKW'!K233+'Strommix &amp; BHKW'!K239+'Strommix &amp; BHKW'!K207</f>
        <v>0</v>
      </c>
      <c r="M234" s="15">
        <f>'Strommix &amp; BHKW'!L227+'Strommix &amp; BHKW'!L233+'Strommix &amp; BHKW'!L239+'Strommix &amp; BHKW'!L207</f>
        <v>0</v>
      </c>
      <c r="N234" s="15">
        <f>'Strommix &amp; BHKW'!M227+'Strommix &amp; BHKW'!M233+'Strommix &amp; BHKW'!M239+'Strommix &amp; BHKW'!M207</f>
        <v>0</v>
      </c>
      <c r="O234" s="15">
        <f>'Strommix &amp; BHKW'!N227+'Strommix &amp; BHKW'!N233+'Strommix &amp; BHKW'!N239+'Strommix &amp; BHKW'!N207</f>
        <v>0</v>
      </c>
      <c r="P234" s="15">
        <f>'Strommix &amp; BHKW'!O227+'Strommix &amp; BHKW'!O233+'Strommix &amp; BHKW'!O239+'Strommix &amp; BHKW'!O207</f>
        <v>0</v>
      </c>
      <c r="Q234" s="15">
        <f>'Strommix &amp; BHKW'!P227+'Strommix &amp; BHKW'!P233+'Strommix &amp; BHKW'!P239+'Strommix &amp; BHKW'!P207</f>
        <v>0</v>
      </c>
      <c r="R234" s="15">
        <f>'Strommix &amp; BHKW'!Q227+'Strommix &amp; BHKW'!Q233+'Strommix &amp; BHKW'!Q239+'Strommix &amp; BHKW'!Q207</f>
        <v>0</v>
      </c>
      <c r="S234" s="15">
        <f>'Strommix &amp; BHKW'!R227+'Strommix &amp; BHKW'!R233+'Strommix &amp; BHKW'!R239+'Strommix &amp; BHKW'!R207</f>
        <v>0</v>
      </c>
      <c r="T234" s="15">
        <f>'Strommix &amp; BHKW'!S227+'Strommix &amp; BHKW'!S233+'Strommix &amp; BHKW'!S239+'Strommix &amp; BHKW'!S207</f>
        <v>0</v>
      </c>
      <c r="U234" s="15">
        <f>'Strommix &amp; BHKW'!T227+'Strommix &amp; BHKW'!T233+'Strommix &amp; BHKW'!T239+'Strommix &amp; BHKW'!T207</f>
        <v>0</v>
      </c>
      <c r="V234" s="15">
        <f>'Strommix &amp; BHKW'!U227+'Strommix &amp; BHKW'!U233+'Strommix &amp; BHKW'!U239+'Strommix &amp; BHKW'!U207</f>
        <v>0</v>
      </c>
      <c r="W234" s="15">
        <f>'Strommix &amp; BHKW'!V227+'Strommix &amp; BHKW'!V233+'Strommix &amp; BHKW'!V239+'Strommix &amp; BHKW'!V207</f>
        <v>0</v>
      </c>
      <c r="X234" s="15">
        <f>'Strommix &amp; BHKW'!W227+'Strommix &amp; BHKW'!W233+'Strommix &amp; BHKW'!W239+'Strommix &amp; BHKW'!W207</f>
        <v>0</v>
      </c>
    </row>
    <row r="235" spans="2:25" ht="16.5" hidden="1" x14ac:dyDescent="0.45">
      <c r="B235" s="15">
        <v>10</v>
      </c>
      <c r="C235" s="20" t="str">
        <f>'Refsz-Verbräuche'!C70</f>
        <v>Elektrischer Strom (Ökostrom)</v>
      </c>
      <c r="D235" t="s">
        <v>208</v>
      </c>
      <c r="E235" s="15">
        <f>IF(ISNUMBER('Refsz-Verbräuche'!E70), 'Refsz-Verbräuche'!E70*Emissionsfaktoren!E70/1000, 0)</f>
        <v>0</v>
      </c>
      <c r="F235" s="15">
        <f>IF(ISNUMBER('Refsz-Verbräuche'!F70), 'Refsz-Verbräuche'!F70*Emissionsfaktoren!F70/1000, 0)</f>
        <v>0</v>
      </c>
      <c r="G235" s="15">
        <f>IF(ISNUMBER('Refsz-Verbräuche'!G70), 'Refsz-Verbräuche'!G70*Emissionsfaktoren!G70/1000, 0)</f>
        <v>0</v>
      </c>
      <c r="H235" s="15">
        <f>IF(ISNUMBER('Refsz-Verbräuche'!H70), 'Refsz-Verbräuche'!H70*Emissionsfaktoren!H70/1000, 0)</f>
        <v>0</v>
      </c>
      <c r="I235" s="15">
        <f>IF(ISNUMBER('Refsz-Verbräuche'!I70), 'Refsz-Verbräuche'!I70*Emissionsfaktoren!I70/1000, 0)</f>
        <v>0</v>
      </c>
      <c r="J235" s="15">
        <f>IF(ISNUMBER('Refsz-Verbräuche'!J70), 'Refsz-Verbräuche'!J70*Emissionsfaktoren!J70/1000, 0)</f>
        <v>0</v>
      </c>
      <c r="K235" s="15">
        <f>IF(ISNUMBER('Refsz-Verbräuche'!K70), 'Refsz-Verbräuche'!K70*Emissionsfaktoren!K70/1000, 0)</f>
        <v>0</v>
      </c>
      <c r="L235" s="15">
        <f>IF(ISNUMBER('Refsz-Verbräuche'!L70), 'Refsz-Verbräuche'!L70*Emissionsfaktoren!L70/1000, 0)</f>
        <v>0</v>
      </c>
      <c r="M235" s="15">
        <f>IF(ISNUMBER('Refsz-Verbräuche'!M70), 'Refsz-Verbräuche'!M70*Emissionsfaktoren!M70/1000, 0)</f>
        <v>0</v>
      </c>
      <c r="N235" s="15">
        <f>IF(ISNUMBER('Refsz-Verbräuche'!N70), 'Refsz-Verbräuche'!N70*Emissionsfaktoren!N70/1000, 0)</f>
        <v>0</v>
      </c>
      <c r="O235" s="15">
        <f>IF(ISNUMBER('Refsz-Verbräuche'!O70), 'Refsz-Verbräuche'!O70*Emissionsfaktoren!O70/1000, 0)</f>
        <v>0</v>
      </c>
      <c r="P235" s="15">
        <f>IF(ISNUMBER('Refsz-Verbräuche'!P70), 'Refsz-Verbräuche'!P70*Emissionsfaktoren!P70/1000, 0)</f>
        <v>0</v>
      </c>
      <c r="Q235" s="15">
        <f>IF(ISNUMBER('Refsz-Verbräuche'!Q70), 'Refsz-Verbräuche'!Q70*Emissionsfaktoren!Q70/1000, 0)</f>
        <v>0</v>
      </c>
      <c r="R235" s="15">
        <f>IF(ISNUMBER('Refsz-Verbräuche'!R70), 'Refsz-Verbräuche'!R70*Emissionsfaktoren!R70/1000, 0)</f>
        <v>0</v>
      </c>
      <c r="S235" s="15">
        <f>IF(ISNUMBER('Refsz-Verbräuche'!S70), 'Refsz-Verbräuche'!S70*Emissionsfaktoren!S70/1000, 0)</f>
        <v>0</v>
      </c>
      <c r="T235" s="15">
        <f>IF(ISNUMBER('Refsz-Verbräuche'!T70), 'Refsz-Verbräuche'!T70*Emissionsfaktoren!T70/1000, 0)</f>
        <v>0</v>
      </c>
      <c r="U235" s="15">
        <f>IF(ISNUMBER('Refsz-Verbräuche'!U70), 'Refsz-Verbräuche'!U70*Emissionsfaktoren!U70/1000, 0)</f>
        <v>0</v>
      </c>
      <c r="V235" s="15">
        <f>IF(ISNUMBER('Refsz-Verbräuche'!V70), 'Refsz-Verbräuche'!V70*Emissionsfaktoren!V70/1000, 0)</f>
        <v>0</v>
      </c>
      <c r="W235" s="15">
        <f>IF(ISNUMBER('Refsz-Verbräuche'!W70), 'Refsz-Verbräuche'!W70*Emissionsfaktoren!W70/1000, 0)</f>
        <v>0</v>
      </c>
      <c r="X235" s="15">
        <f>IF(ISNUMBER('Refsz-Verbräuche'!X70), 'Refsz-Verbräuche'!X70*Emissionsfaktoren!X70/1000, 0)</f>
        <v>0</v>
      </c>
    </row>
    <row r="236" spans="2:25" ht="16.5" hidden="1" x14ac:dyDescent="0.45">
      <c r="B236" s="15">
        <v>11</v>
      </c>
      <c r="C236" s="20" t="str">
        <f>'Refsz-Verbräuche'!C71</f>
        <v>Elektrischer Strom (PV-Eigennutzung)</v>
      </c>
      <c r="D236" t="s">
        <v>208</v>
      </c>
      <c r="E236" s="15">
        <f>IF(ISNUMBER('Refsz-Verbräuche'!E71), 'Refsz-Verbräuche'!E71*Emissionsfaktoren!E71/1000, 0)</f>
        <v>0</v>
      </c>
      <c r="F236" s="15">
        <f>IF(ISNUMBER('Refsz-Verbräuche'!F71), 'Refsz-Verbräuche'!F71*Emissionsfaktoren!F71/1000, 0)</f>
        <v>0</v>
      </c>
      <c r="G236" s="15">
        <f>IF(ISNUMBER('Refsz-Verbräuche'!G71), 'Refsz-Verbräuche'!G71*Emissionsfaktoren!G71/1000, 0)</f>
        <v>0</v>
      </c>
      <c r="H236" s="15">
        <f>IF(ISNUMBER('Refsz-Verbräuche'!H71), 'Refsz-Verbräuche'!H71*Emissionsfaktoren!H71/1000, 0)</f>
        <v>0</v>
      </c>
      <c r="I236" s="15">
        <f>IF(ISNUMBER('Refsz-Verbräuche'!I71), 'Refsz-Verbräuche'!I71*Emissionsfaktoren!I71/1000, 0)</f>
        <v>0</v>
      </c>
      <c r="J236" s="15">
        <f>IF(ISNUMBER('Refsz-Verbräuche'!J71), 'Refsz-Verbräuche'!J71*Emissionsfaktoren!J71/1000, 0)</f>
        <v>0</v>
      </c>
      <c r="K236" s="15">
        <f>IF(ISNUMBER('Refsz-Verbräuche'!K71), 'Refsz-Verbräuche'!K71*Emissionsfaktoren!K71/1000, 0)</f>
        <v>0</v>
      </c>
      <c r="L236" s="15">
        <f>IF(ISNUMBER('Refsz-Verbräuche'!L71), 'Refsz-Verbräuche'!L71*Emissionsfaktoren!L71/1000, 0)</f>
        <v>0</v>
      </c>
      <c r="M236" s="15">
        <f>IF(ISNUMBER('Refsz-Verbräuche'!M71), 'Refsz-Verbräuche'!M71*Emissionsfaktoren!M71/1000, 0)</f>
        <v>0</v>
      </c>
      <c r="N236" s="15">
        <f>IF(ISNUMBER('Refsz-Verbräuche'!N71), 'Refsz-Verbräuche'!N71*Emissionsfaktoren!N71/1000, 0)</f>
        <v>0</v>
      </c>
      <c r="O236" s="15">
        <f>IF(ISNUMBER('Refsz-Verbräuche'!O71), 'Refsz-Verbräuche'!O71*Emissionsfaktoren!O71/1000, 0)</f>
        <v>0</v>
      </c>
      <c r="P236" s="15">
        <f>IF(ISNUMBER('Refsz-Verbräuche'!P71), 'Refsz-Verbräuche'!P71*Emissionsfaktoren!P71/1000, 0)</f>
        <v>0</v>
      </c>
      <c r="Q236" s="15">
        <f>IF(ISNUMBER('Refsz-Verbräuche'!Q71), 'Refsz-Verbräuche'!Q71*Emissionsfaktoren!Q71/1000, 0)</f>
        <v>0</v>
      </c>
      <c r="R236" s="15">
        <f>IF(ISNUMBER('Refsz-Verbräuche'!R71), 'Refsz-Verbräuche'!R71*Emissionsfaktoren!R71/1000, 0)</f>
        <v>0</v>
      </c>
      <c r="S236" s="15">
        <f>IF(ISNUMBER('Refsz-Verbräuche'!S71), 'Refsz-Verbräuche'!S71*Emissionsfaktoren!S71/1000, 0)</f>
        <v>0</v>
      </c>
      <c r="T236" s="15">
        <f>IF(ISNUMBER('Refsz-Verbräuche'!T71), 'Refsz-Verbräuche'!T71*Emissionsfaktoren!T71/1000, 0)</f>
        <v>0</v>
      </c>
      <c r="U236" s="15">
        <f>IF(ISNUMBER('Refsz-Verbräuche'!U71), 'Refsz-Verbräuche'!U71*Emissionsfaktoren!U71/1000, 0)</f>
        <v>0</v>
      </c>
      <c r="V236" s="15">
        <f>IF(ISNUMBER('Refsz-Verbräuche'!V71), 'Refsz-Verbräuche'!V71*Emissionsfaktoren!V71/1000, 0)</f>
        <v>0</v>
      </c>
      <c r="W236" s="15">
        <f>IF(ISNUMBER('Refsz-Verbräuche'!W71), 'Refsz-Verbräuche'!W71*Emissionsfaktoren!W71/1000, 0)</f>
        <v>0</v>
      </c>
      <c r="X236" s="15">
        <f>IF(ISNUMBER('Refsz-Verbräuche'!X71), 'Refsz-Verbräuche'!X71*Emissionsfaktoren!X71/1000, 0)</f>
        <v>0</v>
      </c>
    </row>
    <row r="237" spans="2:25" ht="16.5" hidden="1" x14ac:dyDescent="0.45">
      <c r="B237" s="15">
        <v>12</v>
      </c>
      <c r="C237" s="20" t="str">
        <f>'Refsz-Verbräuche'!C72</f>
        <v>Wärme (Erdgas)</v>
      </c>
      <c r="D237" t="s">
        <v>208</v>
      </c>
      <c r="E237" s="15">
        <f>IF(ISNUMBER('Refsz-Verbräuche'!E72), 'Refsz-Verbräuche'!E72*Emissionsfaktoren!E72/1000, 0)</f>
        <v>0</v>
      </c>
      <c r="F237" s="15">
        <f>IF(ISNUMBER('Refsz-Verbräuche'!F72), 'Refsz-Verbräuche'!F72*Emissionsfaktoren!F72/1000, 0)</f>
        <v>0</v>
      </c>
      <c r="G237" s="15">
        <f>IF(ISNUMBER('Refsz-Verbräuche'!G72), 'Refsz-Verbräuche'!G72*Emissionsfaktoren!G72/1000, 0)</f>
        <v>0</v>
      </c>
      <c r="H237" s="15">
        <f>IF(ISNUMBER('Refsz-Verbräuche'!H72), 'Refsz-Verbräuche'!H72*Emissionsfaktoren!H72/1000, 0)</f>
        <v>0</v>
      </c>
      <c r="I237" s="15">
        <f>IF(ISNUMBER('Refsz-Verbräuche'!I72), 'Refsz-Verbräuche'!I72*Emissionsfaktoren!I72/1000, 0)</f>
        <v>0</v>
      </c>
      <c r="J237" s="15">
        <f>IF(ISNUMBER('Refsz-Verbräuche'!J72), 'Refsz-Verbräuche'!J72*Emissionsfaktoren!J72/1000, 0)</f>
        <v>0</v>
      </c>
      <c r="K237" s="15">
        <f>IF(ISNUMBER('Refsz-Verbräuche'!K72), 'Refsz-Verbräuche'!K72*Emissionsfaktoren!K72/1000, 0)</f>
        <v>0</v>
      </c>
      <c r="L237" s="15">
        <f>IF(ISNUMBER('Refsz-Verbräuche'!L72), 'Refsz-Verbräuche'!L72*Emissionsfaktoren!L72/1000, 0)</f>
        <v>0</v>
      </c>
      <c r="M237" s="15">
        <f>IF(ISNUMBER('Refsz-Verbräuche'!M72), 'Refsz-Verbräuche'!M72*Emissionsfaktoren!M72/1000, 0)</f>
        <v>0</v>
      </c>
      <c r="N237" s="15">
        <f>IF(ISNUMBER('Refsz-Verbräuche'!N72), 'Refsz-Verbräuche'!N72*Emissionsfaktoren!N72/1000, 0)</f>
        <v>0</v>
      </c>
      <c r="O237" s="15">
        <f>IF(ISNUMBER('Refsz-Verbräuche'!O72), 'Refsz-Verbräuche'!O72*Emissionsfaktoren!O72/1000, 0)</f>
        <v>0</v>
      </c>
      <c r="P237" s="15">
        <f>IF(ISNUMBER('Refsz-Verbräuche'!P72), 'Refsz-Verbräuche'!P72*Emissionsfaktoren!P72/1000, 0)</f>
        <v>0</v>
      </c>
      <c r="Q237" s="15">
        <f>IF(ISNUMBER('Refsz-Verbräuche'!Q72), 'Refsz-Verbräuche'!Q72*Emissionsfaktoren!Q72/1000, 0)</f>
        <v>0</v>
      </c>
      <c r="R237" s="15">
        <f>IF(ISNUMBER('Refsz-Verbräuche'!R72), 'Refsz-Verbräuche'!R72*Emissionsfaktoren!R72/1000, 0)</f>
        <v>0</v>
      </c>
      <c r="S237" s="15">
        <f>IF(ISNUMBER('Refsz-Verbräuche'!S72), 'Refsz-Verbräuche'!S72*Emissionsfaktoren!S72/1000, 0)</f>
        <v>0</v>
      </c>
      <c r="T237" s="15">
        <f>IF(ISNUMBER('Refsz-Verbräuche'!T72), 'Refsz-Verbräuche'!T72*Emissionsfaktoren!T72/1000, 0)</f>
        <v>0</v>
      </c>
      <c r="U237" s="15">
        <f>IF(ISNUMBER('Refsz-Verbräuche'!U72), 'Refsz-Verbräuche'!U72*Emissionsfaktoren!U72/1000, 0)</f>
        <v>0</v>
      </c>
      <c r="V237" s="15">
        <f>IF(ISNUMBER('Refsz-Verbräuche'!V72), 'Refsz-Verbräuche'!V72*Emissionsfaktoren!V72/1000, 0)</f>
        <v>0</v>
      </c>
      <c r="W237" s="15">
        <f>IF(ISNUMBER('Refsz-Verbräuche'!W72), 'Refsz-Verbräuche'!W72*Emissionsfaktoren!W72/1000, 0)</f>
        <v>0</v>
      </c>
      <c r="X237" s="15">
        <f>IF(ISNUMBER('Refsz-Verbräuche'!X72), 'Refsz-Verbräuche'!X72*Emissionsfaktoren!X72/1000, 0)</f>
        <v>0</v>
      </c>
    </row>
    <row r="238" spans="2:25" ht="16.5" hidden="1" x14ac:dyDescent="0.45">
      <c r="B238" s="15">
        <v>13</v>
      </c>
      <c r="C238" s="20" t="str">
        <f>'Refsz-Verbräuche'!C73</f>
        <v>Wärme (BHKW)</v>
      </c>
      <c r="D238" t="s">
        <v>208</v>
      </c>
      <c r="E238" s="15">
        <f>'Strommix &amp; BHKW'!D206+'Strommix &amp; BHKW'!D228+'Strommix &amp; BHKW'!D234+'Strommix &amp; BHKW'!D240</f>
        <v>0</v>
      </c>
      <c r="F238" s="15">
        <f>'Strommix &amp; BHKW'!E206+'Strommix &amp; BHKW'!E228+'Strommix &amp; BHKW'!E234+'Strommix &amp; BHKW'!E240</f>
        <v>0</v>
      </c>
      <c r="G238" s="15">
        <f>'Strommix &amp; BHKW'!F206+'Strommix &amp; BHKW'!F228+'Strommix &amp; BHKW'!F234+'Strommix &amp; BHKW'!F240</f>
        <v>0</v>
      </c>
      <c r="H238" s="15">
        <f>'Strommix &amp; BHKW'!G206+'Strommix &amp; BHKW'!G228+'Strommix &amp; BHKW'!G234+'Strommix &amp; BHKW'!G240</f>
        <v>0</v>
      </c>
      <c r="I238" s="15">
        <f>'Strommix &amp; BHKW'!H206+'Strommix &amp; BHKW'!H228+'Strommix &amp; BHKW'!H234+'Strommix &amp; BHKW'!H240</f>
        <v>0</v>
      </c>
      <c r="J238" s="15">
        <f>'Strommix &amp; BHKW'!I206+'Strommix &amp; BHKW'!I228+'Strommix &amp; BHKW'!I234+'Strommix &amp; BHKW'!I240</f>
        <v>0</v>
      </c>
      <c r="K238" s="15">
        <f>'Strommix &amp; BHKW'!J206+'Strommix &amp; BHKW'!J228+'Strommix &amp; BHKW'!J234+'Strommix &amp; BHKW'!J240</f>
        <v>0</v>
      </c>
      <c r="L238" s="15">
        <f>'Strommix &amp; BHKW'!K206+'Strommix &amp; BHKW'!K228+'Strommix &amp; BHKW'!K234+'Strommix &amp; BHKW'!K240</f>
        <v>0</v>
      </c>
      <c r="M238" s="15">
        <f>'Strommix &amp; BHKW'!L206+'Strommix &amp; BHKW'!L228+'Strommix &amp; BHKW'!L234+'Strommix &amp; BHKW'!L240</f>
        <v>0</v>
      </c>
      <c r="N238" s="15">
        <f>'Strommix &amp; BHKW'!M206+'Strommix &amp; BHKW'!M228+'Strommix &amp; BHKW'!M234+'Strommix &amp; BHKW'!M240</f>
        <v>0</v>
      </c>
      <c r="O238" s="15">
        <f>'Strommix &amp; BHKW'!N206+'Strommix &amp; BHKW'!N228+'Strommix &amp; BHKW'!N234+'Strommix &amp; BHKW'!N240</f>
        <v>0</v>
      </c>
      <c r="P238" s="15">
        <f>'Strommix &amp; BHKW'!O206+'Strommix &amp; BHKW'!O228+'Strommix &amp; BHKW'!O234+'Strommix &amp; BHKW'!O240</f>
        <v>0</v>
      </c>
      <c r="Q238" s="15">
        <f>'Strommix &amp; BHKW'!P206+'Strommix &amp; BHKW'!P228+'Strommix &amp; BHKW'!P234+'Strommix &amp; BHKW'!P240</f>
        <v>0</v>
      </c>
      <c r="R238" s="15">
        <f>'Strommix &amp; BHKW'!Q206+'Strommix &amp; BHKW'!Q228+'Strommix &amp; BHKW'!Q234+'Strommix &amp; BHKW'!Q240</f>
        <v>0</v>
      </c>
      <c r="S238" s="15">
        <f>'Strommix &amp; BHKW'!R206+'Strommix &amp; BHKW'!R228+'Strommix &amp; BHKW'!R234+'Strommix &amp; BHKW'!R240</f>
        <v>0</v>
      </c>
      <c r="T238" s="15">
        <f>'Strommix &amp; BHKW'!S206+'Strommix &amp; BHKW'!S228+'Strommix &amp; BHKW'!S234+'Strommix &amp; BHKW'!S240</f>
        <v>0</v>
      </c>
      <c r="U238" s="15">
        <f>'Strommix &amp; BHKW'!T206+'Strommix &amp; BHKW'!T228+'Strommix &amp; BHKW'!T234+'Strommix &amp; BHKW'!T240</f>
        <v>0</v>
      </c>
      <c r="V238" s="15">
        <f>'Strommix &amp; BHKW'!U206+'Strommix &amp; BHKW'!U228+'Strommix &amp; BHKW'!U234+'Strommix &amp; BHKW'!U240</f>
        <v>0</v>
      </c>
      <c r="W238" s="15">
        <f>'Strommix &amp; BHKW'!V206+'Strommix &amp; BHKW'!V228+'Strommix &amp; BHKW'!V234+'Strommix &amp; BHKW'!V240</f>
        <v>0</v>
      </c>
      <c r="X238" s="15">
        <f>'Strommix &amp; BHKW'!W206+'Strommix &amp; BHKW'!W228+'Strommix &amp; BHKW'!W234+'Strommix &amp; BHKW'!W240</f>
        <v>0</v>
      </c>
    </row>
    <row r="239" spans="2:25" ht="16.5" hidden="1" x14ac:dyDescent="0.45">
      <c r="B239" s="15">
        <v>14</v>
      </c>
      <c r="C239" s="20" t="str">
        <f>'Refsz-Verbräuche'!C74</f>
        <v>Wärme (Biogas)</v>
      </c>
      <c r="D239" t="s">
        <v>208</v>
      </c>
      <c r="E239" s="15">
        <f>IF(ISNUMBER('Refsz-Verbräuche'!E74), 'Refsz-Verbräuche'!E74*Emissionsfaktoren!E74/1000, 0)</f>
        <v>0</v>
      </c>
      <c r="F239" s="15">
        <f>IF(ISNUMBER('Refsz-Verbräuche'!F74), 'Refsz-Verbräuche'!F74*Emissionsfaktoren!F74/1000, 0)</f>
        <v>0</v>
      </c>
      <c r="G239" s="15">
        <f>IF(ISNUMBER('Refsz-Verbräuche'!G74), 'Refsz-Verbräuche'!G74*Emissionsfaktoren!G74/1000, 0)</f>
        <v>0</v>
      </c>
      <c r="H239" s="15">
        <f>IF(ISNUMBER('Refsz-Verbräuche'!H74), 'Refsz-Verbräuche'!H74*Emissionsfaktoren!H74/1000, 0)</f>
        <v>0</v>
      </c>
      <c r="I239" s="15">
        <f>IF(ISNUMBER('Refsz-Verbräuche'!I74), 'Refsz-Verbräuche'!I74*Emissionsfaktoren!I74/1000, 0)</f>
        <v>0</v>
      </c>
      <c r="J239" s="15">
        <f>IF(ISNUMBER('Refsz-Verbräuche'!J74), 'Refsz-Verbräuche'!J74*Emissionsfaktoren!J74/1000, 0)</f>
        <v>0</v>
      </c>
      <c r="K239" s="15">
        <f>IF(ISNUMBER('Refsz-Verbräuche'!K74), 'Refsz-Verbräuche'!K74*Emissionsfaktoren!K74/1000, 0)</f>
        <v>0</v>
      </c>
      <c r="L239" s="15">
        <f>IF(ISNUMBER('Refsz-Verbräuche'!L74), 'Refsz-Verbräuche'!L74*Emissionsfaktoren!L74/1000, 0)</f>
        <v>0</v>
      </c>
      <c r="M239" s="15">
        <f>IF(ISNUMBER('Refsz-Verbräuche'!M74), 'Refsz-Verbräuche'!M74*Emissionsfaktoren!M74/1000, 0)</f>
        <v>0</v>
      </c>
      <c r="N239" s="15">
        <f>IF(ISNUMBER('Refsz-Verbräuche'!N74), 'Refsz-Verbräuche'!N74*Emissionsfaktoren!N74/1000, 0)</f>
        <v>0</v>
      </c>
      <c r="O239" s="15">
        <f>IF(ISNUMBER('Refsz-Verbräuche'!O74), 'Refsz-Verbräuche'!O74*Emissionsfaktoren!O74/1000, 0)</f>
        <v>0</v>
      </c>
      <c r="P239" s="15">
        <f>IF(ISNUMBER('Refsz-Verbräuche'!P74), 'Refsz-Verbräuche'!P74*Emissionsfaktoren!P74/1000, 0)</f>
        <v>0</v>
      </c>
      <c r="Q239" s="15">
        <f>IF(ISNUMBER('Refsz-Verbräuche'!Q74), 'Refsz-Verbräuche'!Q74*Emissionsfaktoren!Q74/1000, 0)</f>
        <v>0</v>
      </c>
      <c r="R239" s="15">
        <f>IF(ISNUMBER('Refsz-Verbräuche'!R74), 'Refsz-Verbräuche'!R74*Emissionsfaktoren!R74/1000, 0)</f>
        <v>0</v>
      </c>
      <c r="S239" s="15">
        <f>IF(ISNUMBER('Refsz-Verbräuche'!S74), 'Refsz-Verbräuche'!S74*Emissionsfaktoren!S74/1000, 0)</f>
        <v>0</v>
      </c>
      <c r="T239" s="15">
        <f>IF(ISNUMBER('Refsz-Verbräuche'!T74), 'Refsz-Verbräuche'!T74*Emissionsfaktoren!T74/1000, 0)</f>
        <v>0</v>
      </c>
      <c r="U239" s="15">
        <f>IF(ISNUMBER('Refsz-Verbräuche'!U74), 'Refsz-Verbräuche'!U74*Emissionsfaktoren!U74/1000, 0)</f>
        <v>0</v>
      </c>
      <c r="V239" s="15">
        <f>IF(ISNUMBER('Refsz-Verbräuche'!V74), 'Refsz-Verbräuche'!V74*Emissionsfaktoren!V74/1000, 0)</f>
        <v>0</v>
      </c>
      <c r="W239" s="15">
        <f>IF(ISNUMBER('Refsz-Verbräuche'!W74), 'Refsz-Verbräuche'!W74*Emissionsfaktoren!W74/1000, 0)</f>
        <v>0</v>
      </c>
      <c r="X239" s="15">
        <f>IF(ISNUMBER('Refsz-Verbräuche'!X74), 'Refsz-Verbräuche'!X74*Emissionsfaktoren!X74/1000, 0)</f>
        <v>0</v>
      </c>
    </row>
    <row r="240" spans="2:25" ht="16.5" hidden="1" x14ac:dyDescent="0.45">
      <c r="B240" s="15">
        <v>15</v>
      </c>
      <c r="C240" s="20" t="str">
        <f>'Refsz-Verbräuche'!C75</f>
        <v>Wärme (individueller Emissionsfaktor)</v>
      </c>
      <c r="D240" t="s">
        <v>208</v>
      </c>
      <c r="E240" s="15">
        <f>IF(ISNUMBER('Refsz-Verbräuche'!E75), 'Refsz-Verbräuche'!E75*Emissionsfaktoren!E75/1000, 0)</f>
        <v>0</v>
      </c>
      <c r="F240" s="15">
        <f>IF(ISNUMBER('Refsz-Verbräuche'!F75), 'Refsz-Verbräuche'!F75*Emissionsfaktoren!F75/1000, 0)</f>
        <v>0</v>
      </c>
      <c r="G240" s="15">
        <f>IF(ISNUMBER('Refsz-Verbräuche'!G75), 'Refsz-Verbräuche'!G75*Emissionsfaktoren!G75/1000, 0)</f>
        <v>0</v>
      </c>
      <c r="H240" s="15">
        <f>IF(ISNUMBER('Refsz-Verbräuche'!H75), 'Refsz-Verbräuche'!H75*Emissionsfaktoren!H75/1000, 0)</f>
        <v>0</v>
      </c>
      <c r="I240" s="15">
        <f>IF(ISNUMBER('Refsz-Verbräuche'!I75), 'Refsz-Verbräuche'!I75*Emissionsfaktoren!I75/1000, 0)</f>
        <v>0</v>
      </c>
      <c r="J240" s="15">
        <f>IF(ISNUMBER('Refsz-Verbräuche'!J75), 'Refsz-Verbräuche'!J75*Emissionsfaktoren!J75/1000, 0)</f>
        <v>0</v>
      </c>
      <c r="K240" s="15">
        <f>IF(ISNUMBER('Refsz-Verbräuche'!K75), 'Refsz-Verbräuche'!K75*Emissionsfaktoren!K75/1000, 0)</f>
        <v>0</v>
      </c>
      <c r="L240" s="15">
        <f>IF(ISNUMBER('Refsz-Verbräuche'!L75), 'Refsz-Verbräuche'!L75*Emissionsfaktoren!L75/1000, 0)</f>
        <v>0</v>
      </c>
      <c r="M240" s="15">
        <f>IF(ISNUMBER('Refsz-Verbräuche'!M75), 'Refsz-Verbräuche'!M75*Emissionsfaktoren!M75/1000, 0)</f>
        <v>0</v>
      </c>
      <c r="N240" s="15">
        <f>IF(ISNUMBER('Refsz-Verbräuche'!N75), 'Refsz-Verbräuche'!N75*Emissionsfaktoren!N75/1000, 0)</f>
        <v>0</v>
      </c>
      <c r="O240" s="15">
        <f>IF(ISNUMBER('Refsz-Verbräuche'!O75), 'Refsz-Verbräuche'!O75*Emissionsfaktoren!O75/1000, 0)</f>
        <v>0</v>
      </c>
      <c r="P240" s="15">
        <f>IF(ISNUMBER('Refsz-Verbräuche'!P75), 'Refsz-Verbräuche'!P75*Emissionsfaktoren!P75/1000, 0)</f>
        <v>0</v>
      </c>
      <c r="Q240" s="15">
        <f>IF(ISNUMBER('Refsz-Verbräuche'!Q75), 'Refsz-Verbräuche'!Q75*Emissionsfaktoren!Q75/1000, 0)</f>
        <v>0</v>
      </c>
      <c r="R240" s="15">
        <f>IF(ISNUMBER('Refsz-Verbräuche'!R75), 'Refsz-Verbräuche'!R75*Emissionsfaktoren!R75/1000, 0)</f>
        <v>0</v>
      </c>
      <c r="S240" s="15">
        <f>IF(ISNUMBER('Refsz-Verbräuche'!S75), 'Refsz-Verbräuche'!S75*Emissionsfaktoren!S75/1000, 0)</f>
        <v>0</v>
      </c>
      <c r="T240" s="15">
        <f>IF(ISNUMBER('Refsz-Verbräuche'!T75), 'Refsz-Verbräuche'!T75*Emissionsfaktoren!T75/1000, 0)</f>
        <v>0</v>
      </c>
      <c r="U240" s="15">
        <f>IF(ISNUMBER('Refsz-Verbräuche'!U75), 'Refsz-Verbräuche'!U75*Emissionsfaktoren!U75/1000, 0)</f>
        <v>0</v>
      </c>
      <c r="V240" s="15">
        <f>IF(ISNUMBER('Refsz-Verbräuche'!V75), 'Refsz-Verbräuche'!V75*Emissionsfaktoren!V75/1000, 0)</f>
        <v>0</v>
      </c>
      <c r="W240" s="15">
        <f>IF(ISNUMBER('Refsz-Verbräuche'!W75), 'Refsz-Verbräuche'!W75*Emissionsfaktoren!W75/1000, 0)</f>
        <v>0</v>
      </c>
      <c r="X240" s="15">
        <f>IF(ISNUMBER('Refsz-Verbräuche'!X75), 'Refsz-Verbräuche'!X75*Emissionsfaktoren!X75/1000, 0)</f>
        <v>0</v>
      </c>
    </row>
    <row r="241" spans="2:24" ht="16.5" hidden="1" x14ac:dyDescent="0.45">
      <c r="B241" s="15">
        <v>16</v>
      </c>
      <c r="C241" s="20" t="str">
        <f>'Refsz-Verbräuche'!C76</f>
        <v>Wärme (Holzhackschnitzel)</v>
      </c>
      <c r="D241" t="s">
        <v>208</v>
      </c>
      <c r="E241" s="15">
        <f>IF(ISNUMBER('Refsz-Verbräuche'!E76), 'Refsz-Verbräuche'!E76*Emissionsfaktoren!E76/1000, 0)</f>
        <v>0</v>
      </c>
      <c r="F241" s="15">
        <f>IF(ISNUMBER('Refsz-Verbräuche'!F76), 'Refsz-Verbräuche'!F76*Emissionsfaktoren!F76/1000, 0)</f>
        <v>0</v>
      </c>
      <c r="G241" s="15">
        <f>IF(ISNUMBER('Refsz-Verbräuche'!G76), 'Refsz-Verbräuche'!G76*Emissionsfaktoren!G76/1000, 0)</f>
        <v>0</v>
      </c>
      <c r="H241" s="15">
        <f>IF(ISNUMBER('Refsz-Verbräuche'!H76), 'Refsz-Verbräuche'!H76*Emissionsfaktoren!H76/1000, 0)</f>
        <v>0</v>
      </c>
      <c r="I241" s="15">
        <f>IF(ISNUMBER('Refsz-Verbräuche'!I76), 'Refsz-Verbräuche'!I76*Emissionsfaktoren!I76/1000, 0)</f>
        <v>0</v>
      </c>
      <c r="J241" s="15">
        <f>IF(ISNUMBER('Refsz-Verbräuche'!J76), 'Refsz-Verbräuche'!J76*Emissionsfaktoren!J76/1000, 0)</f>
        <v>0</v>
      </c>
      <c r="K241" s="15">
        <f>IF(ISNUMBER('Refsz-Verbräuche'!K76), 'Refsz-Verbräuche'!K76*Emissionsfaktoren!K76/1000, 0)</f>
        <v>0</v>
      </c>
      <c r="L241" s="15">
        <f>IF(ISNUMBER('Refsz-Verbräuche'!L76), 'Refsz-Verbräuche'!L76*Emissionsfaktoren!L76/1000, 0)</f>
        <v>0</v>
      </c>
      <c r="M241" s="15">
        <f>IF(ISNUMBER('Refsz-Verbräuche'!M76), 'Refsz-Verbräuche'!M76*Emissionsfaktoren!M76/1000, 0)</f>
        <v>0</v>
      </c>
      <c r="N241" s="15">
        <f>IF(ISNUMBER('Refsz-Verbräuche'!N76), 'Refsz-Verbräuche'!N76*Emissionsfaktoren!N76/1000, 0)</f>
        <v>0</v>
      </c>
      <c r="O241" s="15">
        <f>IF(ISNUMBER('Refsz-Verbräuche'!O76), 'Refsz-Verbräuche'!O76*Emissionsfaktoren!O76/1000, 0)</f>
        <v>0</v>
      </c>
      <c r="P241" s="15">
        <f>IF(ISNUMBER('Refsz-Verbräuche'!P76), 'Refsz-Verbräuche'!P76*Emissionsfaktoren!P76/1000, 0)</f>
        <v>0</v>
      </c>
      <c r="Q241" s="15">
        <f>IF(ISNUMBER('Refsz-Verbräuche'!Q76), 'Refsz-Verbräuche'!Q76*Emissionsfaktoren!Q76/1000, 0)</f>
        <v>0</v>
      </c>
      <c r="R241" s="15">
        <f>IF(ISNUMBER('Refsz-Verbräuche'!R76), 'Refsz-Verbräuche'!R76*Emissionsfaktoren!R76/1000, 0)</f>
        <v>0</v>
      </c>
      <c r="S241" s="15">
        <f>IF(ISNUMBER('Refsz-Verbräuche'!S76), 'Refsz-Verbräuche'!S76*Emissionsfaktoren!S76/1000, 0)</f>
        <v>0</v>
      </c>
      <c r="T241" s="15">
        <f>IF(ISNUMBER('Refsz-Verbräuche'!T76), 'Refsz-Verbräuche'!T76*Emissionsfaktoren!T76/1000, 0)</f>
        <v>0</v>
      </c>
      <c r="U241" s="15">
        <f>IF(ISNUMBER('Refsz-Verbräuche'!U76), 'Refsz-Verbräuche'!U76*Emissionsfaktoren!U76/1000, 0)</f>
        <v>0</v>
      </c>
      <c r="V241" s="15">
        <f>IF(ISNUMBER('Refsz-Verbräuche'!V76), 'Refsz-Verbräuche'!V76*Emissionsfaktoren!V76/1000, 0)</f>
        <v>0</v>
      </c>
      <c r="W241" s="15">
        <f>IF(ISNUMBER('Refsz-Verbräuche'!W76), 'Refsz-Verbräuche'!W76*Emissionsfaktoren!W76/1000, 0)</f>
        <v>0</v>
      </c>
      <c r="X241" s="15">
        <f>IF(ISNUMBER('Refsz-Verbräuche'!X76), 'Refsz-Verbräuche'!X76*Emissionsfaktoren!X76/1000, 0)</f>
        <v>0</v>
      </c>
    </row>
    <row r="242" spans="2:24" ht="16.5" hidden="1" x14ac:dyDescent="0.45">
      <c r="B242" s="15">
        <v>17</v>
      </c>
      <c r="C242" s="20" t="str">
        <f>'Refsz-Verbräuche'!C77</f>
        <v>Wärme (Holzpellets, 10kW/kleinere Zentralheizung)</v>
      </c>
      <c r="D242" t="s">
        <v>208</v>
      </c>
      <c r="E242" s="15">
        <f>IF(ISNUMBER('Refsz-Verbräuche'!E77), 'Refsz-Verbräuche'!E77*Emissionsfaktoren!E77/1000, 0)</f>
        <v>0</v>
      </c>
      <c r="F242" s="15">
        <f>IF(ISNUMBER('Refsz-Verbräuche'!F77), 'Refsz-Verbräuche'!F77*Emissionsfaktoren!F77/1000, 0)</f>
        <v>0</v>
      </c>
      <c r="G242" s="15">
        <f>IF(ISNUMBER('Refsz-Verbräuche'!G77), 'Refsz-Verbräuche'!G77*Emissionsfaktoren!G77/1000, 0)</f>
        <v>0</v>
      </c>
      <c r="H242" s="15">
        <f>IF(ISNUMBER('Refsz-Verbräuche'!H77), 'Refsz-Verbräuche'!H77*Emissionsfaktoren!H77/1000, 0)</f>
        <v>0</v>
      </c>
      <c r="I242" s="15">
        <f>IF(ISNUMBER('Refsz-Verbräuche'!I77), 'Refsz-Verbräuche'!I77*Emissionsfaktoren!I77/1000, 0)</f>
        <v>0</v>
      </c>
      <c r="J242" s="15">
        <f>IF(ISNUMBER('Refsz-Verbräuche'!J77), 'Refsz-Verbräuche'!J77*Emissionsfaktoren!J77/1000, 0)</f>
        <v>0</v>
      </c>
      <c r="K242" s="15">
        <f>IF(ISNUMBER('Refsz-Verbräuche'!K77), 'Refsz-Verbräuche'!K77*Emissionsfaktoren!K77/1000, 0)</f>
        <v>0</v>
      </c>
      <c r="L242" s="15">
        <f>IF(ISNUMBER('Refsz-Verbräuche'!L77), 'Refsz-Verbräuche'!L77*Emissionsfaktoren!L77/1000, 0)</f>
        <v>0</v>
      </c>
      <c r="M242" s="15">
        <f>IF(ISNUMBER('Refsz-Verbräuche'!M77), 'Refsz-Verbräuche'!M77*Emissionsfaktoren!M77/1000, 0)</f>
        <v>0</v>
      </c>
      <c r="N242" s="15">
        <f>IF(ISNUMBER('Refsz-Verbräuche'!N77), 'Refsz-Verbräuche'!N77*Emissionsfaktoren!N77/1000, 0)</f>
        <v>0</v>
      </c>
      <c r="O242" s="15">
        <f>IF(ISNUMBER('Refsz-Verbräuche'!O77), 'Refsz-Verbräuche'!O77*Emissionsfaktoren!O77/1000, 0)</f>
        <v>0</v>
      </c>
      <c r="P242" s="15">
        <f>IF(ISNUMBER('Refsz-Verbräuche'!P77), 'Refsz-Verbräuche'!P77*Emissionsfaktoren!P77/1000, 0)</f>
        <v>0</v>
      </c>
      <c r="Q242" s="15">
        <f>IF(ISNUMBER('Refsz-Verbräuche'!Q77), 'Refsz-Verbräuche'!Q77*Emissionsfaktoren!Q77/1000, 0)</f>
        <v>0</v>
      </c>
      <c r="R242" s="15">
        <f>IF(ISNUMBER('Refsz-Verbräuche'!R77), 'Refsz-Verbräuche'!R77*Emissionsfaktoren!R77/1000, 0)</f>
        <v>0</v>
      </c>
      <c r="S242" s="15">
        <f>IF(ISNUMBER('Refsz-Verbräuche'!S77), 'Refsz-Verbräuche'!S77*Emissionsfaktoren!S77/1000, 0)</f>
        <v>0</v>
      </c>
      <c r="T242" s="15">
        <f>IF(ISNUMBER('Refsz-Verbräuche'!T77), 'Refsz-Verbräuche'!T77*Emissionsfaktoren!T77/1000, 0)</f>
        <v>0</v>
      </c>
      <c r="U242" s="15">
        <f>IF(ISNUMBER('Refsz-Verbräuche'!U77), 'Refsz-Verbräuche'!U77*Emissionsfaktoren!U77/1000, 0)</f>
        <v>0</v>
      </c>
      <c r="V242" s="15">
        <f>IF(ISNUMBER('Refsz-Verbräuche'!V77), 'Refsz-Verbräuche'!V77*Emissionsfaktoren!V77/1000, 0)</f>
        <v>0</v>
      </c>
      <c r="W242" s="15">
        <f>IF(ISNUMBER('Refsz-Verbräuche'!W77), 'Refsz-Verbräuche'!W77*Emissionsfaktoren!W77/1000, 0)</f>
        <v>0</v>
      </c>
      <c r="X242" s="15">
        <f>IF(ISNUMBER('Refsz-Verbräuche'!X77), 'Refsz-Verbräuche'!X77*Emissionsfaktoren!X77/1000, 0)</f>
        <v>0</v>
      </c>
    </row>
    <row r="243" spans="2:24" ht="16.5" hidden="1" x14ac:dyDescent="0.45">
      <c r="B243" s="15">
        <v>18</v>
      </c>
      <c r="C243" s="20" t="str">
        <f>'Refsz-Verbräuche'!C78</f>
        <v>Wärme (Holzpellets, 50kW/größere Zentralheizung)</v>
      </c>
      <c r="D243" t="s">
        <v>208</v>
      </c>
      <c r="E243" s="15">
        <f>IF(ISNUMBER('Refsz-Verbräuche'!E78), 'Refsz-Verbräuche'!E78*Emissionsfaktoren!E78/1000, 0)</f>
        <v>0</v>
      </c>
      <c r="F243" s="15">
        <f>IF(ISNUMBER('Refsz-Verbräuche'!F78), 'Refsz-Verbräuche'!F78*Emissionsfaktoren!F78/1000, 0)</f>
        <v>0</v>
      </c>
      <c r="G243" s="15">
        <f>IF(ISNUMBER('Refsz-Verbräuche'!G78), 'Refsz-Verbräuche'!G78*Emissionsfaktoren!G78/1000, 0)</f>
        <v>0</v>
      </c>
      <c r="H243" s="15">
        <f>IF(ISNUMBER('Refsz-Verbräuche'!H78), 'Refsz-Verbräuche'!H78*Emissionsfaktoren!H78/1000, 0)</f>
        <v>0</v>
      </c>
      <c r="I243" s="15">
        <f>IF(ISNUMBER('Refsz-Verbräuche'!I78), 'Refsz-Verbräuche'!I78*Emissionsfaktoren!I78/1000, 0)</f>
        <v>0</v>
      </c>
      <c r="J243" s="15">
        <f>IF(ISNUMBER('Refsz-Verbräuche'!J78), 'Refsz-Verbräuche'!J78*Emissionsfaktoren!J78/1000, 0)</f>
        <v>0</v>
      </c>
      <c r="K243" s="15">
        <f>IF(ISNUMBER('Refsz-Verbräuche'!K78), 'Refsz-Verbräuche'!K78*Emissionsfaktoren!K78/1000, 0)</f>
        <v>0</v>
      </c>
      <c r="L243" s="15">
        <f>IF(ISNUMBER('Refsz-Verbräuche'!L78), 'Refsz-Verbräuche'!L78*Emissionsfaktoren!L78/1000, 0)</f>
        <v>0</v>
      </c>
      <c r="M243" s="15">
        <f>IF(ISNUMBER('Refsz-Verbräuche'!M78), 'Refsz-Verbräuche'!M78*Emissionsfaktoren!M78/1000, 0)</f>
        <v>0</v>
      </c>
      <c r="N243" s="15">
        <f>IF(ISNUMBER('Refsz-Verbräuche'!N78), 'Refsz-Verbräuche'!N78*Emissionsfaktoren!N78/1000, 0)</f>
        <v>0</v>
      </c>
      <c r="O243" s="15">
        <f>IF(ISNUMBER('Refsz-Verbräuche'!O78), 'Refsz-Verbräuche'!O78*Emissionsfaktoren!O78/1000, 0)</f>
        <v>0</v>
      </c>
      <c r="P243" s="15">
        <f>IF(ISNUMBER('Refsz-Verbräuche'!P78), 'Refsz-Verbräuche'!P78*Emissionsfaktoren!P78/1000, 0)</f>
        <v>0</v>
      </c>
      <c r="Q243" s="15">
        <f>IF(ISNUMBER('Refsz-Verbräuche'!Q78), 'Refsz-Verbräuche'!Q78*Emissionsfaktoren!Q78/1000, 0)</f>
        <v>0</v>
      </c>
      <c r="R243" s="15">
        <f>IF(ISNUMBER('Refsz-Verbräuche'!R78), 'Refsz-Verbräuche'!R78*Emissionsfaktoren!R78/1000, 0)</f>
        <v>0</v>
      </c>
      <c r="S243" s="15">
        <f>IF(ISNUMBER('Refsz-Verbräuche'!S78), 'Refsz-Verbräuche'!S78*Emissionsfaktoren!S78/1000, 0)</f>
        <v>0</v>
      </c>
      <c r="T243" s="15">
        <f>IF(ISNUMBER('Refsz-Verbräuche'!T78), 'Refsz-Verbräuche'!T78*Emissionsfaktoren!T78/1000, 0)</f>
        <v>0</v>
      </c>
      <c r="U243" s="15">
        <f>IF(ISNUMBER('Refsz-Verbräuche'!U78), 'Refsz-Verbräuche'!U78*Emissionsfaktoren!U78/1000, 0)</f>
        <v>0</v>
      </c>
      <c r="V243" s="15">
        <f>IF(ISNUMBER('Refsz-Verbräuche'!V78), 'Refsz-Verbräuche'!V78*Emissionsfaktoren!V78/1000, 0)</f>
        <v>0</v>
      </c>
      <c r="W243" s="15">
        <f>IF(ISNUMBER('Refsz-Verbräuche'!W78), 'Refsz-Verbräuche'!W78*Emissionsfaktoren!W78/1000, 0)</f>
        <v>0</v>
      </c>
      <c r="X243" s="15">
        <f>IF(ISNUMBER('Refsz-Verbräuche'!X78), 'Refsz-Verbräuche'!X78*Emissionsfaktoren!X78/1000, 0)</f>
        <v>0</v>
      </c>
    </row>
    <row r="244" spans="2:24" ht="16.5" hidden="1" x14ac:dyDescent="0.45">
      <c r="B244" s="15">
        <v>19</v>
      </c>
      <c r="C244" s="20" t="str">
        <f>'Refsz-Verbräuche'!C79</f>
        <v>Wärme (Fernwärme Mix)</v>
      </c>
      <c r="D244" t="s">
        <v>208</v>
      </c>
      <c r="E244" s="15">
        <f>IF(ISNUMBER('Refsz-Verbräuche'!E79), 'Refsz-Verbräuche'!E79*Emissionsfaktoren!E79/1000, 0)</f>
        <v>0</v>
      </c>
      <c r="F244" s="15">
        <f>IF(ISNUMBER('Refsz-Verbräuche'!F79), 'Refsz-Verbräuche'!F79*Emissionsfaktoren!F79/1000, 0)</f>
        <v>0</v>
      </c>
      <c r="G244" s="15">
        <f>IF(ISNUMBER('Refsz-Verbräuche'!G79), 'Refsz-Verbräuche'!G79*Emissionsfaktoren!G79/1000, 0)</f>
        <v>0</v>
      </c>
      <c r="H244" s="15">
        <f>IF(ISNUMBER('Refsz-Verbräuche'!H79), 'Refsz-Verbräuche'!H79*Emissionsfaktoren!H79/1000, 0)</f>
        <v>0</v>
      </c>
      <c r="I244" s="15">
        <f>IF(ISNUMBER('Refsz-Verbräuche'!I79), 'Refsz-Verbräuche'!I79*Emissionsfaktoren!I79/1000, 0)</f>
        <v>0</v>
      </c>
      <c r="J244" s="15">
        <f>IF(ISNUMBER('Refsz-Verbräuche'!J79), 'Refsz-Verbräuche'!J79*Emissionsfaktoren!J79/1000, 0)</f>
        <v>0</v>
      </c>
      <c r="K244" s="15">
        <f>IF(ISNUMBER('Refsz-Verbräuche'!K79), 'Refsz-Verbräuche'!K79*Emissionsfaktoren!K79/1000, 0)</f>
        <v>0</v>
      </c>
      <c r="L244" s="15">
        <f>IF(ISNUMBER('Refsz-Verbräuche'!L79), 'Refsz-Verbräuche'!L79*Emissionsfaktoren!L79/1000, 0)</f>
        <v>0</v>
      </c>
      <c r="M244" s="15">
        <f>IF(ISNUMBER('Refsz-Verbräuche'!M79), 'Refsz-Verbräuche'!M79*Emissionsfaktoren!M79/1000, 0)</f>
        <v>0</v>
      </c>
      <c r="N244" s="15">
        <f>IF(ISNUMBER('Refsz-Verbräuche'!N79), 'Refsz-Verbräuche'!N79*Emissionsfaktoren!N79/1000, 0)</f>
        <v>0</v>
      </c>
      <c r="O244" s="15">
        <f>IF(ISNUMBER('Refsz-Verbräuche'!O79), 'Refsz-Verbräuche'!O79*Emissionsfaktoren!O79/1000, 0)</f>
        <v>0</v>
      </c>
      <c r="P244" s="15">
        <f>IF(ISNUMBER('Refsz-Verbräuche'!P79), 'Refsz-Verbräuche'!P79*Emissionsfaktoren!P79/1000, 0)</f>
        <v>0</v>
      </c>
      <c r="Q244" s="15">
        <f>IF(ISNUMBER('Refsz-Verbräuche'!Q79), 'Refsz-Verbräuche'!Q79*Emissionsfaktoren!Q79/1000, 0)</f>
        <v>0</v>
      </c>
      <c r="R244" s="15">
        <f>IF(ISNUMBER('Refsz-Verbräuche'!R79), 'Refsz-Verbräuche'!R79*Emissionsfaktoren!R79/1000, 0)</f>
        <v>0</v>
      </c>
      <c r="S244" s="15">
        <f>IF(ISNUMBER('Refsz-Verbräuche'!S79), 'Refsz-Verbräuche'!S79*Emissionsfaktoren!S79/1000, 0)</f>
        <v>0</v>
      </c>
      <c r="T244" s="15">
        <f>IF(ISNUMBER('Refsz-Verbräuche'!T79), 'Refsz-Verbräuche'!T79*Emissionsfaktoren!T79/1000, 0)</f>
        <v>0</v>
      </c>
      <c r="U244" s="15">
        <f>IF(ISNUMBER('Refsz-Verbräuche'!U79), 'Refsz-Verbräuche'!U79*Emissionsfaktoren!U79/1000, 0)</f>
        <v>0</v>
      </c>
      <c r="V244" s="15">
        <f>IF(ISNUMBER('Refsz-Verbräuche'!V79), 'Refsz-Verbräuche'!V79*Emissionsfaktoren!V79/1000, 0)</f>
        <v>0</v>
      </c>
      <c r="W244" s="15">
        <f>IF(ISNUMBER('Refsz-Verbräuche'!W79), 'Refsz-Verbräuche'!W79*Emissionsfaktoren!W79/1000, 0)</f>
        <v>0</v>
      </c>
      <c r="X244" s="15">
        <f>IF(ISNUMBER('Refsz-Verbräuche'!X79), 'Refsz-Verbräuche'!X79*Emissionsfaktoren!X79/1000, 0)</f>
        <v>0</v>
      </c>
    </row>
    <row r="245" spans="2:24" ht="16.5" hidden="1" x14ac:dyDescent="0.45">
      <c r="B245" s="15">
        <v>20</v>
      </c>
      <c r="C245" s="20" t="str">
        <f>'Refsz-Verbräuche'!C80</f>
        <v>Wärme (Fernwärme Abfall)</v>
      </c>
      <c r="D245" t="s">
        <v>208</v>
      </c>
      <c r="E245" s="15">
        <f>IF(ISNUMBER('Refsz-Verbräuche'!E80), 'Refsz-Verbräuche'!E80*Emissionsfaktoren!E80/1000, 0)</f>
        <v>0</v>
      </c>
      <c r="F245" s="15"/>
      <c r="G245" s="15"/>
      <c r="H245" s="15"/>
      <c r="I245" s="15"/>
      <c r="J245" s="15"/>
      <c r="K245" s="15"/>
      <c r="L245" s="15"/>
      <c r="M245" s="15"/>
      <c r="N245" s="15"/>
      <c r="O245" s="15"/>
      <c r="P245" s="15"/>
      <c r="Q245" s="15"/>
      <c r="R245" s="15"/>
      <c r="S245" s="15"/>
      <c r="T245" s="15"/>
      <c r="U245" s="15"/>
      <c r="V245" s="15"/>
      <c r="W245" s="15"/>
      <c r="X245" s="15"/>
    </row>
    <row r="246" spans="2:24" ht="16.5" hidden="1" x14ac:dyDescent="0.45">
      <c r="B246" s="15">
        <v>21</v>
      </c>
      <c r="C246" s="20" t="str">
        <f>'Refsz-Verbräuche'!C81</f>
        <v>Wärme (Heizöl)</v>
      </c>
      <c r="D246" t="s">
        <v>208</v>
      </c>
      <c r="E246" s="15">
        <f>IF(ISNUMBER('Refsz-Verbräuche'!E81), 'Refsz-Verbräuche'!E81*Emissionsfaktoren!E81/1000, 0)</f>
        <v>0</v>
      </c>
      <c r="F246" s="15">
        <f>IF(ISNUMBER('Refsz-Verbräuche'!F81), 'Refsz-Verbräuche'!F81*Emissionsfaktoren!F81/1000, 0)</f>
        <v>0</v>
      </c>
      <c r="G246" s="15">
        <f>IF(ISNUMBER('Refsz-Verbräuche'!G81), 'Refsz-Verbräuche'!G81*Emissionsfaktoren!G81/1000, 0)</f>
        <v>0</v>
      </c>
      <c r="H246" s="15">
        <f>IF(ISNUMBER('Refsz-Verbräuche'!H81), 'Refsz-Verbräuche'!H81*Emissionsfaktoren!H81/1000, 0)</f>
        <v>0</v>
      </c>
      <c r="I246" s="15">
        <f>IF(ISNUMBER('Refsz-Verbräuche'!I81), 'Refsz-Verbräuche'!I81*Emissionsfaktoren!I81/1000, 0)</f>
        <v>0</v>
      </c>
      <c r="J246" s="15">
        <f>IF(ISNUMBER('Refsz-Verbräuche'!J81), 'Refsz-Verbräuche'!J81*Emissionsfaktoren!J81/1000, 0)</f>
        <v>0</v>
      </c>
      <c r="K246" s="15">
        <f>IF(ISNUMBER('Refsz-Verbräuche'!K81), 'Refsz-Verbräuche'!K81*Emissionsfaktoren!K81/1000, 0)</f>
        <v>0</v>
      </c>
      <c r="L246" s="15">
        <f>IF(ISNUMBER('Refsz-Verbräuche'!L81), 'Refsz-Verbräuche'!L81*Emissionsfaktoren!L81/1000, 0)</f>
        <v>0</v>
      </c>
      <c r="M246" s="15">
        <f>IF(ISNUMBER('Refsz-Verbräuche'!M81), 'Refsz-Verbräuche'!M81*Emissionsfaktoren!M81/1000, 0)</f>
        <v>0</v>
      </c>
      <c r="N246" s="15">
        <f>IF(ISNUMBER('Refsz-Verbräuche'!N81), 'Refsz-Verbräuche'!N81*Emissionsfaktoren!N81/1000, 0)</f>
        <v>0</v>
      </c>
      <c r="O246" s="15">
        <f>IF(ISNUMBER('Refsz-Verbräuche'!O81), 'Refsz-Verbräuche'!O81*Emissionsfaktoren!O81/1000, 0)</f>
        <v>0</v>
      </c>
      <c r="P246" s="15">
        <f>IF(ISNUMBER('Refsz-Verbräuche'!P81), 'Refsz-Verbräuche'!P81*Emissionsfaktoren!P81/1000, 0)</f>
        <v>0</v>
      </c>
      <c r="Q246" s="15">
        <f>IF(ISNUMBER('Refsz-Verbräuche'!Q81), 'Refsz-Verbräuche'!Q81*Emissionsfaktoren!Q81/1000, 0)</f>
        <v>0</v>
      </c>
      <c r="R246" s="15">
        <f>IF(ISNUMBER('Refsz-Verbräuche'!R81), 'Refsz-Verbräuche'!R81*Emissionsfaktoren!R81/1000, 0)</f>
        <v>0</v>
      </c>
      <c r="S246" s="15">
        <f>IF(ISNUMBER('Refsz-Verbräuche'!S81), 'Refsz-Verbräuche'!S81*Emissionsfaktoren!S81/1000, 0)</f>
        <v>0</v>
      </c>
      <c r="T246" s="15">
        <f>IF(ISNUMBER('Refsz-Verbräuche'!T81), 'Refsz-Verbräuche'!T81*Emissionsfaktoren!T81/1000, 0)</f>
        <v>0</v>
      </c>
      <c r="U246" s="15">
        <f>IF(ISNUMBER('Refsz-Verbräuche'!U81), 'Refsz-Verbräuche'!U81*Emissionsfaktoren!U81/1000, 0)</f>
        <v>0</v>
      </c>
      <c r="V246" s="15">
        <f>IF(ISNUMBER('Refsz-Verbräuche'!V81), 'Refsz-Verbräuche'!V81*Emissionsfaktoren!V81/1000, 0)</f>
        <v>0</v>
      </c>
      <c r="W246" s="15">
        <f>IF(ISNUMBER('Refsz-Verbräuche'!W81), 'Refsz-Verbräuche'!W81*Emissionsfaktoren!W81/1000, 0)</f>
        <v>0</v>
      </c>
      <c r="X246" s="15">
        <f>IF(ISNUMBER('Refsz-Verbräuche'!X81), 'Refsz-Verbräuche'!X81*Emissionsfaktoren!X81/1000, 0)</f>
        <v>0</v>
      </c>
    </row>
    <row r="247" spans="2:24" ht="16.5" hidden="1" x14ac:dyDescent="0.45">
      <c r="B247" s="15">
        <v>22</v>
      </c>
      <c r="C247" s="20" t="str">
        <f>'Refsz-Verbräuche'!C82</f>
        <v>Wärme (Solarthermie)</v>
      </c>
      <c r="D247" t="s">
        <v>208</v>
      </c>
      <c r="E247" s="15">
        <f>IF(ISNUMBER('Refsz-Verbräuche'!E82), 'Refsz-Verbräuche'!E82*Emissionsfaktoren!E82/1000, 0)</f>
        <v>0</v>
      </c>
      <c r="F247" s="15">
        <f>IF(ISNUMBER('Refsz-Verbräuche'!F82), 'Refsz-Verbräuche'!F82*Emissionsfaktoren!F82/1000, 0)</f>
        <v>0</v>
      </c>
      <c r="G247" s="15">
        <f>IF(ISNUMBER('Refsz-Verbräuche'!G82), 'Refsz-Verbräuche'!G82*Emissionsfaktoren!G82/1000, 0)</f>
        <v>0</v>
      </c>
      <c r="H247" s="15">
        <f>IF(ISNUMBER('Refsz-Verbräuche'!H82), 'Refsz-Verbräuche'!H82*Emissionsfaktoren!H82/1000, 0)</f>
        <v>0</v>
      </c>
      <c r="I247" s="15">
        <f>IF(ISNUMBER('Refsz-Verbräuche'!I82), 'Refsz-Verbräuche'!I82*Emissionsfaktoren!I82/1000, 0)</f>
        <v>0</v>
      </c>
      <c r="J247" s="15">
        <f>IF(ISNUMBER('Refsz-Verbräuche'!J82), 'Refsz-Verbräuche'!J82*Emissionsfaktoren!J82/1000, 0)</f>
        <v>0</v>
      </c>
      <c r="K247" s="15">
        <f>IF(ISNUMBER('Refsz-Verbräuche'!K82), 'Refsz-Verbräuche'!K82*Emissionsfaktoren!K82/1000, 0)</f>
        <v>0</v>
      </c>
      <c r="L247" s="15">
        <f>IF(ISNUMBER('Refsz-Verbräuche'!L82), 'Refsz-Verbräuche'!L82*Emissionsfaktoren!L82/1000, 0)</f>
        <v>0</v>
      </c>
      <c r="M247" s="15">
        <f>IF(ISNUMBER('Refsz-Verbräuche'!M82), 'Refsz-Verbräuche'!M82*Emissionsfaktoren!M82/1000, 0)</f>
        <v>0</v>
      </c>
      <c r="N247" s="15">
        <f>IF(ISNUMBER('Refsz-Verbräuche'!N82), 'Refsz-Verbräuche'!N82*Emissionsfaktoren!N82/1000, 0)</f>
        <v>0</v>
      </c>
      <c r="O247" s="15">
        <f>IF(ISNUMBER('Refsz-Verbräuche'!O82), 'Refsz-Verbräuche'!O82*Emissionsfaktoren!O82/1000, 0)</f>
        <v>0</v>
      </c>
      <c r="P247" s="15">
        <f>IF(ISNUMBER('Refsz-Verbräuche'!P82), 'Refsz-Verbräuche'!P82*Emissionsfaktoren!P82/1000, 0)</f>
        <v>0</v>
      </c>
      <c r="Q247" s="15">
        <f>IF(ISNUMBER('Refsz-Verbräuche'!Q82), 'Refsz-Verbräuche'!Q82*Emissionsfaktoren!Q82/1000, 0)</f>
        <v>0</v>
      </c>
      <c r="R247" s="15">
        <f>IF(ISNUMBER('Refsz-Verbräuche'!R82), 'Refsz-Verbräuche'!R82*Emissionsfaktoren!R82/1000, 0)</f>
        <v>0</v>
      </c>
      <c r="S247" s="15">
        <f>IF(ISNUMBER('Refsz-Verbräuche'!S82), 'Refsz-Verbräuche'!S82*Emissionsfaktoren!S82/1000, 0)</f>
        <v>0</v>
      </c>
      <c r="T247" s="15">
        <f>IF(ISNUMBER('Refsz-Verbräuche'!T82), 'Refsz-Verbräuche'!T82*Emissionsfaktoren!T82/1000, 0)</f>
        <v>0</v>
      </c>
      <c r="U247" s="15">
        <f>IF(ISNUMBER('Refsz-Verbräuche'!U82), 'Refsz-Verbräuche'!U82*Emissionsfaktoren!U82/1000, 0)</f>
        <v>0</v>
      </c>
      <c r="V247" s="15">
        <f>IF(ISNUMBER('Refsz-Verbräuche'!V82), 'Refsz-Verbräuche'!V82*Emissionsfaktoren!V82/1000, 0)</f>
        <v>0</v>
      </c>
      <c r="W247" s="15">
        <f>IF(ISNUMBER('Refsz-Verbräuche'!W82), 'Refsz-Verbräuche'!W82*Emissionsfaktoren!W82/1000, 0)</f>
        <v>0</v>
      </c>
      <c r="X247" s="15">
        <f>IF(ISNUMBER('Refsz-Verbräuche'!X82), 'Refsz-Verbräuche'!X82*Emissionsfaktoren!X82/1000, 0)</f>
        <v>0</v>
      </c>
    </row>
    <row r="248" spans="2:24" ht="16.5" hidden="1" x14ac:dyDescent="0.45">
      <c r="B248" s="15">
        <v>23</v>
      </c>
      <c r="C248" s="20" t="str">
        <f>'Refsz-Verbräuche'!C83</f>
        <v>Wärme (Sole-Wasser-Wärmepumpe; Bundesstrommix)</v>
      </c>
      <c r="D248" t="s">
        <v>208</v>
      </c>
      <c r="E248" s="15">
        <f>IF(ISNUMBER('Refsz-Verbräuche'!E83), 'Refsz-Verbräuche'!E83*Emissionsfaktoren!E83/1000, 0)</f>
        <v>0</v>
      </c>
      <c r="F248" s="15">
        <f>IF(ISNUMBER('Refsz-Verbräuche'!F83), 'Refsz-Verbräuche'!F83*Emissionsfaktoren!F83/1000, 0)</f>
        <v>0</v>
      </c>
      <c r="G248" s="15">
        <f>IF(ISNUMBER('Refsz-Verbräuche'!G83), 'Refsz-Verbräuche'!G83*Emissionsfaktoren!G83/1000, 0)</f>
        <v>0</v>
      </c>
      <c r="H248" s="15">
        <f>IF(ISNUMBER('Refsz-Verbräuche'!H83), 'Refsz-Verbräuche'!H83*Emissionsfaktoren!H83/1000, 0)</f>
        <v>0</v>
      </c>
      <c r="I248" s="15">
        <f>IF(ISNUMBER('Refsz-Verbräuche'!I83), 'Refsz-Verbräuche'!I83*Emissionsfaktoren!I83/1000, 0)</f>
        <v>0</v>
      </c>
      <c r="J248" s="15">
        <f>IF(ISNUMBER('Refsz-Verbräuche'!J83), 'Refsz-Verbräuche'!J83*Emissionsfaktoren!J83/1000, 0)</f>
        <v>0</v>
      </c>
      <c r="K248" s="15">
        <f>IF(ISNUMBER('Refsz-Verbräuche'!K83), 'Refsz-Verbräuche'!K83*Emissionsfaktoren!K83/1000, 0)</f>
        <v>0</v>
      </c>
      <c r="L248" s="15">
        <f>IF(ISNUMBER('Refsz-Verbräuche'!L83), 'Refsz-Verbräuche'!L83*Emissionsfaktoren!L83/1000, 0)</f>
        <v>0</v>
      </c>
      <c r="M248" s="15">
        <f>IF(ISNUMBER('Refsz-Verbräuche'!M83), 'Refsz-Verbräuche'!M83*Emissionsfaktoren!M83/1000, 0)</f>
        <v>0</v>
      </c>
      <c r="N248" s="15">
        <f>IF(ISNUMBER('Refsz-Verbräuche'!N83), 'Refsz-Verbräuche'!N83*Emissionsfaktoren!N83/1000, 0)</f>
        <v>0</v>
      </c>
      <c r="O248" s="15">
        <f>IF(ISNUMBER('Refsz-Verbräuche'!O83), 'Refsz-Verbräuche'!O83*Emissionsfaktoren!O83/1000, 0)</f>
        <v>0</v>
      </c>
      <c r="P248" s="15">
        <f>IF(ISNUMBER('Refsz-Verbräuche'!P83), 'Refsz-Verbräuche'!P83*Emissionsfaktoren!P83/1000, 0)</f>
        <v>0</v>
      </c>
      <c r="Q248" s="15">
        <f>IF(ISNUMBER('Refsz-Verbräuche'!Q83), 'Refsz-Verbräuche'!Q83*Emissionsfaktoren!Q83/1000, 0)</f>
        <v>0</v>
      </c>
      <c r="R248" s="15">
        <f>IF(ISNUMBER('Refsz-Verbräuche'!R83), 'Refsz-Verbräuche'!R83*Emissionsfaktoren!R83/1000, 0)</f>
        <v>0</v>
      </c>
      <c r="S248" s="15">
        <f>IF(ISNUMBER('Refsz-Verbräuche'!S83), 'Refsz-Verbräuche'!S83*Emissionsfaktoren!S83/1000, 0)</f>
        <v>0</v>
      </c>
      <c r="T248" s="15">
        <f>IF(ISNUMBER('Refsz-Verbräuche'!T83), 'Refsz-Verbräuche'!T83*Emissionsfaktoren!T83/1000, 0)</f>
        <v>0</v>
      </c>
      <c r="U248" s="15">
        <f>IF(ISNUMBER('Refsz-Verbräuche'!U83), 'Refsz-Verbräuche'!U83*Emissionsfaktoren!U83/1000, 0)</f>
        <v>0</v>
      </c>
      <c r="V248" s="15">
        <f>IF(ISNUMBER('Refsz-Verbräuche'!V83), 'Refsz-Verbräuche'!V83*Emissionsfaktoren!V83/1000, 0)</f>
        <v>0</v>
      </c>
      <c r="W248" s="15">
        <f>IF(ISNUMBER('Refsz-Verbräuche'!W83), 'Refsz-Verbräuche'!W83*Emissionsfaktoren!W83/1000, 0)</f>
        <v>0</v>
      </c>
      <c r="X248" s="15">
        <f>IF(ISNUMBER('Refsz-Verbräuche'!X83), 'Refsz-Verbräuche'!X83*Emissionsfaktoren!X83/1000, 0)</f>
        <v>0</v>
      </c>
    </row>
    <row r="249" spans="2:24" ht="16.5" hidden="1" x14ac:dyDescent="0.45">
      <c r="B249" s="15">
        <v>24</v>
      </c>
      <c r="C249" s="20" t="str">
        <f>'Refsz-Verbräuche'!C84</f>
        <v>Wärme (Sole-Wasser-Wärmepumpe; Ökostrom)</v>
      </c>
      <c r="D249" t="s">
        <v>208</v>
      </c>
      <c r="E249" s="15">
        <f>IF(ISNUMBER('Refsz-Verbräuche'!E84), 'Refsz-Verbräuche'!E84*Emissionsfaktoren!E84/1000, 0)</f>
        <v>0</v>
      </c>
      <c r="F249" s="15">
        <f>IF(ISNUMBER('Refsz-Verbräuche'!F84), 'Refsz-Verbräuche'!F84*Emissionsfaktoren!F84/1000, 0)</f>
        <v>0</v>
      </c>
      <c r="G249" s="15">
        <f>IF(ISNUMBER('Refsz-Verbräuche'!G84), 'Refsz-Verbräuche'!G84*Emissionsfaktoren!G84/1000, 0)</f>
        <v>0</v>
      </c>
      <c r="H249" s="15">
        <f>IF(ISNUMBER('Refsz-Verbräuche'!H84), 'Refsz-Verbräuche'!H84*Emissionsfaktoren!H84/1000, 0)</f>
        <v>0</v>
      </c>
      <c r="I249" s="15">
        <f>IF(ISNUMBER('Refsz-Verbräuche'!I84), 'Refsz-Verbräuche'!I84*Emissionsfaktoren!I84/1000, 0)</f>
        <v>0</v>
      </c>
      <c r="J249" s="15">
        <f>IF(ISNUMBER('Refsz-Verbräuche'!J84), 'Refsz-Verbräuche'!J84*Emissionsfaktoren!J84/1000, 0)</f>
        <v>0</v>
      </c>
      <c r="K249" s="15">
        <f>IF(ISNUMBER('Refsz-Verbräuche'!K84), 'Refsz-Verbräuche'!K84*Emissionsfaktoren!K84/1000, 0)</f>
        <v>0</v>
      </c>
      <c r="L249" s="15">
        <f>IF(ISNUMBER('Refsz-Verbräuche'!L84), 'Refsz-Verbräuche'!L84*Emissionsfaktoren!L84/1000, 0)</f>
        <v>0</v>
      </c>
      <c r="M249" s="15">
        <f>IF(ISNUMBER('Refsz-Verbräuche'!M84), 'Refsz-Verbräuche'!M84*Emissionsfaktoren!M84/1000, 0)</f>
        <v>0</v>
      </c>
      <c r="N249" s="15">
        <f>IF(ISNUMBER('Refsz-Verbräuche'!N84), 'Refsz-Verbräuche'!N84*Emissionsfaktoren!N84/1000, 0)</f>
        <v>0</v>
      </c>
      <c r="O249" s="15">
        <f>IF(ISNUMBER('Refsz-Verbräuche'!O84), 'Refsz-Verbräuche'!O84*Emissionsfaktoren!O84/1000, 0)</f>
        <v>0</v>
      </c>
      <c r="P249" s="15">
        <f>IF(ISNUMBER('Refsz-Verbräuche'!P84), 'Refsz-Verbräuche'!P84*Emissionsfaktoren!P84/1000, 0)</f>
        <v>0</v>
      </c>
      <c r="Q249" s="15">
        <f>IF(ISNUMBER('Refsz-Verbräuche'!Q84), 'Refsz-Verbräuche'!Q84*Emissionsfaktoren!Q84/1000, 0)</f>
        <v>0</v>
      </c>
      <c r="R249" s="15">
        <f>IF(ISNUMBER('Refsz-Verbräuche'!R84), 'Refsz-Verbräuche'!R84*Emissionsfaktoren!R84/1000, 0)</f>
        <v>0</v>
      </c>
      <c r="S249" s="15">
        <f>IF(ISNUMBER('Refsz-Verbräuche'!S84), 'Refsz-Verbräuche'!S84*Emissionsfaktoren!S84/1000, 0)</f>
        <v>0</v>
      </c>
      <c r="T249" s="15">
        <f>IF(ISNUMBER('Refsz-Verbräuche'!T84), 'Refsz-Verbräuche'!T84*Emissionsfaktoren!T84/1000, 0)</f>
        <v>0</v>
      </c>
      <c r="U249" s="15">
        <f>IF(ISNUMBER('Refsz-Verbräuche'!U84), 'Refsz-Verbräuche'!U84*Emissionsfaktoren!U84/1000, 0)</f>
        <v>0</v>
      </c>
      <c r="V249" s="15">
        <f>IF(ISNUMBER('Refsz-Verbräuche'!V84), 'Refsz-Verbräuche'!V84*Emissionsfaktoren!V84/1000, 0)</f>
        <v>0</v>
      </c>
      <c r="W249" s="15">
        <f>IF(ISNUMBER('Refsz-Verbräuche'!W84), 'Refsz-Verbräuche'!W84*Emissionsfaktoren!W84/1000, 0)</f>
        <v>0</v>
      </c>
      <c r="X249" s="15">
        <f>IF(ISNUMBER('Refsz-Verbräuche'!X84), 'Refsz-Verbräuche'!X84*Emissionsfaktoren!X84/1000, 0)</f>
        <v>0</v>
      </c>
    </row>
    <row r="250" spans="2:24" ht="16.5" hidden="1" x14ac:dyDescent="0.45">
      <c r="B250" s="15">
        <v>25</v>
      </c>
      <c r="C250" s="20" t="str">
        <f>'Refsz-Verbräuche'!C85</f>
        <v>Wärme (individuelle Wärmepumpe)</v>
      </c>
      <c r="D250" t="s">
        <v>208</v>
      </c>
      <c r="E250" s="15">
        <f>IF(ISNUMBER('Refsz-Verbräuche'!E85), 'Refsz-Verbräuche'!E85*Emissionsfaktoren!E85/1000, 0)</f>
        <v>0</v>
      </c>
      <c r="F250" s="15">
        <f>IF(ISNUMBER('Refsz-Verbräuche'!F85), 'Refsz-Verbräuche'!F85*Emissionsfaktoren!F85/1000, 0)</f>
        <v>0</v>
      </c>
      <c r="G250" s="15">
        <f>IF(ISNUMBER('Refsz-Verbräuche'!G85), 'Refsz-Verbräuche'!G85*Emissionsfaktoren!G85/1000, 0)</f>
        <v>0</v>
      </c>
      <c r="H250" s="15">
        <f>IF(ISNUMBER('Refsz-Verbräuche'!H85), 'Refsz-Verbräuche'!H85*Emissionsfaktoren!H85/1000, 0)</f>
        <v>0</v>
      </c>
      <c r="I250" s="15">
        <f>IF(ISNUMBER('Refsz-Verbräuche'!I85), 'Refsz-Verbräuche'!I85*Emissionsfaktoren!I85/1000, 0)</f>
        <v>0</v>
      </c>
      <c r="J250" s="15">
        <f>IF(ISNUMBER('Refsz-Verbräuche'!J85), 'Refsz-Verbräuche'!J85*Emissionsfaktoren!J85/1000, 0)</f>
        <v>0</v>
      </c>
      <c r="K250" s="15">
        <f>IF(ISNUMBER('Refsz-Verbräuche'!K85), 'Refsz-Verbräuche'!K85*Emissionsfaktoren!K85/1000, 0)</f>
        <v>0</v>
      </c>
      <c r="L250" s="15">
        <f>IF(ISNUMBER('Refsz-Verbräuche'!L85), 'Refsz-Verbräuche'!L85*Emissionsfaktoren!L85/1000, 0)</f>
        <v>0</v>
      </c>
      <c r="M250" s="15">
        <f>IF(ISNUMBER('Refsz-Verbräuche'!M85), 'Refsz-Verbräuche'!M85*Emissionsfaktoren!M85/1000, 0)</f>
        <v>0</v>
      </c>
      <c r="N250" s="15">
        <f>IF(ISNUMBER('Refsz-Verbräuche'!N85), 'Refsz-Verbräuche'!N85*Emissionsfaktoren!N85/1000, 0)</f>
        <v>0</v>
      </c>
      <c r="O250" s="15">
        <f>IF(ISNUMBER('Refsz-Verbräuche'!O85), 'Refsz-Verbräuche'!O85*Emissionsfaktoren!O85/1000, 0)</f>
        <v>0</v>
      </c>
      <c r="P250" s="15">
        <f>IF(ISNUMBER('Refsz-Verbräuche'!P85), 'Refsz-Verbräuche'!P85*Emissionsfaktoren!P85/1000, 0)</f>
        <v>0</v>
      </c>
      <c r="Q250" s="15">
        <f>IF(ISNUMBER('Refsz-Verbräuche'!Q85), 'Refsz-Verbräuche'!Q85*Emissionsfaktoren!Q85/1000, 0)</f>
        <v>0</v>
      </c>
      <c r="R250" s="15">
        <f>IF(ISNUMBER('Refsz-Verbräuche'!R85), 'Refsz-Verbräuche'!R85*Emissionsfaktoren!R85/1000, 0)</f>
        <v>0</v>
      </c>
      <c r="S250" s="15">
        <f>IF(ISNUMBER('Refsz-Verbräuche'!S85), 'Refsz-Verbräuche'!S85*Emissionsfaktoren!S85/1000, 0)</f>
        <v>0</v>
      </c>
      <c r="T250" s="15">
        <f>IF(ISNUMBER('Refsz-Verbräuche'!T85), 'Refsz-Verbräuche'!T85*Emissionsfaktoren!T85/1000, 0)</f>
        <v>0</v>
      </c>
      <c r="U250" s="15">
        <f>IF(ISNUMBER('Refsz-Verbräuche'!U85), 'Refsz-Verbräuche'!U85*Emissionsfaktoren!U85/1000, 0)</f>
        <v>0</v>
      </c>
      <c r="V250" s="15">
        <f>IF(ISNUMBER('Refsz-Verbräuche'!V85), 'Refsz-Verbräuche'!V85*Emissionsfaktoren!V85/1000, 0)</f>
        <v>0</v>
      </c>
      <c r="W250" s="15">
        <f>IF(ISNUMBER('Refsz-Verbräuche'!W85), 'Refsz-Verbräuche'!W85*Emissionsfaktoren!W85/1000, 0)</f>
        <v>0</v>
      </c>
      <c r="X250" s="15">
        <f>IF(ISNUMBER('Refsz-Verbräuche'!X85), 'Refsz-Verbräuche'!X85*Emissionsfaktoren!X85/1000, 0)</f>
        <v>0</v>
      </c>
    </row>
    <row r="251" spans="2:24" ht="16.5" hidden="1" x14ac:dyDescent="0.45">
      <c r="B251" s="15">
        <v>26</v>
      </c>
      <c r="C251" s="20" t="str">
        <f>'Refsz-Verbräuche'!C86</f>
        <v>Kältemittel (R22)</v>
      </c>
      <c r="D251" t="s">
        <v>208</v>
      </c>
      <c r="E251" s="15">
        <f>IF(ISNUMBER('Refsz-Verbräuche'!E86), 'Refsz-Verbräuche'!E86*Emissionsfaktoren!E86/1000, 0)</f>
        <v>0</v>
      </c>
      <c r="F251" s="15">
        <f>IF(ISNUMBER('Refsz-Verbräuche'!F86), 'Refsz-Verbräuche'!F86*Emissionsfaktoren!F86/1000, 0)</f>
        <v>0</v>
      </c>
      <c r="G251" s="15">
        <f>IF(ISNUMBER('Refsz-Verbräuche'!G86), 'Refsz-Verbräuche'!G86*Emissionsfaktoren!G86/1000, 0)</f>
        <v>0</v>
      </c>
      <c r="H251" s="15">
        <f>IF(ISNUMBER('Refsz-Verbräuche'!H86), 'Refsz-Verbräuche'!H86*Emissionsfaktoren!H86/1000, 0)</f>
        <v>0</v>
      </c>
      <c r="I251" s="15">
        <f>IF(ISNUMBER('Refsz-Verbräuche'!I86), 'Refsz-Verbräuche'!I86*Emissionsfaktoren!I86/1000, 0)</f>
        <v>0</v>
      </c>
      <c r="J251" s="15">
        <f>IF(ISNUMBER('Refsz-Verbräuche'!J86), 'Refsz-Verbräuche'!J86*Emissionsfaktoren!J86/1000, 0)</f>
        <v>0</v>
      </c>
      <c r="K251" s="15">
        <f>IF(ISNUMBER('Refsz-Verbräuche'!K86), 'Refsz-Verbräuche'!K86*Emissionsfaktoren!K86/1000, 0)</f>
        <v>0</v>
      </c>
      <c r="L251" s="15">
        <f>IF(ISNUMBER('Refsz-Verbräuche'!L86), 'Refsz-Verbräuche'!L86*Emissionsfaktoren!L86/1000, 0)</f>
        <v>0</v>
      </c>
      <c r="M251" s="15">
        <f>IF(ISNUMBER('Refsz-Verbräuche'!M86), 'Refsz-Verbräuche'!M86*Emissionsfaktoren!M86/1000, 0)</f>
        <v>0</v>
      </c>
      <c r="N251" s="15">
        <f>IF(ISNUMBER('Refsz-Verbräuche'!N86), 'Refsz-Verbräuche'!N86*Emissionsfaktoren!N86/1000, 0)</f>
        <v>0</v>
      </c>
      <c r="O251" s="15">
        <f>IF(ISNUMBER('Refsz-Verbräuche'!O86), 'Refsz-Verbräuche'!O86*Emissionsfaktoren!O86/1000, 0)</f>
        <v>0</v>
      </c>
      <c r="P251" s="15">
        <f>IF(ISNUMBER('Refsz-Verbräuche'!P86), 'Refsz-Verbräuche'!P86*Emissionsfaktoren!P86/1000, 0)</f>
        <v>0</v>
      </c>
      <c r="Q251" s="15">
        <f>IF(ISNUMBER('Refsz-Verbräuche'!Q86), 'Refsz-Verbräuche'!Q86*Emissionsfaktoren!Q86/1000, 0)</f>
        <v>0</v>
      </c>
      <c r="R251" s="15">
        <f>IF(ISNUMBER('Refsz-Verbräuche'!R86), 'Refsz-Verbräuche'!R86*Emissionsfaktoren!R86/1000, 0)</f>
        <v>0</v>
      </c>
      <c r="S251" s="15">
        <f>IF(ISNUMBER('Refsz-Verbräuche'!S86), 'Refsz-Verbräuche'!S86*Emissionsfaktoren!S86/1000, 0)</f>
        <v>0</v>
      </c>
      <c r="T251" s="15">
        <f>IF(ISNUMBER('Refsz-Verbräuche'!T86), 'Refsz-Verbräuche'!T86*Emissionsfaktoren!T86/1000, 0)</f>
        <v>0</v>
      </c>
      <c r="U251" s="15">
        <f>IF(ISNUMBER('Refsz-Verbräuche'!U86), 'Refsz-Verbräuche'!U86*Emissionsfaktoren!U86/1000, 0)</f>
        <v>0</v>
      </c>
      <c r="V251" s="15">
        <f>IF(ISNUMBER('Refsz-Verbräuche'!V86), 'Refsz-Verbräuche'!V86*Emissionsfaktoren!V86/1000, 0)</f>
        <v>0</v>
      </c>
      <c r="W251" s="15">
        <f>IF(ISNUMBER('Refsz-Verbräuche'!W86), 'Refsz-Verbräuche'!W86*Emissionsfaktoren!W86/1000, 0)</f>
        <v>0</v>
      </c>
      <c r="X251" s="15">
        <f>IF(ISNUMBER('Refsz-Verbräuche'!X86), 'Refsz-Verbräuche'!X86*Emissionsfaktoren!X86/1000, 0)</f>
        <v>0</v>
      </c>
    </row>
    <row r="252" spans="2:24" ht="16.5" hidden="1" x14ac:dyDescent="0.45">
      <c r="B252" s="15">
        <v>27</v>
      </c>
      <c r="C252" s="20" t="str">
        <f>'Refsz-Verbräuche'!C87</f>
        <v>Kältemittel (R134A)</v>
      </c>
      <c r="D252" t="s">
        <v>208</v>
      </c>
      <c r="E252" s="15">
        <f>IF(ISNUMBER('Refsz-Verbräuche'!E87), 'Refsz-Verbräuche'!E87*Emissionsfaktoren!E87/1000, 0)</f>
        <v>0</v>
      </c>
      <c r="F252" s="15">
        <f>IF(ISNUMBER('Refsz-Verbräuche'!F87), 'Refsz-Verbräuche'!F87*Emissionsfaktoren!F87/1000, 0)</f>
        <v>0</v>
      </c>
      <c r="G252" s="15">
        <f>IF(ISNUMBER('Refsz-Verbräuche'!G87), 'Refsz-Verbräuche'!G87*Emissionsfaktoren!G87/1000, 0)</f>
        <v>0</v>
      </c>
      <c r="H252" s="15">
        <f>IF(ISNUMBER('Refsz-Verbräuche'!H87), 'Refsz-Verbräuche'!H87*Emissionsfaktoren!H87/1000, 0)</f>
        <v>0</v>
      </c>
      <c r="I252" s="15">
        <f>IF(ISNUMBER('Refsz-Verbräuche'!I87), 'Refsz-Verbräuche'!I87*Emissionsfaktoren!I87/1000, 0)</f>
        <v>0</v>
      </c>
      <c r="J252" s="15">
        <f>IF(ISNUMBER('Refsz-Verbräuche'!J87), 'Refsz-Verbräuche'!J87*Emissionsfaktoren!J87/1000, 0)</f>
        <v>0</v>
      </c>
      <c r="K252" s="15">
        <f>IF(ISNUMBER('Refsz-Verbräuche'!K87), 'Refsz-Verbräuche'!K87*Emissionsfaktoren!K87/1000, 0)</f>
        <v>0</v>
      </c>
      <c r="L252" s="15">
        <f>IF(ISNUMBER('Refsz-Verbräuche'!L87), 'Refsz-Verbräuche'!L87*Emissionsfaktoren!L87/1000, 0)</f>
        <v>0</v>
      </c>
      <c r="M252" s="15">
        <f>IF(ISNUMBER('Refsz-Verbräuche'!M87), 'Refsz-Verbräuche'!M87*Emissionsfaktoren!M87/1000, 0)</f>
        <v>0</v>
      </c>
      <c r="N252" s="15">
        <f>IF(ISNUMBER('Refsz-Verbräuche'!N87), 'Refsz-Verbräuche'!N87*Emissionsfaktoren!N87/1000, 0)</f>
        <v>0</v>
      </c>
      <c r="O252" s="15">
        <f>IF(ISNUMBER('Refsz-Verbräuche'!O87), 'Refsz-Verbräuche'!O87*Emissionsfaktoren!O87/1000, 0)</f>
        <v>0</v>
      </c>
      <c r="P252" s="15">
        <f>IF(ISNUMBER('Refsz-Verbräuche'!P87), 'Refsz-Verbräuche'!P87*Emissionsfaktoren!P87/1000, 0)</f>
        <v>0</v>
      </c>
      <c r="Q252" s="15">
        <f>IF(ISNUMBER('Refsz-Verbräuche'!Q87), 'Refsz-Verbräuche'!Q87*Emissionsfaktoren!Q87/1000, 0)</f>
        <v>0</v>
      </c>
      <c r="R252" s="15">
        <f>IF(ISNUMBER('Refsz-Verbräuche'!R87), 'Refsz-Verbräuche'!R87*Emissionsfaktoren!R87/1000, 0)</f>
        <v>0</v>
      </c>
      <c r="S252" s="15">
        <f>IF(ISNUMBER('Refsz-Verbräuche'!S87), 'Refsz-Verbräuche'!S87*Emissionsfaktoren!S87/1000, 0)</f>
        <v>0</v>
      </c>
      <c r="T252" s="15">
        <f>IF(ISNUMBER('Refsz-Verbräuche'!T87), 'Refsz-Verbräuche'!T87*Emissionsfaktoren!T87/1000, 0)</f>
        <v>0</v>
      </c>
      <c r="U252" s="15">
        <f>IF(ISNUMBER('Refsz-Verbräuche'!U87), 'Refsz-Verbräuche'!U87*Emissionsfaktoren!U87/1000, 0)</f>
        <v>0</v>
      </c>
      <c r="V252" s="15">
        <f>IF(ISNUMBER('Refsz-Verbräuche'!V87), 'Refsz-Verbräuche'!V87*Emissionsfaktoren!V87/1000, 0)</f>
        <v>0</v>
      </c>
      <c r="W252" s="15">
        <f>IF(ISNUMBER('Refsz-Verbräuche'!W87), 'Refsz-Verbräuche'!W87*Emissionsfaktoren!W87/1000, 0)</f>
        <v>0</v>
      </c>
      <c r="X252" s="15">
        <f>IF(ISNUMBER('Refsz-Verbräuche'!X87), 'Refsz-Verbräuche'!X87*Emissionsfaktoren!X87/1000, 0)</f>
        <v>0</v>
      </c>
    </row>
    <row r="253" spans="2:24" ht="16.5" hidden="1" x14ac:dyDescent="0.45">
      <c r="B253" s="15">
        <v>28</v>
      </c>
      <c r="C253" s="20" t="str">
        <f>'Refsz-Verbräuche'!C88</f>
        <v>Kältemittel (R404A)</v>
      </c>
      <c r="D253" t="s">
        <v>208</v>
      </c>
      <c r="E253" s="15">
        <f>IF(ISNUMBER('Refsz-Verbräuche'!E88), 'Refsz-Verbräuche'!E88*Emissionsfaktoren!E88/1000, 0)</f>
        <v>0</v>
      </c>
      <c r="F253" s="15">
        <f>IF(ISNUMBER('Refsz-Verbräuche'!F88), 'Refsz-Verbräuche'!F88*Emissionsfaktoren!F88/1000, 0)</f>
        <v>0</v>
      </c>
      <c r="G253" s="15">
        <f>IF(ISNUMBER('Refsz-Verbräuche'!G88), 'Refsz-Verbräuche'!G88*Emissionsfaktoren!G88/1000, 0)</f>
        <v>0</v>
      </c>
      <c r="H253" s="15">
        <f>IF(ISNUMBER('Refsz-Verbräuche'!H88), 'Refsz-Verbräuche'!H88*Emissionsfaktoren!H88/1000, 0)</f>
        <v>0</v>
      </c>
      <c r="I253" s="15">
        <f>IF(ISNUMBER('Refsz-Verbräuche'!I88), 'Refsz-Verbräuche'!I88*Emissionsfaktoren!I88/1000, 0)</f>
        <v>0</v>
      </c>
      <c r="J253" s="15">
        <f>IF(ISNUMBER('Refsz-Verbräuche'!J88), 'Refsz-Verbräuche'!J88*Emissionsfaktoren!J88/1000, 0)</f>
        <v>0</v>
      </c>
      <c r="K253" s="15">
        <f>IF(ISNUMBER('Refsz-Verbräuche'!K88), 'Refsz-Verbräuche'!K88*Emissionsfaktoren!K88/1000, 0)</f>
        <v>0</v>
      </c>
      <c r="L253" s="15">
        <f>IF(ISNUMBER('Refsz-Verbräuche'!L88), 'Refsz-Verbräuche'!L88*Emissionsfaktoren!L88/1000, 0)</f>
        <v>0</v>
      </c>
      <c r="M253" s="15">
        <f>IF(ISNUMBER('Refsz-Verbräuche'!M88), 'Refsz-Verbräuche'!M88*Emissionsfaktoren!M88/1000, 0)</f>
        <v>0</v>
      </c>
      <c r="N253" s="15">
        <f>IF(ISNUMBER('Refsz-Verbräuche'!N88), 'Refsz-Verbräuche'!N88*Emissionsfaktoren!N88/1000, 0)</f>
        <v>0</v>
      </c>
      <c r="O253" s="15">
        <f>IF(ISNUMBER('Refsz-Verbräuche'!O88), 'Refsz-Verbräuche'!O88*Emissionsfaktoren!O88/1000, 0)</f>
        <v>0</v>
      </c>
      <c r="P253" s="15">
        <f>IF(ISNUMBER('Refsz-Verbräuche'!P88), 'Refsz-Verbräuche'!P88*Emissionsfaktoren!P88/1000, 0)</f>
        <v>0</v>
      </c>
      <c r="Q253" s="15">
        <f>IF(ISNUMBER('Refsz-Verbräuche'!Q88), 'Refsz-Verbräuche'!Q88*Emissionsfaktoren!Q88/1000, 0)</f>
        <v>0</v>
      </c>
      <c r="R253" s="15">
        <f>IF(ISNUMBER('Refsz-Verbräuche'!R88), 'Refsz-Verbräuche'!R88*Emissionsfaktoren!R88/1000, 0)</f>
        <v>0</v>
      </c>
      <c r="S253" s="15">
        <f>IF(ISNUMBER('Refsz-Verbräuche'!S88), 'Refsz-Verbräuche'!S88*Emissionsfaktoren!S88/1000, 0)</f>
        <v>0</v>
      </c>
      <c r="T253" s="15">
        <f>IF(ISNUMBER('Refsz-Verbräuche'!T88), 'Refsz-Verbräuche'!T88*Emissionsfaktoren!T88/1000, 0)</f>
        <v>0</v>
      </c>
      <c r="U253" s="15">
        <f>IF(ISNUMBER('Refsz-Verbräuche'!U88), 'Refsz-Verbräuche'!U88*Emissionsfaktoren!U88/1000, 0)</f>
        <v>0</v>
      </c>
      <c r="V253" s="15">
        <f>IF(ISNUMBER('Refsz-Verbräuche'!V88), 'Refsz-Verbräuche'!V88*Emissionsfaktoren!V88/1000, 0)</f>
        <v>0</v>
      </c>
      <c r="W253" s="15">
        <f>IF(ISNUMBER('Refsz-Verbräuche'!W88), 'Refsz-Verbräuche'!W88*Emissionsfaktoren!W88/1000, 0)</f>
        <v>0</v>
      </c>
      <c r="X253" s="15">
        <f>IF(ISNUMBER('Refsz-Verbräuche'!X88), 'Refsz-Verbräuche'!X88*Emissionsfaktoren!X88/1000, 0)</f>
        <v>0</v>
      </c>
    </row>
    <row r="254" spans="2:24" ht="16.5" hidden="1" x14ac:dyDescent="0.45">
      <c r="B254" s="15">
        <v>29</v>
      </c>
      <c r="C254" s="20" t="str">
        <f>'Refsz-Verbräuche'!C89</f>
        <v>Kältemittel (R410A)</v>
      </c>
      <c r="D254" t="s">
        <v>208</v>
      </c>
      <c r="E254" s="15">
        <f>IF(ISNUMBER('Refsz-Verbräuche'!E89), 'Refsz-Verbräuche'!E89*Emissionsfaktoren!E89/1000, 0)</f>
        <v>0</v>
      </c>
      <c r="F254" s="15">
        <f>IF(ISNUMBER('Refsz-Verbräuche'!F89), 'Refsz-Verbräuche'!F89*Emissionsfaktoren!F89/1000, 0)</f>
        <v>0</v>
      </c>
      <c r="G254" s="15">
        <f>IF(ISNUMBER('Refsz-Verbräuche'!G89), 'Refsz-Verbräuche'!G89*Emissionsfaktoren!G89/1000, 0)</f>
        <v>0</v>
      </c>
      <c r="H254" s="15">
        <f>IF(ISNUMBER('Refsz-Verbräuche'!H89), 'Refsz-Verbräuche'!H89*Emissionsfaktoren!H89/1000, 0)</f>
        <v>0</v>
      </c>
      <c r="I254" s="15">
        <f>IF(ISNUMBER('Refsz-Verbräuche'!I89), 'Refsz-Verbräuche'!I89*Emissionsfaktoren!I89/1000, 0)</f>
        <v>0</v>
      </c>
      <c r="J254" s="15">
        <f>IF(ISNUMBER('Refsz-Verbräuche'!J89), 'Refsz-Verbräuche'!J89*Emissionsfaktoren!J89/1000, 0)</f>
        <v>0</v>
      </c>
      <c r="K254" s="15">
        <f>IF(ISNUMBER('Refsz-Verbräuche'!K89), 'Refsz-Verbräuche'!K89*Emissionsfaktoren!K89/1000, 0)</f>
        <v>0</v>
      </c>
      <c r="L254" s="15">
        <f>IF(ISNUMBER('Refsz-Verbräuche'!L89), 'Refsz-Verbräuche'!L89*Emissionsfaktoren!L89/1000, 0)</f>
        <v>0</v>
      </c>
      <c r="M254" s="15">
        <f>IF(ISNUMBER('Refsz-Verbräuche'!M89), 'Refsz-Verbräuche'!M89*Emissionsfaktoren!M89/1000, 0)</f>
        <v>0</v>
      </c>
      <c r="N254" s="15">
        <f>IF(ISNUMBER('Refsz-Verbräuche'!N89), 'Refsz-Verbräuche'!N89*Emissionsfaktoren!N89/1000, 0)</f>
        <v>0</v>
      </c>
      <c r="O254" s="15">
        <f>IF(ISNUMBER('Refsz-Verbräuche'!O89), 'Refsz-Verbräuche'!O89*Emissionsfaktoren!O89/1000, 0)</f>
        <v>0</v>
      </c>
      <c r="P254" s="15">
        <f>IF(ISNUMBER('Refsz-Verbräuche'!P89), 'Refsz-Verbräuche'!P89*Emissionsfaktoren!P89/1000, 0)</f>
        <v>0</v>
      </c>
      <c r="Q254" s="15">
        <f>IF(ISNUMBER('Refsz-Verbräuche'!Q89), 'Refsz-Verbräuche'!Q89*Emissionsfaktoren!Q89/1000, 0)</f>
        <v>0</v>
      </c>
      <c r="R254" s="15">
        <f>IF(ISNUMBER('Refsz-Verbräuche'!R89), 'Refsz-Verbräuche'!R89*Emissionsfaktoren!R89/1000, 0)</f>
        <v>0</v>
      </c>
      <c r="S254" s="15">
        <f>IF(ISNUMBER('Refsz-Verbräuche'!S89), 'Refsz-Verbräuche'!S89*Emissionsfaktoren!S89/1000, 0)</f>
        <v>0</v>
      </c>
      <c r="T254" s="15">
        <f>IF(ISNUMBER('Refsz-Verbräuche'!T89), 'Refsz-Verbräuche'!T89*Emissionsfaktoren!T89/1000, 0)</f>
        <v>0</v>
      </c>
      <c r="U254" s="15">
        <f>IF(ISNUMBER('Refsz-Verbräuche'!U89), 'Refsz-Verbräuche'!U89*Emissionsfaktoren!U89/1000, 0)</f>
        <v>0</v>
      </c>
      <c r="V254" s="15">
        <f>IF(ISNUMBER('Refsz-Verbräuche'!V89), 'Refsz-Verbräuche'!V89*Emissionsfaktoren!V89/1000, 0)</f>
        <v>0</v>
      </c>
      <c r="W254" s="15">
        <f>IF(ISNUMBER('Refsz-Verbräuche'!W89), 'Refsz-Verbräuche'!W89*Emissionsfaktoren!W89/1000, 0)</f>
        <v>0</v>
      </c>
      <c r="X254" s="15">
        <f>IF(ISNUMBER('Refsz-Verbräuche'!X89), 'Refsz-Verbräuche'!X89*Emissionsfaktoren!X89/1000, 0)</f>
        <v>0</v>
      </c>
    </row>
    <row r="255" spans="2:24" ht="16.5" hidden="1" x14ac:dyDescent="0.45">
      <c r="B255" s="15">
        <v>30</v>
      </c>
      <c r="C255" s="20">
        <f>'Refsz-Verbräuche'!C90</f>
        <v>0</v>
      </c>
      <c r="D255" t="s">
        <v>208</v>
      </c>
      <c r="E255" s="15">
        <f>IF(ISNUMBER('Refsz-Verbräuche'!E90), 'Refsz-Verbräuche'!E90*Emissionsfaktoren!E90/1000, 0)</f>
        <v>0</v>
      </c>
      <c r="F255" s="15">
        <f>IF(ISNUMBER('Refsz-Verbräuche'!F90), 'Refsz-Verbräuche'!F90*Emissionsfaktoren!F90/1000, 0)</f>
        <v>0</v>
      </c>
      <c r="G255" s="15">
        <f>IF(ISNUMBER('Refsz-Verbräuche'!G90), 'Refsz-Verbräuche'!G90*Emissionsfaktoren!G90/1000, 0)</f>
        <v>0</v>
      </c>
      <c r="H255" s="15">
        <f>IF(ISNUMBER('Refsz-Verbräuche'!H90), 'Refsz-Verbräuche'!H90*Emissionsfaktoren!H90/1000, 0)</f>
        <v>0</v>
      </c>
      <c r="I255" s="15">
        <f>IF(ISNUMBER('Refsz-Verbräuche'!I90), 'Refsz-Verbräuche'!I90*Emissionsfaktoren!I90/1000, 0)</f>
        <v>0</v>
      </c>
      <c r="J255" s="15">
        <f>IF(ISNUMBER('Refsz-Verbräuche'!J90), 'Refsz-Verbräuche'!J90*Emissionsfaktoren!J90/1000, 0)</f>
        <v>0</v>
      </c>
      <c r="K255" s="15">
        <f>IF(ISNUMBER('Refsz-Verbräuche'!K90), 'Refsz-Verbräuche'!K90*Emissionsfaktoren!K90/1000, 0)</f>
        <v>0</v>
      </c>
      <c r="L255" s="15">
        <f>IF(ISNUMBER('Refsz-Verbräuche'!L90), 'Refsz-Verbräuche'!L90*Emissionsfaktoren!L90/1000, 0)</f>
        <v>0</v>
      </c>
      <c r="M255" s="15">
        <f>IF(ISNUMBER('Refsz-Verbräuche'!M90), 'Refsz-Verbräuche'!M90*Emissionsfaktoren!M90/1000, 0)</f>
        <v>0</v>
      </c>
      <c r="N255" s="15">
        <f>IF(ISNUMBER('Refsz-Verbräuche'!N90), 'Refsz-Verbräuche'!N90*Emissionsfaktoren!N90/1000, 0)</f>
        <v>0</v>
      </c>
      <c r="O255" s="15">
        <f>IF(ISNUMBER('Refsz-Verbräuche'!O90), 'Refsz-Verbräuche'!O90*Emissionsfaktoren!O90/1000, 0)</f>
        <v>0</v>
      </c>
      <c r="P255" s="15">
        <f>IF(ISNUMBER('Refsz-Verbräuche'!P90), 'Refsz-Verbräuche'!P90*Emissionsfaktoren!P90/1000, 0)</f>
        <v>0</v>
      </c>
      <c r="Q255" s="15">
        <f>IF(ISNUMBER('Refsz-Verbräuche'!Q90), 'Refsz-Verbräuche'!Q90*Emissionsfaktoren!Q90/1000, 0)</f>
        <v>0</v>
      </c>
      <c r="R255" s="15">
        <f>IF(ISNUMBER('Refsz-Verbräuche'!R90), 'Refsz-Verbräuche'!R90*Emissionsfaktoren!R90/1000, 0)</f>
        <v>0</v>
      </c>
      <c r="S255" s="15">
        <f>IF(ISNUMBER('Refsz-Verbräuche'!S90), 'Refsz-Verbräuche'!S90*Emissionsfaktoren!S90/1000, 0)</f>
        <v>0</v>
      </c>
      <c r="T255" s="15">
        <f>IF(ISNUMBER('Refsz-Verbräuche'!T90), 'Refsz-Verbräuche'!T90*Emissionsfaktoren!T90/1000, 0)</f>
        <v>0</v>
      </c>
      <c r="U255" s="15">
        <f>IF(ISNUMBER('Refsz-Verbräuche'!U90), 'Refsz-Verbräuche'!U90*Emissionsfaktoren!U90/1000, 0)</f>
        <v>0</v>
      </c>
      <c r="V255" s="15">
        <f>IF(ISNUMBER('Refsz-Verbräuche'!V90), 'Refsz-Verbräuche'!V90*Emissionsfaktoren!V90/1000, 0)</f>
        <v>0</v>
      </c>
      <c r="W255" s="15">
        <f>IF(ISNUMBER('Refsz-Verbräuche'!W90), 'Refsz-Verbräuche'!W90*Emissionsfaktoren!W90/1000, 0)</f>
        <v>0</v>
      </c>
      <c r="X255" s="15">
        <f>IF(ISNUMBER('Refsz-Verbräuche'!X90), 'Refsz-Verbräuche'!X90*Emissionsfaktoren!X90/1000, 0)</f>
        <v>0</v>
      </c>
    </row>
    <row r="256" spans="2:24" ht="16.5" hidden="1" x14ac:dyDescent="0.45">
      <c r="B256" s="15">
        <v>31</v>
      </c>
      <c r="C256" s="20" t="str">
        <f>'Refsz-Verbräuche'!C91</f>
        <v>Fuhrpark (Diesel)</v>
      </c>
      <c r="D256" t="s">
        <v>208</v>
      </c>
      <c r="E256" s="15">
        <f>IF(ISNUMBER('Refsz-Verbräuche'!E91), 'Refsz-Verbräuche'!E91*Emissionsfaktoren!E91/1000, 0)</f>
        <v>0</v>
      </c>
      <c r="F256" s="15">
        <f>IF(ISNUMBER('Refsz-Verbräuche'!F91), 'Refsz-Verbräuche'!F91*Emissionsfaktoren!F91/1000, 0)</f>
        <v>0</v>
      </c>
      <c r="G256" s="15">
        <f>IF(ISNUMBER('Refsz-Verbräuche'!G91), 'Refsz-Verbräuche'!G91*Emissionsfaktoren!G91/1000, 0)</f>
        <v>0</v>
      </c>
      <c r="H256" s="15">
        <f>IF(ISNUMBER('Refsz-Verbräuche'!H91), 'Refsz-Verbräuche'!H91*Emissionsfaktoren!H91/1000, 0)</f>
        <v>0</v>
      </c>
      <c r="I256" s="15">
        <f>IF(ISNUMBER('Refsz-Verbräuche'!I91), 'Refsz-Verbräuche'!I91*Emissionsfaktoren!I91/1000, 0)</f>
        <v>0</v>
      </c>
      <c r="J256" s="15">
        <f>IF(ISNUMBER('Refsz-Verbräuche'!J91), 'Refsz-Verbräuche'!J91*Emissionsfaktoren!J91/1000, 0)</f>
        <v>0</v>
      </c>
      <c r="K256" s="15">
        <f>IF(ISNUMBER('Refsz-Verbräuche'!K91), 'Refsz-Verbräuche'!K91*Emissionsfaktoren!K91/1000, 0)</f>
        <v>0</v>
      </c>
      <c r="L256" s="15">
        <f>IF(ISNUMBER('Refsz-Verbräuche'!L91), 'Refsz-Verbräuche'!L91*Emissionsfaktoren!L91/1000, 0)</f>
        <v>0</v>
      </c>
      <c r="M256" s="15">
        <f>IF(ISNUMBER('Refsz-Verbräuche'!M91), 'Refsz-Verbräuche'!M91*Emissionsfaktoren!M91/1000, 0)</f>
        <v>0</v>
      </c>
      <c r="N256" s="15">
        <f>IF(ISNUMBER('Refsz-Verbräuche'!N91), 'Refsz-Verbräuche'!N91*Emissionsfaktoren!N91/1000, 0)</f>
        <v>0</v>
      </c>
      <c r="O256" s="15">
        <f>IF(ISNUMBER('Refsz-Verbräuche'!O91), 'Refsz-Verbräuche'!O91*Emissionsfaktoren!O91/1000, 0)</f>
        <v>0</v>
      </c>
      <c r="P256" s="15">
        <f>IF(ISNUMBER('Refsz-Verbräuche'!P91), 'Refsz-Verbräuche'!P91*Emissionsfaktoren!P91/1000, 0)</f>
        <v>0</v>
      </c>
      <c r="Q256" s="15">
        <f>IF(ISNUMBER('Refsz-Verbräuche'!Q91), 'Refsz-Verbräuche'!Q91*Emissionsfaktoren!Q91/1000, 0)</f>
        <v>0</v>
      </c>
      <c r="R256" s="15">
        <f>IF(ISNUMBER('Refsz-Verbräuche'!R91), 'Refsz-Verbräuche'!R91*Emissionsfaktoren!R91/1000, 0)</f>
        <v>0</v>
      </c>
      <c r="S256" s="15">
        <f>IF(ISNUMBER('Refsz-Verbräuche'!S91), 'Refsz-Verbräuche'!S91*Emissionsfaktoren!S91/1000, 0)</f>
        <v>0</v>
      </c>
      <c r="T256" s="15">
        <f>IF(ISNUMBER('Refsz-Verbräuche'!T91), 'Refsz-Verbräuche'!T91*Emissionsfaktoren!T91/1000, 0)</f>
        <v>0</v>
      </c>
      <c r="U256" s="15">
        <f>IF(ISNUMBER('Refsz-Verbräuche'!U91), 'Refsz-Verbräuche'!U91*Emissionsfaktoren!U91/1000, 0)</f>
        <v>0</v>
      </c>
      <c r="V256" s="15">
        <f>IF(ISNUMBER('Refsz-Verbräuche'!V91), 'Refsz-Verbräuche'!V91*Emissionsfaktoren!V91/1000, 0)</f>
        <v>0</v>
      </c>
      <c r="W256" s="15">
        <f>IF(ISNUMBER('Refsz-Verbräuche'!W91), 'Refsz-Verbräuche'!W91*Emissionsfaktoren!W91/1000, 0)</f>
        <v>0</v>
      </c>
      <c r="X256" s="15">
        <f>IF(ISNUMBER('Refsz-Verbräuche'!X91), 'Refsz-Verbräuche'!X91*Emissionsfaktoren!X91/1000, 0)</f>
        <v>0</v>
      </c>
    </row>
    <row r="257" spans="2:24" ht="16.5" hidden="1" x14ac:dyDescent="0.45">
      <c r="B257" s="15">
        <v>32</v>
      </c>
      <c r="C257" s="20" t="str">
        <f>'Refsz-Verbräuche'!C92</f>
        <v>Fuhrpark (Benzin)</v>
      </c>
      <c r="D257" t="s">
        <v>208</v>
      </c>
      <c r="E257" s="15">
        <f>IF(ISNUMBER('Refsz-Verbräuche'!E92), 'Refsz-Verbräuche'!E92*Emissionsfaktoren!E92/1000, 0)</f>
        <v>0</v>
      </c>
      <c r="F257" s="15">
        <f>IF(ISNUMBER('Refsz-Verbräuche'!F92), 'Refsz-Verbräuche'!F92*Emissionsfaktoren!F92/1000, 0)</f>
        <v>0</v>
      </c>
      <c r="G257" s="15">
        <f>IF(ISNUMBER('Refsz-Verbräuche'!G92), 'Refsz-Verbräuche'!G92*Emissionsfaktoren!G92/1000, 0)</f>
        <v>0</v>
      </c>
      <c r="H257" s="15">
        <f>IF(ISNUMBER('Refsz-Verbräuche'!H92), 'Refsz-Verbräuche'!H92*Emissionsfaktoren!H92/1000, 0)</f>
        <v>0</v>
      </c>
      <c r="I257" s="15">
        <f>IF(ISNUMBER('Refsz-Verbräuche'!I92), 'Refsz-Verbräuche'!I92*Emissionsfaktoren!I92/1000, 0)</f>
        <v>0</v>
      </c>
      <c r="J257" s="15">
        <f>IF(ISNUMBER('Refsz-Verbräuche'!J92), 'Refsz-Verbräuche'!J92*Emissionsfaktoren!J92/1000, 0)</f>
        <v>0</v>
      </c>
      <c r="K257" s="15">
        <f>IF(ISNUMBER('Refsz-Verbräuche'!K92), 'Refsz-Verbräuche'!K92*Emissionsfaktoren!K92/1000, 0)</f>
        <v>0</v>
      </c>
      <c r="L257" s="15">
        <f>IF(ISNUMBER('Refsz-Verbräuche'!L92), 'Refsz-Verbräuche'!L92*Emissionsfaktoren!L92/1000, 0)</f>
        <v>0</v>
      </c>
      <c r="M257" s="15">
        <f>IF(ISNUMBER('Refsz-Verbräuche'!M92), 'Refsz-Verbräuche'!M92*Emissionsfaktoren!M92/1000, 0)</f>
        <v>0</v>
      </c>
      <c r="N257" s="15">
        <f>IF(ISNUMBER('Refsz-Verbräuche'!N92), 'Refsz-Verbräuche'!N92*Emissionsfaktoren!N92/1000, 0)</f>
        <v>0</v>
      </c>
      <c r="O257" s="15">
        <f>IF(ISNUMBER('Refsz-Verbräuche'!O92), 'Refsz-Verbräuche'!O92*Emissionsfaktoren!O92/1000, 0)</f>
        <v>0</v>
      </c>
      <c r="P257" s="15">
        <f>IF(ISNUMBER('Refsz-Verbräuche'!P92), 'Refsz-Verbräuche'!P92*Emissionsfaktoren!P92/1000, 0)</f>
        <v>0</v>
      </c>
      <c r="Q257" s="15">
        <f>IF(ISNUMBER('Refsz-Verbräuche'!Q92), 'Refsz-Verbräuche'!Q92*Emissionsfaktoren!Q92/1000, 0)</f>
        <v>0</v>
      </c>
      <c r="R257" s="15">
        <f>IF(ISNUMBER('Refsz-Verbräuche'!R92), 'Refsz-Verbräuche'!R92*Emissionsfaktoren!R92/1000, 0)</f>
        <v>0</v>
      </c>
      <c r="S257" s="15">
        <f>IF(ISNUMBER('Refsz-Verbräuche'!S92), 'Refsz-Verbräuche'!S92*Emissionsfaktoren!S92/1000, 0)</f>
        <v>0</v>
      </c>
      <c r="T257" s="15">
        <f>IF(ISNUMBER('Refsz-Verbräuche'!T92), 'Refsz-Verbräuche'!T92*Emissionsfaktoren!T92/1000, 0)</f>
        <v>0</v>
      </c>
      <c r="U257" s="15">
        <f>IF(ISNUMBER('Refsz-Verbräuche'!U92), 'Refsz-Verbräuche'!U92*Emissionsfaktoren!U92/1000, 0)</f>
        <v>0</v>
      </c>
      <c r="V257" s="15">
        <f>IF(ISNUMBER('Refsz-Verbräuche'!V92), 'Refsz-Verbräuche'!V92*Emissionsfaktoren!V92/1000, 0)</f>
        <v>0</v>
      </c>
      <c r="W257" s="15">
        <f>IF(ISNUMBER('Refsz-Verbräuche'!W92), 'Refsz-Verbräuche'!W92*Emissionsfaktoren!W92/1000, 0)</f>
        <v>0</v>
      </c>
      <c r="X257" s="15">
        <f>IF(ISNUMBER('Refsz-Verbräuche'!X92), 'Refsz-Verbräuche'!X92*Emissionsfaktoren!X92/1000, 0)</f>
        <v>0</v>
      </c>
    </row>
    <row r="258" spans="2:24" ht="16.5" hidden="1" x14ac:dyDescent="0.45">
      <c r="B258" s="15">
        <v>33</v>
      </c>
      <c r="C258" s="20" t="str">
        <f>'Refsz-Verbräuche'!C93</f>
        <v>Fuhrpark (E-Auto/ BEV)</v>
      </c>
      <c r="D258" t="s">
        <v>208</v>
      </c>
      <c r="E258" s="15">
        <f>IF(ISNUMBER('Refsz-Verbräuche'!E93), 'Refsz-Verbräuche'!E93*Emissionsfaktoren!E93/1000, 0)</f>
        <v>0</v>
      </c>
      <c r="F258" s="15">
        <f>IF(ISNUMBER('Refsz-Verbräuche'!F93), 'Refsz-Verbräuche'!F93*Emissionsfaktoren!F93/1000, 0)</f>
        <v>0</v>
      </c>
      <c r="G258" s="15">
        <f>IF(ISNUMBER('Refsz-Verbräuche'!G93), 'Refsz-Verbräuche'!G93*Emissionsfaktoren!G93/1000, 0)</f>
        <v>0</v>
      </c>
      <c r="H258" s="15">
        <f>IF(ISNUMBER('Refsz-Verbräuche'!H93), 'Refsz-Verbräuche'!H93*Emissionsfaktoren!H93/1000, 0)</f>
        <v>0</v>
      </c>
      <c r="I258" s="15">
        <f>IF(ISNUMBER('Refsz-Verbräuche'!I93), 'Refsz-Verbräuche'!I93*Emissionsfaktoren!I93/1000, 0)</f>
        <v>0</v>
      </c>
      <c r="J258" s="15">
        <f>IF(ISNUMBER('Refsz-Verbräuche'!J93), 'Refsz-Verbräuche'!J93*Emissionsfaktoren!J93/1000, 0)</f>
        <v>0</v>
      </c>
      <c r="K258" s="15">
        <f>IF(ISNUMBER('Refsz-Verbräuche'!K93), 'Refsz-Verbräuche'!K93*Emissionsfaktoren!K93/1000, 0)</f>
        <v>0</v>
      </c>
      <c r="L258" s="15">
        <f>IF(ISNUMBER('Refsz-Verbräuche'!L93), 'Refsz-Verbräuche'!L93*Emissionsfaktoren!L93/1000, 0)</f>
        <v>0</v>
      </c>
      <c r="M258" s="15">
        <f>IF(ISNUMBER('Refsz-Verbräuche'!M93), 'Refsz-Verbräuche'!M93*Emissionsfaktoren!M93/1000, 0)</f>
        <v>0</v>
      </c>
      <c r="N258" s="15">
        <f>IF(ISNUMBER('Refsz-Verbräuche'!N93), 'Refsz-Verbräuche'!N93*Emissionsfaktoren!N93/1000, 0)</f>
        <v>0</v>
      </c>
      <c r="O258" s="15">
        <f>IF(ISNUMBER('Refsz-Verbräuche'!O93), 'Refsz-Verbräuche'!O93*Emissionsfaktoren!O93/1000, 0)</f>
        <v>0</v>
      </c>
      <c r="P258" s="15">
        <f>IF(ISNUMBER('Refsz-Verbräuche'!P93), 'Refsz-Verbräuche'!P93*Emissionsfaktoren!P93/1000, 0)</f>
        <v>0</v>
      </c>
      <c r="Q258" s="15">
        <f>IF(ISNUMBER('Refsz-Verbräuche'!Q93), 'Refsz-Verbräuche'!Q93*Emissionsfaktoren!Q93/1000, 0)</f>
        <v>0</v>
      </c>
      <c r="R258" s="15">
        <f>IF(ISNUMBER('Refsz-Verbräuche'!R93), 'Refsz-Verbräuche'!R93*Emissionsfaktoren!R93/1000, 0)</f>
        <v>0</v>
      </c>
      <c r="S258" s="15">
        <f>IF(ISNUMBER('Refsz-Verbräuche'!S93), 'Refsz-Verbräuche'!S93*Emissionsfaktoren!S93/1000, 0)</f>
        <v>0</v>
      </c>
      <c r="T258" s="15">
        <f>IF(ISNUMBER('Refsz-Verbräuche'!T93), 'Refsz-Verbräuche'!T93*Emissionsfaktoren!T93/1000, 0)</f>
        <v>0</v>
      </c>
      <c r="U258" s="15">
        <f>IF(ISNUMBER('Refsz-Verbräuche'!U93), 'Refsz-Verbräuche'!U93*Emissionsfaktoren!U93/1000, 0)</f>
        <v>0</v>
      </c>
      <c r="V258" s="15">
        <f>IF(ISNUMBER('Refsz-Verbräuche'!V93), 'Refsz-Verbräuche'!V93*Emissionsfaktoren!V93/1000, 0)</f>
        <v>0</v>
      </c>
      <c r="W258" s="15">
        <f>IF(ISNUMBER('Refsz-Verbräuche'!W93), 'Refsz-Verbräuche'!W93*Emissionsfaktoren!W93/1000, 0)</f>
        <v>0</v>
      </c>
      <c r="X258" s="15">
        <f>IF(ISNUMBER('Refsz-Verbräuche'!X93), 'Refsz-Verbräuche'!X93*Emissionsfaktoren!X93/1000, 0)</f>
        <v>0</v>
      </c>
    </row>
    <row r="259" spans="2:24" ht="16.5" hidden="1" x14ac:dyDescent="0.45">
      <c r="B259" s="15">
        <v>34</v>
      </c>
      <c r="C259" s="20" t="str">
        <f>'Refsz-Verbräuche'!C94</f>
        <v>Fuhrpark (Wasserstoff/ FCEV)</v>
      </c>
      <c r="D259" t="s">
        <v>208</v>
      </c>
      <c r="E259" s="15">
        <f>IF(ISNUMBER('Refsz-Verbräuche'!E94), 'Refsz-Verbräuche'!E94*Emissionsfaktoren!E94/1000, 0)</f>
        <v>0</v>
      </c>
      <c r="F259" s="15">
        <f>IF(ISNUMBER('Refsz-Verbräuche'!F94), 'Refsz-Verbräuche'!F94*Emissionsfaktoren!F94/1000, 0)</f>
        <v>0</v>
      </c>
      <c r="G259" s="15">
        <f>IF(ISNUMBER('Refsz-Verbräuche'!G94), 'Refsz-Verbräuche'!G94*Emissionsfaktoren!G94/1000, 0)</f>
        <v>0</v>
      </c>
      <c r="H259" s="15">
        <f>IF(ISNUMBER('Refsz-Verbräuche'!H94), 'Refsz-Verbräuche'!H94*Emissionsfaktoren!H94/1000, 0)</f>
        <v>0</v>
      </c>
      <c r="I259" s="15">
        <f>IF(ISNUMBER('Refsz-Verbräuche'!I94), 'Refsz-Verbräuche'!I94*Emissionsfaktoren!I94/1000, 0)</f>
        <v>0</v>
      </c>
      <c r="J259" s="15">
        <f>IF(ISNUMBER('Refsz-Verbräuche'!J94), 'Refsz-Verbräuche'!J94*Emissionsfaktoren!J94/1000, 0)</f>
        <v>0</v>
      </c>
      <c r="K259" s="15">
        <f>IF(ISNUMBER('Refsz-Verbräuche'!K94), 'Refsz-Verbräuche'!K94*Emissionsfaktoren!K94/1000, 0)</f>
        <v>0</v>
      </c>
      <c r="L259" s="15">
        <f>IF(ISNUMBER('Refsz-Verbräuche'!L94), 'Refsz-Verbräuche'!L94*Emissionsfaktoren!L94/1000, 0)</f>
        <v>0</v>
      </c>
      <c r="M259" s="15">
        <f>IF(ISNUMBER('Refsz-Verbräuche'!M94), 'Refsz-Verbräuche'!M94*Emissionsfaktoren!M94/1000, 0)</f>
        <v>0</v>
      </c>
      <c r="N259" s="15">
        <f>IF(ISNUMBER('Refsz-Verbräuche'!N94), 'Refsz-Verbräuche'!N94*Emissionsfaktoren!N94/1000, 0)</f>
        <v>0</v>
      </c>
      <c r="O259" s="15">
        <f>IF(ISNUMBER('Refsz-Verbräuche'!O94), 'Refsz-Verbräuche'!O94*Emissionsfaktoren!O94/1000, 0)</f>
        <v>0</v>
      </c>
      <c r="P259" s="15">
        <f>IF(ISNUMBER('Refsz-Verbräuche'!P94), 'Refsz-Verbräuche'!P94*Emissionsfaktoren!P94/1000, 0)</f>
        <v>0</v>
      </c>
      <c r="Q259" s="15">
        <f>IF(ISNUMBER('Refsz-Verbräuche'!Q94), 'Refsz-Verbräuche'!Q94*Emissionsfaktoren!Q94/1000, 0)</f>
        <v>0</v>
      </c>
      <c r="R259" s="15">
        <f>IF(ISNUMBER('Refsz-Verbräuche'!R94), 'Refsz-Verbräuche'!R94*Emissionsfaktoren!R94/1000, 0)</f>
        <v>0</v>
      </c>
      <c r="S259" s="15">
        <f>IF(ISNUMBER('Refsz-Verbräuche'!S94), 'Refsz-Verbräuche'!S94*Emissionsfaktoren!S94/1000, 0)</f>
        <v>0</v>
      </c>
      <c r="T259" s="15">
        <f>IF(ISNUMBER('Refsz-Verbräuche'!T94), 'Refsz-Verbräuche'!T94*Emissionsfaktoren!T94/1000, 0)</f>
        <v>0</v>
      </c>
      <c r="U259" s="15">
        <f>IF(ISNUMBER('Refsz-Verbräuche'!U94), 'Refsz-Verbräuche'!U94*Emissionsfaktoren!U94/1000, 0)</f>
        <v>0</v>
      </c>
      <c r="V259" s="15">
        <f>IF(ISNUMBER('Refsz-Verbräuche'!V94), 'Refsz-Verbräuche'!V94*Emissionsfaktoren!V94/1000, 0)</f>
        <v>0</v>
      </c>
      <c r="W259" s="15">
        <f>IF(ISNUMBER('Refsz-Verbräuche'!W94), 'Refsz-Verbräuche'!W94*Emissionsfaktoren!W94/1000, 0)</f>
        <v>0</v>
      </c>
      <c r="X259" s="15">
        <f>IF(ISNUMBER('Refsz-Verbräuche'!X94), 'Refsz-Verbräuche'!X94*Emissionsfaktoren!X94/1000, 0)</f>
        <v>0</v>
      </c>
    </row>
    <row r="260" spans="2:24" ht="16.5" hidden="1" x14ac:dyDescent="0.45">
      <c r="B260" s="15">
        <v>35</v>
      </c>
      <c r="C260" s="20" t="str">
        <f>'Refsz-Verbräuche'!C95</f>
        <v>Fuhrpark (CNG)</v>
      </c>
      <c r="D260" t="s">
        <v>208</v>
      </c>
      <c r="E260" s="15">
        <f>IF(ISNUMBER('Refsz-Verbräuche'!E95), 'Refsz-Verbräuche'!E95*Emissionsfaktoren!E95/1000, 0)</f>
        <v>0</v>
      </c>
      <c r="F260" s="15">
        <f>IF(ISNUMBER('Refsz-Verbräuche'!F95), 'Refsz-Verbräuche'!F95*Emissionsfaktoren!F95/1000, 0)</f>
        <v>0</v>
      </c>
      <c r="G260" s="15">
        <f>IF(ISNUMBER('Refsz-Verbräuche'!G95), 'Refsz-Verbräuche'!G95*Emissionsfaktoren!G95/1000, 0)</f>
        <v>0</v>
      </c>
      <c r="H260" s="15">
        <f>IF(ISNUMBER('Refsz-Verbräuche'!H95), 'Refsz-Verbräuche'!H95*Emissionsfaktoren!H95/1000, 0)</f>
        <v>0</v>
      </c>
      <c r="I260" s="15">
        <f>IF(ISNUMBER('Refsz-Verbräuche'!I95), 'Refsz-Verbräuche'!I95*Emissionsfaktoren!I95/1000, 0)</f>
        <v>0</v>
      </c>
      <c r="J260" s="15">
        <f>IF(ISNUMBER('Refsz-Verbräuche'!J95), 'Refsz-Verbräuche'!J95*Emissionsfaktoren!J95/1000, 0)</f>
        <v>0</v>
      </c>
      <c r="K260" s="15">
        <f>IF(ISNUMBER('Refsz-Verbräuche'!K95), 'Refsz-Verbräuche'!K95*Emissionsfaktoren!K95/1000, 0)</f>
        <v>0</v>
      </c>
      <c r="L260" s="15">
        <f>IF(ISNUMBER('Refsz-Verbräuche'!L95), 'Refsz-Verbräuche'!L95*Emissionsfaktoren!L95/1000, 0)</f>
        <v>0</v>
      </c>
      <c r="M260" s="15">
        <f>IF(ISNUMBER('Refsz-Verbräuche'!M95), 'Refsz-Verbräuche'!M95*Emissionsfaktoren!M95/1000, 0)</f>
        <v>0</v>
      </c>
      <c r="N260" s="15">
        <f>IF(ISNUMBER('Refsz-Verbräuche'!N95), 'Refsz-Verbräuche'!N95*Emissionsfaktoren!N95/1000, 0)</f>
        <v>0</v>
      </c>
      <c r="O260" s="15">
        <f>IF(ISNUMBER('Refsz-Verbräuche'!O95), 'Refsz-Verbräuche'!O95*Emissionsfaktoren!O95/1000, 0)</f>
        <v>0</v>
      </c>
      <c r="P260" s="15">
        <f>IF(ISNUMBER('Refsz-Verbräuche'!P95), 'Refsz-Verbräuche'!P95*Emissionsfaktoren!P95/1000, 0)</f>
        <v>0</v>
      </c>
      <c r="Q260" s="15">
        <f>IF(ISNUMBER('Refsz-Verbräuche'!Q95), 'Refsz-Verbräuche'!Q95*Emissionsfaktoren!Q95/1000, 0)</f>
        <v>0</v>
      </c>
      <c r="R260" s="15">
        <f>IF(ISNUMBER('Refsz-Verbräuche'!R95), 'Refsz-Verbräuche'!R95*Emissionsfaktoren!R95/1000, 0)</f>
        <v>0</v>
      </c>
      <c r="S260" s="15">
        <f>IF(ISNUMBER('Refsz-Verbräuche'!S95), 'Refsz-Verbräuche'!S95*Emissionsfaktoren!S95/1000, 0)</f>
        <v>0</v>
      </c>
      <c r="T260" s="15">
        <f>IF(ISNUMBER('Refsz-Verbräuche'!T95), 'Refsz-Verbräuche'!T95*Emissionsfaktoren!T95/1000, 0)</f>
        <v>0</v>
      </c>
      <c r="U260" s="15">
        <f>IF(ISNUMBER('Refsz-Verbräuche'!U95), 'Refsz-Verbräuche'!U95*Emissionsfaktoren!U95/1000, 0)</f>
        <v>0</v>
      </c>
      <c r="V260" s="15">
        <f>IF(ISNUMBER('Refsz-Verbräuche'!V95), 'Refsz-Verbräuche'!V95*Emissionsfaktoren!V95/1000, 0)</f>
        <v>0</v>
      </c>
      <c r="W260" s="15">
        <f>IF(ISNUMBER('Refsz-Verbräuche'!W95), 'Refsz-Verbräuche'!W95*Emissionsfaktoren!W95/1000, 0)</f>
        <v>0</v>
      </c>
      <c r="X260" s="15">
        <f>IF(ISNUMBER('Refsz-Verbräuche'!X95), 'Refsz-Verbräuche'!X95*Emissionsfaktoren!X95/1000, 0)</f>
        <v>0</v>
      </c>
    </row>
    <row r="261" spans="2:24" ht="16.5" hidden="1" x14ac:dyDescent="0.45">
      <c r="B261" s="15">
        <v>36</v>
      </c>
      <c r="C261" s="20" t="str">
        <f>'Refsz-Verbräuche'!C96</f>
        <v>Fuhrpark (Plug-In-Hybrid, PHEV)</v>
      </c>
      <c r="D261" t="s">
        <v>208</v>
      </c>
      <c r="E261" s="15">
        <f>IF(ISNUMBER('Refsz-Verbräuche'!E96), 'Refsz-Verbräuche'!E96*Emissionsfaktoren!E96/1000, 0)</f>
        <v>0</v>
      </c>
      <c r="F261" s="15">
        <f>IF(ISNUMBER('Refsz-Verbräuche'!F96), 'Refsz-Verbräuche'!F96*Emissionsfaktoren!F96/1000, 0)</f>
        <v>0</v>
      </c>
      <c r="G261" s="15">
        <f>IF(ISNUMBER('Refsz-Verbräuche'!G96), 'Refsz-Verbräuche'!G96*Emissionsfaktoren!G96/1000, 0)</f>
        <v>0</v>
      </c>
      <c r="H261" s="15">
        <f>IF(ISNUMBER('Refsz-Verbräuche'!H96), 'Refsz-Verbräuche'!H96*Emissionsfaktoren!H96/1000, 0)</f>
        <v>0</v>
      </c>
      <c r="I261" s="15">
        <f>IF(ISNUMBER('Refsz-Verbräuche'!I96), 'Refsz-Verbräuche'!I96*Emissionsfaktoren!I96/1000, 0)</f>
        <v>0</v>
      </c>
      <c r="J261" s="15">
        <f>IF(ISNUMBER('Refsz-Verbräuche'!J96), 'Refsz-Verbräuche'!J96*Emissionsfaktoren!J96/1000, 0)</f>
        <v>0</v>
      </c>
      <c r="K261" s="15">
        <f>IF(ISNUMBER('Refsz-Verbräuche'!K96), 'Refsz-Verbräuche'!K96*Emissionsfaktoren!K96/1000, 0)</f>
        <v>0</v>
      </c>
      <c r="L261" s="15">
        <f>IF(ISNUMBER('Refsz-Verbräuche'!L96), 'Refsz-Verbräuche'!L96*Emissionsfaktoren!L96/1000, 0)</f>
        <v>0</v>
      </c>
      <c r="M261" s="15">
        <f>IF(ISNUMBER('Refsz-Verbräuche'!M96), 'Refsz-Verbräuche'!M96*Emissionsfaktoren!M96/1000, 0)</f>
        <v>0</v>
      </c>
      <c r="N261" s="15">
        <f>IF(ISNUMBER('Refsz-Verbräuche'!N96), 'Refsz-Verbräuche'!N96*Emissionsfaktoren!N96/1000, 0)</f>
        <v>0</v>
      </c>
      <c r="O261" s="15">
        <f>IF(ISNUMBER('Refsz-Verbräuche'!O96), 'Refsz-Verbräuche'!O96*Emissionsfaktoren!O96/1000, 0)</f>
        <v>0</v>
      </c>
      <c r="P261" s="15">
        <f>IF(ISNUMBER('Refsz-Verbräuche'!P96), 'Refsz-Verbräuche'!P96*Emissionsfaktoren!P96/1000, 0)</f>
        <v>0</v>
      </c>
      <c r="Q261" s="15">
        <f>IF(ISNUMBER('Refsz-Verbräuche'!Q96), 'Refsz-Verbräuche'!Q96*Emissionsfaktoren!Q96/1000, 0)</f>
        <v>0</v>
      </c>
      <c r="R261" s="15">
        <f>IF(ISNUMBER('Refsz-Verbräuche'!R96), 'Refsz-Verbräuche'!R96*Emissionsfaktoren!R96/1000, 0)</f>
        <v>0</v>
      </c>
      <c r="S261" s="15">
        <f>IF(ISNUMBER('Refsz-Verbräuche'!S96), 'Refsz-Verbräuche'!S96*Emissionsfaktoren!S96/1000, 0)</f>
        <v>0</v>
      </c>
      <c r="T261" s="15">
        <f>IF(ISNUMBER('Refsz-Verbräuche'!T96), 'Refsz-Verbräuche'!T96*Emissionsfaktoren!T96/1000, 0)</f>
        <v>0</v>
      </c>
      <c r="U261" s="15">
        <f>IF(ISNUMBER('Refsz-Verbräuche'!U96), 'Refsz-Verbräuche'!U96*Emissionsfaktoren!U96/1000, 0)</f>
        <v>0</v>
      </c>
      <c r="V261" s="15">
        <f>IF(ISNUMBER('Refsz-Verbräuche'!V96), 'Refsz-Verbräuche'!V96*Emissionsfaktoren!V96/1000, 0)</f>
        <v>0</v>
      </c>
      <c r="W261" s="15">
        <f>IF(ISNUMBER('Refsz-Verbräuche'!W96), 'Refsz-Verbräuche'!W96*Emissionsfaktoren!W96/1000, 0)</f>
        <v>0</v>
      </c>
      <c r="X261" s="15">
        <f>IF(ISNUMBER('Refsz-Verbräuche'!X96), 'Refsz-Verbräuche'!X96*Emissionsfaktoren!X96/1000, 0)</f>
        <v>0</v>
      </c>
    </row>
    <row r="262" spans="2:24" ht="16.5" hidden="1" x14ac:dyDescent="0.45">
      <c r="B262" s="15">
        <v>37</v>
      </c>
      <c r="C262" s="20">
        <f>'Refsz-Verbräuche'!C97</f>
        <v>0</v>
      </c>
      <c r="D262" t="s">
        <v>208</v>
      </c>
      <c r="E262" s="15">
        <f>IF(ISNUMBER('Refsz-Verbräuche'!E97), 'Refsz-Verbräuche'!E97*Emissionsfaktoren!E97/1000, 0)</f>
        <v>0</v>
      </c>
      <c r="F262" s="15">
        <f>IF(ISNUMBER('Refsz-Verbräuche'!F97), 'Refsz-Verbräuche'!F97*Emissionsfaktoren!F97/1000, 0)</f>
        <v>0</v>
      </c>
      <c r="G262" s="15">
        <f>IF(ISNUMBER('Refsz-Verbräuche'!G97), 'Refsz-Verbräuche'!G97*Emissionsfaktoren!G97/1000, 0)</f>
        <v>0</v>
      </c>
      <c r="H262" s="15">
        <f>IF(ISNUMBER('Refsz-Verbräuche'!H97), 'Refsz-Verbräuche'!H97*Emissionsfaktoren!H97/1000, 0)</f>
        <v>0</v>
      </c>
      <c r="I262" s="15">
        <f>IF(ISNUMBER('Refsz-Verbräuche'!I97), 'Refsz-Verbräuche'!I97*Emissionsfaktoren!I97/1000, 0)</f>
        <v>0</v>
      </c>
      <c r="J262" s="15">
        <f>IF(ISNUMBER('Refsz-Verbräuche'!J97), 'Refsz-Verbräuche'!J97*Emissionsfaktoren!J97/1000, 0)</f>
        <v>0</v>
      </c>
      <c r="K262" s="15">
        <f>IF(ISNUMBER('Refsz-Verbräuche'!K97), 'Refsz-Verbräuche'!K97*Emissionsfaktoren!K97/1000, 0)</f>
        <v>0</v>
      </c>
      <c r="L262" s="15">
        <f>IF(ISNUMBER('Refsz-Verbräuche'!L97), 'Refsz-Verbräuche'!L97*Emissionsfaktoren!L97/1000, 0)</f>
        <v>0</v>
      </c>
      <c r="M262" s="15">
        <f>IF(ISNUMBER('Refsz-Verbräuche'!M97), 'Refsz-Verbräuche'!M97*Emissionsfaktoren!M97/1000, 0)</f>
        <v>0</v>
      </c>
      <c r="N262" s="15">
        <f>IF(ISNUMBER('Refsz-Verbräuche'!N97), 'Refsz-Verbräuche'!N97*Emissionsfaktoren!N97/1000, 0)</f>
        <v>0</v>
      </c>
      <c r="O262" s="15">
        <f>IF(ISNUMBER('Refsz-Verbräuche'!O97), 'Refsz-Verbräuche'!O97*Emissionsfaktoren!O97/1000, 0)</f>
        <v>0</v>
      </c>
      <c r="P262" s="15">
        <f>IF(ISNUMBER('Refsz-Verbräuche'!P97), 'Refsz-Verbräuche'!P97*Emissionsfaktoren!P97/1000, 0)</f>
        <v>0</v>
      </c>
      <c r="Q262" s="15">
        <f>IF(ISNUMBER('Refsz-Verbräuche'!Q97), 'Refsz-Verbräuche'!Q97*Emissionsfaktoren!Q97/1000, 0)</f>
        <v>0</v>
      </c>
      <c r="R262" s="15">
        <f>IF(ISNUMBER('Refsz-Verbräuche'!R97), 'Refsz-Verbräuche'!R97*Emissionsfaktoren!R97/1000, 0)</f>
        <v>0</v>
      </c>
      <c r="S262" s="15">
        <f>IF(ISNUMBER('Refsz-Verbräuche'!S97), 'Refsz-Verbräuche'!S97*Emissionsfaktoren!S97/1000, 0)</f>
        <v>0</v>
      </c>
      <c r="T262" s="15">
        <f>IF(ISNUMBER('Refsz-Verbräuche'!T97), 'Refsz-Verbräuche'!T97*Emissionsfaktoren!T97/1000, 0)</f>
        <v>0</v>
      </c>
      <c r="U262" s="15">
        <f>IF(ISNUMBER('Refsz-Verbräuche'!U97), 'Refsz-Verbräuche'!U97*Emissionsfaktoren!U97/1000, 0)</f>
        <v>0</v>
      </c>
      <c r="V262" s="15">
        <f>IF(ISNUMBER('Refsz-Verbräuche'!V97), 'Refsz-Verbräuche'!V97*Emissionsfaktoren!V97/1000, 0)</f>
        <v>0</v>
      </c>
      <c r="W262" s="15">
        <f>IF(ISNUMBER('Refsz-Verbräuche'!W97), 'Refsz-Verbräuche'!W97*Emissionsfaktoren!W97/1000, 0)</f>
        <v>0</v>
      </c>
      <c r="X262" s="15">
        <f>IF(ISNUMBER('Refsz-Verbräuche'!X97), 'Refsz-Verbräuche'!X97*Emissionsfaktoren!X97/1000, 0)</f>
        <v>0</v>
      </c>
    </row>
    <row r="263" spans="2:24" ht="16.5" hidden="1" x14ac:dyDescent="0.45">
      <c r="B263" s="15">
        <v>38</v>
      </c>
      <c r="C263" s="20" t="str">
        <f>'Refsz-Verbräuche'!C98</f>
        <v>DR - Flugreisen</v>
      </c>
      <c r="D263" t="s">
        <v>208</v>
      </c>
      <c r="E263" s="15">
        <f>IF(ISNUMBER('Refsz-Verbräuche'!E98), 'Refsz-Verbräuche'!E98*Emissionsfaktoren!E98/1000, 0)</f>
        <v>0</v>
      </c>
      <c r="F263" s="15">
        <f>IF(ISNUMBER('Refsz-Verbräuche'!F98), 'Refsz-Verbräuche'!F98*Emissionsfaktoren!F98/1000, 0)</f>
        <v>0</v>
      </c>
      <c r="G263" s="15">
        <f>IF(ISNUMBER('Refsz-Verbräuche'!G98), 'Refsz-Verbräuche'!G98*Emissionsfaktoren!G98/1000, 0)</f>
        <v>0</v>
      </c>
      <c r="H263" s="15">
        <f>IF(ISNUMBER('Refsz-Verbräuche'!H98), 'Refsz-Verbräuche'!H98*Emissionsfaktoren!H98/1000, 0)</f>
        <v>0</v>
      </c>
      <c r="I263" s="15">
        <f>IF(ISNUMBER('Refsz-Verbräuche'!I98), 'Refsz-Verbräuche'!I98*Emissionsfaktoren!I98/1000, 0)</f>
        <v>0</v>
      </c>
      <c r="J263" s="15">
        <f>IF(ISNUMBER('Refsz-Verbräuche'!J98), 'Refsz-Verbräuche'!J98*Emissionsfaktoren!J98/1000, 0)</f>
        <v>0</v>
      </c>
      <c r="K263" s="15">
        <f>IF(ISNUMBER('Refsz-Verbräuche'!K98), 'Refsz-Verbräuche'!K98*Emissionsfaktoren!K98/1000, 0)</f>
        <v>0</v>
      </c>
      <c r="L263" s="15">
        <f>IF(ISNUMBER('Refsz-Verbräuche'!L98), 'Refsz-Verbräuche'!L98*Emissionsfaktoren!L98/1000, 0)</f>
        <v>0</v>
      </c>
      <c r="M263" s="15">
        <f>IF(ISNUMBER('Refsz-Verbräuche'!M98), 'Refsz-Verbräuche'!M98*Emissionsfaktoren!M98/1000, 0)</f>
        <v>0</v>
      </c>
      <c r="N263" s="15">
        <f>IF(ISNUMBER('Refsz-Verbräuche'!N98), 'Refsz-Verbräuche'!N98*Emissionsfaktoren!N98/1000, 0)</f>
        <v>0</v>
      </c>
      <c r="O263" s="15">
        <f>IF(ISNUMBER('Refsz-Verbräuche'!O98), 'Refsz-Verbräuche'!O98*Emissionsfaktoren!O98/1000, 0)</f>
        <v>0</v>
      </c>
      <c r="P263" s="15">
        <f>IF(ISNUMBER('Refsz-Verbräuche'!P98), 'Refsz-Verbräuche'!P98*Emissionsfaktoren!P98/1000, 0)</f>
        <v>0</v>
      </c>
      <c r="Q263" s="15">
        <f>IF(ISNUMBER('Refsz-Verbräuche'!Q98), 'Refsz-Verbräuche'!Q98*Emissionsfaktoren!Q98/1000, 0)</f>
        <v>0</v>
      </c>
      <c r="R263" s="15">
        <f>IF(ISNUMBER('Refsz-Verbräuche'!R98), 'Refsz-Verbräuche'!R98*Emissionsfaktoren!R98/1000, 0)</f>
        <v>0</v>
      </c>
      <c r="S263" s="15">
        <f>IF(ISNUMBER('Refsz-Verbräuche'!S98), 'Refsz-Verbräuche'!S98*Emissionsfaktoren!S98/1000, 0)</f>
        <v>0</v>
      </c>
      <c r="T263" s="15">
        <f>IF(ISNUMBER('Refsz-Verbräuche'!T98), 'Refsz-Verbräuche'!T98*Emissionsfaktoren!T98/1000, 0)</f>
        <v>0</v>
      </c>
      <c r="U263" s="15">
        <f>IF(ISNUMBER('Refsz-Verbräuche'!U98), 'Refsz-Verbräuche'!U98*Emissionsfaktoren!U98/1000, 0)</f>
        <v>0</v>
      </c>
      <c r="V263" s="15">
        <f>IF(ISNUMBER('Refsz-Verbräuche'!V98), 'Refsz-Verbräuche'!V98*Emissionsfaktoren!V98/1000, 0)</f>
        <v>0</v>
      </c>
      <c r="W263" s="15">
        <f>IF(ISNUMBER('Refsz-Verbräuche'!W98), 'Refsz-Verbräuche'!W98*Emissionsfaktoren!W98/1000, 0)</f>
        <v>0</v>
      </c>
      <c r="X263" s="15">
        <f>IF(ISNUMBER('Refsz-Verbräuche'!X98), 'Refsz-Verbräuche'!X98*Emissionsfaktoren!X98/1000, 0)</f>
        <v>0</v>
      </c>
    </row>
    <row r="264" spans="2:24" ht="16.5" hidden="1" x14ac:dyDescent="0.45">
      <c r="B264" s="15">
        <v>39</v>
      </c>
      <c r="C264" s="20" t="str">
        <f>'Refsz-Verbräuche'!C99</f>
        <v>DR - Eisenbahn (Fernverkehr)</v>
      </c>
      <c r="D264" t="s">
        <v>208</v>
      </c>
      <c r="E264" s="15">
        <f>IF(ISNUMBER('Refsz-Verbräuche'!E99), 'Refsz-Verbräuche'!E99*Emissionsfaktoren!E99/1000, 0)</f>
        <v>0</v>
      </c>
      <c r="F264" s="15">
        <f>IF(ISNUMBER('Refsz-Verbräuche'!F99), 'Refsz-Verbräuche'!F99*Emissionsfaktoren!F99/1000, 0)</f>
        <v>0</v>
      </c>
      <c r="G264" s="15">
        <f>IF(ISNUMBER('Refsz-Verbräuche'!G99), 'Refsz-Verbräuche'!G99*Emissionsfaktoren!G99/1000, 0)</f>
        <v>0</v>
      </c>
      <c r="H264" s="15">
        <f>IF(ISNUMBER('Refsz-Verbräuche'!H99), 'Refsz-Verbräuche'!H99*Emissionsfaktoren!H99/1000, 0)</f>
        <v>0</v>
      </c>
      <c r="I264" s="15">
        <f>IF(ISNUMBER('Refsz-Verbräuche'!I99), 'Refsz-Verbräuche'!I99*Emissionsfaktoren!I99/1000, 0)</f>
        <v>0</v>
      </c>
      <c r="J264" s="15">
        <f>IF(ISNUMBER('Refsz-Verbräuche'!J99), 'Refsz-Verbräuche'!J99*Emissionsfaktoren!J99/1000, 0)</f>
        <v>0</v>
      </c>
      <c r="K264" s="15">
        <f>IF(ISNUMBER('Refsz-Verbräuche'!K99), 'Refsz-Verbräuche'!K99*Emissionsfaktoren!K99/1000, 0)</f>
        <v>0</v>
      </c>
      <c r="L264" s="15">
        <f>IF(ISNUMBER('Refsz-Verbräuche'!L99), 'Refsz-Verbräuche'!L99*Emissionsfaktoren!L99/1000, 0)</f>
        <v>0</v>
      </c>
      <c r="M264" s="15">
        <f>IF(ISNUMBER('Refsz-Verbräuche'!M99), 'Refsz-Verbräuche'!M99*Emissionsfaktoren!M99/1000, 0)</f>
        <v>0</v>
      </c>
      <c r="N264" s="15">
        <f>IF(ISNUMBER('Refsz-Verbräuche'!N99), 'Refsz-Verbräuche'!N99*Emissionsfaktoren!N99/1000, 0)</f>
        <v>0</v>
      </c>
      <c r="O264" s="15">
        <f>IF(ISNUMBER('Refsz-Verbräuche'!O99), 'Refsz-Verbräuche'!O99*Emissionsfaktoren!O99/1000, 0)</f>
        <v>0</v>
      </c>
      <c r="P264" s="15">
        <f>IF(ISNUMBER('Refsz-Verbräuche'!P99), 'Refsz-Verbräuche'!P99*Emissionsfaktoren!P99/1000, 0)</f>
        <v>0</v>
      </c>
      <c r="Q264" s="15">
        <f>IF(ISNUMBER('Refsz-Verbräuche'!Q99), 'Refsz-Verbräuche'!Q99*Emissionsfaktoren!Q99/1000, 0)</f>
        <v>0</v>
      </c>
      <c r="R264" s="15">
        <f>IF(ISNUMBER('Refsz-Verbräuche'!R99), 'Refsz-Verbräuche'!R99*Emissionsfaktoren!R99/1000, 0)</f>
        <v>0</v>
      </c>
      <c r="S264" s="15">
        <f>IF(ISNUMBER('Refsz-Verbräuche'!S99), 'Refsz-Verbräuche'!S99*Emissionsfaktoren!S99/1000, 0)</f>
        <v>0</v>
      </c>
      <c r="T264" s="15">
        <f>IF(ISNUMBER('Refsz-Verbräuche'!T99), 'Refsz-Verbräuche'!T99*Emissionsfaktoren!T99/1000, 0)</f>
        <v>0</v>
      </c>
      <c r="U264" s="15">
        <f>IF(ISNUMBER('Refsz-Verbräuche'!U99), 'Refsz-Verbräuche'!U99*Emissionsfaktoren!U99/1000, 0)</f>
        <v>0</v>
      </c>
      <c r="V264" s="15">
        <f>IF(ISNUMBER('Refsz-Verbräuche'!V99), 'Refsz-Verbräuche'!V99*Emissionsfaktoren!V99/1000, 0)</f>
        <v>0</v>
      </c>
      <c r="W264" s="15">
        <f>IF(ISNUMBER('Refsz-Verbräuche'!W99), 'Refsz-Verbräuche'!W99*Emissionsfaktoren!W99/1000, 0)</f>
        <v>0</v>
      </c>
      <c r="X264" s="15">
        <f>IF(ISNUMBER('Refsz-Verbräuche'!X99), 'Refsz-Verbräuche'!X99*Emissionsfaktoren!X99/1000, 0)</f>
        <v>0</v>
      </c>
    </row>
    <row r="265" spans="2:24" ht="16.5" hidden="1" x14ac:dyDescent="0.45">
      <c r="B265" s="15">
        <v>40</v>
      </c>
      <c r="C265" s="20" t="str">
        <f>'Refsz-Verbräuche'!C100</f>
        <v>DR - Eisenbahn (Nahverkehr)</v>
      </c>
      <c r="D265" t="s">
        <v>208</v>
      </c>
      <c r="E265" s="15">
        <f>IF(ISNUMBER('Refsz-Verbräuche'!E100), 'Refsz-Verbräuche'!E100*Emissionsfaktoren!E100/1000, 0)</f>
        <v>0</v>
      </c>
      <c r="F265" s="15">
        <f>IF(ISNUMBER('Refsz-Verbräuche'!F100), 'Refsz-Verbräuche'!F100*Emissionsfaktoren!F100/1000, 0)</f>
        <v>0</v>
      </c>
      <c r="G265" s="15">
        <f>IF(ISNUMBER('Refsz-Verbräuche'!G100), 'Refsz-Verbräuche'!G100*Emissionsfaktoren!G100/1000, 0)</f>
        <v>0</v>
      </c>
      <c r="H265" s="15">
        <f>IF(ISNUMBER('Refsz-Verbräuche'!H100), 'Refsz-Verbräuche'!H100*Emissionsfaktoren!H100/1000, 0)</f>
        <v>0</v>
      </c>
      <c r="I265" s="15">
        <f>IF(ISNUMBER('Refsz-Verbräuche'!I100), 'Refsz-Verbräuche'!I100*Emissionsfaktoren!I100/1000, 0)</f>
        <v>0</v>
      </c>
      <c r="J265" s="15">
        <f>IF(ISNUMBER('Refsz-Verbräuche'!J100), 'Refsz-Verbräuche'!J100*Emissionsfaktoren!J100/1000, 0)</f>
        <v>0</v>
      </c>
      <c r="K265" s="15">
        <f>IF(ISNUMBER('Refsz-Verbräuche'!K100), 'Refsz-Verbräuche'!K100*Emissionsfaktoren!K100/1000, 0)</f>
        <v>0</v>
      </c>
      <c r="L265" s="15">
        <f>IF(ISNUMBER('Refsz-Verbräuche'!L100), 'Refsz-Verbräuche'!L100*Emissionsfaktoren!L100/1000, 0)</f>
        <v>0</v>
      </c>
      <c r="M265" s="15">
        <f>IF(ISNUMBER('Refsz-Verbräuche'!M100), 'Refsz-Verbräuche'!M100*Emissionsfaktoren!M100/1000, 0)</f>
        <v>0</v>
      </c>
      <c r="N265" s="15">
        <f>IF(ISNUMBER('Refsz-Verbräuche'!N100), 'Refsz-Verbräuche'!N100*Emissionsfaktoren!N100/1000, 0)</f>
        <v>0</v>
      </c>
      <c r="O265" s="15">
        <f>IF(ISNUMBER('Refsz-Verbräuche'!O100), 'Refsz-Verbräuche'!O100*Emissionsfaktoren!O100/1000, 0)</f>
        <v>0</v>
      </c>
      <c r="P265" s="15">
        <f>IF(ISNUMBER('Refsz-Verbräuche'!P100), 'Refsz-Verbräuche'!P100*Emissionsfaktoren!P100/1000, 0)</f>
        <v>0</v>
      </c>
      <c r="Q265" s="15">
        <f>IF(ISNUMBER('Refsz-Verbräuche'!Q100), 'Refsz-Verbräuche'!Q100*Emissionsfaktoren!Q100/1000, 0)</f>
        <v>0</v>
      </c>
      <c r="R265" s="15">
        <f>IF(ISNUMBER('Refsz-Verbräuche'!R100), 'Refsz-Verbräuche'!R100*Emissionsfaktoren!R100/1000, 0)</f>
        <v>0</v>
      </c>
      <c r="S265" s="15">
        <f>IF(ISNUMBER('Refsz-Verbräuche'!S100), 'Refsz-Verbräuche'!S100*Emissionsfaktoren!S100/1000, 0)</f>
        <v>0</v>
      </c>
      <c r="T265" s="15">
        <f>IF(ISNUMBER('Refsz-Verbräuche'!T100), 'Refsz-Verbräuche'!T100*Emissionsfaktoren!T100/1000, 0)</f>
        <v>0</v>
      </c>
      <c r="U265" s="15">
        <f>IF(ISNUMBER('Refsz-Verbräuche'!U100), 'Refsz-Verbräuche'!U100*Emissionsfaktoren!U100/1000, 0)</f>
        <v>0</v>
      </c>
      <c r="V265" s="15">
        <f>IF(ISNUMBER('Refsz-Verbräuche'!V100), 'Refsz-Verbräuche'!V100*Emissionsfaktoren!V100/1000, 0)</f>
        <v>0</v>
      </c>
      <c r="W265" s="15">
        <f>IF(ISNUMBER('Refsz-Verbräuche'!W100), 'Refsz-Verbräuche'!W100*Emissionsfaktoren!W100/1000, 0)</f>
        <v>0</v>
      </c>
      <c r="X265" s="15">
        <f>IF(ISNUMBER('Refsz-Verbräuche'!X100), 'Refsz-Verbräuche'!X100*Emissionsfaktoren!X100/1000, 0)</f>
        <v>0</v>
      </c>
    </row>
    <row r="266" spans="2:24" ht="16.5" hidden="1" x14ac:dyDescent="0.45">
      <c r="B266" s="15">
        <v>41</v>
      </c>
      <c r="C266" s="20" t="str">
        <f>'Refsz-Verbräuche'!C101</f>
        <v>DR - Reisebus, Linienbus (Fernverkehr)</v>
      </c>
      <c r="D266" t="s">
        <v>208</v>
      </c>
      <c r="E266" s="15">
        <f>IF(ISNUMBER('Refsz-Verbräuche'!E101), 'Refsz-Verbräuche'!E101*Emissionsfaktoren!E101/1000, 0)</f>
        <v>0</v>
      </c>
      <c r="F266" s="15">
        <f>IF(ISNUMBER('Refsz-Verbräuche'!F101), 'Refsz-Verbräuche'!F101*Emissionsfaktoren!F101/1000, 0)</f>
        <v>0</v>
      </c>
      <c r="G266" s="15">
        <f>IF(ISNUMBER('Refsz-Verbräuche'!G101), 'Refsz-Verbräuche'!G101*Emissionsfaktoren!G101/1000, 0)</f>
        <v>0</v>
      </c>
      <c r="H266" s="15">
        <f>IF(ISNUMBER('Refsz-Verbräuche'!H101), 'Refsz-Verbräuche'!H101*Emissionsfaktoren!H101/1000, 0)</f>
        <v>0</v>
      </c>
      <c r="I266" s="15">
        <f>IF(ISNUMBER('Refsz-Verbräuche'!I101), 'Refsz-Verbräuche'!I101*Emissionsfaktoren!I101/1000, 0)</f>
        <v>0</v>
      </c>
      <c r="J266" s="15">
        <f>IF(ISNUMBER('Refsz-Verbräuche'!J101), 'Refsz-Verbräuche'!J101*Emissionsfaktoren!J101/1000, 0)</f>
        <v>0</v>
      </c>
      <c r="K266" s="15">
        <f>IF(ISNUMBER('Refsz-Verbräuche'!K101), 'Refsz-Verbräuche'!K101*Emissionsfaktoren!K101/1000, 0)</f>
        <v>0</v>
      </c>
      <c r="L266" s="15">
        <f>IF(ISNUMBER('Refsz-Verbräuche'!L101), 'Refsz-Verbräuche'!L101*Emissionsfaktoren!L101/1000, 0)</f>
        <v>0</v>
      </c>
      <c r="M266" s="15">
        <f>IF(ISNUMBER('Refsz-Verbräuche'!M101), 'Refsz-Verbräuche'!M101*Emissionsfaktoren!M101/1000, 0)</f>
        <v>0</v>
      </c>
      <c r="N266" s="15">
        <f>IF(ISNUMBER('Refsz-Verbräuche'!N101), 'Refsz-Verbräuche'!N101*Emissionsfaktoren!N101/1000, 0)</f>
        <v>0</v>
      </c>
      <c r="O266" s="15">
        <f>IF(ISNUMBER('Refsz-Verbräuche'!O101), 'Refsz-Verbräuche'!O101*Emissionsfaktoren!O101/1000, 0)</f>
        <v>0</v>
      </c>
      <c r="P266" s="15">
        <f>IF(ISNUMBER('Refsz-Verbräuche'!P101), 'Refsz-Verbräuche'!P101*Emissionsfaktoren!P101/1000, 0)</f>
        <v>0</v>
      </c>
      <c r="Q266" s="15">
        <f>IF(ISNUMBER('Refsz-Verbräuche'!Q101), 'Refsz-Verbräuche'!Q101*Emissionsfaktoren!Q101/1000, 0)</f>
        <v>0</v>
      </c>
      <c r="R266" s="15">
        <f>IF(ISNUMBER('Refsz-Verbräuche'!R101), 'Refsz-Verbräuche'!R101*Emissionsfaktoren!R101/1000, 0)</f>
        <v>0</v>
      </c>
      <c r="S266" s="15">
        <f>IF(ISNUMBER('Refsz-Verbräuche'!S101), 'Refsz-Verbräuche'!S101*Emissionsfaktoren!S101/1000, 0)</f>
        <v>0</v>
      </c>
      <c r="T266" s="15">
        <f>IF(ISNUMBER('Refsz-Verbräuche'!T101), 'Refsz-Verbräuche'!T101*Emissionsfaktoren!T101/1000, 0)</f>
        <v>0</v>
      </c>
      <c r="U266" s="15">
        <f>IF(ISNUMBER('Refsz-Verbräuche'!U101), 'Refsz-Verbräuche'!U101*Emissionsfaktoren!U101/1000, 0)</f>
        <v>0</v>
      </c>
      <c r="V266" s="15">
        <f>IF(ISNUMBER('Refsz-Verbräuche'!V101), 'Refsz-Verbräuche'!V101*Emissionsfaktoren!V101/1000, 0)</f>
        <v>0</v>
      </c>
      <c r="W266" s="15">
        <f>IF(ISNUMBER('Refsz-Verbräuche'!W101), 'Refsz-Verbräuche'!W101*Emissionsfaktoren!W101/1000, 0)</f>
        <v>0</v>
      </c>
      <c r="X266" s="15">
        <f>IF(ISNUMBER('Refsz-Verbräuche'!X101), 'Refsz-Verbräuche'!X101*Emissionsfaktoren!X101/1000, 0)</f>
        <v>0</v>
      </c>
    </row>
    <row r="267" spans="2:24" ht="16.5" hidden="1" x14ac:dyDescent="0.45">
      <c r="B267" s="15">
        <v>42</v>
      </c>
      <c r="C267" s="20" t="str">
        <f>'Refsz-Verbräuche'!C102</f>
        <v>DR - Linienbus (Nahverkehr)</v>
      </c>
      <c r="D267" t="s">
        <v>208</v>
      </c>
      <c r="E267" s="15">
        <f>IF(ISNUMBER('Refsz-Verbräuche'!E102), 'Refsz-Verbräuche'!E102*Emissionsfaktoren!E102/1000, 0)</f>
        <v>0</v>
      </c>
      <c r="F267" s="15">
        <f>IF(ISNUMBER('Refsz-Verbräuche'!F102), 'Refsz-Verbräuche'!F102*Emissionsfaktoren!F102/1000, 0)</f>
        <v>0</v>
      </c>
      <c r="G267" s="15">
        <f>IF(ISNUMBER('Refsz-Verbräuche'!G102), 'Refsz-Verbräuche'!G102*Emissionsfaktoren!G102/1000, 0)</f>
        <v>0</v>
      </c>
      <c r="H267" s="15">
        <f>IF(ISNUMBER('Refsz-Verbräuche'!H102), 'Refsz-Verbräuche'!H102*Emissionsfaktoren!H102/1000, 0)</f>
        <v>0</v>
      </c>
      <c r="I267" s="15">
        <f>IF(ISNUMBER('Refsz-Verbräuche'!I102), 'Refsz-Verbräuche'!I102*Emissionsfaktoren!I102/1000, 0)</f>
        <v>0</v>
      </c>
      <c r="J267" s="15">
        <f>IF(ISNUMBER('Refsz-Verbräuche'!J102), 'Refsz-Verbräuche'!J102*Emissionsfaktoren!J102/1000, 0)</f>
        <v>0</v>
      </c>
      <c r="K267" s="15">
        <f>IF(ISNUMBER('Refsz-Verbräuche'!K102), 'Refsz-Verbräuche'!K102*Emissionsfaktoren!K102/1000, 0)</f>
        <v>0</v>
      </c>
      <c r="L267" s="15">
        <f>IF(ISNUMBER('Refsz-Verbräuche'!L102), 'Refsz-Verbräuche'!L102*Emissionsfaktoren!L102/1000, 0)</f>
        <v>0</v>
      </c>
      <c r="M267" s="15">
        <f>IF(ISNUMBER('Refsz-Verbräuche'!M102), 'Refsz-Verbräuche'!M102*Emissionsfaktoren!M102/1000, 0)</f>
        <v>0</v>
      </c>
      <c r="N267" s="15">
        <f>IF(ISNUMBER('Refsz-Verbräuche'!N102), 'Refsz-Verbräuche'!N102*Emissionsfaktoren!N102/1000, 0)</f>
        <v>0</v>
      </c>
      <c r="O267" s="15">
        <f>IF(ISNUMBER('Refsz-Verbräuche'!O102), 'Refsz-Verbräuche'!O102*Emissionsfaktoren!O102/1000, 0)</f>
        <v>0</v>
      </c>
      <c r="P267" s="15">
        <f>IF(ISNUMBER('Refsz-Verbräuche'!P102), 'Refsz-Verbräuche'!P102*Emissionsfaktoren!P102/1000, 0)</f>
        <v>0</v>
      </c>
      <c r="Q267" s="15">
        <f>IF(ISNUMBER('Refsz-Verbräuche'!Q102), 'Refsz-Verbräuche'!Q102*Emissionsfaktoren!Q102/1000, 0)</f>
        <v>0</v>
      </c>
      <c r="R267" s="15">
        <f>IF(ISNUMBER('Refsz-Verbräuche'!R102), 'Refsz-Verbräuche'!R102*Emissionsfaktoren!R102/1000, 0)</f>
        <v>0</v>
      </c>
      <c r="S267" s="15">
        <f>IF(ISNUMBER('Refsz-Verbräuche'!S102), 'Refsz-Verbräuche'!S102*Emissionsfaktoren!S102/1000, 0)</f>
        <v>0</v>
      </c>
      <c r="T267" s="15">
        <f>IF(ISNUMBER('Refsz-Verbräuche'!T102), 'Refsz-Verbräuche'!T102*Emissionsfaktoren!T102/1000, 0)</f>
        <v>0</v>
      </c>
      <c r="U267" s="15">
        <f>IF(ISNUMBER('Refsz-Verbräuche'!U102), 'Refsz-Verbräuche'!U102*Emissionsfaktoren!U102/1000, 0)</f>
        <v>0</v>
      </c>
      <c r="V267" s="15">
        <f>IF(ISNUMBER('Refsz-Verbräuche'!V102), 'Refsz-Verbräuche'!V102*Emissionsfaktoren!V102/1000, 0)</f>
        <v>0</v>
      </c>
      <c r="W267" s="15">
        <f>IF(ISNUMBER('Refsz-Verbräuche'!W102), 'Refsz-Verbräuche'!W102*Emissionsfaktoren!W102/1000, 0)</f>
        <v>0</v>
      </c>
      <c r="X267" s="15">
        <f>IF(ISNUMBER('Refsz-Verbräuche'!X102), 'Refsz-Verbräuche'!X102*Emissionsfaktoren!X102/1000, 0)</f>
        <v>0</v>
      </c>
    </row>
    <row r="268" spans="2:24" ht="16.5" hidden="1" x14ac:dyDescent="0.45">
      <c r="B268" s="15">
        <v>43</v>
      </c>
      <c r="C268" s="20" t="str">
        <f>'Refsz-Verbräuche'!C103</f>
        <v>DR - Privater PKW (alle Antriebsarten)</v>
      </c>
      <c r="D268" t="s">
        <v>208</v>
      </c>
      <c r="E268" s="15">
        <f>IF(ISNUMBER('Refsz-Verbräuche'!E103), 'Refsz-Verbräuche'!E103*Emissionsfaktoren!E103/1000, 0)</f>
        <v>0</v>
      </c>
      <c r="F268" s="15">
        <f>IF(ISNUMBER('Refsz-Verbräuche'!F103), 'Refsz-Verbräuche'!F103*Emissionsfaktoren!F103/1000, 0)</f>
        <v>0</v>
      </c>
      <c r="G268" s="15">
        <f>IF(ISNUMBER('Refsz-Verbräuche'!G103), 'Refsz-Verbräuche'!G103*Emissionsfaktoren!G103/1000, 0)</f>
        <v>0</v>
      </c>
      <c r="H268" s="15">
        <f>IF(ISNUMBER('Refsz-Verbräuche'!H103), 'Refsz-Verbräuche'!H103*Emissionsfaktoren!H103/1000, 0)</f>
        <v>0</v>
      </c>
      <c r="I268" s="15">
        <f>IF(ISNUMBER('Refsz-Verbräuche'!I103), 'Refsz-Verbräuche'!I103*Emissionsfaktoren!I103/1000, 0)</f>
        <v>0</v>
      </c>
      <c r="J268" s="15">
        <f>IF(ISNUMBER('Refsz-Verbräuche'!J103), 'Refsz-Verbräuche'!J103*Emissionsfaktoren!J103/1000, 0)</f>
        <v>0</v>
      </c>
      <c r="K268" s="15">
        <f>IF(ISNUMBER('Refsz-Verbräuche'!K103), 'Refsz-Verbräuche'!K103*Emissionsfaktoren!K103/1000, 0)</f>
        <v>0</v>
      </c>
      <c r="L268" s="15">
        <f>IF(ISNUMBER('Refsz-Verbräuche'!L103), 'Refsz-Verbräuche'!L103*Emissionsfaktoren!L103/1000, 0)</f>
        <v>0</v>
      </c>
      <c r="M268" s="15">
        <f>IF(ISNUMBER('Refsz-Verbräuche'!M103), 'Refsz-Verbräuche'!M103*Emissionsfaktoren!M103/1000, 0)</f>
        <v>0</v>
      </c>
      <c r="N268" s="15">
        <f>IF(ISNUMBER('Refsz-Verbräuche'!N103), 'Refsz-Verbräuche'!N103*Emissionsfaktoren!N103/1000, 0)</f>
        <v>0</v>
      </c>
      <c r="O268" s="15">
        <f>IF(ISNUMBER('Refsz-Verbräuche'!O103), 'Refsz-Verbräuche'!O103*Emissionsfaktoren!O103/1000, 0)</f>
        <v>0</v>
      </c>
      <c r="P268" s="15">
        <f>IF(ISNUMBER('Refsz-Verbräuche'!P103), 'Refsz-Verbräuche'!P103*Emissionsfaktoren!P103/1000, 0)</f>
        <v>0</v>
      </c>
      <c r="Q268" s="15">
        <f>IF(ISNUMBER('Refsz-Verbräuche'!Q103), 'Refsz-Verbräuche'!Q103*Emissionsfaktoren!Q103/1000, 0)</f>
        <v>0</v>
      </c>
      <c r="R268" s="15">
        <f>IF(ISNUMBER('Refsz-Verbräuche'!R103), 'Refsz-Verbräuche'!R103*Emissionsfaktoren!R103/1000, 0)</f>
        <v>0</v>
      </c>
      <c r="S268" s="15">
        <f>IF(ISNUMBER('Refsz-Verbräuche'!S103), 'Refsz-Verbräuche'!S103*Emissionsfaktoren!S103/1000, 0)</f>
        <v>0</v>
      </c>
      <c r="T268" s="15">
        <f>IF(ISNUMBER('Refsz-Verbräuche'!T103), 'Refsz-Verbräuche'!T103*Emissionsfaktoren!T103/1000, 0)</f>
        <v>0</v>
      </c>
      <c r="U268" s="15">
        <f>IF(ISNUMBER('Refsz-Verbräuche'!U103), 'Refsz-Verbräuche'!U103*Emissionsfaktoren!U103/1000, 0)</f>
        <v>0</v>
      </c>
      <c r="V268" s="15">
        <f>IF(ISNUMBER('Refsz-Verbräuche'!V103), 'Refsz-Verbräuche'!V103*Emissionsfaktoren!V103/1000, 0)</f>
        <v>0</v>
      </c>
      <c r="W268" s="15">
        <f>IF(ISNUMBER('Refsz-Verbräuche'!W103), 'Refsz-Verbräuche'!W103*Emissionsfaktoren!W103/1000, 0)</f>
        <v>0</v>
      </c>
      <c r="X268" s="15">
        <f>IF(ISNUMBER('Refsz-Verbräuche'!X103), 'Refsz-Verbräuche'!X103*Emissionsfaktoren!X103/1000, 0)</f>
        <v>0</v>
      </c>
    </row>
    <row r="269" spans="2:24" ht="16.5" hidden="1" x14ac:dyDescent="0.45">
      <c r="B269" s="15">
        <v>44</v>
      </c>
      <c r="C269" s="20" t="str">
        <f>'Refsz-Verbräuche'!C104</f>
        <v>DR - Privater PKW (Diesel)</v>
      </c>
      <c r="D269" t="s">
        <v>208</v>
      </c>
      <c r="E269" s="15">
        <f>IF(ISNUMBER('Refsz-Verbräuche'!E104), 'Refsz-Verbräuche'!E104*Emissionsfaktoren!E104/1000, 0)</f>
        <v>0</v>
      </c>
      <c r="F269" s="15">
        <f>IF(ISNUMBER('Refsz-Verbräuche'!F104), 'Refsz-Verbräuche'!F104*Emissionsfaktoren!F104/1000, 0)</f>
        <v>0</v>
      </c>
      <c r="G269" s="15">
        <f>IF(ISNUMBER('Refsz-Verbräuche'!G104), 'Refsz-Verbräuche'!G104*Emissionsfaktoren!G104/1000, 0)</f>
        <v>0</v>
      </c>
      <c r="H269" s="15">
        <f>IF(ISNUMBER('Refsz-Verbräuche'!H104), 'Refsz-Verbräuche'!H104*Emissionsfaktoren!H104/1000, 0)</f>
        <v>0</v>
      </c>
      <c r="I269" s="15">
        <f>IF(ISNUMBER('Refsz-Verbräuche'!I104), 'Refsz-Verbräuche'!I104*Emissionsfaktoren!I104/1000, 0)</f>
        <v>0</v>
      </c>
      <c r="J269" s="15">
        <f>IF(ISNUMBER('Refsz-Verbräuche'!J104), 'Refsz-Verbräuche'!J104*Emissionsfaktoren!J104/1000, 0)</f>
        <v>0</v>
      </c>
      <c r="K269" s="15">
        <f>IF(ISNUMBER('Refsz-Verbräuche'!K104), 'Refsz-Verbräuche'!K104*Emissionsfaktoren!K104/1000, 0)</f>
        <v>0</v>
      </c>
      <c r="L269" s="15">
        <f>IF(ISNUMBER('Refsz-Verbräuche'!L104), 'Refsz-Verbräuche'!L104*Emissionsfaktoren!L104/1000, 0)</f>
        <v>0</v>
      </c>
      <c r="M269" s="15">
        <f>IF(ISNUMBER('Refsz-Verbräuche'!M104), 'Refsz-Verbräuche'!M104*Emissionsfaktoren!M104/1000, 0)</f>
        <v>0</v>
      </c>
      <c r="N269" s="15">
        <f>IF(ISNUMBER('Refsz-Verbräuche'!N104), 'Refsz-Verbräuche'!N104*Emissionsfaktoren!N104/1000, 0)</f>
        <v>0</v>
      </c>
      <c r="O269" s="15">
        <f>IF(ISNUMBER('Refsz-Verbräuche'!O104), 'Refsz-Verbräuche'!O104*Emissionsfaktoren!O104/1000, 0)</f>
        <v>0</v>
      </c>
      <c r="P269" s="15">
        <f>IF(ISNUMBER('Refsz-Verbräuche'!P104), 'Refsz-Verbräuche'!P104*Emissionsfaktoren!P104/1000, 0)</f>
        <v>0</v>
      </c>
      <c r="Q269" s="15">
        <f>IF(ISNUMBER('Refsz-Verbräuche'!Q104), 'Refsz-Verbräuche'!Q104*Emissionsfaktoren!Q104/1000, 0)</f>
        <v>0</v>
      </c>
      <c r="R269" s="15">
        <f>IF(ISNUMBER('Refsz-Verbräuche'!R104), 'Refsz-Verbräuche'!R104*Emissionsfaktoren!R104/1000, 0)</f>
        <v>0</v>
      </c>
      <c r="S269" s="15">
        <f>IF(ISNUMBER('Refsz-Verbräuche'!S104), 'Refsz-Verbräuche'!S104*Emissionsfaktoren!S104/1000, 0)</f>
        <v>0</v>
      </c>
      <c r="T269" s="15">
        <f>IF(ISNUMBER('Refsz-Verbräuche'!T104), 'Refsz-Verbräuche'!T104*Emissionsfaktoren!T104/1000, 0)</f>
        <v>0</v>
      </c>
      <c r="U269" s="15">
        <f>IF(ISNUMBER('Refsz-Verbräuche'!U104), 'Refsz-Verbräuche'!U104*Emissionsfaktoren!U104/1000, 0)</f>
        <v>0</v>
      </c>
      <c r="V269" s="15">
        <f>IF(ISNUMBER('Refsz-Verbräuche'!V104), 'Refsz-Verbräuche'!V104*Emissionsfaktoren!V104/1000, 0)</f>
        <v>0</v>
      </c>
      <c r="W269" s="15">
        <f>IF(ISNUMBER('Refsz-Verbräuche'!W104), 'Refsz-Verbräuche'!W104*Emissionsfaktoren!W104/1000, 0)</f>
        <v>0</v>
      </c>
      <c r="X269" s="15">
        <f>IF(ISNUMBER('Refsz-Verbräuche'!X104), 'Refsz-Verbräuche'!X104*Emissionsfaktoren!X104/1000, 0)</f>
        <v>0</v>
      </c>
    </row>
    <row r="270" spans="2:24" ht="16.5" hidden="1" x14ac:dyDescent="0.45">
      <c r="B270" s="15">
        <v>45</v>
      </c>
      <c r="C270" s="20" t="str">
        <f>'Refsz-Verbräuche'!C105</f>
        <v>DR - Privater PKW (Benzin)</v>
      </c>
      <c r="D270" t="s">
        <v>208</v>
      </c>
      <c r="E270" s="15">
        <f>IF(ISNUMBER('Refsz-Verbräuche'!E105), 'Refsz-Verbräuche'!E105*Emissionsfaktoren!E105/1000, 0)</f>
        <v>0</v>
      </c>
      <c r="F270" s="15">
        <f>IF(ISNUMBER('Refsz-Verbräuche'!F105), 'Refsz-Verbräuche'!F105*Emissionsfaktoren!F105/1000, 0)</f>
        <v>0</v>
      </c>
      <c r="G270" s="15">
        <f>IF(ISNUMBER('Refsz-Verbräuche'!G105), 'Refsz-Verbräuche'!G105*Emissionsfaktoren!G105/1000, 0)</f>
        <v>0</v>
      </c>
      <c r="H270" s="15">
        <f>IF(ISNUMBER('Refsz-Verbräuche'!H105), 'Refsz-Verbräuche'!H105*Emissionsfaktoren!H105/1000, 0)</f>
        <v>0</v>
      </c>
      <c r="I270" s="15">
        <f>IF(ISNUMBER('Refsz-Verbräuche'!I105), 'Refsz-Verbräuche'!I105*Emissionsfaktoren!I105/1000, 0)</f>
        <v>0</v>
      </c>
      <c r="J270" s="15">
        <f>IF(ISNUMBER('Refsz-Verbräuche'!J105), 'Refsz-Verbräuche'!J105*Emissionsfaktoren!J105/1000, 0)</f>
        <v>0</v>
      </c>
      <c r="K270" s="15">
        <f>IF(ISNUMBER('Refsz-Verbräuche'!K105), 'Refsz-Verbräuche'!K105*Emissionsfaktoren!K105/1000, 0)</f>
        <v>0</v>
      </c>
      <c r="L270" s="15">
        <f>IF(ISNUMBER('Refsz-Verbräuche'!L105), 'Refsz-Verbräuche'!L105*Emissionsfaktoren!L105/1000, 0)</f>
        <v>0</v>
      </c>
      <c r="M270" s="15">
        <f>IF(ISNUMBER('Refsz-Verbräuche'!M105), 'Refsz-Verbräuche'!M105*Emissionsfaktoren!M105/1000, 0)</f>
        <v>0</v>
      </c>
      <c r="N270" s="15">
        <f>IF(ISNUMBER('Refsz-Verbräuche'!N105), 'Refsz-Verbräuche'!N105*Emissionsfaktoren!N105/1000, 0)</f>
        <v>0</v>
      </c>
      <c r="O270" s="15">
        <f>IF(ISNUMBER('Refsz-Verbräuche'!O105), 'Refsz-Verbräuche'!O105*Emissionsfaktoren!O105/1000, 0)</f>
        <v>0</v>
      </c>
      <c r="P270" s="15">
        <f>IF(ISNUMBER('Refsz-Verbräuche'!P105), 'Refsz-Verbräuche'!P105*Emissionsfaktoren!P105/1000, 0)</f>
        <v>0</v>
      </c>
      <c r="Q270" s="15">
        <f>IF(ISNUMBER('Refsz-Verbräuche'!Q105), 'Refsz-Verbräuche'!Q105*Emissionsfaktoren!Q105/1000, 0)</f>
        <v>0</v>
      </c>
      <c r="R270" s="15">
        <f>IF(ISNUMBER('Refsz-Verbräuche'!R105), 'Refsz-Verbräuche'!R105*Emissionsfaktoren!R105/1000, 0)</f>
        <v>0</v>
      </c>
      <c r="S270" s="15">
        <f>IF(ISNUMBER('Refsz-Verbräuche'!S105), 'Refsz-Verbräuche'!S105*Emissionsfaktoren!S105/1000, 0)</f>
        <v>0</v>
      </c>
      <c r="T270" s="15">
        <f>IF(ISNUMBER('Refsz-Verbräuche'!T105), 'Refsz-Verbräuche'!T105*Emissionsfaktoren!T105/1000, 0)</f>
        <v>0</v>
      </c>
      <c r="U270" s="15">
        <f>IF(ISNUMBER('Refsz-Verbräuche'!U105), 'Refsz-Verbräuche'!U105*Emissionsfaktoren!U105/1000, 0)</f>
        <v>0</v>
      </c>
      <c r="V270" s="15">
        <f>IF(ISNUMBER('Refsz-Verbräuche'!V105), 'Refsz-Verbräuche'!V105*Emissionsfaktoren!V105/1000, 0)</f>
        <v>0</v>
      </c>
      <c r="W270" s="15">
        <f>IF(ISNUMBER('Refsz-Verbräuche'!W105), 'Refsz-Verbräuche'!W105*Emissionsfaktoren!W105/1000, 0)</f>
        <v>0</v>
      </c>
      <c r="X270" s="15">
        <f>IF(ISNUMBER('Refsz-Verbräuche'!X105), 'Refsz-Verbräuche'!X105*Emissionsfaktoren!X105/1000, 0)</f>
        <v>0</v>
      </c>
    </row>
    <row r="271" spans="2:24" ht="16.5" hidden="1" x14ac:dyDescent="0.45">
      <c r="B271" s="15">
        <v>46</v>
      </c>
      <c r="C271" s="20" t="str">
        <f>'Refsz-Verbräuche'!C106</f>
        <v>DR - Mietwägen (Diesel)</v>
      </c>
      <c r="D271" t="s">
        <v>208</v>
      </c>
      <c r="E271" s="15">
        <f>IF(ISNUMBER('Refsz-Verbräuche'!E106), 'Refsz-Verbräuche'!E106*Emissionsfaktoren!E106/1000, 0)</f>
        <v>0</v>
      </c>
      <c r="F271" s="15">
        <f>IF(ISNUMBER('Refsz-Verbräuche'!F106), 'Refsz-Verbräuche'!F106*Emissionsfaktoren!F106/1000, 0)</f>
        <v>0</v>
      </c>
      <c r="G271" s="15">
        <f>IF(ISNUMBER('Refsz-Verbräuche'!G106), 'Refsz-Verbräuche'!G106*Emissionsfaktoren!G106/1000, 0)</f>
        <v>0</v>
      </c>
      <c r="H271" s="15">
        <f>IF(ISNUMBER('Refsz-Verbräuche'!H106), 'Refsz-Verbräuche'!H106*Emissionsfaktoren!H106/1000, 0)</f>
        <v>0</v>
      </c>
      <c r="I271" s="15">
        <f>IF(ISNUMBER('Refsz-Verbräuche'!I106), 'Refsz-Verbräuche'!I106*Emissionsfaktoren!I106/1000, 0)</f>
        <v>0</v>
      </c>
      <c r="J271" s="15">
        <f>IF(ISNUMBER('Refsz-Verbräuche'!J106), 'Refsz-Verbräuche'!J106*Emissionsfaktoren!J106/1000, 0)</f>
        <v>0</v>
      </c>
      <c r="K271" s="15">
        <f>IF(ISNUMBER('Refsz-Verbräuche'!K106), 'Refsz-Verbräuche'!K106*Emissionsfaktoren!K106/1000, 0)</f>
        <v>0</v>
      </c>
      <c r="L271" s="15">
        <f>IF(ISNUMBER('Refsz-Verbräuche'!L106), 'Refsz-Verbräuche'!L106*Emissionsfaktoren!L106/1000, 0)</f>
        <v>0</v>
      </c>
      <c r="M271" s="15">
        <f>IF(ISNUMBER('Refsz-Verbräuche'!M106), 'Refsz-Verbräuche'!M106*Emissionsfaktoren!M106/1000, 0)</f>
        <v>0</v>
      </c>
      <c r="N271" s="15">
        <f>IF(ISNUMBER('Refsz-Verbräuche'!N106), 'Refsz-Verbräuche'!N106*Emissionsfaktoren!N106/1000, 0)</f>
        <v>0</v>
      </c>
      <c r="O271" s="15">
        <f>IF(ISNUMBER('Refsz-Verbräuche'!O106), 'Refsz-Verbräuche'!O106*Emissionsfaktoren!O106/1000, 0)</f>
        <v>0</v>
      </c>
      <c r="P271" s="15">
        <f>IF(ISNUMBER('Refsz-Verbräuche'!P106), 'Refsz-Verbräuche'!P106*Emissionsfaktoren!P106/1000, 0)</f>
        <v>0</v>
      </c>
      <c r="Q271" s="15">
        <f>IF(ISNUMBER('Refsz-Verbräuche'!Q106), 'Refsz-Verbräuche'!Q106*Emissionsfaktoren!Q106/1000, 0)</f>
        <v>0</v>
      </c>
      <c r="R271" s="15">
        <f>IF(ISNUMBER('Refsz-Verbräuche'!R106), 'Refsz-Verbräuche'!R106*Emissionsfaktoren!R106/1000, 0)</f>
        <v>0</v>
      </c>
      <c r="S271" s="15">
        <f>IF(ISNUMBER('Refsz-Verbräuche'!S106), 'Refsz-Verbräuche'!S106*Emissionsfaktoren!S106/1000, 0)</f>
        <v>0</v>
      </c>
      <c r="T271" s="15">
        <f>IF(ISNUMBER('Refsz-Verbräuche'!T106), 'Refsz-Verbräuche'!T106*Emissionsfaktoren!T106/1000, 0)</f>
        <v>0</v>
      </c>
      <c r="U271" s="15">
        <f>IF(ISNUMBER('Refsz-Verbräuche'!U106), 'Refsz-Verbräuche'!U106*Emissionsfaktoren!U106/1000, 0)</f>
        <v>0</v>
      </c>
      <c r="V271" s="15">
        <f>IF(ISNUMBER('Refsz-Verbräuche'!V106), 'Refsz-Verbräuche'!V106*Emissionsfaktoren!V106/1000, 0)</f>
        <v>0</v>
      </c>
      <c r="W271" s="15">
        <f>IF(ISNUMBER('Refsz-Verbräuche'!W106), 'Refsz-Verbräuche'!W106*Emissionsfaktoren!W106/1000, 0)</f>
        <v>0</v>
      </c>
      <c r="X271" s="15">
        <f>IF(ISNUMBER('Refsz-Verbräuche'!X106), 'Refsz-Verbräuche'!X106*Emissionsfaktoren!X106/1000, 0)</f>
        <v>0</v>
      </c>
    </row>
    <row r="272" spans="2:24" ht="16.5" hidden="1" x14ac:dyDescent="0.45">
      <c r="B272" s="15">
        <v>47</v>
      </c>
      <c r="C272" s="20" t="str">
        <f>'Refsz-Verbräuche'!C107</f>
        <v>DR - Mietwägen (Benzin)</v>
      </c>
      <c r="D272" t="s">
        <v>208</v>
      </c>
      <c r="E272" s="15">
        <f>IF(ISNUMBER('Refsz-Verbräuche'!E107), 'Refsz-Verbräuche'!E107*Emissionsfaktoren!E107/1000, 0)</f>
        <v>0</v>
      </c>
      <c r="F272" s="15">
        <f>IF(ISNUMBER('Refsz-Verbräuche'!F107), 'Refsz-Verbräuche'!F107*Emissionsfaktoren!F107/1000, 0)</f>
        <v>0</v>
      </c>
      <c r="G272" s="15">
        <f>IF(ISNUMBER('Refsz-Verbräuche'!G107), 'Refsz-Verbräuche'!G107*Emissionsfaktoren!G107/1000, 0)</f>
        <v>0</v>
      </c>
      <c r="H272" s="15">
        <f>IF(ISNUMBER('Refsz-Verbräuche'!H107), 'Refsz-Verbräuche'!H107*Emissionsfaktoren!H107/1000, 0)</f>
        <v>0</v>
      </c>
      <c r="I272" s="15">
        <f>IF(ISNUMBER('Refsz-Verbräuche'!I107), 'Refsz-Verbräuche'!I107*Emissionsfaktoren!I107/1000, 0)</f>
        <v>0</v>
      </c>
      <c r="J272" s="15">
        <f>IF(ISNUMBER('Refsz-Verbräuche'!J107), 'Refsz-Verbräuche'!J107*Emissionsfaktoren!J107/1000, 0)</f>
        <v>0</v>
      </c>
      <c r="K272" s="15">
        <f>IF(ISNUMBER('Refsz-Verbräuche'!K107), 'Refsz-Verbräuche'!K107*Emissionsfaktoren!K107/1000, 0)</f>
        <v>0</v>
      </c>
      <c r="L272" s="15">
        <f>IF(ISNUMBER('Refsz-Verbräuche'!L107), 'Refsz-Verbräuche'!L107*Emissionsfaktoren!L107/1000, 0)</f>
        <v>0</v>
      </c>
      <c r="M272" s="15">
        <f>IF(ISNUMBER('Refsz-Verbräuche'!M107), 'Refsz-Verbräuche'!M107*Emissionsfaktoren!M107/1000, 0)</f>
        <v>0</v>
      </c>
      <c r="N272" s="15">
        <f>IF(ISNUMBER('Refsz-Verbräuche'!N107), 'Refsz-Verbräuche'!N107*Emissionsfaktoren!N107/1000, 0)</f>
        <v>0</v>
      </c>
      <c r="O272" s="15">
        <f>IF(ISNUMBER('Refsz-Verbräuche'!O107), 'Refsz-Verbräuche'!O107*Emissionsfaktoren!O107/1000, 0)</f>
        <v>0</v>
      </c>
      <c r="P272" s="15">
        <f>IF(ISNUMBER('Refsz-Verbräuche'!P107), 'Refsz-Verbräuche'!P107*Emissionsfaktoren!P107/1000, 0)</f>
        <v>0</v>
      </c>
      <c r="Q272" s="15">
        <f>IF(ISNUMBER('Refsz-Verbräuche'!Q107), 'Refsz-Verbräuche'!Q107*Emissionsfaktoren!Q107/1000, 0)</f>
        <v>0</v>
      </c>
      <c r="R272" s="15">
        <f>IF(ISNUMBER('Refsz-Verbräuche'!R107), 'Refsz-Verbräuche'!R107*Emissionsfaktoren!R107/1000, 0)</f>
        <v>0</v>
      </c>
      <c r="S272" s="15">
        <f>IF(ISNUMBER('Refsz-Verbräuche'!S107), 'Refsz-Verbräuche'!S107*Emissionsfaktoren!S107/1000, 0)</f>
        <v>0</v>
      </c>
      <c r="T272" s="15">
        <f>IF(ISNUMBER('Refsz-Verbräuche'!T107), 'Refsz-Verbräuche'!T107*Emissionsfaktoren!T107/1000, 0)</f>
        <v>0</v>
      </c>
      <c r="U272" s="15">
        <f>IF(ISNUMBER('Refsz-Verbräuche'!U107), 'Refsz-Verbräuche'!U107*Emissionsfaktoren!U107/1000, 0)</f>
        <v>0</v>
      </c>
      <c r="V272" s="15">
        <f>IF(ISNUMBER('Refsz-Verbräuche'!V107), 'Refsz-Verbräuche'!V107*Emissionsfaktoren!V107/1000, 0)</f>
        <v>0</v>
      </c>
      <c r="W272" s="15">
        <f>IF(ISNUMBER('Refsz-Verbräuche'!W107), 'Refsz-Verbräuche'!W107*Emissionsfaktoren!W107/1000, 0)</f>
        <v>0</v>
      </c>
      <c r="X272" s="15">
        <f>IF(ISNUMBER('Refsz-Verbräuche'!X107), 'Refsz-Verbräuche'!X107*Emissionsfaktoren!X107/1000, 0)</f>
        <v>0</v>
      </c>
    </row>
    <row r="273" spans="2:24" ht="16.5" hidden="1" x14ac:dyDescent="0.45">
      <c r="B273" s="15">
        <v>48</v>
      </c>
      <c r="C273" s="20" t="str">
        <f>'Refsz-Verbräuche'!C108</f>
        <v>DR - Mietwägen (E-Auto/ BEV)</v>
      </c>
      <c r="D273" t="s">
        <v>208</v>
      </c>
      <c r="E273" s="15">
        <f>IF(ISNUMBER('Refsz-Verbräuche'!E108), 'Refsz-Verbräuche'!E108*Emissionsfaktoren!E108/1000, 0)</f>
        <v>0</v>
      </c>
      <c r="F273" s="15">
        <f>IF(ISNUMBER('Refsz-Verbräuche'!F108), 'Refsz-Verbräuche'!F108*Emissionsfaktoren!F108/1000, 0)</f>
        <v>0</v>
      </c>
      <c r="G273" s="15">
        <f>IF(ISNUMBER('Refsz-Verbräuche'!G108), 'Refsz-Verbräuche'!G108*Emissionsfaktoren!G108/1000, 0)</f>
        <v>0</v>
      </c>
      <c r="H273" s="15">
        <f>IF(ISNUMBER('Refsz-Verbräuche'!H108), 'Refsz-Verbräuche'!H108*Emissionsfaktoren!H108/1000, 0)</f>
        <v>0</v>
      </c>
      <c r="I273" s="15">
        <f>IF(ISNUMBER('Refsz-Verbräuche'!I108), 'Refsz-Verbräuche'!I108*Emissionsfaktoren!I108/1000, 0)</f>
        <v>0</v>
      </c>
      <c r="J273" s="15">
        <f>IF(ISNUMBER('Refsz-Verbräuche'!J108), 'Refsz-Verbräuche'!J108*Emissionsfaktoren!J108/1000, 0)</f>
        <v>0</v>
      </c>
      <c r="K273" s="15">
        <f>IF(ISNUMBER('Refsz-Verbräuche'!K108), 'Refsz-Verbräuche'!K108*Emissionsfaktoren!K108/1000, 0)</f>
        <v>0</v>
      </c>
      <c r="L273" s="15">
        <f>IF(ISNUMBER('Refsz-Verbräuche'!L108), 'Refsz-Verbräuche'!L108*Emissionsfaktoren!L108/1000, 0)</f>
        <v>0</v>
      </c>
      <c r="M273" s="15">
        <f>IF(ISNUMBER('Refsz-Verbräuche'!M108), 'Refsz-Verbräuche'!M108*Emissionsfaktoren!M108/1000, 0)</f>
        <v>0</v>
      </c>
      <c r="N273" s="15">
        <f>IF(ISNUMBER('Refsz-Verbräuche'!N108), 'Refsz-Verbräuche'!N108*Emissionsfaktoren!N108/1000, 0)</f>
        <v>0</v>
      </c>
      <c r="O273" s="15">
        <f>IF(ISNUMBER('Refsz-Verbräuche'!O108), 'Refsz-Verbräuche'!O108*Emissionsfaktoren!O108/1000, 0)</f>
        <v>0</v>
      </c>
      <c r="P273" s="15">
        <f>IF(ISNUMBER('Refsz-Verbräuche'!P108), 'Refsz-Verbräuche'!P108*Emissionsfaktoren!P108/1000, 0)</f>
        <v>0</v>
      </c>
      <c r="Q273" s="15">
        <f>IF(ISNUMBER('Refsz-Verbräuche'!Q108), 'Refsz-Verbräuche'!Q108*Emissionsfaktoren!Q108/1000, 0)</f>
        <v>0</v>
      </c>
      <c r="R273" s="15">
        <f>IF(ISNUMBER('Refsz-Verbräuche'!R108), 'Refsz-Verbräuche'!R108*Emissionsfaktoren!R108/1000, 0)</f>
        <v>0</v>
      </c>
      <c r="S273" s="15">
        <f>IF(ISNUMBER('Refsz-Verbräuche'!S108), 'Refsz-Verbräuche'!S108*Emissionsfaktoren!S108/1000, 0)</f>
        <v>0</v>
      </c>
      <c r="T273" s="15">
        <f>IF(ISNUMBER('Refsz-Verbräuche'!T108), 'Refsz-Verbräuche'!T108*Emissionsfaktoren!T108/1000, 0)</f>
        <v>0</v>
      </c>
      <c r="U273" s="15">
        <f>IF(ISNUMBER('Refsz-Verbräuche'!U108), 'Refsz-Verbräuche'!U108*Emissionsfaktoren!U108/1000, 0)</f>
        <v>0</v>
      </c>
      <c r="V273" s="15">
        <f>IF(ISNUMBER('Refsz-Verbräuche'!V108), 'Refsz-Verbräuche'!V108*Emissionsfaktoren!V108/1000, 0)</f>
        <v>0</v>
      </c>
      <c r="W273" s="15">
        <f>IF(ISNUMBER('Refsz-Verbräuche'!W108), 'Refsz-Verbräuche'!W108*Emissionsfaktoren!W108/1000, 0)</f>
        <v>0</v>
      </c>
      <c r="X273" s="15">
        <f>IF(ISNUMBER('Refsz-Verbräuche'!X108), 'Refsz-Verbräuche'!X108*Emissionsfaktoren!X108/1000, 0)</f>
        <v>0</v>
      </c>
    </row>
    <row r="274" spans="2:24" ht="16.5" hidden="1" x14ac:dyDescent="0.45">
      <c r="B274" s="15">
        <v>49</v>
      </c>
      <c r="C274" s="20" t="str">
        <f>'Refsz-Verbräuche'!C109</f>
        <v>DR - Mietwägen (Wasserstoff/ FCEV)</v>
      </c>
      <c r="D274" t="s">
        <v>208</v>
      </c>
      <c r="E274" s="15">
        <f>IF(ISNUMBER('Refsz-Verbräuche'!E109), 'Refsz-Verbräuche'!E109*Emissionsfaktoren!E109/1000, 0)</f>
        <v>0</v>
      </c>
      <c r="F274" s="15">
        <f>IF(ISNUMBER('Refsz-Verbräuche'!F109), 'Refsz-Verbräuche'!F109*Emissionsfaktoren!F109/1000, 0)</f>
        <v>0</v>
      </c>
      <c r="G274" s="15">
        <f>IF(ISNUMBER('Refsz-Verbräuche'!G109), 'Refsz-Verbräuche'!G109*Emissionsfaktoren!G109/1000, 0)</f>
        <v>0</v>
      </c>
      <c r="H274" s="15">
        <f>IF(ISNUMBER('Refsz-Verbräuche'!H109), 'Refsz-Verbräuche'!H109*Emissionsfaktoren!H109/1000, 0)</f>
        <v>0</v>
      </c>
      <c r="I274" s="15">
        <f>IF(ISNUMBER('Refsz-Verbräuche'!I109), 'Refsz-Verbräuche'!I109*Emissionsfaktoren!I109/1000, 0)</f>
        <v>0</v>
      </c>
      <c r="J274" s="15">
        <f>IF(ISNUMBER('Refsz-Verbräuche'!J109), 'Refsz-Verbräuche'!J109*Emissionsfaktoren!J109/1000, 0)</f>
        <v>0</v>
      </c>
      <c r="K274" s="15">
        <f>IF(ISNUMBER('Refsz-Verbräuche'!K109), 'Refsz-Verbräuche'!K109*Emissionsfaktoren!K109/1000, 0)</f>
        <v>0</v>
      </c>
      <c r="L274" s="15">
        <f>IF(ISNUMBER('Refsz-Verbräuche'!L109), 'Refsz-Verbräuche'!L109*Emissionsfaktoren!L109/1000, 0)</f>
        <v>0</v>
      </c>
      <c r="M274" s="15">
        <f>IF(ISNUMBER('Refsz-Verbräuche'!M109), 'Refsz-Verbräuche'!M109*Emissionsfaktoren!M109/1000, 0)</f>
        <v>0</v>
      </c>
      <c r="N274" s="15">
        <f>IF(ISNUMBER('Refsz-Verbräuche'!N109), 'Refsz-Verbräuche'!N109*Emissionsfaktoren!N109/1000, 0)</f>
        <v>0</v>
      </c>
      <c r="O274" s="15">
        <f>IF(ISNUMBER('Refsz-Verbräuche'!O109), 'Refsz-Verbräuche'!O109*Emissionsfaktoren!O109/1000, 0)</f>
        <v>0</v>
      </c>
      <c r="P274" s="15">
        <f>IF(ISNUMBER('Refsz-Verbräuche'!P109), 'Refsz-Verbräuche'!P109*Emissionsfaktoren!P109/1000, 0)</f>
        <v>0</v>
      </c>
      <c r="Q274" s="15">
        <f>IF(ISNUMBER('Refsz-Verbräuche'!Q109), 'Refsz-Verbräuche'!Q109*Emissionsfaktoren!Q109/1000, 0)</f>
        <v>0</v>
      </c>
      <c r="R274" s="15">
        <f>IF(ISNUMBER('Refsz-Verbräuche'!R109), 'Refsz-Verbräuche'!R109*Emissionsfaktoren!R109/1000, 0)</f>
        <v>0</v>
      </c>
      <c r="S274" s="15">
        <f>IF(ISNUMBER('Refsz-Verbräuche'!S109), 'Refsz-Verbräuche'!S109*Emissionsfaktoren!S109/1000, 0)</f>
        <v>0</v>
      </c>
      <c r="T274" s="15">
        <f>IF(ISNUMBER('Refsz-Verbräuche'!T109), 'Refsz-Verbräuche'!T109*Emissionsfaktoren!T109/1000, 0)</f>
        <v>0</v>
      </c>
      <c r="U274" s="15">
        <f>IF(ISNUMBER('Refsz-Verbräuche'!U109), 'Refsz-Verbräuche'!U109*Emissionsfaktoren!U109/1000, 0)</f>
        <v>0</v>
      </c>
      <c r="V274" s="15">
        <f>IF(ISNUMBER('Refsz-Verbräuche'!V109), 'Refsz-Verbräuche'!V109*Emissionsfaktoren!V109/1000, 0)</f>
        <v>0</v>
      </c>
      <c r="W274" s="15">
        <f>IF(ISNUMBER('Refsz-Verbräuche'!W109), 'Refsz-Verbräuche'!W109*Emissionsfaktoren!W109/1000, 0)</f>
        <v>0</v>
      </c>
      <c r="X274" s="15">
        <f>IF(ISNUMBER('Refsz-Verbräuche'!X109), 'Refsz-Verbräuche'!X109*Emissionsfaktoren!X109/1000, 0)</f>
        <v>0</v>
      </c>
    </row>
    <row r="275" spans="2:24" ht="16.5" hidden="1" x14ac:dyDescent="0.45">
      <c r="B275" s="15">
        <v>50</v>
      </c>
      <c r="C275" s="20" t="str">
        <f>'Refsz-Verbräuche'!C110</f>
        <v>DR - Mietwägen (CNG)</v>
      </c>
      <c r="D275" t="s">
        <v>208</v>
      </c>
      <c r="E275" s="15">
        <f>IF(ISNUMBER('Refsz-Verbräuche'!E110), 'Refsz-Verbräuche'!E110*Emissionsfaktoren!E110/1000, 0)</f>
        <v>0</v>
      </c>
      <c r="F275" s="15">
        <f>IF(ISNUMBER('Refsz-Verbräuche'!F110), 'Refsz-Verbräuche'!F110*Emissionsfaktoren!F110/1000, 0)</f>
        <v>0</v>
      </c>
      <c r="G275" s="15">
        <f>IF(ISNUMBER('Refsz-Verbräuche'!G110), 'Refsz-Verbräuche'!G110*Emissionsfaktoren!G110/1000, 0)</f>
        <v>0</v>
      </c>
      <c r="H275" s="15">
        <f>IF(ISNUMBER('Refsz-Verbräuche'!H110), 'Refsz-Verbräuche'!H110*Emissionsfaktoren!H110/1000, 0)</f>
        <v>0</v>
      </c>
      <c r="I275" s="15">
        <f>IF(ISNUMBER('Refsz-Verbräuche'!I110), 'Refsz-Verbräuche'!I110*Emissionsfaktoren!I110/1000, 0)</f>
        <v>0</v>
      </c>
      <c r="J275" s="15">
        <f>IF(ISNUMBER('Refsz-Verbräuche'!J110), 'Refsz-Verbräuche'!J110*Emissionsfaktoren!J110/1000, 0)</f>
        <v>0</v>
      </c>
      <c r="K275" s="15">
        <f>IF(ISNUMBER('Refsz-Verbräuche'!K110), 'Refsz-Verbräuche'!K110*Emissionsfaktoren!K110/1000, 0)</f>
        <v>0</v>
      </c>
      <c r="L275" s="15">
        <f>IF(ISNUMBER('Refsz-Verbräuche'!L110), 'Refsz-Verbräuche'!L110*Emissionsfaktoren!L110/1000, 0)</f>
        <v>0</v>
      </c>
      <c r="M275" s="15">
        <f>IF(ISNUMBER('Refsz-Verbräuche'!M110), 'Refsz-Verbräuche'!M110*Emissionsfaktoren!M110/1000, 0)</f>
        <v>0</v>
      </c>
      <c r="N275" s="15">
        <f>IF(ISNUMBER('Refsz-Verbräuche'!N110), 'Refsz-Verbräuche'!N110*Emissionsfaktoren!N110/1000, 0)</f>
        <v>0</v>
      </c>
      <c r="O275" s="15">
        <f>IF(ISNUMBER('Refsz-Verbräuche'!O110), 'Refsz-Verbräuche'!O110*Emissionsfaktoren!O110/1000, 0)</f>
        <v>0</v>
      </c>
      <c r="P275" s="15">
        <f>IF(ISNUMBER('Refsz-Verbräuche'!P110), 'Refsz-Verbräuche'!P110*Emissionsfaktoren!P110/1000, 0)</f>
        <v>0</v>
      </c>
      <c r="Q275" s="15">
        <f>IF(ISNUMBER('Refsz-Verbräuche'!Q110), 'Refsz-Verbräuche'!Q110*Emissionsfaktoren!Q110/1000, 0)</f>
        <v>0</v>
      </c>
      <c r="R275" s="15">
        <f>IF(ISNUMBER('Refsz-Verbräuche'!R110), 'Refsz-Verbräuche'!R110*Emissionsfaktoren!R110/1000, 0)</f>
        <v>0</v>
      </c>
      <c r="S275" s="15">
        <f>IF(ISNUMBER('Refsz-Verbräuche'!S110), 'Refsz-Verbräuche'!S110*Emissionsfaktoren!S110/1000, 0)</f>
        <v>0</v>
      </c>
      <c r="T275" s="15">
        <f>IF(ISNUMBER('Refsz-Verbräuche'!T110), 'Refsz-Verbräuche'!T110*Emissionsfaktoren!T110/1000, 0)</f>
        <v>0</v>
      </c>
      <c r="U275" s="15">
        <f>IF(ISNUMBER('Refsz-Verbräuche'!U110), 'Refsz-Verbräuche'!U110*Emissionsfaktoren!U110/1000, 0)</f>
        <v>0</v>
      </c>
      <c r="V275" s="15">
        <f>IF(ISNUMBER('Refsz-Verbräuche'!V110), 'Refsz-Verbräuche'!V110*Emissionsfaktoren!V110/1000, 0)</f>
        <v>0</v>
      </c>
      <c r="W275" s="15">
        <f>IF(ISNUMBER('Refsz-Verbräuche'!W110), 'Refsz-Verbräuche'!W110*Emissionsfaktoren!W110/1000, 0)</f>
        <v>0</v>
      </c>
      <c r="X275" s="15">
        <f>IF(ISNUMBER('Refsz-Verbräuche'!X110), 'Refsz-Verbräuche'!X110*Emissionsfaktoren!X110/1000, 0)</f>
        <v>0</v>
      </c>
    </row>
    <row r="276" spans="2:24" ht="16.5" hidden="1" x14ac:dyDescent="0.45">
      <c r="B276" s="15">
        <v>51</v>
      </c>
      <c r="C276" s="20" t="str">
        <f>'Refsz-Verbräuche'!C111</f>
        <v>DR - Mietwägen (Plug-In-Hybrid/ PHEV)</v>
      </c>
      <c r="D276" t="s">
        <v>208</v>
      </c>
      <c r="E276" s="15">
        <f>IF(ISNUMBER('Refsz-Verbräuche'!E111), 'Refsz-Verbräuche'!E111*Emissionsfaktoren!E111/1000, 0)</f>
        <v>0</v>
      </c>
      <c r="F276" s="15">
        <f>IF(ISNUMBER('Refsz-Verbräuche'!F111), 'Refsz-Verbräuche'!F111*Emissionsfaktoren!F111/1000, 0)</f>
        <v>0</v>
      </c>
      <c r="G276" s="15">
        <f>IF(ISNUMBER('Refsz-Verbräuche'!G111), 'Refsz-Verbräuche'!G111*Emissionsfaktoren!G111/1000, 0)</f>
        <v>0</v>
      </c>
      <c r="H276" s="15">
        <f>IF(ISNUMBER('Refsz-Verbräuche'!H111), 'Refsz-Verbräuche'!H111*Emissionsfaktoren!H111/1000, 0)</f>
        <v>0</v>
      </c>
      <c r="I276" s="15">
        <f>IF(ISNUMBER('Refsz-Verbräuche'!I111), 'Refsz-Verbräuche'!I111*Emissionsfaktoren!I111/1000, 0)</f>
        <v>0</v>
      </c>
      <c r="J276" s="15">
        <f>IF(ISNUMBER('Refsz-Verbräuche'!J111), 'Refsz-Verbräuche'!J111*Emissionsfaktoren!J111/1000, 0)</f>
        <v>0</v>
      </c>
      <c r="K276" s="15">
        <f>IF(ISNUMBER('Refsz-Verbräuche'!K111), 'Refsz-Verbräuche'!K111*Emissionsfaktoren!K111/1000, 0)</f>
        <v>0</v>
      </c>
      <c r="L276" s="15">
        <f>IF(ISNUMBER('Refsz-Verbräuche'!L111), 'Refsz-Verbräuche'!L111*Emissionsfaktoren!L111/1000, 0)</f>
        <v>0</v>
      </c>
      <c r="M276" s="15">
        <f>IF(ISNUMBER('Refsz-Verbräuche'!M111), 'Refsz-Verbräuche'!M111*Emissionsfaktoren!M111/1000, 0)</f>
        <v>0</v>
      </c>
      <c r="N276" s="15">
        <f>IF(ISNUMBER('Refsz-Verbräuche'!N111), 'Refsz-Verbräuche'!N111*Emissionsfaktoren!N111/1000, 0)</f>
        <v>0</v>
      </c>
      <c r="O276" s="15">
        <f>IF(ISNUMBER('Refsz-Verbräuche'!O111), 'Refsz-Verbräuche'!O111*Emissionsfaktoren!O111/1000, 0)</f>
        <v>0</v>
      </c>
      <c r="P276" s="15">
        <f>IF(ISNUMBER('Refsz-Verbräuche'!P111), 'Refsz-Verbräuche'!P111*Emissionsfaktoren!P111/1000, 0)</f>
        <v>0</v>
      </c>
      <c r="Q276" s="15">
        <f>IF(ISNUMBER('Refsz-Verbräuche'!Q111), 'Refsz-Verbräuche'!Q111*Emissionsfaktoren!Q111/1000, 0)</f>
        <v>0</v>
      </c>
      <c r="R276" s="15">
        <f>IF(ISNUMBER('Refsz-Verbräuche'!R111), 'Refsz-Verbräuche'!R111*Emissionsfaktoren!R111/1000, 0)</f>
        <v>0</v>
      </c>
      <c r="S276" s="15">
        <f>IF(ISNUMBER('Refsz-Verbräuche'!S111), 'Refsz-Verbräuche'!S111*Emissionsfaktoren!S111/1000, 0)</f>
        <v>0</v>
      </c>
      <c r="T276" s="15">
        <f>IF(ISNUMBER('Refsz-Verbräuche'!T111), 'Refsz-Verbräuche'!T111*Emissionsfaktoren!T111/1000, 0)</f>
        <v>0</v>
      </c>
      <c r="U276" s="15">
        <f>IF(ISNUMBER('Refsz-Verbräuche'!U111), 'Refsz-Verbräuche'!U111*Emissionsfaktoren!U111/1000, 0)</f>
        <v>0</v>
      </c>
      <c r="V276" s="15">
        <f>IF(ISNUMBER('Refsz-Verbräuche'!V111), 'Refsz-Verbräuche'!V111*Emissionsfaktoren!V111/1000, 0)</f>
        <v>0</v>
      </c>
      <c r="W276" s="15">
        <f>IF(ISNUMBER('Refsz-Verbräuche'!W111), 'Refsz-Verbräuche'!W111*Emissionsfaktoren!W111/1000, 0)</f>
        <v>0</v>
      </c>
      <c r="X276" s="15">
        <f>IF(ISNUMBER('Refsz-Verbräuche'!X111), 'Refsz-Verbräuche'!X111*Emissionsfaktoren!X111/1000, 0)</f>
        <v>0</v>
      </c>
    </row>
    <row r="277" spans="2:24" ht="16.5" hidden="1" x14ac:dyDescent="0.45">
      <c r="B277" s="15">
        <v>52</v>
      </c>
      <c r="C277" s="20" t="str">
        <f>'Refsz-Verbräuche'!C112</f>
        <v>DR - E-Bike</v>
      </c>
      <c r="D277" t="s">
        <v>208</v>
      </c>
      <c r="E277" s="15">
        <f>IF(ISNUMBER('Refsz-Verbräuche'!E112), 'Refsz-Verbräuche'!E112*Emissionsfaktoren!E112/1000, 0)</f>
        <v>0</v>
      </c>
      <c r="F277" s="15">
        <f>IF(ISNUMBER('Refsz-Verbräuche'!F112), 'Refsz-Verbräuche'!F112*Emissionsfaktoren!F112/1000, 0)</f>
        <v>0</v>
      </c>
      <c r="G277" s="15">
        <f>IF(ISNUMBER('Refsz-Verbräuche'!G112), 'Refsz-Verbräuche'!G112*Emissionsfaktoren!G112/1000, 0)</f>
        <v>0</v>
      </c>
      <c r="H277" s="15">
        <f>IF(ISNUMBER('Refsz-Verbräuche'!H112), 'Refsz-Verbräuche'!H112*Emissionsfaktoren!H112/1000, 0)</f>
        <v>0</v>
      </c>
      <c r="I277" s="15">
        <f>IF(ISNUMBER('Refsz-Verbräuche'!I112), 'Refsz-Verbräuche'!I112*Emissionsfaktoren!I112/1000, 0)</f>
        <v>0</v>
      </c>
      <c r="J277" s="15">
        <f>IF(ISNUMBER('Refsz-Verbräuche'!J112), 'Refsz-Verbräuche'!J112*Emissionsfaktoren!J112/1000, 0)</f>
        <v>0</v>
      </c>
      <c r="K277" s="15">
        <f>IF(ISNUMBER('Refsz-Verbräuche'!K112), 'Refsz-Verbräuche'!K112*Emissionsfaktoren!K112/1000, 0)</f>
        <v>0</v>
      </c>
      <c r="L277" s="15">
        <f>IF(ISNUMBER('Refsz-Verbräuche'!L112), 'Refsz-Verbräuche'!L112*Emissionsfaktoren!L112/1000, 0)</f>
        <v>0</v>
      </c>
      <c r="M277" s="15">
        <f>IF(ISNUMBER('Refsz-Verbräuche'!M112), 'Refsz-Verbräuche'!M112*Emissionsfaktoren!M112/1000, 0)</f>
        <v>0</v>
      </c>
      <c r="N277" s="15">
        <f>IF(ISNUMBER('Refsz-Verbräuche'!N112), 'Refsz-Verbräuche'!N112*Emissionsfaktoren!N112/1000, 0)</f>
        <v>0</v>
      </c>
      <c r="O277" s="15">
        <f>IF(ISNUMBER('Refsz-Verbräuche'!O112), 'Refsz-Verbräuche'!O112*Emissionsfaktoren!O112/1000, 0)</f>
        <v>0</v>
      </c>
      <c r="P277" s="15">
        <f>IF(ISNUMBER('Refsz-Verbräuche'!P112), 'Refsz-Verbräuche'!P112*Emissionsfaktoren!P112/1000, 0)</f>
        <v>0</v>
      </c>
      <c r="Q277" s="15">
        <f>IF(ISNUMBER('Refsz-Verbräuche'!Q112), 'Refsz-Verbräuche'!Q112*Emissionsfaktoren!Q112/1000, 0)</f>
        <v>0</v>
      </c>
      <c r="R277" s="15">
        <f>IF(ISNUMBER('Refsz-Verbräuche'!R112), 'Refsz-Verbräuche'!R112*Emissionsfaktoren!R112/1000, 0)</f>
        <v>0</v>
      </c>
      <c r="S277" s="15">
        <f>IF(ISNUMBER('Refsz-Verbräuche'!S112), 'Refsz-Verbräuche'!S112*Emissionsfaktoren!S112/1000, 0)</f>
        <v>0</v>
      </c>
      <c r="T277" s="15">
        <f>IF(ISNUMBER('Refsz-Verbräuche'!T112), 'Refsz-Verbräuche'!T112*Emissionsfaktoren!T112/1000, 0)</f>
        <v>0</v>
      </c>
      <c r="U277" s="15">
        <f>IF(ISNUMBER('Refsz-Verbräuche'!U112), 'Refsz-Verbräuche'!U112*Emissionsfaktoren!U112/1000, 0)</f>
        <v>0</v>
      </c>
      <c r="V277" s="15">
        <f>IF(ISNUMBER('Refsz-Verbräuche'!V112), 'Refsz-Verbräuche'!V112*Emissionsfaktoren!V112/1000, 0)</f>
        <v>0</v>
      </c>
      <c r="W277" s="15">
        <f>IF(ISNUMBER('Refsz-Verbräuche'!W112), 'Refsz-Verbräuche'!W112*Emissionsfaktoren!W112/1000, 0)</f>
        <v>0</v>
      </c>
      <c r="X277" s="15">
        <f>IF(ISNUMBER('Refsz-Verbräuche'!X112), 'Refsz-Verbräuche'!X112*Emissionsfaktoren!X112/1000, 0)</f>
        <v>0</v>
      </c>
    </row>
    <row r="278" spans="2:24" ht="16.5" hidden="1" x14ac:dyDescent="0.45">
      <c r="B278" s="15">
        <v>53</v>
      </c>
      <c r="C278" s="20" t="str">
        <f>'Refsz-Verbräuche'!C113</f>
        <v>DR - Fahrrad</v>
      </c>
      <c r="D278" t="s">
        <v>208</v>
      </c>
      <c r="E278" s="15">
        <f>IF(ISNUMBER('Refsz-Verbräuche'!E113), 'Refsz-Verbräuche'!E113*Emissionsfaktoren!E113/1000, 0)</f>
        <v>0</v>
      </c>
      <c r="F278" s="15">
        <f>IF(ISNUMBER('Refsz-Verbräuche'!F113), 'Refsz-Verbräuche'!F113*Emissionsfaktoren!F113/1000, 0)</f>
        <v>0</v>
      </c>
      <c r="G278" s="15">
        <f>IF(ISNUMBER('Refsz-Verbräuche'!G113), 'Refsz-Verbräuche'!G113*Emissionsfaktoren!G113/1000, 0)</f>
        <v>0</v>
      </c>
      <c r="H278" s="15">
        <f>IF(ISNUMBER('Refsz-Verbräuche'!H113), 'Refsz-Verbräuche'!H113*Emissionsfaktoren!H113/1000, 0)</f>
        <v>0</v>
      </c>
      <c r="I278" s="15">
        <f>IF(ISNUMBER('Refsz-Verbräuche'!I113), 'Refsz-Verbräuche'!I113*Emissionsfaktoren!I113/1000, 0)</f>
        <v>0</v>
      </c>
      <c r="J278" s="15">
        <f>IF(ISNUMBER('Refsz-Verbräuche'!J113), 'Refsz-Verbräuche'!J113*Emissionsfaktoren!J113/1000, 0)</f>
        <v>0</v>
      </c>
      <c r="K278" s="15">
        <f>IF(ISNUMBER('Refsz-Verbräuche'!K113), 'Refsz-Verbräuche'!K113*Emissionsfaktoren!K113/1000, 0)</f>
        <v>0</v>
      </c>
      <c r="L278" s="15">
        <f>IF(ISNUMBER('Refsz-Verbräuche'!L113), 'Refsz-Verbräuche'!L113*Emissionsfaktoren!L113/1000, 0)</f>
        <v>0</v>
      </c>
      <c r="M278" s="15">
        <f>IF(ISNUMBER('Refsz-Verbräuche'!M113), 'Refsz-Verbräuche'!M113*Emissionsfaktoren!M113/1000, 0)</f>
        <v>0</v>
      </c>
      <c r="N278" s="15">
        <f>IF(ISNUMBER('Refsz-Verbräuche'!N113), 'Refsz-Verbräuche'!N113*Emissionsfaktoren!N113/1000, 0)</f>
        <v>0</v>
      </c>
      <c r="O278" s="15">
        <f>IF(ISNUMBER('Refsz-Verbräuche'!O113), 'Refsz-Verbräuche'!O113*Emissionsfaktoren!O113/1000, 0)</f>
        <v>0</v>
      </c>
      <c r="P278" s="15">
        <f>IF(ISNUMBER('Refsz-Verbräuche'!P113), 'Refsz-Verbräuche'!P113*Emissionsfaktoren!P113/1000, 0)</f>
        <v>0</v>
      </c>
      <c r="Q278" s="15">
        <f>IF(ISNUMBER('Refsz-Verbräuche'!Q113), 'Refsz-Verbräuche'!Q113*Emissionsfaktoren!Q113/1000, 0)</f>
        <v>0</v>
      </c>
      <c r="R278" s="15">
        <f>IF(ISNUMBER('Refsz-Verbräuche'!R113), 'Refsz-Verbräuche'!R113*Emissionsfaktoren!R113/1000, 0)</f>
        <v>0</v>
      </c>
      <c r="S278" s="15">
        <f>IF(ISNUMBER('Refsz-Verbräuche'!S113), 'Refsz-Verbräuche'!S113*Emissionsfaktoren!S113/1000, 0)</f>
        <v>0</v>
      </c>
      <c r="T278" s="15">
        <f>IF(ISNUMBER('Refsz-Verbräuche'!T113), 'Refsz-Verbräuche'!T113*Emissionsfaktoren!T113/1000, 0)</f>
        <v>0</v>
      </c>
      <c r="U278" s="15">
        <f>IF(ISNUMBER('Refsz-Verbräuche'!U113), 'Refsz-Verbräuche'!U113*Emissionsfaktoren!U113/1000, 0)</f>
        <v>0</v>
      </c>
      <c r="V278" s="15">
        <f>IF(ISNUMBER('Refsz-Verbräuche'!V113), 'Refsz-Verbräuche'!V113*Emissionsfaktoren!V113/1000, 0)</f>
        <v>0</v>
      </c>
      <c r="W278" s="15">
        <f>IF(ISNUMBER('Refsz-Verbräuche'!W113), 'Refsz-Verbräuche'!W113*Emissionsfaktoren!W113/1000, 0)</f>
        <v>0</v>
      </c>
      <c r="X278" s="15">
        <f>IF(ISNUMBER('Refsz-Verbräuche'!X113), 'Refsz-Verbräuche'!X113*Emissionsfaktoren!X113/1000, 0)</f>
        <v>0</v>
      </c>
    </row>
    <row r="279" spans="2:24" ht="16.5" hidden="1" x14ac:dyDescent="0.45">
      <c r="B279" s="15">
        <v>54</v>
      </c>
      <c r="C279" s="20">
        <f>'Refsz-Verbräuche'!C114</f>
        <v>0</v>
      </c>
      <c r="D279" t="s">
        <v>208</v>
      </c>
      <c r="E279" s="15">
        <f>IF(ISNUMBER('Refsz-Verbräuche'!E114), 'Refsz-Verbräuche'!E114*Emissionsfaktoren!E114/1000, 0)</f>
        <v>0</v>
      </c>
      <c r="F279" s="15">
        <f>IF(ISNUMBER('Refsz-Verbräuche'!F114), 'Refsz-Verbräuche'!F114*Emissionsfaktoren!F114/1000, 0)</f>
        <v>0</v>
      </c>
      <c r="G279" s="15">
        <f>IF(ISNUMBER('Refsz-Verbräuche'!G114), 'Refsz-Verbräuche'!G114*Emissionsfaktoren!G114/1000, 0)</f>
        <v>0</v>
      </c>
      <c r="H279" s="15">
        <f>IF(ISNUMBER('Refsz-Verbräuche'!H114), 'Refsz-Verbräuche'!H114*Emissionsfaktoren!H114/1000, 0)</f>
        <v>0</v>
      </c>
      <c r="I279" s="15">
        <f>IF(ISNUMBER('Refsz-Verbräuche'!I114), 'Refsz-Verbräuche'!I114*Emissionsfaktoren!I114/1000, 0)</f>
        <v>0</v>
      </c>
      <c r="J279" s="15">
        <f>IF(ISNUMBER('Refsz-Verbräuche'!J114), 'Refsz-Verbräuche'!J114*Emissionsfaktoren!J114/1000, 0)</f>
        <v>0</v>
      </c>
      <c r="K279" s="15">
        <f>IF(ISNUMBER('Refsz-Verbräuche'!K114), 'Refsz-Verbräuche'!K114*Emissionsfaktoren!K114/1000, 0)</f>
        <v>0</v>
      </c>
      <c r="L279" s="15">
        <f>IF(ISNUMBER('Refsz-Verbräuche'!L114), 'Refsz-Verbräuche'!L114*Emissionsfaktoren!L114/1000, 0)</f>
        <v>0</v>
      </c>
      <c r="M279" s="15">
        <f>IF(ISNUMBER('Refsz-Verbräuche'!M114), 'Refsz-Verbräuche'!M114*Emissionsfaktoren!M114/1000, 0)</f>
        <v>0</v>
      </c>
      <c r="N279" s="15">
        <f>IF(ISNUMBER('Refsz-Verbräuche'!N114), 'Refsz-Verbräuche'!N114*Emissionsfaktoren!N114/1000, 0)</f>
        <v>0</v>
      </c>
      <c r="O279" s="15">
        <f>IF(ISNUMBER('Refsz-Verbräuche'!O114), 'Refsz-Verbräuche'!O114*Emissionsfaktoren!O114/1000, 0)</f>
        <v>0</v>
      </c>
      <c r="P279" s="15">
        <f>IF(ISNUMBER('Refsz-Verbräuche'!P114), 'Refsz-Verbräuche'!P114*Emissionsfaktoren!P114/1000, 0)</f>
        <v>0</v>
      </c>
      <c r="Q279" s="15">
        <f>IF(ISNUMBER('Refsz-Verbräuche'!Q114), 'Refsz-Verbräuche'!Q114*Emissionsfaktoren!Q114/1000, 0)</f>
        <v>0</v>
      </c>
      <c r="R279" s="15">
        <f>IF(ISNUMBER('Refsz-Verbräuche'!R114), 'Refsz-Verbräuche'!R114*Emissionsfaktoren!R114/1000, 0)</f>
        <v>0</v>
      </c>
      <c r="S279" s="15">
        <f>IF(ISNUMBER('Refsz-Verbräuche'!S114), 'Refsz-Verbräuche'!S114*Emissionsfaktoren!S114/1000, 0)</f>
        <v>0</v>
      </c>
      <c r="T279" s="15">
        <f>IF(ISNUMBER('Refsz-Verbräuche'!T114), 'Refsz-Verbräuche'!T114*Emissionsfaktoren!T114/1000, 0)</f>
        <v>0</v>
      </c>
      <c r="U279" s="15">
        <f>IF(ISNUMBER('Refsz-Verbräuche'!U114), 'Refsz-Verbräuche'!U114*Emissionsfaktoren!U114/1000, 0)</f>
        <v>0</v>
      </c>
      <c r="V279" s="15">
        <f>IF(ISNUMBER('Refsz-Verbräuche'!V114), 'Refsz-Verbräuche'!V114*Emissionsfaktoren!V114/1000, 0)</f>
        <v>0</v>
      </c>
      <c r="W279" s="15">
        <f>IF(ISNUMBER('Refsz-Verbräuche'!W114), 'Refsz-Verbräuche'!W114*Emissionsfaktoren!W114/1000, 0)</f>
        <v>0</v>
      </c>
      <c r="X279" s="15">
        <f>IF(ISNUMBER('Refsz-Verbräuche'!X114), 'Refsz-Verbräuche'!X114*Emissionsfaktoren!X114/1000, 0)</f>
        <v>0</v>
      </c>
    </row>
    <row r="280" spans="2:24" ht="16.5" hidden="1" x14ac:dyDescent="0.45">
      <c r="B280" s="15">
        <v>55</v>
      </c>
      <c r="C280" s="20" t="str">
        <f>'Refsz-Verbräuche'!C115</f>
        <v>Studierendenreisen (Outgoing) - Flugreisen</v>
      </c>
      <c r="D280" t="s">
        <v>208</v>
      </c>
      <c r="E280" s="15">
        <f>IF(ISNUMBER('Refsz-Verbräuche'!E115), 'Refsz-Verbräuche'!E115*Emissionsfaktoren!E115/1000, 0)</f>
        <v>0</v>
      </c>
      <c r="F280" s="15">
        <f>IF(ISNUMBER('Refsz-Verbräuche'!F115), 'Refsz-Verbräuche'!F115*Emissionsfaktoren!F115/1000, 0)</f>
        <v>0</v>
      </c>
      <c r="G280" s="15">
        <f>IF(ISNUMBER('Refsz-Verbräuche'!G115), 'Refsz-Verbräuche'!G115*Emissionsfaktoren!G115/1000, 0)</f>
        <v>0</v>
      </c>
      <c r="H280" s="15">
        <f>IF(ISNUMBER('Refsz-Verbräuche'!H115), 'Refsz-Verbräuche'!H115*Emissionsfaktoren!H115/1000, 0)</f>
        <v>0</v>
      </c>
      <c r="I280" s="15">
        <f>IF(ISNUMBER('Refsz-Verbräuche'!I115), 'Refsz-Verbräuche'!I115*Emissionsfaktoren!I115/1000, 0)</f>
        <v>0</v>
      </c>
      <c r="J280" s="15">
        <f>IF(ISNUMBER('Refsz-Verbräuche'!J115), 'Refsz-Verbräuche'!J115*Emissionsfaktoren!J115/1000, 0)</f>
        <v>0</v>
      </c>
      <c r="K280" s="15">
        <f>IF(ISNUMBER('Refsz-Verbräuche'!K115), 'Refsz-Verbräuche'!K115*Emissionsfaktoren!K115/1000, 0)</f>
        <v>0</v>
      </c>
      <c r="L280" s="15">
        <f>IF(ISNUMBER('Refsz-Verbräuche'!L115), 'Refsz-Verbräuche'!L115*Emissionsfaktoren!L115/1000, 0)</f>
        <v>0</v>
      </c>
      <c r="M280" s="15">
        <f>IF(ISNUMBER('Refsz-Verbräuche'!M115), 'Refsz-Verbräuche'!M115*Emissionsfaktoren!M115/1000, 0)</f>
        <v>0</v>
      </c>
      <c r="N280" s="15">
        <f>IF(ISNUMBER('Refsz-Verbräuche'!N115), 'Refsz-Verbräuche'!N115*Emissionsfaktoren!N115/1000, 0)</f>
        <v>0</v>
      </c>
      <c r="O280" s="15">
        <f>IF(ISNUMBER('Refsz-Verbräuche'!O115), 'Refsz-Verbräuche'!O115*Emissionsfaktoren!O115/1000, 0)</f>
        <v>0</v>
      </c>
      <c r="P280" s="15">
        <f>IF(ISNUMBER('Refsz-Verbräuche'!P115), 'Refsz-Verbräuche'!P115*Emissionsfaktoren!P115/1000, 0)</f>
        <v>0</v>
      </c>
      <c r="Q280" s="15">
        <f>IF(ISNUMBER('Refsz-Verbräuche'!Q115), 'Refsz-Verbräuche'!Q115*Emissionsfaktoren!Q115/1000, 0)</f>
        <v>0</v>
      </c>
      <c r="R280" s="15">
        <f>IF(ISNUMBER('Refsz-Verbräuche'!R115), 'Refsz-Verbräuche'!R115*Emissionsfaktoren!R115/1000, 0)</f>
        <v>0</v>
      </c>
      <c r="S280" s="15">
        <f>IF(ISNUMBER('Refsz-Verbräuche'!S115), 'Refsz-Verbräuche'!S115*Emissionsfaktoren!S115/1000, 0)</f>
        <v>0</v>
      </c>
      <c r="T280" s="15">
        <f>IF(ISNUMBER('Refsz-Verbräuche'!T115), 'Refsz-Verbräuche'!T115*Emissionsfaktoren!T115/1000, 0)</f>
        <v>0</v>
      </c>
      <c r="U280" s="15">
        <f>IF(ISNUMBER('Refsz-Verbräuche'!U115), 'Refsz-Verbräuche'!U115*Emissionsfaktoren!U115/1000, 0)</f>
        <v>0</v>
      </c>
      <c r="V280" s="15">
        <f>IF(ISNUMBER('Refsz-Verbräuche'!V115), 'Refsz-Verbräuche'!V115*Emissionsfaktoren!V115/1000, 0)</f>
        <v>0</v>
      </c>
      <c r="W280" s="15">
        <f>IF(ISNUMBER('Refsz-Verbräuche'!W115), 'Refsz-Verbräuche'!W115*Emissionsfaktoren!W115/1000, 0)</f>
        <v>0</v>
      </c>
      <c r="X280" s="15">
        <f>IF(ISNUMBER('Refsz-Verbräuche'!X115), 'Refsz-Verbräuche'!X115*Emissionsfaktoren!X115/1000, 0)</f>
        <v>0</v>
      </c>
    </row>
    <row r="281" spans="2:24" ht="16.5" hidden="1" x14ac:dyDescent="0.45">
      <c r="B281" s="15">
        <v>56</v>
      </c>
      <c r="C281" s="20" t="str">
        <f>'Refsz-Verbräuche'!C116</f>
        <v>Studierendenreisen (Outgoing) - Eisenbahn (Nahverkehr)</v>
      </c>
      <c r="D281" t="s">
        <v>208</v>
      </c>
      <c r="E281" s="15">
        <f>IF(ISNUMBER('Refsz-Verbräuche'!E116), 'Refsz-Verbräuche'!E116*Emissionsfaktoren!E116/1000, 0)</f>
        <v>0</v>
      </c>
      <c r="F281" s="15">
        <f>IF(ISNUMBER('Refsz-Verbräuche'!F116), 'Refsz-Verbräuche'!F116*Emissionsfaktoren!F116/1000, 0)</f>
        <v>0</v>
      </c>
      <c r="G281" s="15">
        <f>IF(ISNUMBER('Refsz-Verbräuche'!G116), 'Refsz-Verbräuche'!G116*Emissionsfaktoren!G116/1000, 0)</f>
        <v>0</v>
      </c>
      <c r="H281" s="15">
        <f>IF(ISNUMBER('Refsz-Verbräuche'!H116), 'Refsz-Verbräuche'!H116*Emissionsfaktoren!H116/1000, 0)</f>
        <v>0</v>
      </c>
      <c r="I281" s="15">
        <f>IF(ISNUMBER('Refsz-Verbräuche'!I116), 'Refsz-Verbräuche'!I116*Emissionsfaktoren!I116/1000, 0)</f>
        <v>0</v>
      </c>
      <c r="J281" s="15">
        <f>IF(ISNUMBER('Refsz-Verbräuche'!J116), 'Refsz-Verbräuche'!J116*Emissionsfaktoren!J116/1000, 0)</f>
        <v>0</v>
      </c>
      <c r="K281" s="15">
        <f>IF(ISNUMBER('Refsz-Verbräuche'!K116), 'Refsz-Verbräuche'!K116*Emissionsfaktoren!K116/1000, 0)</f>
        <v>0</v>
      </c>
      <c r="L281" s="15">
        <f>IF(ISNUMBER('Refsz-Verbräuche'!L116), 'Refsz-Verbräuche'!L116*Emissionsfaktoren!L116/1000, 0)</f>
        <v>0</v>
      </c>
      <c r="M281" s="15">
        <f>IF(ISNUMBER('Refsz-Verbräuche'!M116), 'Refsz-Verbräuche'!M116*Emissionsfaktoren!M116/1000, 0)</f>
        <v>0</v>
      </c>
      <c r="N281" s="15">
        <f>IF(ISNUMBER('Refsz-Verbräuche'!N116), 'Refsz-Verbräuche'!N116*Emissionsfaktoren!N116/1000, 0)</f>
        <v>0</v>
      </c>
      <c r="O281" s="15">
        <f>IF(ISNUMBER('Refsz-Verbräuche'!O116), 'Refsz-Verbräuche'!O116*Emissionsfaktoren!O116/1000, 0)</f>
        <v>0</v>
      </c>
      <c r="P281" s="15">
        <f>IF(ISNUMBER('Refsz-Verbräuche'!P116), 'Refsz-Verbräuche'!P116*Emissionsfaktoren!P116/1000, 0)</f>
        <v>0</v>
      </c>
      <c r="Q281" s="15">
        <f>IF(ISNUMBER('Refsz-Verbräuche'!Q116), 'Refsz-Verbräuche'!Q116*Emissionsfaktoren!Q116/1000, 0)</f>
        <v>0</v>
      </c>
      <c r="R281" s="15">
        <f>IF(ISNUMBER('Refsz-Verbräuche'!R116), 'Refsz-Verbräuche'!R116*Emissionsfaktoren!R116/1000, 0)</f>
        <v>0</v>
      </c>
      <c r="S281" s="15">
        <f>IF(ISNUMBER('Refsz-Verbräuche'!S116), 'Refsz-Verbräuche'!S116*Emissionsfaktoren!S116/1000, 0)</f>
        <v>0</v>
      </c>
      <c r="T281" s="15">
        <f>IF(ISNUMBER('Refsz-Verbräuche'!T116), 'Refsz-Verbräuche'!T116*Emissionsfaktoren!T116/1000, 0)</f>
        <v>0</v>
      </c>
      <c r="U281" s="15">
        <f>IF(ISNUMBER('Refsz-Verbräuche'!U116), 'Refsz-Verbräuche'!U116*Emissionsfaktoren!U116/1000, 0)</f>
        <v>0</v>
      </c>
      <c r="V281" s="15">
        <f>IF(ISNUMBER('Refsz-Verbräuche'!V116), 'Refsz-Verbräuche'!V116*Emissionsfaktoren!V116/1000, 0)</f>
        <v>0</v>
      </c>
      <c r="W281" s="15">
        <f>IF(ISNUMBER('Refsz-Verbräuche'!W116), 'Refsz-Verbräuche'!W116*Emissionsfaktoren!W116/1000, 0)</f>
        <v>0</v>
      </c>
      <c r="X281" s="15">
        <f>IF(ISNUMBER('Refsz-Verbräuche'!X116), 'Refsz-Verbräuche'!X116*Emissionsfaktoren!X116/1000, 0)</f>
        <v>0</v>
      </c>
    </row>
    <row r="282" spans="2:24" ht="16.5" hidden="1" x14ac:dyDescent="0.45">
      <c r="B282" s="15">
        <v>57</v>
      </c>
      <c r="C282" s="20" t="str">
        <f>'Refsz-Verbräuche'!C117</f>
        <v>Studierendenreisen (Outgoing) - Privater PKW (alle Antriebsarten)</v>
      </c>
      <c r="D282" t="s">
        <v>208</v>
      </c>
      <c r="E282" s="15">
        <f>IF(ISNUMBER('Refsz-Verbräuche'!E117), 'Refsz-Verbräuche'!E117*Emissionsfaktoren!E117/1000, 0)</f>
        <v>0</v>
      </c>
      <c r="F282" s="15">
        <f>IF(ISNUMBER('Refsz-Verbräuche'!F117), 'Refsz-Verbräuche'!F117*Emissionsfaktoren!F117/1000, 0)</f>
        <v>0</v>
      </c>
      <c r="G282" s="15">
        <f>IF(ISNUMBER('Refsz-Verbräuche'!G117), 'Refsz-Verbräuche'!G117*Emissionsfaktoren!G117/1000, 0)</f>
        <v>0</v>
      </c>
      <c r="H282" s="15">
        <f>IF(ISNUMBER('Refsz-Verbräuche'!H117), 'Refsz-Verbräuche'!H117*Emissionsfaktoren!H117/1000, 0)</f>
        <v>0</v>
      </c>
      <c r="I282" s="15">
        <f>IF(ISNUMBER('Refsz-Verbräuche'!I117), 'Refsz-Verbräuche'!I117*Emissionsfaktoren!I117/1000, 0)</f>
        <v>0</v>
      </c>
      <c r="J282" s="15">
        <f>IF(ISNUMBER('Refsz-Verbräuche'!J117), 'Refsz-Verbräuche'!J117*Emissionsfaktoren!J117/1000, 0)</f>
        <v>0</v>
      </c>
      <c r="K282" s="15">
        <f>IF(ISNUMBER('Refsz-Verbräuche'!K117), 'Refsz-Verbräuche'!K117*Emissionsfaktoren!K117/1000, 0)</f>
        <v>0</v>
      </c>
      <c r="L282" s="15">
        <f>IF(ISNUMBER('Refsz-Verbräuche'!L117), 'Refsz-Verbräuche'!L117*Emissionsfaktoren!L117/1000, 0)</f>
        <v>0</v>
      </c>
      <c r="M282" s="15">
        <f>IF(ISNUMBER('Refsz-Verbräuche'!M117), 'Refsz-Verbräuche'!M117*Emissionsfaktoren!M117/1000, 0)</f>
        <v>0</v>
      </c>
      <c r="N282" s="15">
        <f>IF(ISNUMBER('Refsz-Verbräuche'!N117), 'Refsz-Verbräuche'!N117*Emissionsfaktoren!N117/1000, 0)</f>
        <v>0</v>
      </c>
      <c r="O282" s="15">
        <f>IF(ISNUMBER('Refsz-Verbräuche'!O117), 'Refsz-Verbräuche'!O117*Emissionsfaktoren!O117/1000, 0)</f>
        <v>0</v>
      </c>
      <c r="P282" s="15">
        <f>IF(ISNUMBER('Refsz-Verbräuche'!P117), 'Refsz-Verbräuche'!P117*Emissionsfaktoren!P117/1000, 0)</f>
        <v>0</v>
      </c>
      <c r="Q282" s="15">
        <f>IF(ISNUMBER('Refsz-Verbräuche'!Q117), 'Refsz-Verbräuche'!Q117*Emissionsfaktoren!Q117/1000, 0)</f>
        <v>0</v>
      </c>
      <c r="R282" s="15">
        <f>IF(ISNUMBER('Refsz-Verbräuche'!R117), 'Refsz-Verbräuche'!R117*Emissionsfaktoren!R117/1000, 0)</f>
        <v>0</v>
      </c>
      <c r="S282" s="15">
        <f>IF(ISNUMBER('Refsz-Verbräuche'!S117), 'Refsz-Verbräuche'!S117*Emissionsfaktoren!S117/1000, 0)</f>
        <v>0</v>
      </c>
      <c r="T282" s="15">
        <f>IF(ISNUMBER('Refsz-Verbräuche'!T117), 'Refsz-Verbräuche'!T117*Emissionsfaktoren!T117/1000, 0)</f>
        <v>0</v>
      </c>
      <c r="U282" s="15">
        <f>IF(ISNUMBER('Refsz-Verbräuche'!U117), 'Refsz-Verbräuche'!U117*Emissionsfaktoren!U117/1000, 0)</f>
        <v>0</v>
      </c>
      <c r="V282" s="15">
        <f>IF(ISNUMBER('Refsz-Verbräuche'!V117), 'Refsz-Verbräuche'!V117*Emissionsfaktoren!V117/1000, 0)</f>
        <v>0</v>
      </c>
      <c r="W282" s="15">
        <f>IF(ISNUMBER('Refsz-Verbräuche'!W117), 'Refsz-Verbräuche'!W117*Emissionsfaktoren!W117/1000, 0)</f>
        <v>0</v>
      </c>
      <c r="X282" s="15">
        <f>IF(ISNUMBER('Refsz-Verbräuche'!X117), 'Refsz-Verbräuche'!X117*Emissionsfaktoren!X117/1000, 0)</f>
        <v>0</v>
      </c>
    </row>
    <row r="283" spans="2:24" ht="16.5" hidden="1" x14ac:dyDescent="0.45">
      <c r="B283" s="15">
        <v>58</v>
      </c>
      <c r="C283" s="20">
        <f>'Refsz-Verbräuche'!C118</f>
        <v>0</v>
      </c>
      <c r="D283" t="s">
        <v>208</v>
      </c>
      <c r="E283" s="15">
        <f>IF(ISNUMBER('Refsz-Verbräuche'!E118), 'Refsz-Verbräuche'!E118*Emissionsfaktoren!E118/1000, 0)</f>
        <v>0</v>
      </c>
      <c r="F283" s="15">
        <f>IF(ISNUMBER('Refsz-Verbräuche'!F118), 'Refsz-Verbräuche'!F118*Emissionsfaktoren!F118/1000, 0)</f>
        <v>0</v>
      </c>
      <c r="G283" s="15">
        <f>IF(ISNUMBER('Refsz-Verbräuche'!G118), 'Refsz-Verbräuche'!G118*Emissionsfaktoren!G118/1000, 0)</f>
        <v>0</v>
      </c>
      <c r="H283" s="15">
        <f>IF(ISNUMBER('Refsz-Verbräuche'!H118), 'Refsz-Verbräuche'!H118*Emissionsfaktoren!H118/1000, 0)</f>
        <v>0</v>
      </c>
      <c r="I283" s="15">
        <f>IF(ISNUMBER('Refsz-Verbräuche'!I118), 'Refsz-Verbräuche'!I118*Emissionsfaktoren!I118/1000, 0)</f>
        <v>0</v>
      </c>
      <c r="J283" s="15">
        <f>IF(ISNUMBER('Refsz-Verbräuche'!J118), 'Refsz-Verbräuche'!J118*Emissionsfaktoren!J118/1000, 0)</f>
        <v>0</v>
      </c>
      <c r="K283" s="15">
        <f>IF(ISNUMBER('Refsz-Verbräuche'!K118), 'Refsz-Verbräuche'!K118*Emissionsfaktoren!K118/1000, 0)</f>
        <v>0</v>
      </c>
      <c r="L283" s="15">
        <f>IF(ISNUMBER('Refsz-Verbräuche'!L118), 'Refsz-Verbräuche'!L118*Emissionsfaktoren!L118/1000, 0)</f>
        <v>0</v>
      </c>
      <c r="M283" s="15">
        <f>IF(ISNUMBER('Refsz-Verbräuche'!M118), 'Refsz-Verbräuche'!M118*Emissionsfaktoren!M118/1000, 0)</f>
        <v>0</v>
      </c>
      <c r="N283" s="15">
        <f>IF(ISNUMBER('Refsz-Verbräuche'!N118), 'Refsz-Verbräuche'!N118*Emissionsfaktoren!N118/1000, 0)</f>
        <v>0</v>
      </c>
      <c r="O283" s="15">
        <f>IF(ISNUMBER('Refsz-Verbräuche'!O118), 'Refsz-Verbräuche'!O118*Emissionsfaktoren!O118/1000, 0)</f>
        <v>0</v>
      </c>
      <c r="P283" s="15">
        <f>IF(ISNUMBER('Refsz-Verbräuche'!P118), 'Refsz-Verbräuche'!P118*Emissionsfaktoren!P118/1000, 0)</f>
        <v>0</v>
      </c>
      <c r="Q283" s="15">
        <f>IF(ISNUMBER('Refsz-Verbräuche'!Q118), 'Refsz-Verbräuche'!Q118*Emissionsfaktoren!Q118/1000, 0)</f>
        <v>0</v>
      </c>
      <c r="R283" s="15">
        <f>IF(ISNUMBER('Refsz-Verbräuche'!R118), 'Refsz-Verbräuche'!R118*Emissionsfaktoren!R118/1000, 0)</f>
        <v>0</v>
      </c>
      <c r="S283" s="15">
        <f>IF(ISNUMBER('Refsz-Verbräuche'!S118), 'Refsz-Verbräuche'!S118*Emissionsfaktoren!S118/1000, 0)</f>
        <v>0</v>
      </c>
      <c r="T283" s="15">
        <f>IF(ISNUMBER('Refsz-Verbräuche'!T118), 'Refsz-Verbräuche'!T118*Emissionsfaktoren!T118/1000, 0)</f>
        <v>0</v>
      </c>
      <c r="U283" s="15">
        <f>IF(ISNUMBER('Refsz-Verbräuche'!U118), 'Refsz-Verbräuche'!U118*Emissionsfaktoren!U118/1000, 0)</f>
        <v>0</v>
      </c>
      <c r="V283" s="15">
        <f>IF(ISNUMBER('Refsz-Verbräuche'!V118), 'Refsz-Verbräuche'!V118*Emissionsfaktoren!V118/1000, 0)</f>
        <v>0</v>
      </c>
      <c r="W283" s="15">
        <f>IF(ISNUMBER('Refsz-Verbräuche'!W118), 'Refsz-Verbräuche'!W118*Emissionsfaktoren!W118/1000, 0)</f>
        <v>0</v>
      </c>
      <c r="X283" s="15">
        <f>IF(ISNUMBER('Refsz-Verbräuche'!X118), 'Refsz-Verbräuche'!X118*Emissionsfaktoren!X118/1000, 0)</f>
        <v>0</v>
      </c>
    </row>
    <row r="284" spans="2:24" ht="16.5" hidden="1" x14ac:dyDescent="0.45">
      <c r="B284" s="15">
        <v>59</v>
      </c>
      <c r="C284" s="20" t="str">
        <f>'Refsz-Verbräuche'!C119</f>
        <v>Exkursionen - Flugreisen</v>
      </c>
      <c r="D284" t="s">
        <v>208</v>
      </c>
      <c r="E284" s="15">
        <f>IF(ISNUMBER('Refsz-Verbräuche'!E119), 'Refsz-Verbräuche'!E119*Emissionsfaktoren!E119/1000, 0)</f>
        <v>0</v>
      </c>
      <c r="F284" s="15">
        <f>IF(ISNUMBER('Refsz-Verbräuche'!F119), 'Refsz-Verbräuche'!F119*Emissionsfaktoren!F119/1000, 0)</f>
        <v>0</v>
      </c>
      <c r="G284" s="15">
        <f>IF(ISNUMBER('Refsz-Verbräuche'!G119), 'Refsz-Verbräuche'!G119*Emissionsfaktoren!G119/1000, 0)</f>
        <v>0</v>
      </c>
      <c r="H284" s="15">
        <f>IF(ISNUMBER('Refsz-Verbräuche'!H119), 'Refsz-Verbräuche'!H119*Emissionsfaktoren!H119/1000, 0)</f>
        <v>0</v>
      </c>
      <c r="I284" s="15">
        <f>IF(ISNUMBER('Refsz-Verbräuche'!I119), 'Refsz-Verbräuche'!I119*Emissionsfaktoren!I119/1000, 0)</f>
        <v>0</v>
      </c>
      <c r="J284" s="15">
        <f>IF(ISNUMBER('Refsz-Verbräuche'!J119), 'Refsz-Verbräuche'!J119*Emissionsfaktoren!J119/1000, 0)</f>
        <v>0</v>
      </c>
      <c r="K284" s="15">
        <f>IF(ISNUMBER('Refsz-Verbräuche'!K119), 'Refsz-Verbräuche'!K119*Emissionsfaktoren!K119/1000, 0)</f>
        <v>0</v>
      </c>
      <c r="L284" s="15">
        <f>IF(ISNUMBER('Refsz-Verbräuche'!L119), 'Refsz-Verbräuche'!L119*Emissionsfaktoren!L119/1000, 0)</f>
        <v>0</v>
      </c>
      <c r="M284" s="15">
        <f>IF(ISNUMBER('Refsz-Verbräuche'!M119), 'Refsz-Verbräuche'!M119*Emissionsfaktoren!M119/1000, 0)</f>
        <v>0</v>
      </c>
      <c r="N284" s="15">
        <f>IF(ISNUMBER('Refsz-Verbräuche'!N119), 'Refsz-Verbräuche'!N119*Emissionsfaktoren!N119/1000, 0)</f>
        <v>0</v>
      </c>
      <c r="O284" s="15">
        <f>IF(ISNUMBER('Refsz-Verbräuche'!O119), 'Refsz-Verbräuche'!O119*Emissionsfaktoren!O119/1000, 0)</f>
        <v>0</v>
      </c>
      <c r="P284" s="15">
        <f>IF(ISNUMBER('Refsz-Verbräuche'!P119), 'Refsz-Verbräuche'!P119*Emissionsfaktoren!P119/1000, 0)</f>
        <v>0</v>
      </c>
      <c r="Q284" s="15">
        <f>IF(ISNUMBER('Refsz-Verbräuche'!Q119), 'Refsz-Verbräuche'!Q119*Emissionsfaktoren!Q119/1000, 0)</f>
        <v>0</v>
      </c>
      <c r="R284" s="15">
        <f>IF(ISNUMBER('Refsz-Verbräuche'!R119), 'Refsz-Verbräuche'!R119*Emissionsfaktoren!R119/1000, 0)</f>
        <v>0</v>
      </c>
      <c r="S284" s="15">
        <f>IF(ISNUMBER('Refsz-Verbräuche'!S119), 'Refsz-Verbräuche'!S119*Emissionsfaktoren!S119/1000, 0)</f>
        <v>0</v>
      </c>
      <c r="T284" s="15">
        <f>IF(ISNUMBER('Refsz-Verbräuche'!T119), 'Refsz-Verbräuche'!T119*Emissionsfaktoren!T119/1000, 0)</f>
        <v>0</v>
      </c>
      <c r="U284" s="15">
        <f>IF(ISNUMBER('Refsz-Verbräuche'!U119), 'Refsz-Verbräuche'!U119*Emissionsfaktoren!U119/1000, 0)</f>
        <v>0</v>
      </c>
      <c r="V284" s="15">
        <f>IF(ISNUMBER('Refsz-Verbräuche'!V119), 'Refsz-Verbräuche'!V119*Emissionsfaktoren!V119/1000, 0)</f>
        <v>0</v>
      </c>
      <c r="W284" s="15">
        <f>IF(ISNUMBER('Refsz-Verbräuche'!W119), 'Refsz-Verbräuche'!W119*Emissionsfaktoren!W119/1000, 0)</f>
        <v>0</v>
      </c>
      <c r="X284" s="15">
        <f>IF(ISNUMBER('Refsz-Verbräuche'!X119), 'Refsz-Verbräuche'!X119*Emissionsfaktoren!X119/1000, 0)</f>
        <v>0</v>
      </c>
    </row>
    <row r="285" spans="2:24" ht="16.5" hidden="1" x14ac:dyDescent="0.45">
      <c r="B285" s="15">
        <v>60</v>
      </c>
      <c r="C285" s="20" t="str">
        <f>'Refsz-Verbräuche'!C120</f>
        <v>Exkursionen - Eisenbahn (Nahverkehr)</v>
      </c>
      <c r="D285" t="s">
        <v>208</v>
      </c>
      <c r="E285" s="15">
        <f>IF(ISNUMBER('Refsz-Verbräuche'!E120), 'Refsz-Verbräuche'!E120*Emissionsfaktoren!E120/1000, 0)</f>
        <v>0</v>
      </c>
      <c r="F285" s="15">
        <f>IF(ISNUMBER('Refsz-Verbräuche'!F120), 'Refsz-Verbräuche'!F120*Emissionsfaktoren!F120/1000, 0)</f>
        <v>0</v>
      </c>
      <c r="G285" s="15">
        <f>IF(ISNUMBER('Refsz-Verbräuche'!G120), 'Refsz-Verbräuche'!G120*Emissionsfaktoren!G120/1000, 0)</f>
        <v>0</v>
      </c>
      <c r="H285" s="15">
        <f>IF(ISNUMBER('Refsz-Verbräuche'!H120), 'Refsz-Verbräuche'!H120*Emissionsfaktoren!H120/1000, 0)</f>
        <v>0</v>
      </c>
      <c r="I285" s="15">
        <f>IF(ISNUMBER('Refsz-Verbräuche'!I120), 'Refsz-Verbräuche'!I120*Emissionsfaktoren!I120/1000, 0)</f>
        <v>0</v>
      </c>
      <c r="J285" s="15">
        <f>IF(ISNUMBER('Refsz-Verbräuche'!J120), 'Refsz-Verbräuche'!J120*Emissionsfaktoren!J120/1000, 0)</f>
        <v>0</v>
      </c>
      <c r="K285" s="15">
        <f>IF(ISNUMBER('Refsz-Verbräuche'!K120), 'Refsz-Verbräuche'!K120*Emissionsfaktoren!K120/1000, 0)</f>
        <v>0</v>
      </c>
      <c r="L285" s="15">
        <f>IF(ISNUMBER('Refsz-Verbräuche'!L120), 'Refsz-Verbräuche'!L120*Emissionsfaktoren!L120/1000, 0)</f>
        <v>0</v>
      </c>
      <c r="M285" s="15">
        <f>IF(ISNUMBER('Refsz-Verbräuche'!M120), 'Refsz-Verbräuche'!M120*Emissionsfaktoren!M120/1000, 0)</f>
        <v>0</v>
      </c>
      <c r="N285" s="15">
        <f>IF(ISNUMBER('Refsz-Verbräuche'!N120), 'Refsz-Verbräuche'!N120*Emissionsfaktoren!N120/1000, 0)</f>
        <v>0</v>
      </c>
      <c r="O285" s="15">
        <f>IF(ISNUMBER('Refsz-Verbräuche'!O120), 'Refsz-Verbräuche'!O120*Emissionsfaktoren!O120/1000, 0)</f>
        <v>0</v>
      </c>
      <c r="P285" s="15">
        <f>IF(ISNUMBER('Refsz-Verbräuche'!P120), 'Refsz-Verbräuche'!P120*Emissionsfaktoren!P120/1000, 0)</f>
        <v>0</v>
      </c>
      <c r="Q285" s="15">
        <f>IF(ISNUMBER('Refsz-Verbräuche'!Q120), 'Refsz-Verbräuche'!Q120*Emissionsfaktoren!Q120/1000, 0)</f>
        <v>0</v>
      </c>
      <c r="R285" s="15">
        <f>IF(ISNUMBER('Refsz-Verbräuche'!R120), 'Refsz-Verbräuche'!R120*Emissionsfaktoren!R120/1000, 0)</f>
        <v>0</v>
      </c>
      <c r="S285" s="15">
        <f>IF(ISNUMBER('Refsz-Verbräuche'!S120), 'Refsz-Verbräuche'!S120*Emissionsfaktoren!S120/1000, 0)</f>
        <v>0</v>
      </c>
      <c r="T285" s="15">
        <f>IF(ISNUMBER('Refsz-Verbräuche'!T120), 'Refsz-Verbräuche'!T120*Emissionsfaktoren!T120/1000, 0)</f>
        <v>0</v>
      </c>
      <c r="U285" s="15">
        <f>IF(ISNUMBER('Refsz-Verbräuche'!U120), 'Refsz-Verbräuche'!U120*Emissionsfaktoren!U120/1000, 0)</f>
        <v>0</v>
      </c>
      <c r="V285" s="15">
        <f>IF(ISNUMBER('Refsz-Verbräuche'!V120), 'Refsz-Verbräuche'!V120*Emissionsfaktoren!V120/1000, 0)</f>
        <v>0</v>
      </c>
      <c r="W285" s="15">
        <f>IF(ISNUMBER('Refsz-Verbräuche'!W120), 'Refsz-Verbräuche'!W120*Emissionsfaktoren!W120/1000, 0)</f>
        <v>0</v>
      </c>
      <c r="X285" s="15">
        <f>IF(ISNUMBER('Refsz-Verbräuche'!X120), 'Refsz-Verbräuche'!X120*Emissionsfaktoren!X120/1000, 0)</f>
        <v>0</v>
      </c>
    </row>
    <row r="286" spans="2:24" ht="16.5" hidden="1" x14ac:dyDescent="0.45">
      <c r="B286" s="15">
        <v>61</v>
      </c>
      <c r="C286" s="20" t="str">
        <f>'Refsz-Verbräuche'!C121</f>
        <v>Exkursionen - Privater PKW (alle Antriebsarten)</v>
      </c>
      <c r="D286" t="s">
        <v>208</v>
      </c>
      <c r="E286" s="15">
        <f>IF(ISNUMBER('Refsz-Verbräuche'!E121), 'Refsz-Verbräuche'!E121*Emissionsfaktoren!E121/1000, 0)</f>
        <v>0</v>
      </c>
      <c r="F286" s="15">
        <f>IF(ISNUMBER('Refsz-Verbräuche'!F121), 'Refsz-Verbräuche'!F121*Emissionsfaktoren!F121/1000, 0)</f>
        <v>0</v>
      </c>
      <c r="G286" s="15">
        <f>IF(ISNUMBER('Refsz-Verbräuche'!G121), 'Refsz-Verbräuche'!G121*Emissionsfaktoren!G121/1000, 0)</f>
        <v>0</v>
      </c>
      <c r="H286" s="15">
        <f>IF(ISNUMBER('Refsz-Verbräuche'!H121), 'Refsz-Verbräuche'!H121*Emissionsfaktoren!H121/1000, 0)</f>
        <v>0</v>
      </c>
      <c r="I286" s="15">
        <f>IF(ISNUMBER('Refsz-Verbräuche'!I121), 'Refsz-Verbräuche'!I121*Emissionsfaktoren!I121/1000, 0)</f>
        <v>0</v>
      </c>
      <c r="J286" s="15">
        <f>IF(ISNUMBER('Refsz-Verbräuche'!J121), 'Refsz-Verbräuche'!J121*Emissionsfaktoren!J121/1000, 0)</f>
        <v>0</v>
      </c>
      <c r="K286" s="15">
        <f>IF(ISNUMBER('Refsz-Verbräuche'!K121), 'Refsz-Verbräuche'!K121*Emissionsfaktoren!K121/1000, 0)</f>
        <v>0</v>
      </c>
      <c r="L286" s="15">
        <f>IF(ISNUMBER('Refsz-Verbräuche'!L121), 'Refsz-Verbräuche'!L121*Emissionsfaktoren!L121/1000, 0)</f>
        <v>0</v>
      </c>
      <c r="M286" s="15">
        <f>IF(ISNUMBER('Refsz-Verbräuche'!M121), 'Refsz-Verbräuche'!M121*Emissionsfaktoren!M121/1000, 0)</f>
        <v>0</v>
      </c>
      <c r="N286" s="15">
        <f>IF(ISNUMBER('Refsz-Verbräuche'!N121), 'Refsz-Verbräuche'!N121*Emissionsfaktoren!N121/1000, 0)</f>
        <v>0</v>
      </c>
      <c r="O286" s="15">
        <f>IF(ISNUMBER('Refsz-Verbräuche'!O121), 'Refsz-Verbräuche'!O121*Emissionsfaktoren!O121/1000, 0)</f>
        <v>0</v>
      </c>
      <c r="P286" s="15">
        <f>IF(ISNUMBER('Refsz-Verbräuche'!P121), 'Refsz-Verbräuche'!P121*Emissionsfaktoren!P121/1000, 0)</f>
        <v>0</v>
      </c>
      <c r="Q286" s="15">
        <f>IF(ISNUMBER('Refsz-Verbräuche'!Q121), 'Refsz-Verbräuche'!Q121*Emissionsfaktoren!Q121/1000, 0)</f>
        <v>0</v>
      </c>
      <c r="R286" s="15">
        <f>IF(ISNUMBER('Refsz-Verbräuche'!R121), 'Refsz-Verbräuche'!R121*Emissionsfaktoren!R121/1000, 0)</f>
        <v>0</v>
      </c>
      <c r="S286" s="15">
        <f>IF(ISNUMBER('Refsz-Verbräuche'!S121), 'Refsz-Verbräuche'!S121*Emissionsfaktoren!S121/1000, 0)</f>
        <v>0</v>
      </c>
      <c r="T286" s="15">
        <f>IF(ISNUMBER('Refsz-Verbräuche'!T121), 'Refsz-Verbräuche'!T121*Emissionsfaktoren!T121/1000, 0)</f>
        <v>0</v>
      </c>
      <c r="U286" s="15">
        <f>IF(ISNUMBER('Refsz-Verbräuche'!U121), 'Refsz-Verbräuche'!U121*Emissionsfaktoren!U121/1000, 0)</f>
        <v>0</v>
      </c>
      <c r="V286" s="15">
        <f>IF(ISNUMBER('Refsz-Verbräuche'!V121), 'Refsz-Verbräuche'!V121*Emissionsfaktoren!V121/1000, 0)</f>
        <v>0</v>
      </c>
      <c r="W286" s="15">
        <f>IF(ISNUMBER('Refsz-Verbräuche'!W121), 'Refsz-Verbräuche'!W121*Emissionsfaktoren!W121/1000, 0)</f>
        <v>0</v>
      </c>
      <c r="X286" s="15">
        <f>IF(ISNUMBER('Refsz-Verbräuche'!X121), 'Refsz-Verbräuche'!X121*Emissionsfaktoren!X121/1000, 0)</f>
        <v>0</v>
      </c>
    </row>
    <row r="287" spans="2:24" ht="16.5" hidden="1" x14ac:dyDescent="0.45">
      <c r="B287" s="15">
        <v>62</v>
      </c>
      <c r="C287" s="20">
        <f>'Refsz-Verbräuche'!C122</f>
        <v>0</v>
      </c>
      <c r="D287" t="s">
        <v>208</v>
      </c>
      <c r="E287" s="15">
        <f>IF(ISNUMBER('Refsz-Verbräuche'!E122), 'Refsz-Verbräuche'!E122*Emissionsfaktoren!E122/1000, 0)</f>
        <v>0</v>
      </c>
      <c r="F287" s="15">
        <f>IF(ISNUMBER('Refsz-Verbräuche'!F122), 'Refsz-Verbräuche'!F122*Emissionsfaktoren!F122/1000, 0)</f>
        <v>0</v>
      </c>
      <c r="G287" s="15">
        <f>IF(ISNUMBER('Refsz-Verbräuche'!G122), 'Refsz-Verbräuche'!G122*Emissionsfaktoren!G122/1000, 0)</f>
        <v>0</v>
      </c>
      <c r="H287" s="15">
        <f>IF(ISNUMBER('Refsz-Verbräuche'!H122), 'Refsz-Verbräuche'!H122*Emissionsfaktoren!H122/1000, 0)</f>
        <v>0</v>
      </c>
      <c r="I287" s="15">
        <f>IF(ISNUMBER('Refsz-Verbräuche'!I122), 'Refsz-Verbräuche'!I122*Emissionsfaktoren!I122/1000, 0)</f>
        <v>0</v>
      </c>
      <c r="J287" s="15">
        <f>IF(ISNUMBER('Refsz-Verbräuche'!J122), 'Refsz-Verbräuche'!J122*Emissionsfaktoren!J122/1000, 0)</f>
        <v>0</v>
      </c>
      <c r="K287" s="15">
        <f>IF(ISNUMBER('Refsz-Verbräuche'!K122), 'Refsz-Verbräuche'!K122*Emissionsfaktoren!K122/1000, 0)</f>
        <v>0</v>
      </c>
      <c r="L287" s="15">
        <f>IF(ISNUMBER('Refsz-Verbräuche'!L122), 'Refsz-Verbräuche'!L122*Emissionsfaktoren!L122/1000, 0)</f>
        <v>0</v>
      </c>
      <c r="M287" s="15">
        <f>IF(ISNUMBER('Refsz-Verbräuche'!M122), 'Refsz-Verbräuche'!M122*Emissionsfaktoren!M122/1000, 0)</f>
        <v>0</v>
      </c>
      <c r="N287" s="15">
        <f>IF(ISNUMBER('Refsz-Verbräuche'!N122), 'Refsz-Verbräuche'!N122*Emissionsfaktoren!N122/1000, 0)</f>
        <v>0</v>
      </c>
      <c r="O287" s="15">
        <f>IF(ISNUMBER('Refsz-Verbräuche'!O122), 'Refsz-Verbräuche'!O122*Emissionsfaktoren!O122/1000, 0)</f>
        <v>0</v>
      </c>
      <c r="P287" s="15">
        <f>IF(ISNUMBER('Refsz-Verbräuche'!P122), 'Refsz-Verbräuche'!P122*Emissionsfaktoren!P122/1000, 0)</f>
        <v>0</v>
      </c>
      <c r="Q287" s="15">
        <f>IF(ISNUMBER('Refsz-Verbräuche'!Q122), 'Refsz-Verbräuche'!Q122*Emissionsfaktoren!Q122/1000, 0)</f>
        <v>0</v>
      </c>
      <c r="R287" s="15">
        <f>IF(ISNUMBER('Refsz-Verbräuche'!R122), 'Refsz-Verbräuche'!R122*Emissionsfaktoren!R122/1000, 0)</f>
        <v>0</v>
      </c>
      <c r="S287" s="15">
        <f>IF(ISNUMBER('Refsz-Verbräuche'!S122), 'Refsz-Verbräuche'!S122*Emissionsfaktoren!S122/1000, 0)</f>
        <v>0</v>
      </c>
      <c r="T287" s="15">
        <f>IF(ISNUMBER('Refsz-Verbräuche'!T122), 'Refsz-Verbräuche'!T122*Emissionsfaktoren!T122/1000, 0)</f>
        <v>0</v>
      </c>
      <c r="U287" s="15">
        <f>IF(ISNUMBER('Refsz-Verbräuche'!U122), 'Refsz-Verbräuche'!U122*Emissionsfaktoren!U122/1000, 0)</f>
        <v>0</v>
      </c>
      <c r="V287" s="15">
        <f>IF(ISNUMBER('Refsz-Verbräuche'!V122), 'Refsz-Verbräuche'!V122*Emissionsfaktoren!V122/1000, 0)</f>
        <v>0</v>
      </c>
      <c r="W287" s="15">
        <f>IF(ISNUMBER('Refsz-Verbräuche'!W122), 'Refsz-Verbräuche'!W122*Emissionsfaktoren!W122/1000, 0)</f>
        <v>0</v>
      </c>
      <c r="X287" s="15">
        <f>IF(ISNUMBER('Refsz-Verbräuche'!X122), 'Refsz-Verbräuche'!X122*Emissionsfaktoren!X122/1000, 0)</f>
        <v>0</v>
      </c>
    </row>
    <row r="288" spans="2:24" ht="16.5" hidden="1" x14ac:dyDescent="0.45">
      <c r="B288" s="15">
        <v>63</v>
      </c>
      <c r="C288" s="20" t="str">
        <f>'Refsz-Verbräuche'!C123</f>
        <v>Pendeln - Eisenbahn (Fernverkehr)</v>
      </c>
      <c r="D288" t="s">
        <v>208</v>
      </c>
      <c r="E288" s="15">
        <f>IF(ISNUMBER('Refsz-Verbräuche'!E123), 'Refsz-Verbräuche'!E123*Emissionsfaktoren!E123/1000, 0)</f>
        <v>0</v>
      </c>
      <c r="F288" s="15">
        <f>IF(ISNUMBER('Refsz-Verbräuche'!F123), 'Refsz-Verbräuche'!F123*Emissionsfaktoren!F123/1000, 0)</f>
        <v>0</v>
      </c>
      <c r="G288" s="15">
        <f>IF(ISNUMBER('Refsz-Verbräuche'!G123), 'Refsz-Verbräuche'!G123*Emissionsfaktoren!G123/1000, 0)</f>
        <v>0</v>
      </c>
      <c r="H288" s="15">
        <f>IF(ISNUMBER('Refsz-Verbräuche'!H123), 'Refsz-Verbräuche'!H123*Emissionsfaktoren!H123/1000, 0)</f>
        <v>0</v>
      </c>
      <c r="I288" s="15">
        <f>IF(ISNUMBER('Refsz-Verbräuche'!I123), 'Refsz-Verbräuche'!I123*Emissionsfaktoren!I123/1000, 0)</f>
        <v>0</v>
      </c>
      <c r="J288" s="15">
        <f>IF(ISNUMBER('Refsz-Verbräuche'!J123), 'Refsz-Verbräuche'!J123*Emissionsfaktoren!J123/1000, 0)</f>
        <v>0</v>
      </c>
      <c r="K288" s="15">
        <f>IF(ISNUMBER('Refsz-Verbräuche'!K123), 'Refsz-Verbräuche'!K123*Emissionsfaktoren!K123/1000, 0)</f>
        <v>0</v>
      </c>
      <c r="L288" s="15">
        <f>IF(ISNUMBER('Refsz-Verbräuche'!L123), 'Refsz-Verbräuche'!L123*Emissionsfaktoren!L123/1000, 0)</f>
        <v>0</v>
      </c>
      <c r="M288" s="15">
        <f>IF(ISNUMBER('Refsz-Verbräuche'!M123), 'Refsz-Verbräuche'!M123*Emissionsfaktoren!M123/1000, 0)</f>
        <v>0</v>
      </c>
      <c r="N288" s="15">
        <f>IF(ISNUMBER('Refsz-Verbräuche'!N123), 'Refsz-Verbräuche'!N123*Emissionsfaktoren!N123/1000, 0)</f>
        <v>0</v>
      </c>
      <c r="O288" s="15">
        <f>IF(ISNUMBER('Refsz-Verbräuche'!O123), 'Refsz-Verbräuche'!O123*Emissionsfaktoren!O123/1000, 0)</f>
        <v>0</v>
      </c>
      <c r="P288" s="15">
        <f>IF(ISNUMBER('Refsz-Verbräuche'!P123), 'Refsz-Verbräuche'!P123*Emissionsfaktoren!P123/1000, 0)</f>
        <v>0</v>
      </c>
      <c r="Q288" s="15">
        <f>IF(ISNUMBER('Refsz-Verbräuche'!Q123), 'Refsz-Verbräuche'!Q123*Emissionsfaktoren!Q123/1000, 0)</f>
        <v>0</v>
      </c>
      <c r="R288" s="15">
        <f>IF(ISNUMBER('Refsz-Verbräuche'!R123), 'Refsz-Verbräuche'!R123*Emissionsfaktoren!R123/1000, 0)</f>
        <v>0</v>
      </c>
      <c r="S288" s="15">
        <f>IF(ISNUMBER('Refsz-Verbräuche'!S123), 'Refsz-Verbräuche'!S123*Emissionsfaktoren!S123/1000, 0)</f>
        <v>0</v>
      </c>
      <c r="T288" s="15">
        <f>IF(ISNUMBER('Refsz-Verbräuche'!T123), 'Refsz-Verbräuche'!T123*Emissionsfaktoren!T123/1000, 0)</f>
        <v>0</v>
      </c>
      <c r="U288" s="15">
        <f>IF(ISNUMBER('Refsz-Verbräuche'!U123), 'Refsz-Verbräuche'!U123*Emissionsfaktoren!U123/1000, 0)</f>
        <v>0</v>
      </c>
      <c r="V288" s="15">
        <f>IF(ISNUMBER('Refsz-Verbräuche'!V123), 'Refsz-Verbräuche'!V123*Emissionsfaktoren!V123/1000, 0)</f>
        <v>0</v>
      </c>
      <c r="W288" s="15">
        <f>IF(ISNUMBER('Refsz-Verbräuche'!W123), 'Refsz-Verbräuche'!W123*Emissionsfaktoren!W123/1000, 0)</f>
        <v>0</v>
      </c>
      <c r="X288" s="15">
        <f>IF(ISNUMBER('Refsz-Verbräuche'!X123), 'Refsz-Verbräuche'!X123*Emissionsfaktoren!X123/1000, 0)</f>
        <v>0</v>
      </c>
    </row>
    <row r="289" spans="2:24" ht="16.5" hidden="1" x14ac:dyDescent="0.45">
      <c r="B289" s="15">
        <v>64</v>
      </c>
      <c r="C289" s="20" t="str">
        <f>'Refsz-Verbräuche'!C124</f>
        <v>Pendeln - Eisenbahn (Nahverkehr)</v>
      </c>
      <c r="D289" t="s">
        <v>208</v>
      </c>
      <c r="E289" s="15">
        <f>IF(ISNUMBER('Refsz-Verbräuche'!E124), 'Refsz-Verbräuche'!E124*Emissionsfaktoren!E124/1000, 0)</f>
        <v>0</v>
      </c>
      <c r="F289" s="15">
        <f>IF(ISNUMBER('Refsz-Verbräuche'!F124), 'Refsz-Verbräuche'!F124*Emissionsfaktoren!F124/1000, 0)</f>
        <v>0</v>
      </c>
      <c r="G289" s="15">
        <f>IF(ISNUMBER('Refsz-Verbräuche'!G124), 'Refsz-Verbräuche'!G124*Emissionsfaktoren!G124/1000, 0)</f>
        <v>0</v>
      </c>
      <c r="H289" s="15">
        <f>IF(ISNUMBER('Refsz-Verbräuche'!H124), 'Refsz-Verbräuche'!H124*Emissionsfaktoren!H124/1000, 0)</f>
        <v>0</v>
      </c>
      <c r="I289" s="15">
        <f>IF(ISNUMBER('Refsz-Verbräuche'!I124), 'Refsz-Verbräuche'!I124*Emissionsfaktoren!I124/1000, 0)</f>
        <v>0</v>
      </c>
      <c r="J289" s="15">
        <f>IF(ISNUMBER('Refsz-Verbräuche'!J124), 'Refsz-Verbräuche'!J124*Emissionsfaktoren!J124/1000, 0)</f>
        <v>0</v>
      </c>
      <c r="K289" s="15">
        <f>IF(ISNUMBER('Refsz-Verbräuche'!K124), 'Refsz-Verbräuche'!K124*Emissionsfaktoren!K124/1000, 0)</f>
        <v>0</v>
      </c>
      <c r="L289" s="15">
        <f>IF(ISNUMBER('Refsz-Verbräuche'!L124), 'Refsz-Verbräuche'!L124*Emissionsfaktoren!L124/1000, 0)</f>
        <v>0</v>
      </c>
      <c r="M289" s="15">
        <f>IF(ISNUMBER('Refsz-Verbräuche'!M124), 'Refsz-Verbräuche'!M124*Emissionsfaktoren!M124/1000, 0)</f>
        <v>0</v>
      </c>
      <c r="N289" s="15">
        <f>IF(ISNUMBER('Refsz-Verbräuche'!N124), 'Refsz-Verbräuche'!N124*Emissionsfaktoren!N124/1000, 0)</f>
        <v>0</v>
      </c>
      <c r="O289" s="15">
        <f>IF(ISNUMBER('Refsz-Verbräuche'!O124), 'Refsz-Verbräuche'!O124*Emissionsfaktoren!O124/1000, 0)</f>
        <v>0</v>
      </c>
      <c r="P289" s="15">
        <f>IF(ISNUMBER('Refsz-Verbräuche'!P124), 'Refsz-Verbräuche'!P124*Emissionsfaktoren!P124/1000, 0)</f>
        <v>0</v>
      </c>
      <c r="Q289" s="15">
        <f>IF(ISNUMBER('Refsz-Verbräuche'!Q124), 'Refsz-Verbräuche'!Q124*Emissionsfaktoren!Q124/1000, 0)</f>
        <v>0</v>
      </c>
      <c r="R289" s="15">
        <f>IF(ISNUMBER('Refsz-Verbräuche'!R124), 'Refsz-Verbräuche'!R124*Emissionsfaktoren!R124/1000, 0)</f>
        <v>0</v>
      </c>
      <c r="S289" s="15">
        <f>IF(ISNUMBER('Refsz-Verbräuche'!S124), 'Refsz-Verbräuche'!S124*Emissionsfaktoren!S124/1000, 0)</f>
        <v>0</v>
      </c>
      <c r="T289" s="15">
        <f>IF(ISNUMBER('Refsz-Verbräuche'!T124), 'Refsz-Verbräuche'!T124*Emissionsfaktoren!T124/1000, 0)</f>
        <v>0</v>
      </c>
      <c r="U289" s="15">
        <f>IF(ISNUMBER('Refsz-Verbräuche'!U124), 'Refsz-Verbräuche'!U124*Emissionsfaktoren!U124/1000, 0)</f>
        <v>0</v>
      </c>
      <c r="V289" s="15">
        <f>IF(ISNUMBER('Refsz-Verbräuche'!V124), 'Refsz-Verbräuche'!V124*Emissionsfaktoren!V124/1000, 0)</f>
        <v>0</v>
      </c>
      <c r="W289" s="15">
        <f>IF(ISNUMBER('Refsz-Verbräuche'!W124), 'Refsz-Verbräuche'!W124*Emissionsfaktoren!W124/1000, 0)</f>
        <v>0</v>
      </c>
      <c r="X289" s="15">
        <f>IF(ISNUMBER('Refsz-Verbräuche'!X124), 'Refsz-Verbräuche'!X124*Emissionsfaktoren!X124/1000, 0)</f>
        <v>0</v>
      </c>
    </row>
    <row r="290" spans="2:24" ht="16.5" hidden="1" x14ac:dyDescent="0.45">
      <c r="B290" s="15">
        <v>65</v>
      </c>
      <c r="C290" s="20" t="str">
        <f>'Refsz-Verbräuche'!C125</f>
        <v>Pendeln - Linienbus (Nahverkehr)</v>
      </c>
      <c r="D290" t="s">
        <v>208</v>
      </c>
      <c r="E290" s="15">
        <f>IF(ISNUMBER('Refsz-Verbräuche'!E125), 'Refsz-Verbräuche'!E125*Emissionsfaktoren!E125/1000, 0)</f>
        <v>0</v>
      </c>
      <c r="F290" s="15">
        <f>IF(ISNUMBER('Refsz-Verbräuche'!F125), 'Refsz-Verbräuche'!F125*Emissionsfaktoren!F125/1000, 0)</f>
        <v>0</v>
      </c>
      <c r="G290" s="15">
        <f>IF(ISNUMBER('Refsz-Verbräuche'!G125), 'Refsz-Verbräuche'!G125*Emissionsfaktoren!G125/1000, 0)</f>
        <v>0</v>
      </c>
      <c r="H290" s="15">
        <f>IF(ISNUMBER('Refsz-Verbräuche'!H125), 'Refsz-Verbräuche'!H125*Emissionsfaktoren!H125/1000, 0)</f>
        <v>0</v>
      </c>
      <c r="I290" s="15">
        <f>IF(ISNUMBER('Refsz-Verbräuche'!I125), 'Refsz-Verbräuche'!I125*Emissionsfaktoren!I125/1000, 0)</f>
        <v>0</v>
      </c>
      <c r="J290" s="15">
        <f>IF(ISNUMBER('Refsz-Verbräuche'!J125), 'Refsz-Verbräuche'!J125*Emissionsfaktoren!J125/1000, 0)</f>
        <v>0</v>
      </c>
      <c r="K290" s="15">
        <f>IF(ISNUMBER('Refsz-Verbräuche'!K125), 'Refsz-Verbräuche'!K125*Emissionsfaktoren!K125/1000, 0)</f>
        <v>0</v>
      </c>
      <c r="L290" s="15">
        <f>IF(ISNUMBER('Refsz-Verbräuche'!L125), 'Refsz-Verbräuche'!L125*Emissionsfaktoren!L125/1000, 0)</f>
        <v>0</v>
      </c>
      <c r="M290" s="15">
        <f>IF(ISNUMBER('Refsz-Verbräuche'!M125), 'Refsz-Verbräuche'!M125*Emissionsfaktoren!M125/1000, 0)</f>
        <v>0</v>
      </c>
      <c r="N290" s="15">
        <f>IF(ISNUMBER('Refsz-Verbräuche'!N125), 'Refsz-Verbräuche'!N125*Emissionsfaktoren!N125/1000, 0)</f>
        <v>0</v>
      </c>
      <c r="O290" s="15">
        <f>IF(ISNUMBER('Refsz-Verbräuche'!O125), 'Refsz-Verbräuche'!O125*Emissionsfaktoren!O125/1000, 0)</f>
        <v>0</v>
      </c>
      <c r="P290" s="15">
        <f>IF(ISNUMBER('Refsz-Verbräuche'!P125), 'Refsz-Verbräuche'!P125*Emissionsfaktoren!P125/1000, 0)</f>
        <v>0</v>
      </c>
      <c r="Q290" s="15">
        <f>IF(ISNUMBER('Refsz-Verbräuche'!Q125), 'Refsz-Verbräuche'!Q125*Emissionsfaktoren!Q125/1000, 0)</f>
        <v>0</v>
      </c>
      <c r="R290" s="15">
        <f>IF(ISNUMBER('Refsz-Verbräuche'!R125), 'Refsz-Verbräuche'!R125*Emissionsfaktoren!R125/1000, 0)</f>
        <v>0</v>
      </c>
      <c r="S290" s="15">
        <f>IF(ISNUMBER('Refsz-Verbräuche'!S125), 'Refsz-Verbräuche'!S125*Emissionsfaktoren!S125/1000, 0)</f>
        <v>0</v>
      </c>
      <c r="T290" s="15">
        <f>IF(ISNUMBER('Refsz-Verbräuche'!T125), 'Refsz-Verbräuche'!T125*Emissionsfaktoren!T125/1000, 0)</f>
        <v>0</v>
      </c>
      <c r="U290" s="15">
        <f>IF(ISNUMBER('Refsz-Verbräuche'!U125), 'Refsz-Verbräuche'!U125*Emissionsfaktoren!U125/1000, 0)</f>
        <v>0</v>
      </c>
      <c r="V290" s="15">
        <f>IF(ISNUMBER('Refsz-Verbräuche'!V125), 'Refsz-Verbräuche'!V125*Emissionsfaktoren!V125/1000, 0)</f>
        <v>0</v>
      </c>
      <c r="W290" s="15">
        <f>IF(ISNUMBER('Refsz-Verbräuche'!W125), 'Refsz-Verbräuche'!W125*Emissionsfaktoren!W125/1000, 0)</f>
        <v>0</v>
      </c>
      <c r="X290" s="15">
        <f>IF(ISNUMBER('Refsz-Verbräuche'!X125), 'Refsz-Verbräuche'!X125*Emissionsfaktoren!X125/1000, 0)</f>
        <v>0</v>
      </c>
    </row>
    <row r="291" spans="2:24" ht="16.5" hidden="1" x14ac:dyDescent="0.45">
      <c r="B291" s="15">
        <v>66</v>
      </c>
      <c r="C291" s="20" t="str">
        <f>'Refsz-Verbräuche'!C126</f>
        <v>Pendeln - PKW (alle Antriebsarten)</v>
      </c>
      <c r="D291" t="s">
        <v>208</v>
      </c>
      <c r="E291" s="15">
        <f>IF(ISNUMBER('Refsz-Verbräuche'!E126), 'Refsz-Verbräuche'!E126*Emissionsfaktoren!E126/1000, 0)</f>
        <v>0</v>
      </c>
      <c r="F291" s="15">
        <f>IF(ISNUMBER('Refsz-Verbräuche'!F126), 'Refsz-Verbräuche'!F126*Emissionsfaktoren!F126/1000, 0)</f>
        <v>0</v>
      </c>
      <c r="G291" s="15">
        <f>IF(ISNUMBER('Refsz-Verbräuche'!G126), 'Refsz-Verbräuche'!G126*Emissionsfaktoren!G126/1000, 0)</f>
        <v>0</v>
      </c>
      <c r="H291" s="15">
        <f>IF(ISNUMBER('Refsz-Verbräuche'!H126), 'Refsz-Verbräuche'!H126*Emissionsfaktoren!H126/1000, 0)</f>
        <v>0</v>
      </c>
      <c r="I291" s="15">
        <f>IF(ISNUMBER('Refsz-Verbräuche'!I126), 'Refsz-Verbräuche'!I126*Emissionsfaktoren!I126/1000, 0)</f>
        <v>0</v>
      </c>
      <c r="J291" s="15">
        <f>IF(ISNUMBER('Refsz-Verbräuche'!J126), 'Refsz-Verbräuche'!J126*Emissionsfaktoren!J126/1000, 0)</f>
        <v>0</v>
      </c>
      <c r="K291" s="15">
        <f>IF(ISNUMBER('Refsz-Verbräuche'!K126), 'Refsz-Verbräuche'!K126*Emissionsfaktoren!K126/1000, 0)</f>
        <v>0</v>
      </c>
      <c r="L291" s="15">
        <f>IF(ISNUMBER('Refsz-Verbräuche'!L126), 'Refsz-Verbräuche'!L126*Emissionsfaktoren!L126/1000, 0)</f>
        <v>0</v>
      </c>
      <c r="M291" s="15">
        <f>IF(ISNUMBER('Refsz-Verbräuche'!M126), 'Refsz-Verbräuche'!M126*Emissionsfaktoren!M126/1000, 0)</f>
        <v>0</v>
      </c>
      <c r="N291" s="15">
        <f>IF(ISNUMBER('Refsz-Verbräuche'!N126), 'Refsz-Verbräuche'!N126*Emissionsfaktoren!N126/1000, 0)</f>
        <v>0</v>
      </c>
      <c r="O291" s="15">
        <f>IF(ISNUMBER('Refsz-Verbräuche'!O126), 'Refsz-Verbräuche'!O126*Emissionsfaktoren!O126/1000, 0)</f>
        <v>0</v>
      </c>
      <c r="P291" s="15">
        <f>IF(ISNUMBER('Refsz-Verbräuche'!P126), 'Refsz-Verbräuche'!P126*Emissionsfaktoren!P126/1000, 0)</f>
        <v>0</v>
      </c>
      <c r="Q291" s="15">
        <f>IF(ISNUMBER('Refsz-Verbräuche'!Q126), 'Refsz-Verbräuche'!Q126*Emissionsfaktoren!Q126/1000, 0)</f>
        <v>0</v>
      </c>
      <c r="R291" s="15">
        <f>IF(ISNUMBER('Refsz-Verbräuche'!R126), 'Refsz-Verbräuche'!R126*Emissionsfaktoren!R126/1000, 0)</f>
        <v>0</v>
      </c>
      <c r="S291" s="15">
        <f>IF(ISNUMBER('Refsz-Verbräuche'!S126), 'Refsz-Verbräuche'!S126*Emissionsfaktoren!S126/1000, 0)</f>
        <v>0</v>
      </c>
      <c r="T291" s="15">
        <f>IF(ISNUMBER('Refsz-Verbräuche'!T126), 'Refsz-Verbräuche'!T126*Emissionsfaktoren!T126/1000, 0)</f>
        <v>0</v>
      </c>
      <c r="U291" s="15">
        <f>IF(ISNUMBER('Refsz-Verbräuche'!U126), 'Refsz-Verbräuche'!U126*Emissionsfaktoren!U126/1000, 0)</f>
        <v>0</v>
      </c>
      <c r="V291" s="15">
        <f>IF(ISNUMBER('Refsz-Verbräuche'!V126), 'Refsz-Verbräuche'!V126*Emissionsfaktoren!V126/1000, 0)</f>
        <v>0</v>
      </c>
      <c r="W291" s="15">
        <f>IF(ISNUMBER('Refsz-Verbräuche'!W126), 'Refsz-Verbräuche'!W126*Emissionsfaktoren!W126/1000, 0)</f>
        <v>0</v>
      </c>
      <c r="X291" s="15">
        <f>IF(ISNUMBER('Refsz-Verbräuche'!X126), 'Refsz-Verbräuche'!X126*Emissionsfaktoren!X126/1000, 0)</f>
        <v>0</v>
      </c>
    </row>
    <row r="292" spans="2:24" ht="16.5" hidden="1" x14ac:dyDescent="0.45">
      <c r="B292" s="15">
        <v>67</v>
      </c>
      <c r="C292" s="20" t="str">
        <f>'Refsz-Verbräuche'!C127</f>
        <v>Pendeln - PKW (Diesel)</v>
      </c>
      <c r="D292" t="s">
        <v>208</v>
      </c>
      <c r="E292" s="15">
        <f>IF(ISNUMBER('Refsz-Verbräuche'!E127), 'Refsz-Verbräuche'!E127*Emissionsfaktoren!E127/1000, 0)</f>
        <v>0</v>
      </c>
      <c r="F292" s="15">
        <f>IF(ISNUMBER('Refsz-Verbräuche'!F127), 'Refsz-Verbräuche'!F127*Emissionsfaktoren!F127/1000, 0)</f>
        <v>0</v>
      </c>
      <c r="G292" s="15">
        <f>IF(ISNUMBER('Refsz-Verbräuche'!G127), 'Refsz-Verbräuche'!G127*Emissionsfaktoren!G127/1000, 0)</f>
        <v>0</v>
      </c>
      <c r="H292" s="15">
        <f>IF(ISNUMBER('Refsz-Verbräuche'!H127), 'Refsz-Verbräuche'!H127*Emissionsfaktoren!H127/1000, 0)</f>
        <v>0</v>
      </c>
      <c r="I292" s="15">
        <f>IF(ISNUMBER('Refsz-Verbräuche'!I127), 'Refsz-Verbräuche'!I127*Emissionsfaktoren!I127/1000, 0)</f>
        <v>0</v>
      </c>
      <c r="J292" s="15">
        <f>IF(ISNUMBER('Refsz-Verbräuche'!J127), 'Refsz-Verbräuche'!J127*Emissionsfaktoren!J127/1000, 0)</f>
        <v>0</v>
      </c>
      <c r="K292" s="15">
        <f>IF(ISNUMBER('Refsz-Verbräuche'!K127), 'Refsz-Verbräuche'!K127*Emissionsfaktoren!K127/1000, 0)</f>
        <v>0</v>
      </c>
      <c r="L292" s="15">
        <f>IF(ISNUMBER('Refsz-Verbräuche'!L127), 'Refsz-Verbräuche'!L127*Emissionsfaktoren!L127/1000, 0)</f>
        <v>0</v>
      </c>
      <c r="M292" s="15">
        <f>IF(ISNUMBER('Refsz-Verbräuche'!M127), 'Refsz-Verbräuche'!M127*Emissionsfaktoren!M127/1000, 0)</f>
        <v>0</v>
      </c>
      <c r="N292" s="15">
        <f>IF(ISNUMBER('Refsz-Verbräuche'!N127), 'Refsz-Verbräuche'!N127*Emissionsfaktoren!N127/1000, 0)</f>
        <v>0</v>
      </c>
      <c r="O292" s="15">
        <f>IF(ISNUMBER('Refsz-Verbräuche'!O127), 'Refsz-Verbräuche'!O127*Emissionsfaktoren!O127/1000, 0)</f>
        <v>0</v>
      </c>
      <c r="P292" s="15">
        <f>IF(ISNUMBER('Refsz-Verbräuche'!P127), 'Refsz-Verbräuche'!P127*Emissionsfaktoren!P127/1000, 0)</f>
        <v>0</v>
      </c>
      <c r="Q292" s="15">
        <f>IF(ISNUMBER('Refsz-Verbräuche'!Q127), 'Refsz-Verbräuche'!Q127*Emissionsfaktoren!Q127/1000, 0)</f>
        <v>0</v>
      </c>
      <c r="R292" s="15">
        <f>IF(ISNUMBER('Refsz-Verbräuche'!R127), 'Refsz-Verbräuche'!R127*Emissionsfaktoren!R127/1000, 0)</f>
        <v>0</v>
      </c>
      <c r="S292" s="15">
        <f>IF(ISNUMBER('Refsz-Verbräuche'!S127), 'Refsz-Verbräuche'!S127*Emissionsfaktoren!S127/1000, 0)</f>
        <v>0</v>
      </c>
      <c r="T292" s="15">
        <f>IF(ISNUMBER('Refsz-Verbräuche'!T127), 'Refsz-Verbräuche'!T127*Emissionsfaktoren!T127/1000, 0)</f>
        <v>0</v>
      </c>
      <c r="U292" s="15">
        <f>IF(ISNUMBER('Refsz-Verbräuche'!U127), 'Refsz-Verbräuche'!U127*Emissionsfaktoren!U127/1000, 0)</f>
        <v>0</v>
      </c>
      <c r="V292" s="15">
        <f>IF(ISNUMBER('Refsz-Verbräuche'!V127), 'Refsz-Verbräuche'!V127*Emissionsfaktoren!V127/1000, 0)</f>
        <v>0</v>
      </c>
      <c r="W292" s="15">
        <f>IF(ISNUMBER('Refsz-Verbräuche'!W127), 'Refsz-Verbräuche'!W127*Emissionsfaktoren!W127/1000, 0)</f>
        <v>0</v>
      </c>
      <c r="X292" s="15">
        <f>IF(ISNUMBER('Refsz-Verbräuche'!X127), 'Refsz-Verbräuche'!X127*Emissionsfaktoren!X127/1000, 0)</f>
        <v>0</v>
      </c>
    </row>
    <row r="293" spans="2:24" ht="16.5" hidden="1" x14ac:dyDescent="0.45">
      <c r="B293" s="15">
        <v>68</v>
      </c>
      <c r="C293" s="20" t="str">
        <f>'Refsz-Verbräuche'!C128</f>
        <v>Pendeln - PKW (Benzin)</v>
      </c>
      <c r="D293" t="s">
        <v>208</v>
      </c>
      <c r="E293" s="15">
        <f>IF(ISNUMBER('Refsz-Verbräuche'!E128), 'Refsz-Verbräuche'!E128*Emissionsfaktoren!E128/1000, 0)</f>
        <v>0</v>
      </c>
      <c r="F293" s="15">
        <f>IF(ISNUMBER('Refsz-Verbräuche'!F128), 'Refsz-Verbräuche'!F128*Emissionsfaktoren!F128/1000, 0)</f>
        <v>0</v>
      </c>
      <c r="G293" s="15">
        <f>IF(ISNUMBER('Refsz-Verbräuche'!G128), 'Refsz-Verbräuche'!G128*Emissionsfaktoren!G128/1000, 0)</f>
        <v>0</v>
      </c>
      <c r="H293" s="15">
        <f>IF(ISNUMBER('Refsz-Verbräuche'!H128), 'Refsz-Verbräuche'!H128*Emissionsfaktoren!H128/1000, 0)</f>
        <v>0</v>
      </c>
      <c r="I293" s="15">
        <f>IF(ISNUMBER('Refsz-Verbräuche'!I128), 'Refsz-Verbräuche'!I128*Emissionsfaktoren!I128/1000, 0)</f>
        <v>0</v>
      </c>
      <c r="J293" s="15">
        <f>IF(ISNUMBER('Refsz-Verbräuche'!J128), 'Refsz-Verbräuche'!J128*Emissionsfaktoren!J128/1000, 0)</f>
        <v>0</v>
      </c>
      <c r="K293" s="15">
        <f>IF(ISNUMBER('Refsz-Verbräuche'!K128), 'Refsz-Verbräuche'!K128*Emissionsfaktoren!K128/1000, 0)</f>
        <v>0</v>
      </c>
      <c r="L293" s="15">
        <f>IF(ISNUMBER('Refsz-Verbräuche'!L128), 'Refsz-Verbräuche'!L128*Emissionsfaktoren!L128/1000, 0)</f>
        <v>0</v>
      </c>
      <c r="M293" s="15">
        <f>IF(ISNUMBER('Refsz-Verbräuche'!M128), 'Refsz-Verbräuche'!M128*Emissionsfaktoren!M128/1000, 0)</f>
        <v>0</v>
      </c>
      <c r="N293" s="15">
        <f>IF(ISNUMBER('Refsz-Verbräuche'!N128), 'Refsz-Verbräuche'!N128*Emissionsfaktoren!N128/1000, 0)</f>
        <v>0</v>
      </c>
      <c r="O293" s="15">
        <f>IF(ISNUMBER('Refsz-Verbräuche'!O128), 'Refsz-Verbräuche'!O128*Emissionsfaktoren!O128/1000, 0)</f>
        <v>0</v>
      </c>
      <c r="P293" s="15">
        <f>IF(ISNUMBER('Refsz-Verbräuche'!P128), 'Refsz-Verbräuche'!P128*Emissionsfaktoren!P128/1000, 0)</f>
        <v>0</v>
      </c>
      <c r="Q293" s="15">
        <f>IF(ISNUMBER('Refsz-Verbräuche'!Q128), 'Refsz-Verbräuche'!Q128*Emissionsfaktoren!Q128/1000, 0)</f>
        <v>0</v>
      </c>
      <c r="R293" s="15">
        <f>IF(ISNUMBER('Refsz-Verbräuche'!R128), 'Refsz-Verbräuche'!R128*Emissionsfaktoren!R128/1000, 0)</f>
        <v>0</v>
      </c>
      <c r="S293" s="15">
        <f>IF(ISNUMBER('Refsz-Verbräuche'!S128), 'Refsz-Verbräuche'!S128*Emissionsfaktoren!S128/1000, 0)</f>
        <v>0</v>
      </c>
      <c r="T293" s="15">
        <f>IF(ISNUMBER('Refsz-Verbräuche'!T128), 'Refsz-Verbräuche'!T128*Emissionsfaktoren!T128/1000, 0)</f>
        <v>0</v>
      </c>
      <c r="U293" s="15">
        <f>IF(ISNUMBER('Refsz-Verbräuche'!U128), 'Refsz-Verbräuche'!U128*Emissionsfaktoren!U128/1000, 0)</f>
        <v>0</v>
      </c>
      <c r="V293" s="15">
        <f>IF(ISNUMBER('Refsz-Verbräuche'!V128), 'Refsz-Verbräuche'!V128*Emissionsfaktoren!V128/1000, 0)</f>
        <v>0</v>
      </c>
      <c r="W293" s="15">
        <f>IF(ISNUMBER('Refsz-Verbräuche'!W128), 'Refsz-Verbräuche'!W128*Emissionsfaktoren!W128/1000, 0)</f>
        <v>0</v>
      </c>
      <c r="X293" s="15">
        <f>IF(ISNUMBER('Refsz-Verbräuche'!X128), 'Refsz-Verbräuche'!X128*Emissionsfaktoren!X128/1000, 0)</f>
        <v>0</v>
      </c>
    </row>
    <row r="294" spans="2:24" ht="16.5" hidden="1" x14ac:dyDescent="0.45">
      <c r="B294" s="15">
        <v>69</v>
      </c>
      <c r="C294" s="20" t="str">
        <f>'Refsz-Verbräuche'!C129</f>
        <v>Pendeln - PKW (E-Auto/ BEV)</v>
      </c>
      <c r="D294" t="s">
        <v>208</v>
      </c>
      <c r="E294" s="15">
        <f>IF(ISNUMBER('Refsz-Verbräuche'!E129), 'Refsz-Verbräuche'!E129*Emissionsfaktoren!E129/1000, 0)</f>
        <v>0</v>
      </c>
      <c r="F294" s="15">
        <f>IF(ISNUMBER('Refsz-Verbräuche'!F129), 'Refsz-Verbräuche'!F129*Emissionsfaktoren!F129/1000, 0)</f>
        <v>0</v>
      </c>
      <c r="G294" s="15">
        <f>IF(ISNUMBER('Refsz-Verbräuche'!G129), 'Refsz-Verbräuche'!G129*Emissionsfaktoren!G129/1000, 0)</f>
        <v>0</v>
      </c>
      <c r="H294" s="15">
        <f>IF(ISNUMBER('Refsz-Verbräuche'!H129), 'Refsz-Verbräuche'!H129*Emissionsfaktoren!H129/1000, 0)</f>
        <v>0</v>
      </c>
      <c r="I294" s="15">
        <f>IF(ISNUMBER('Refsz-Verbräuche'!I129), 'Refsz-Verbräuche'!I129*Emissionsfaktoren!I129/1000, 0)</f>
        <v>0</v>
      </c>
      <c r="J294" s="15">
        <f>IF(ISNUMBER('Refsz-Verbräuche'!J129), 'Refsz-Verbräuche'!J129*Emissionsfaktoren!J129/1000, 0)</f>
        <v>0</v>
      </c>
      <c r="K294" s="15">
        <f>IF(ISNUMBER('Refsz-Verbräuche'!K129), 'Refsz-Verbräuche'!K129*Emissionsfaktoren!K129/1000, 0)</f>
        <v>0</v>
      </c>
      <c r="L294" s="15">
        <f>IF(ISNUMBER('Refsz-Verbräuche'!L129), 'Refsz-Verbräuche'!L129*Emissionsfaktoren!L129/1000, 0)</f>
        <v>0</v>
      </c>
      <c r="M294" s="15">
        <f>IF(ISNUMBER('Refsz-Verbräuche'!M129), 'Refsz-Verbräuche'!M129*Emissionsfaktoren!M129/1000, 0)</f>
        <v>0</v>
      </c>
      <c r="N294" s="15">
        <f>IF(ISNUMBER('Refsz-Verbräuche'!N129), 'Refsz-Verbräuche'!N129*Emissionsfaktoren!N129/1000, 0)</f>
        <v>0</v>
      </c>
      <c r="O294" s="15">
        <f>IF(ISNUMBER('Refsz-Verbräuche'!O129), 'Refsz-Verbräuche'!O129*Emissionsfaktoren!O129/1000, 0)</f>
        <v>0</v>
      </c>
      <c r="P294" s="15">
        <f>IF(ISNUMBER('Refsz-Verbräuche'!P129), 'Refsz-Verbräuche'!P129*Emissionsfaktoren!P129/1000, 0)</f>
        <v>0</v>
      </c>
      <c r="Q294" s="15">
        <f>IF(ISNUMBER('Refsz-Verbräuche'!Q129), 'Refsz-Verbräuche'!Q129*Emissionsfaktoren!Q129/1000, 0)</f>
        <v>0</v>
      </c>
      <c r="R294" s="15">
        <f>IF(ISNUMBER('Refsz-Verbräuche'!R129), 'Refsz-Verbräuche'!R129*Emissionsfaktoren!R129/1000, 0)</f>
        <v>0</v>
      </c>
      <c r="S294" s="15">
        <f>IF(ISNUMBER('Refsz-Verbräuche'!S129), 'Refsz-Verbräuche'!S129*Emissionsfaktoren!S129/1000, 0)</f>
        <v>0</v>
      </c>
      <c r="T294" s="15">
        <f>IF(ISNUMBER('Refsz-Verbräuche'!T129), 'Refsz-Verbräuche'!T129*Emissionsfaktoren!T129/1000, 0)</f>
        <v>0</v>
      </c>
      <c r="U294" s="15">
        <f>IF(ISNUMBER('Refsz-Verbräuche'!U129), 'Refsz-Verbräuche'!U129*Emissionsfaktoren!U129/1000, 0)</f>
        <v>0</v>
      </c>
      <c r="V294" s="15">
        <f>IF(ISNUMBER('Refsz-Verbräuche'!V129), 'Refsz-Verbräuche'!V129*Emissionsfaktoren!V129/1000, 0)</f>
        <v>0</v>
      </c>
      <c r="W294" s="15">
        <f>IF(ISNUMBER('Refsz-Verbräuche'!W129), 'Refsz-Verbräuche'!W129*Emissionsfaktoren!W129/1000, 0)</f>
        <v>0</v>
      </c>
      <c r="X294" s="15">
        <f>IF(ISNUMBER('Refsz-Verbräuche'!X129), 'Refsz-Verbräuche'!X129*Emissionsfaktoren!X129/1000, 0)</f>
        <v>0</v>
      </c>
    </row>
    <row r="295" spans="2:24" ht="16.5" hidden="1" x14ac:dyDescent="0.45">
      <c r="B295" s="15">
        <v>70</v>
      </c>
      <c r="C295" s="20" t="str">
        <f>'Refsz-Verbräuche'!C130</f>
        <v>Pendeln - PKW (Wasserstoff/ FCEV)</v>
      </c>
      <c r="D295" t="s">
        <v>208</v>
      </c>
      <c r="E295" s="15">
        <f>IF(ISNUMBER('Refsz-Verbräuche'!E130), 'Refsz-Verbräuche'!E130*Emissionsfaktoren!E130/1000, 0)</f>
        <v>0</v>
      </c>
      <c r="F295" s="15">
        <f>IF(ISNUMBER('Refsz-Verbräuche'!F130), 'Refsz-Verbräuche'!F130*Emissionsfaktoren!F130/1000, 0)</f>
        <v>0</v>
      </c>
      <c r="G295" s="15">
        <f>IF(ISNUMBER('Refsz-Verbräuche'!G130), 'Refsz-Verbräuche'!G130*Emissionsfaktoren!G130/1000, 0)</f>
        <v>0</v>
      </c>
      <c r="H295" s="15">
        <f>IF(ISNUMBER('Refsz-Verbräuche'!H130), 'Refsz-Verbräuche'!H130*Emissionsfaktoren!H130/1000, 0)</f>
        <v>0</v>
      </c>
      <c r="I295" s="15">
        <f>IF(ISNUMBER('Refsz-Verbräuche'!I130), 'Refsz-Verbräuche'!I130*Emissionsfaktoren!I130/1000, 0)</f>
        <v>0</v>
      </c>
      <c r="J295" s="15">
        <f>IF(ISNUMBER('Refsz-Verbräuche'!J130), 'Refsz-Verbräuche'!J130*Emissionsfaktoren!J130/1000, 0)</f>
        <v>0</v>
      </c>
      <c r="K295" s="15">
        <f>IF(ISNUMBER('Refsz-Verbräuche'!K130), 'Refsz-Verbräuche'!K130*Emissionsfaktoren!K130/1000, 0)</f>
        <v>0</v>
      </c>
      <c r="L295" s="15">
        <f>IF(ISNUMBER('Refsz-Verbräuche'!L130), 'Refsz-Verbräuche'!L130*Emissionsfaktoren!L130/1000, 0)</f>
        <v>0</v>
      </c>
      <c r="M295" s="15">
        <f>IF(ISNUMBER('Refsz-Verbräuche'!M130), 'Refsz-Verbräuche'!M130*Emissionsfaktoren!M130/1000, 0)</f>
        <v>0</v>
      </c>
      <c r="N295" s="15">
        <f>IF(ISNUMBER('Refsz-Verbräuche'!N130), 'Refsz-Verbräuche'!N130*Emissionsfaktoren!N130/1000, 0)</f>
        <v>0</v>
      </c>
      <c r="O295" s="15">
        <f>IF(ISNUMBER('Refsz-Verbräuche'!O130), 'Refsz-Verbräuche'!O130*Emissionsfaktoren!O130/1000, 0)</f>
        <v>0</v>
      </c>
      <c r="P295" s="15">
        <f>IF(ISNUMBER('Refsz-Verbräuche'!P130), 'Refsz-Verbräuche'!P130*Emissionsfaktoren!P130/1000, 0)</f>
        <v>0</v>
      </c>
      <c r="Q295" s="15">
        <f>IF(ISNUMBER('Refsz-Verbräuche'!Q130), 'Refsz-Verbräuche'!Q130*Emissionsfaktoren!Q130/1000, 0)</f>
        <v>0</v>
      </c>
      <c r="R295" s="15">
        <f>IF(ISNUMBER('Refsz-Verbräuche'!R130), 'Refsz-Verbräuche'!R130*Emissionsfaktoren!R130/1000, 0)</f>
        <v>0</v>
      </c>
      <c r="S295" s="15">
        <f>IF(ISNUMBER('Refsz-Verbräuche'!S130), 'Refsz-Verbräuche'!S130*Emissionsfaktoren!S130/1000, 0)</f>
        <v>0</v>
      </c>
      <c r="T295" s="15">
        <f>IF(ISNUMBER('Refsz-Verbräuche'!T130), 'Refsz-Verbräuche'!T130*Emissionsfaktoren!T130/1000, 0)</f>
        <v>0</v>
      </c>
      <c r="U295" s="15">
        <f>IF(ISNUMBER('Refsz-Verbräuche'!U130), 'Refsz-Verbräuche'!U130*Emissionsfaktoren!U130/1000, 0)</f>
        <v>0</v>
      </c>
      <c r="V295" s="15">
        <f>IF(ISNUMBER('Refsz-Verbräuche'!V130), 'Refsz-Verbräuche'!V130*Emissionsfaktoren!V130/1000, 0)</f>
        <v>0</v>
      </c>
      <c r="W295" s="15">
        <f>IF(ISNUMBER('Refsz-Verbräuche'!W130), 'Refsz-Verbräuche'!W130*Emissionsfaktoren!W130/1000, 0)</f>
        <v>0</v>
      </c>
      <c r="X295" s="15">
        <f>IF(ISNUMBER('Refsz-Verbräuche'!X130), 'Refsz-Verbräuche'!X130*Emissionsfaktoren!X130/1000, 0)</f>
        <v>0</v>
      </c>
    </row>
    <row r="296" spans="2:24" ht="16.5" hidden="1" x14ac:dyDescent="0.45">
      <c r="B296" s="15">
        <v>71</v>
      </c>
      <c r="C296" s="20" t="str">
        <f>'Refsz-Verbräuche'!C131</f>
        <v>Pendeln - PKW (CNG)</v>
      </c>
      <c r="D296" t="s">
        <v>208</v>
      </c>
      <c r="E296" s="15">
        <f>IF(ISNUMBER('Refsz-Verbräuche'!E131), 'Refsz-Verbräuche'!E131*Emissionsfaktoren!E131/1000, 0)</f>
        <v>0</v>
      </c>
      <c r="F296" s="15">
        <f>IF(ISNUMBER('Refsz-Verbräuche'!F131), 'Refsz-Verbräuche'!F131*Emissionsfaktoren!F131/1000, 0)</f>
        <v>0</v>
      </c>
      <c r="G296" s="15">
        <f>IF(ISNUMBER('Refsz-Verbräuche'!G131), 'Refsz-Verbräuche'!G131*Emissionsfaktoren!G131/1000, 0)</f>
        <v>0</v>
      </c>
      <c r="H296" s="15">
        <f>IF(ISNUMBER('Refsz-Verbräuche'!H131), 'Refsz-Verbräuche'!H131*Emissionsfaktoren!H131/1000, 0)</f>
        <v>0</v>
      </c>
      <c r="I296" s="15">
        <f>IF(ISNUMBER('Refsz-Verbräuche'!I131), 'Refsz-Verbräuche'!I131*Emissionsfaktoren!I131/1000, 0)</f>
        <v>0</v>
      </c>
      <c r="J296" s="15">
        <f>IF(ISNUMBER('Refsz-Verbräuche'!J131), 'Refsz-Verbräuche'!J131*Emissionsfaktoren!J131/1000, 0)</f>
        <v>0</v>
      </c>
      <c r="K296" s="15">
        <f>IF(ISNUMBER('Refsz-Verbräuche'!K131), 'Refsz-Verbräuche'!K131*Emissionsfaktoren!K131/1000, 0)</f>
        <v>0</v>
      </c>
      <c r="L296" s="15">
        <f>IF(ISNUMBER('Refsz-Verbräuche'!L131), 'Refsz-Verbräuche'!L131*Emissionsfaktoren!L131/1000, 0)</f>
        <v>0</v>
      </c>
      <c r="M296" s="15">
        <f>IF(ISNUMBER('Refsz-Verbräuche'!M131), 'Refsz-Verbräuche'!M131*Emissionsfaktoren!M131/1000, 0)</f>
        <v>0</v>
      </c>
      <c r="N296" s="15">
        <f>IF(ISNUMBER('Refsz-Verbräuche'!N131), 'Refsz-Verbräuche'!N131*Emissionsfaktoren!N131/1000, 0)</f>
        <v>0</v>
      </c>
      <c r="O296" s="15">
        <f>IF(ISNUMBER('Refsz-Verbräuche'!O131), 'Refsz-Verbräuche'!O131*Emissionsfaktoren!O131/1000, 0)</f>
        <v>0</v>
      </c>
      <c r="P296" s="15">
        <f>IF(ISNUMBER('Refsz-Verbräuche'!P131), 'Refsz-Verbräuche'!P131*Emissionsfaktoren!P131/1000, 0)</f>
        <v>0</v>
      </c>
      <c r="Q296" s="15">
        <f>IF(ISNUMBER('Refsz-Verbräuche'!Q131), 'Refsz-Verbräuche'!Q131*Emissionsfaktoren!Q131/1000, 0)</f>
        <v>0</v>
      </c>
      <c r="R296" s="15">
        <f>IF(ISNUMBER('Refsz-Verbräuche'!R131), 'Refsz-Verbräuche'!R131*Emissionsfaktoren!R131/1000, 0)</f>
        <v>0</v>
      </c>
      <c r="S296" s="15">
        <f>IF(ISNUMBER('Refsz-Verbräuche'!S131), 'Refsz-Verbräuche'!S131*Emissionsfaktoren!S131/1000, 0)</f>
        <v>0</v>
      </c>
      <c r="T296" s="15">
        <f>IF(ISNUMBER('Refsz-Verbräuche'!T131), 'Refsz-Verbräuche'!T131*Emissionsfaktoren!T131/1000, 0)</f>
        <v>0</v>
      </c>
      <c r="U296" s="15">
        <f>IF(ISNUMBER('Refsz-Verbräuche'!U131), 'Refsz-Verbräuche'!U131*Emissionsfaktoren!U131/1000, 0)</f>
        <v>0</v>
      </c>
      <c r="V296" s="15">
        <f>IF(ISNUMBER('Refsz-Verbräuche'!V131), 'Refsz-Verbräuche'!V131*Emissionsfaktoren!V131/1000, 0)</f>
        <v>0</v>
      </c>
      <c r="W296" s="15">
        <f>IF(ISNUMBER('Refsz-Verbräuche'!W131), 'Refsz-Verbräuche'!W131*Emissionsfaktoren!W131/1000, 0)</f>
        <v>0</v>
      </c>
      <c r="X296" s="15">
        <f>IF(ISNUMBER('Refsz-Verbräuche'!X131), 'Refsz-Verbräuche'!X131*Emissionsfaktoren!X131/1000, 0)</f>
        <v>0</v>
      </c>
    </row>
    <row r="297" spans="2:24" ht="16.5" hidden="1" x14ac:dyDescent="0.45">
      <c r="B297" s="15">
        <v>72</v>
      </c>
      <c r="C297" s="20" t="str">
        <f>'Refsz-Verbräuche'!C132</f>
        <v>Pendeln - PKW (Plug-In-Hybrid/PHEV)</v>
      </c>
      <c r="D297" t="s">
        <v>208</v>
      </c>
      <c r="E297" s="15">
        <f>IF(ISNUMBER('Refsz-Verbräuche'!E132), 'Refsz-Verbräuche'!E132*Emissionsfaktoren!E132/1000, 0)</f>
        <v>0</v>
      </c>
      <c r="F297" s="15">
        <f>IF(ISNUMBER('Refsz-Verbräuche'!F132), 'Refsz-Verbräuche'!F132*Emissionsfaktoren!F132/1000, 0)</f>
        <v>0</v>
      </c>
      <c r="G297" s="15">
        <f>IF(ISNUMBER('Refsz-Verbräuche'!G132), 'Refsz-Verbräuche'!G132*Emissionsfaktoren!G132/1000, 0)</f>
        <v>0</v>
      </c>
      <c r="H297" s="15">
        <f>IF(ISNUMBER('Refsz-Verbräuche'!H132), 'Refsz-Verbräuche'!H132*Emissionsfaktoren!H132/1000, 0)</f>
        <v>0</v>
      </c>
      <c r="I297" s="15">
        <f>IF(ISNUMBER('Refsz-Verbräuche'!I132), 'Refsz-Verbräuche'!I132*Emissionsfaktoren!I132/1000, 0)</f>
        <v>0</v>
      </c>
      <c r="J297" s="15">
        <f>IF(ISNUMBER('Refsz-Verbräuche'!J132), 'Refsz-Verbräuche'!J132*Emissionsfaktoren!J132/1000, 0)</f>
        <v>0</v>
      </c>
      <c r="K297" s="15">
        <f>IF(ISNUMBER('Refsz-Verbräuche'!K132), 'Refsz-Verbräuche'!K132*Emissionsfaktoren!K132/1000, 0)</f>
        <v>0</v>
      </c>
      <c r="L297" s="15">
        <f>IF(ISNUMBER('Refsz-Verbräuche'!L132), 'Refsz-Verbräuche'!L132*Emissionsfaktoren!L132/1000, 0)</f>
        <v>0</v>
      </c>
      <c r="M297" s="15">
        <f>IF(ISNUMBER('Refsz-Verbräuche'!M132), 'Refsz-Verbräuche'!M132*Emissionsfaktoren!M132/1000, 0)</f>
        <v>0</v>
      </c>
      <c r="N297" s="15">
        <f>IF(ISNUMBER('Refsz-Verbräuche'!N132), 'Refsz-Verbräuche'!N132*Emissionsfaktoren!N132/1000, 0)</f>
        <v>0</v>
      </c>
      <c r="O297" s="15">
        <f>IF(ISNUMBER('Refsz-Verbräuche'!O132), 'Refsz-Verbräuche'!O132*Emissionsfaktoren!O132/1000, 0)</f>
        <v>0</v>
      </c>
      <c r="P297" s="15">
        <f>IF(ISNUMBER('Refsz-Verbräuche'!P132), 'Refsz-Verbräuche'!P132*Emissionsfaktoren!P132/1000, 0)</f>
        <v>0</v>
      </c>
      <c r="Q297" s="15">
        <f>IF(ISNUMBER('Refsz-Verbräuche'!Q132), 'Refsz-Verbräuche'!Q132*Emissionsfaktoren!Q132/1000, 0)</f>
        <v>0</v>
      </c>
      <c r="R297" s="15">
        <f>IF(ISNUMBER('Refsz-Verbräuche'!R132), 'Refsz-Verbräuche'!R132*Emissionsfaktoren!R132/1000, 0)</f>
        <v>0</v>
      </c>
      <c r="S297" s="15">
        <f>IF(ISNUMBER('Refsz-Verbräuche'!S132), 'Refsz-Verbräuche'!S132*Emissionsfaktoren!S132/1000, 0)</f>
        <v>0</v>
      </c>
      <c r="T297" s="15">
        <f>IF(ISNUMBER('Refsz-Verbräuche'!T132), 'Refsz-Verbräuche'!T132*Emissionsfaktoren!T132/1000, 0)</f>
        <v>0</v>
      </c>
      <c r="U297" s="15">
        <f>IF(ISNUMBER('Refsz-Verbräuche'!U132), 'Refsz-Verbräuche'!U132*Emissionsfaktoren!U132/1000, 0)</f>
        <v>0</v>
      </c>
      <c r="V297" s="15">
        <f>IF(ISNUMBER('Refsz-Verbräuche'!V132), 'Refsz-Verbräuche'!V132*Emissionsfaktoren!V132/1000, 0)</f>
        <v>0</v>
      </c>
      <c r="W297" s="15">
        <f>IF(ISNUMBER('Refsz-Verbräuche'!W132), 'Refsz-Verbräuche'!W132*Emissionsfaktoren!W132/1000, 0)</f>
        <v>0</v>
      </c>
      <c r="X297" s="15">
        <f>IF(ISNUMBER('Refsz-Verbräuche'!X132), 'Refsz-Verbräuche'!X132*Emissionsfaktoren!X132/1000, 0)</f>
        <v>0</v>
      </c>
    </row>
    <row r="298" spans="2:24" ht="16.5" hidden="1" x14ac:dyDescent="0.45">
      <c r="B298" s="15">
        <v>73</v>
      </c>
      <c r="C298" s="20" t="str">
        <f>'Refsz-Verbräuche'!C133</f>
        <v>Pendeln - Motorisierte Zweiräder</v>
      </c>
      <c r="D298" t="s">
        <v>208</v>
      </c>
      <c r="E298" s="15">
        <f>IF(ISNUMBER('Refsz-Verbräuche'!E133), 'Refsz-Verbräuche'!E133*Emissionsfaktoren!E133/1000, 0)</f>
        <v>0</v>
      </c>
      <c r="F298" s="15">
        <f>IF(ISNUMBER('Refsz-Verbräuche'!F133), 'Refsz-Verbräuche'!F133*Emissionsfaktoren!F133/1000, 0)</f>
        <v>0</v>
      </c>
      <c r="G298" s="15">
        <f>IF(ISNUMBER('Refsz-Verbräuche'!G133), 'Refsz-Verbräuche'!G133*Emissionsfaktoren!G133/1000, 0)</f>
        <v>0</v>
      </c>
      <c r="H298" s="15">
        <f>IF(ISNUMBER('Refsz-Verbräuche'!H133), 'Refsz-Verbräuche'!H133*Emissionsfaktoren!H133/1000, 0)</f>
        <v>0</v>
      </c>
      <c r="I298" s="15">
        <f>IF(ISNUMBER('Refsz-Verbräuche'!I133), 'Refsz-Verbräuche'!I133*Emissionsfaktoren!I133/1000, 0)</f>
        <v>0</v>
      </c>
      <c r="J298" s="15">
        <f>IF(ISNUMBER('Refsz-Verbräuche'!J133), 'Refsz-Verbräuche'!J133*Emissionsfaktoren!J133/1000, 0)</f>
        <v>0</v>
      </c>
      <c r="K298" s="15">
        <f>IF(ISNUMBER('Refsz-Verbräuche'!K133), 'Refsz-Verbräuche'!K133*Emissionsfaktoren!K133/1000, 0)</f>
        <v>0</v>
      </c>
      <c r="L298" s="15">
        <f>IF(ISNUMBER('Refsz-Verbräuche'!L133), 'Refsz-Verbräuche'!L133*Emissionsfaktoren!L133/1000, 0)</f>
        <v>0</v>
      </c>
      <c r="M298" s="15">
        <f>IF(ISNUMBER('Refsz-Verbräuche'!M133), 'Refsz-Verbräuche'!M133*Emissionsfaktoren!M133/1000, 0)</f>
        <v>0</v>
      </c>
      <c r="N298" s="15">
        <f>IF(ISNUMBER('Refsz-Verbräuche'!N133), 'Refsz-Verbräuche'!N133*Emissionsfaktoren!N133/1000, 0)</f>
        <v>0</v>
      </c>
      <c r="O298" s="15">
        <f>IF(ISNUMBER('Refsz-Verbräuche'!O133), 'Refsz-Verbräuche'!O133*Emissionsfaktoren!O133/1000, 0)</f>
        <v>0</v>
      </c>
      <c r="P298" s="15">
        <f>IF(ISNUMBER('Refsz-Verbräuche'!P133), 'Refsz-Verbräuche'!P133*Emissionsfaktoren!P133/1000, 0)</f>
        <v>0</v>
      </c>
      <c r="Q298" s="15">
        <f>IF(ISNUMBER('Refsz-Verbräuche'!Q133), 'Refsz-Verbräuche'!Q133*Emissionsfaktoren!Q133/1000, 0)</f>
        <v>0</v>
      </c>
      <c r="R298" s="15">
        <f>IF(ISNUMBER('Refsz-Verbräuche'!R133), 'Refsz-Verbräuche'!R133*Emissionsfaktoren!R133/1000, 0)</f>
        <v>0</v>
      </c>
      <c r="S298" s="15">
        <f>IF(ISNUMBER('Refsz-Verbräuche'!S133), 'Refsz-Verbräuche'!S133*Emissionsfaktoren!S133/1000, 0)</f>
        <v>0</v>
      </c>
      <c r="T298" s="15">
        <f>IF(ISNUMBER('Refsz-Verbräuche'!T133), 'Refsz-Verbräuche'!T133*Emissionsfaktoren!T133/1000, 0)</f>
        <v>0</v>
      </c>
      <c r="U298" s="15">
        <f>IF(ISNUMBER('Refsz-Verbräuche'!U133), 'Refsz-Verbräuche'!U133*Emissionsfaktoren!U133/1000, 0)</f>
        <v>0</v>
      </c>
      <c r="V298" s="15">
        <f>IF(ISNUMBER('Refsz-Verbräuche'!V133), 'Refsz-Verbräuche'!V133*Emissionsfaktoren!V133/1000, 0)</f>
        <v>0</v>
      </c>
      <c r="W298" s="15">
        <f>IF(ISNUMBER('Refsz-Verbräuche'!W133), 'Refsz-Verbräuche'!W133*Emissionsfaktoren!W133/1000, 0)</f>
        <v>0</v>
      </c>
      <c r="X298" s="15">
        <f>IF(ISNUMBER('Refsz-Verbräuche'!X133), 'Refsz-Verbräuche'!X133*Emissionsfaktoren!X133/1000, 0)</f>
        <v>0</v>
      </c>
    </row>
    <row r="299" spans="2:24" ht="16.5" hidden="1" x14ac:dyDescent="0.45">
      <c r="B299" s="15">
        <v>74</v>
      </c>
      <c r="C299" s="20" t="str">
        <f>'Refsz-Verbräuche'!C134</f>
        <v>Pendeln - Fahrrad</v>
      </c>
      <c r="D299" t="s">
        <v>208</v>
      </c>
      <c r="E299" s="15">
        <f>IF(ISNUMBER('Refsz-Verbräuche'!E134), 'Refsz-Verbräuche'!E134*Emissionsfaktoren!E134/1000, 0)</f>
        <v>0</v>
      </c>
      <c r="F299" s="15">
        <f>IF(ISNUMBER('Refsz-Verbräuche'!F134), 'Refsz-Verbräuche'!F134*Emissionsfaktoren!F134/1000, 0)</f>
        <v>0</v>
      </c>
      <c r="G299" s="15">
        <f>IF(ISNUMBER('Refsz-Verbräuche'!G134), 'Refsz-Verbräuche'!G134*Emissionsfaktoren!G134/1000, 0)</f>
        <v>0</v>
      </c>
      <c r="H299" s="15">
        <f>IF(ISNUMBER('Refsz-Verbräuche'!H134), 'Refsz-Verbräuche'!H134*Emissionsfaktoren!H134/1000, 0)</f>
        <v>0</v>
      </c>
      <c r="I299" s="15">
        <f>IF(ISNUMBER('Refsz-Verbräuche'!I134), 'Refsz-Verbräuche'!I134*Emissionsfaktoren!I134/1000, 0)</f>
        <v>0</v>
      </c>
      <c r="J299" s="15">
        <f>IF(ISNUMBER('Refsz-Verbräuche'!J134), 'Refsz-Verbräuche'!J134*Emissionsfaktoren!J134/1000, 0)</f>
        <v>0</v>
      </c>
      <c r="K299" s="15">
        <f>IF(ISNUMBER('Refsz-Verbräuche'!K134), 'Refsz-Verbräuche'!K134*Emissionsfaktoren!K134/1000, 0)</f>
        <v>0</v>
      </c>
      <c r="L299" s="15">
        <f>IF(ISNUMBER('Refsz-Verbräuche'!L134), 'Refsz-Verbräuche'!L134*Emissionsfaktoren!L134/1000, 0)</f>
        <v>0</v>
      </c>
      <c r="M299" s="15">
        <f>IF(ISNUMBER('Refsz-Verbräuche'!M134), 'Refsz-Verbräuche'!M134*Emissionsfaktoren!M134/1000, 0)</f>
        <v>0</v>
      </c>
      <c r="N299" s="15">
        <f>IF(ISNUMBER('Refsz-Verbräuche'!N134), 'Refsz-Verbräuche'!N134*Emissionsfaktoren!N134/1000, 0)</f>
        <v>0</v>
      </c>
      <c r="O299" s="15">
        <f>IF(ISNUMBER('Refsz-Verbräuche'!O134), 'Refsz-Verbräuche'!O134*Emissionsfaktoren!O134/1000, 0)</f>
        <v>0</v>
      </c>
      <c r="P299" s="15">
        <f>IF(ISNUMBER('Refsz-Verbräuche'!P134), 'Refsz-Verbräuche'!P134*Emissionsfaktoren!P134/1000, 0)</f>
        <v>0</v>
      </c>
      <c r="Q299" s="15">
        <f>IF(ISNUMBER('Refsz-Verbräuche'!Q134), 'Refsz-Verbräuche'!Q134*Emissionsfaktoren!Q134/1000, 0)</f>
        <v>0</v>
      </c>
      <c r="R299" s="15">
        <f>IF(ISNUMBER('Refsz-Verbräuche'!R134), 'Refsz-Verbräuche'!R134*Emissionsfaktoren!R134/1000, 0)</f>
        <v>0</v>
      </c>
      <c r="S299" s="15">
        <f>IF(ISNUMBER('Refsz-Verbräuche'!S134), 'Refsz-Verbräuche'!S134*Emissionsfaktoren!S134/1000, 0)</f>
        <v>0</v>
      </c>
      <c r="T299" s="15">
        <f>IF(ISNUMBER('Refsz-Verbräuche'!T134), 'Refsz-Verbräuche'!T134*Emissionsfaktoren!T134/1000, 0)</f>
        <v>0</v>
      </c>
      <c r="U299" s="15">
        <f>IF(ISNUMBER('Refsz-Verbräuche'!U134), 'Refsz-Verbräuche'!U134*Emissionsfaktoren!U134/1000, 0)</f>
        <v>0</v>
      </c>
      <c r="V299" s="15">
        <f>IF(ISNUMBER('Refsz-Verbräuche'!V134), 'Refsz-Verbräuche'!V134*Emissionsfaktoren!V134/1000, 0)</f>
        <v>0</v>
      </c>
      <c r="W299" s="15">
        <f>IF(ISNUMBER('Refsz-Verbräuche'!W134), 'Refsz-Verbräuche'!W134*Emissionsfaktoren!W134/1000, 0)</f>
        <v>0</v>
      </c>
      <c r="X299" s="15">
        <f>IF(ISNUMBER('Refsz-Verbräuche'!X134), 'Refsz-Verbräuche'!X134*Emissionsfaktoren!X134/1000, 0)</f>
        <v>0</v>
      </c>
    </row>
    <row r="300" spans="2:24" hidden="1" x14ac:dyDescent="0.35">
      <c r="B300" s="15">
        <v>75</v>
      </c>
      <c r="C300" s="20" t="str">
        <f>'Refsz-Verbräuche'!C135</f>
        <v>Pendeln - E-Bike</v>
      </c>
      <c r="E300" s="15">
        <f>IF(ISNUMBER('Refsz-Verbräuche'!E135), 'Refsz-Verbräuche'!E135*Emissionsfaktoren!E135/1000, 0)</f>
        <v>0</v>
      </c>
      <c r="F300" s="15">
        <f>IF(ISNUMBER('Refsz-Verbräuche'!F135), 'Refsz-Verbräuche'!F135*Emissionsfaktoren!F135/1000, 0)</f>
        <v>0</v>
      </c>
      <c r="G300" s="15">
        <f>IF(ISNUMBER('Refsz-Verbräuche'!G135), 'Refsz-Verbräuche'!G135*Emissionsfaktoren!G135/1000, 0)</f>
        <v>0</v>
      </c>
      <c r="H300" s="15">
        <f>IF(ISNUMBER('Refsz-Verbräuche'!H135), 'Refsz-Verbräuche'!H135*Emissionsfaktoren!H135/1000, 0)</f>
        <v>0</v>
      </c>
      <c r="I300" s="15">
        <f>IF(ISNUMBER('Refsz-Verbräuche'!I135), 'Refsz-Verbräuche'!I135*Emissionsfaktoren!I135/1000, 0)</f>
        <v>0</v>
      </c>
      <c r="J300" s="15">
        <f>IF(ISNUMBER('Refsz-Verbräuche'!J135), 'Refsz-Verbräuche'!J135*Emissionsfaktoren!J135/1000, 0)</f>
        <v>0</v>
      </c>
      <c r="K300" s="15">
        <f>IF(ISNUMBER('Refsz-Verbräuche'!K135), 'Refsz-Verbräuche'!K135*Emissionsfaktoren!K135/1000, 0)</f>
        <v>0</v>
      </c>
      <c r="L300" s="15">
        <f>IF(ISNUMBER('Refsz-Verbräuche'!L135), 'Refsz-Verbräuche'!L135*Emissionsfaktoren!L135/1000, 0)</f>
        <v>0</v>
      </c>
      <c r="M300" s="15">
        <f>IF(ISNUMBER('Refsz-Verbräuche'!M135), 'Refsz-Verbräuche'!M135*Emissionsfaktoren!M135/1000, 0)</f>
        <v>0</v>
      </c>
      <c r="N300" s="15">
        <f>IF(ISNUMBER('Refsz-Verbräuche'!N135), 'Refsz-Verbräuche'!N135*Emissionsfaktoren!N135/1000, 0)</f>
        <v>0</v>
      </c>
      <c r="O300" s="15">
        <f>IF(ISNUMBER('Refsz-Verbräuche'!O135), 'Refsz-Verbräuche'!O135*Emissionsfaktoren!O135/1000, 0)</f>
        <v>0</v>
      </c>
      <c r="P300" s="15">
        <f>IF(ISNUMBER('Refsz-Verbräuche'!P135), 'Refsz-Verbräuche'!P135*Emissionsfaktoren!P135/1000, 0)</f>
        <v>0</v>
      </c>
      <c r="Q300" s="15">
        <f>IF(ISNUMBER('Refsz-Verbräuche'!Q135), 'Refsz-Verbräuche'!Q135*Emissionsfaktoren!Q135/1000, 0)</f>
        <v>0</v>
      </c>
      <c r="R300" s="15">
        <f>IF(ISNUMBER('Refsz-Verbräuche'!R135), 'Refsz-Verbräuche'!R135*Emissionsfaktoren!R135/1000, 0)</f>
        <v>0</v>
      </c>
      <c r="S300" s="15">
        <f>IF(ISNUMBER('Refsz-Verbräuche'!S135), 'Refsz-Verbräuche'!S135*Emissionsfaktoren!S135/1000, 0)</f>
        <v>0</v>
      </c>
      <c r="T300" s="15">
        <f>IF(ISNUMBER('Refsz-Verbräuche'!T135), 'Refsz-Verbräuche'!T135*Emissionsfaktoren!T135/1000, 0)</f>
        <v>0</v>
      </c>
      <c r="U300" s="15">
        <f>IF(ISNUMBER('Refsz-Verbräuche'!U135), 'Refsz-Verbräuche'!U135*Emissionsfaktoren!U135/1000, 0)</f>
        <v>0</v>
      </c>
      <c r="V300" s="15">
        <f>IF(ISNUMBER('Refsz-Verbräuche'!V135), 'Refsz-Verbräuche'!V135*Emissionsfaktoren!V135/1000, 0)</f>
        <v>0</v>
      </c>
      <c r="W300" s="15">
        <f>IF(ISNUMBER('Refsz-Verbräuche'!W135), 'Refsz-Verbräuche'!W135*Emissionsfaktoren!W135/1000, 0)</f>
        <v>0</v>
      </c>
      <c r="X300" s="15">
        <f>IF(ISNUMBER('Refsz-Verbräuche'!X135), 'Refsz-Verbräuche'!X135*Emissionsfaktoren!X135/1000, 0)</f>
        <v>0</v>
      </c>
    </row>
    <row r="301" spans="2:24" ht="16.5" hidden="1" x14ac:dyDescent="0.45">
      <c r="B301" s="15">
        <v>76</v>
      </c>
      <c r="C301" s="20" t="str">
        <f>'Refsz-Verbräuche'!C136</f>
        <v>Pendeln - zu Fuß</v>
      </c>
      <c r="D301" t="s">
        <v>208</v>
      </c>
      <c r="E301" s="15">
        <f>IF(ISNUMBER('Refsz-Verbräuche'!E136), 'Refsz-Verbräuche'!E136*Emissionsfaktoren!E136/1000, 0)</f>
        <v>0</v>
      </c>
      <c r="F301" s="15">
        <f>IF(ISNUMBER('Refsz-Verbräuche'!F136), 'Refsz-Verbräuche'!F136*Emissionsfaktoren!F136/1000, 0)</f>
        <v>0</v>
      </c>
      <c r="G301" s="15">
        <f>IF(ISNUMBER('Refsz-Verbräuche'!G136), 'Refsz-Verbräuche'!G136*Emissionsfaktoren!G136/1000, 0)</f>
        <v>0</v>
      </c>
      <c r="H301" s="15">
        <f>IF(ISNUMBER('Refsz-Verbräuche'!H136), 'Refsz-Verbräuche'!H136*Emissionsfaktoren!H136/1000, 0)</f>
        <v>0</v>
      </c>
      <c r="I301" s="15">
        <f>IF(ISNUMBER('Refsz-Verbräuche'!I136), 'Refsz-Verbräuche'!I136*Emissionsfaktoren!I136/1000, 0)</f>
        <v>0</v>
      </c>
      <c r="J301" s="15">
        <f>IF(ISNUMBER('Refsz-Verbräuche'!J136), 'Refsz-Verbräuche'!J136*Emissionsfaktoren!J136/1000, 0)</f>
        <v>0</v>
      </c>
      <c r="K301" s="15">
        <f>IF(ISNUMBER('Refsz-Verbräuche'!K136), 'Refsz-Verbräuche'!K136*Emissionsfaktoren!K136/1000, 0)</f>
        <v>0</v>
      </c>
      <c r="L301" s="15">
        <f>IF(ISNUMBER('Refsz-Verbräuche'!L136), 'Refsz-Verbräuche'!L136*Emissionsfaktoren!L136/1000, 0)</f>
        <v>0</v>
      </c>
      <c r="M301" s="15">
        <f>IF(ISNUMBER('Refsz-Verbräuche'!M136), 'Refsz-Verbräuche'!M136*Emissionsfaktoren!M136/1000, 0)</f>
        <v>0</v>
      </c>
      <c r="N301" s="15">
        <f>IF(ISNUMBER('Refsz-Verbräuche'!N136), 'Refsz-Verbräuche'!N136*Emissionsfaktoren!N136/1000, 0)</f>
        <v>0</v>
      </c>
      <c r="O301" s="15">
        <f>IF(ISNUMBER('Refsz-Verbräuche'!O136), 'Refsz-Verbräuche'!O136*Emissionsfaktoren!O136/1000, 0)</f>
        <v>0</v>
      </c>
      <c r="P301" s="15">
        <f>IF(ISNUMBER('Refsz-Verbräuche'!P136), 'Refsz-Verbräuche'!P136*Emissionsfaktoren!P136/1000, 0)</f>
        <v>0</v>
      </c>
      <c r="Q301" s="15">
        <f>IF(ISNUMBER('Refsz-Verbräuche'!Q136), 'Refsz-Verbräuche'!Q136*Emissionsfaktoren!Q136/1000, 0)</f>
        <v>0</v>
      </c>
      <c r="R301" s="15">
        <f>IF(ISNUMBER('Refsz-Verbräuche'!R136), 'Refsz-Verbräuche'!R136*Emissionsfaktoren!R136/1000, 0)</f>
        <v>0</v>
      </c>
      <c r="S301" s="15">
        <f>IF(ISNUMBER('Refsz-Verbräuche'!S136), 'Refsz-Verbräuche'!S136*Emissionsfaktoren!S136/1000, 0)</f>
        <v>0</v>
      </c>
      <c r="T301" s="15">
        <f>IF(ISNUMBER('Refsz-Verbräuche'!T136), 'Refsz-Verbräuche'!T136*Emissionsfaktoren!T136/1000, 0)</f>
        <v>0</v>
      </c>
      <c r="U301" s="15">
        <f>IF(ISNUMBER('Refsz-Verbräuche'!U136), 'Refsz-Verbräuche'!U136*Emissionsfaktoren!U136/1000, 0)</f>
        <v>0</v>
      </c>
      <c r="V301" s="15">
        <f>IF(ISNUMBER('Refsz-Verbräuche'!V136), 'Refsz-Verbräuche'!V136*Emissionsfaktoren!V136/1000, 0)</f>
        <v>0</v>
      </c>
      <c r="W301" s="15">
        <f>IF(ISNUMBER('Refsz-Verbräuche'!W136), 'Refsz-Verbräuche'!W136*Emissionsfaktoren!W136/1000, 0)</f>
        <v>0</v>
      </c>
      <c r="X301" s="15">
        <f>IF(ISNUMBER('Refsz-Verbräuche'!X136), 'Refsz-Verbräuche'!X136*Emissionsfaktoren!X136/1000, 0)</f>
        <v>0</v>
      </c>
    </row>
    <row r="302" spans="2:24" ht="16.5" hidden="1" x14ac:dyDescent="0.45">
      <c r="B302" s="15">
        <v>77</v>
      </c>
      <c r="C302" s="20">
        <f>'Refsz-Verbräuche'!C137</f>
        <v>0</v>
      </c>
      <c r="D302" t="s">
        <v>208</v>
      </c>
      <c r="E302" s="15">
        <f>IF(ISNUMBER('Refsz-Verbräuche'!E137), 'Refsz-Verbräuche'!E137*Emissionsfaktoren!E137/1000, 0)</f>
        <v>0</v>
      </c>
      <c r="F302" s="15">
        <f>IF(ISNUMBER('Refsz-Verbräuche'!F137), 'Refsz-Verbräuche'!F137*Emissionsfaktoren!F137/1000, 0)</f>
        <v>0</v>
      </c>
      <c r="G302" s="15">
        <f>IF(ISNUMBER('Refsz-Verbräuche'!G137), 'Refsz-Verbräuche'!G137*Emissionsfaktoren!G137/1000, 0)</f>
        <v>0</v>
      </c>
      <c r="H302" s="15">
        <f>IF(ISNUMBER('Refsz-Verbräuche'!H137), 'Refsz-Verbräuche'!H137*Emissionsfaktoren!H137/1000, 0)</f>
        <v>0</v>
      </c>
      <c r="I302" s="15">
        <f>IF(ISNUMBER('Refsz-Verbräuche'!I137), 'Refsz-Verbräuche'!I137*Emissionsfaktoren!I137/1000, 0)</f>
        <v>0</v>
      </c>
      <c r="J302" s="15">
        <f>IF(ISNUMBER('Refsz-Verbräuche'!J137), 'Refsz-Verbräuche'!J137*Emissionsfaktoren!J137/1000, 0)</f>
        <v>0</v>
      </c>
      <c r="K302" s="15">
        <f>IF(ISNUMBER('Refsz-Verbräuche'!K137), 'Refsz-Verbräuche'!K137*Emissionsfaktoren!K137/1000, 0)</f>
        <v>0</v>
      </c>
      <c r="L302" s="15">
        <f>IF(ISNUMBER('Refsz-Verbräuche'!L137), 'Refsz-Verbräuche'!L137*Emissionsfaktoren!L137/1000, 0)</f>
        <v>0</v>
      </c>
      <c r="M302" s="15">
        <f>IF(ISNUMBER('Refsz-Verbräuche'!M137), 'Refsz-Verbräuche'!M137*Emissionsfaktoren!M137/1000, 0)</f>
        <v>0</v>
      </c>
      <c r="N302" s="15">
        <f>IF(ISNUMBER('Refsz-Verbräuche'!N137), 'Refsz-Verbräuche'!N137*Emissionsfaktoren!N137/1000, 0)</f>
        <v>0</v>
      </c>
      <c r="O302" s="15">
        <f>IF(ISNUMBER('Refsz-Verbräuche'!O137), 'Refsz-Verbräuche'!O137*Emissionsfaktoren!O137/1000, 0)</f>
        <v>0</v>
      </c>
      <c r="P302" s="15">
        <f>IF(ISNUMBER('Refsz-Verbräuche'!P137), 'Refsz-Verbräuche'!P137*Emissionsfaktoren!P137/1000, 0)</f>
        <v>0</v>
      </c>
      <c r="Q302" s="15">
        <f>IF(ISNUMBER('Refsz-Verbräuche'!Q137), 'Refsz-Verbräuche'!Q137*Emissionsfaktoren!Q137/1000, 0)</f>
        <v>0</v>
      </c>
      <c r="R302" s="15">
        <f>IF(ISNUMBER('Refsz-Verbräuche'!R137), 'Refsz-Verbräuche'!R137*Emissionsfaktoren!R137/1000, 0)</f>
        <v>0</v>
      </c>
      <c r="S302" s="15">
        <f>IF(ISNUMBER('Refsz-Verbräuche'!S137), 'Refsz-Verbräuche'!S137*Emissionsfaktoren!S137/1000, 0)</f>
        <v>0</v>
      </c>
      <c r="T302" s="15">
        <f>IF(ISNUMBER('Refsz-Verbräuche'!T137), 'Refsz-Verbräuche'!T137*Emissionsfaktoren!T137/1000, 0)</f>
        <v>0</v>
      </c>
      <c r="U302" s="15">
        <f>IF(ISNUMBER('Refsz-Verbräuche'!U137), 'Refsz-Verbräuche'!U137*Emissionsfaktoren!U137/1000, 0)</f>
        <v>0</v>
      </c>
      <c r="V302" s="15">
        <f>IF(ISNUMBER('Refsz-Verbräuche'!V137), 'Refsz-Verbräuche'!V137*Emissionsfaktoren!V137/1000, 0)</f>
        <v>0</v>
      </c>
      <c r="W302" s="15">
        <f>IF(ISNUMBER('Refsz-Verbräuche'!W137), 'Refsz-Verbräuche'!W137*Emissionsfaktoren!W137/1000, 0)</f>
        <v>0</v>
      </c>
      <c r="X302" s="15">
        <f>IF(ISNUMBER('Refsz-Verbräuche'!X137), 'Refsz-Verbräuche'!X137*Emissionsfaktoren!X137/1000, 0)</f>
        <v>0</v>
      </c>
    </row>
    <row r="303" spans="2:24" ht="16.5" hidden="1" x14ac:dyDescent="0.45">
      <c r="B303" s="15">
        <v>78</v>
      </c>
      <c r="C303" s="20" t="str">
        <f>'Refsz-Verbräuche'!C138</f>
        <v>Studierendenreisen (Incoming) - Flugreisen</v>
      </c>
      <c r="D303" t="s">
        <v>208</v>
      </c>
      <c r="E303" s="15">
        <f>IF(ISNUMBER('Refsz-Verbräuche'!E138), 'Refsz-Verbräuche'!E138*Emissionsfaktoren!E138/1000, 0)</f>
        <v>0</v>
      </c>
      <c r="F303" s="15">
        <f>IF(ISNUMBER('Refsz-Verbräuche'!F138), 'Refsz-Verbräuche'!F138*Emissionsfaktoren!F138/1000, 0)</f>
        <v>0</v>
      </c>
      <c r="G303" s="15">
        <f>IF(ISNUMBER('Refsz-Verbräuche'!G138), 'Refsz-Verbräuche'!G138*Emissionsfaktoren!G138/1000, 0)</f>
        <v>0</v>
      </c>
      <c r="H303" s="15">
        <f>IF(ISNUMBER('Refsz-Verbräuche'!H138), 'Refsz-Verbräuche'!H138*Emissionsfaktoren!H138/1000, 0)</f>
        <v>0</v>
      </c>
      <c r="I303" s="15">
        <f>IF(ISNUMBER('Refsz-Verbräuche'!I138), 'Refsz-Verbräuche'!I138*Emissionsfaktoren!I138/1000, 0)</f>
        <v>0</v>
      </c>
      <c r="J303" s="15">
        <f>IF(ISNUMBER('Refsz-Verbräuche'!J138), 'Refsz-Verbräuche'!J138*Emissionsfaktoren!J138/1000, 0)</f>
        <v>0</v>
      </c>
      <c r="K303" s="15">
        <f>IF(ISNUMBER('Refsz-Verbräuche'!K138), 'Refsz-Verbräuche'!K138*Emissionsfaktoren!K138/1000, 0)</f>
        <v>0</v>
      </c>
      <c r="L303" s="15">
        <f>IF(ISNUMBER('Refsz-Verbräuche'!L138), 'Refsz-Verbräuche'!L138*Emissionsfaktoren!L138/1000, 0)</f>
        <v>0</v>
      </c>
      <c r="M303" s="15">
        <f>IF(ISNUMBER('Refsz-Verbräuche'!M138), 'Refsz-Verbräuche'!M138*Emissionsfaktoren!M138/1000, 0)</f>
        <v>0</v>
      </c>
      <c r="N303" s="15">
        <f>IF(ISNUMBER('Refsz-Verbräuche'!N138), 'Refsz-Verbräuche'!N138*Emissionsfaktoren!N138/1000, 0)</f>
        <v>0</v>
      </c>
      <c r="O303" s="15">
        <f>IF(ISNUMBER('Refsz-Verbräuche'!O138), 'Refsz-Verbräuche'!O138*Emissionsfaktoren!O138/1000, 0)</f>
        <v>0</v>
      </c>
      <c r="P303" s="15">
        <f>IF(ISNUMBER('Refsz-Verbräuche'!P138), 'Refsz-Verbräuche'!P138*Emissionsfaktoren!P138/1000, 0)</f>
        <v>0</v>
      </c>
      <c r="Q303" s="15">
        <f>IF(ISNUMBER('Refsz-Verbräuche'!Q138), 'Refsz-Verbräuche'!Q138*Emissionsfaktoren!Q138/1000, 0)</f>
        <v>0</v>
      </c>
      <c r="R303" s="15">
        <f>IF(ISNUMBER('Refsz-Verbräuche'!R138), 'Refsz-Verbräuche'!R138*Emissionsfaktoren!R138/1000, 0)</f>
        <v>0</v>
      </c>
      <c r="S303" s="15">
        <f>IF(ISNUMBER('Refsz-Verbräuche'!S138), 'Refsz-Verbräuche'!S138*Emissionsfaktoren!S138/1000, 0)</f>
        <v>0</v>
      </c>
      <c r="T303" s="15">
        <f>IF(ISNUMBER('Refsz-Verbräuche'!T138), 'Refsz-Verbräuche'!T138*Emissionsfaktoren!T138/1000, 0)</f>
        <v>0</v>
      </c>
      <c r="U303" s="15">
        <f>IF(ISNUMBER('Refsz-Verbräuche'!U138), 'Refsz-Verbräuche'!U138*Emissionsfaktoren!U138/1000, 0)</f>
        <v>0</v>
      </c>
      <c r="V303" s="15">
        <f>IF(ISNUMBER('Refsz-Verbräuche'!V138), 'Refsz-Verbräuche'!V138*Emissionsfaktoren!V138/1000, 0)</f>
        <v>0</v>
      </c>
      <c r="W303" s="15">
        <f>IF(ISNUMBER('Refsz-Verbräuche'!W138), 'Refsz-Verbräuche'!W138*Emissionsfaktoren!W138/1000, 0)</f>
        <v>0</v>
      </c>
      <c r="X303" s="15">
        <f>IF(ISNUMBER('Refsz-Verbräuche'!X138), 'Refsz-Verbräuche'!X138*Emissionsfaktoren!X138/1000, 0)</f>
        <v>0</v>
      </c>
    </row>
    <row r="304" spans="2:24" ht="16.5" hidden="1" x14ac:dyDescent="0.45">
      <c r="B304" s="15">
        <v>79</v>
      </c>
      <c r="C304" s="20" t="str">
        <f>'Refsz-Verbräuche'!C139</f>
        <v>Studierendenreisen (Incoming) - Eisenbahn (Nahverkehr)</v>
      </c>
      <c r="D304" t="s">
        <v>208</v>
      </c>
      <c r="E304" s="15">
        <f>IF(ISNUMBER('Refsz-Verbräuche'!E139), 'Refsz-Verbräuche'!E139*Emissionsfaktoren!E139/1000, 0)</f>
        <v>0</v>
      </c>
      <c r="F304" s="15">
        <f>IF(ISNUMBER('Refsz-Verbräuche'!F139), 'Refsz-Verbräuche'!F139*Emissionsfaktoren!F139/1000, 0)</f>
        <v>0</v>
      </c>
      <c r="G304" s="15">
        <f>IF(ISNUMBER('Refsz-Verbräuche'!G139), 'Refsz-Verbräuche'!G139*Emissionsfaktoren!G139/1000, 0)</f>
        <v>0</v>
      </c>
      <c r="H304" s="15">
        <f>IF(ISNUMBER('Refsz-Verbräuche'!H139), 'Refsz-Verbräuche'!H139*Emissionsfaktoren!H139/1000, 0)</f>
        <v>0</v>
      </c>
      <c r="I304" s="15">
        <f>IF(ISNUMBER('Refsz-Verbräuche'!I139), 'Refsz-Verbräuche'!I139*Emissionsfaktoren!I139/1000, 0)</f>
        <v>0</v>
      </c>
      <c r="J304" s="15">
        <f>IF(ISNUMBER('Refsz-Verbräuche'!J139), 'Refsz-Verbräuche'!J139*Emissionsfaktoren!J139/1000, 0)</f>
        <v>0</v>
      </c>
      <c r="K304" s="15">
        <f>IF(ISNUMBER('Refsz-Verbräuche'!K139), 'Refsz-Verbräuche'!K139*Emissionsfaktoren!K139/1000, 0)</f>
        <v>0</v>
      </c>
      <c r="L304" s="15">
        <f>IF(ISNUMBER('Refsz-Verbräuche'!L139), 'Refsz-Verbräuche'!L139*Emissionsfaktoren!L139/1000, 0)</f>
        <v>0</v>
      </c>
      <c r="M304" s="15">
        <f>IF(ISNUMBER('Refsz-Verbräuche'!M139), 'Refsz-Verbräuche'!M139*Emissionsfaktoren!M139/1000, 0)</f>
        <v>0</v>
      </c>
      <c r="N304" s="15">
        <f>IF(ISNUMBER('Refsz-Verbräuche'!N139), 'Refsz-Verbräuche'!N139*Emissionsfaktoren!N139/1000, 0)</f>
        <v>0</v>
      </c>
      <c r="O304" s="15">
        <f>IF(ISNUMBER('Refsz-Verbräuche'!O139), 'Refsz-Verbräuche'!O139*Emissionsfaktoren!O139/1000, 0)</f>
        <v>0</v>
      </c>
      <c r="P304" s="15">
        <f>IF(ISNUMBER('Refsz-Verbräuche'!P139), 'Refsz-Verbräuche'!P139*Emissionsfaktoren!P139/1000, 0)</f>
        <v>0</v>
      </c>
      <c r="Q304" s="15">
        <f>IF(ISNUMBER('Refsz-Verbräuche'!Q139), 'Refsz-Verbräuche'!Q139*Emissionsfaktoren!Q139/1000, 0)</f>
        <v>0</v>
      </c>
      <c r="R304" s="15">
        <f>IF(ISNUMBER('Refsz-Verbräuche'!R139), 'Refsz-Verbräuche'!R139*Emissionsfaktoren!R139/1000, 0)</f>
        <v>0</v>
      </c>
      <c r="S304" s="15">
        <f>IF(ISNUMBER('Refsz-Verbräuche'!S139), 'Refsz-Verbräuche'!S139*Emissionsfaktoren!S139/1000, 0)</f>
        <v>0</v>
      </c>
      <c r="T304" s="15">
        <f>IF(ISNUMBER('Refsz-Verbräuche'!T139), 'Refsz-Verbräuche'!T139*Emissionsfaktoren!T139/1000, 0)</f>
        <v>0</v>
      </c>
      <c r="U304" s="15">
        <f>IF(ISNUMBER('Refsz-Verbräuche'!U139), 'Refsz-Verbräuche'!U139*Emissionsfaktoren!U139/1000, 0)</f>
        <v>0</v>
      </c>
      <c r="V304" s="15">
        <f>IF(ISNUMBER('Refsz-Verbräuche'!V139), 'Refsz-Verbräuche'!V139*Emissionsfaktoren!V139/1000, 0)</f>
        <v>0</v>
      </c>
      <c r="W304" s="15">
        <f>IF(ISNUMBER('Refsz-Verbräuche'!W139), 'Refsz-Verbräuche'!W139*Emissionsfaktoren!W139/1000, 0)</f>
        <v>0</v>
      </c>
      <c r="X304" s="15">
        <f>IF(ISNUMBER('Refsz-Verbräuche'!X139), 'Refsz-Verbräuche'!X139*Emissionsfaktoren!X139/1000, 0)</f>
        <v>0</v>
      </c>
    </row>
    <row r="305" spans="2:24" ht="16.5" hidden="1" x14ac:dyDescent="0.45">
      <c r="B305" s="15">
        <v>80</v>
      </c>
      <c r="C305" s="20" t="str">
        <f>'Refsz-Verbräuche'!C140</f>
        <v>Studierendenreisen (Incoming) - Privater PKW (alle Antriebsarten)</v>
      </c>
      <c r="D305" t="s">
        <v>208</v>
      </c>
      <c r="E305" s="15">
        <f>IF(ISNUMBER('Refsz-Verbräuche'!E140), 'Refsz-Verbräuche'!E140*Emissionsfaktoren!E140/1000, 0)</f>
        <v>0</v>
      </c>
      <c r="F305" s="15">
        <f>IF(ISNUMBER('Refsz-Verbräuche'!F140), 'Refsz-Verbräuche'!F140*Emissionsfaktoren!F140/1000, 0)</f>
        <v>0</v>
      </c>
      <c r="G305" s="15">
        <f>IF(ISNUMBER('Refsz-Verbräuche'!G140), 'Refsz-Verbräuche'!G140*Emissionsfaktoren!G140/1000, 0)</f>
        <v>0</v>
      </c>
      <c r="H305" s="15">
        <f>IF(ISNUMBER('Refsz-Verbräuche'!H140), 'Refsz-Verbräuche'!H140*Emissionsfaktoren!H140/1000, 0)</f>
        <v>0</v>
      </c>
      <c r="I305" s="15">
        <f>IF(ISNUMBER('Refsz-Verbräuche'!I140), 'Refsz-Verbräuche'!I140*Emissionsfaktoren!I140/1000, 0)</f>
        <v>0</v>
      </c>
      <c r="J305" s="15">
        <f>IF(ISNUMBER('Refsz-Verbräuche'!J140), 'Refsz-Verbräuche'!J140*Emissionsfaktoren!J140/1000, 0)</f>
        <v>0</v>
      </c>
      <c r="K305" s="15">
        <f>IF(ISNUMBER('Refsz-Verbräuche'!K140), 'Refsz-Verbräuche'!K140*Emissionsfaktoren!K140/1000, 0)</f>
        <v>0</v>
      </c>
      <c r="L305" s="15">
        <f>IF(ISNUMBER('Refsz-Verbräuche'!L140), 'Refsz-Verbräuche'!L140*Emissionsfaktoren!L140/1000, 0)</f>
        <v>0</v>
      </c>
      <c r="M305" s="15">
        <f>IF(ISNUMBER('Refsz-Verbräuche'!M140), 'Refsz-Verbräuche'!M140*Emissionsfaktoren!M140/1000, 0)</f>
        <v>0</v>
      </c>
      <c r="N305" s="15">
        <f>IF(ISNUMBER('Refsz-Verbräuche'!N140), 'Refsz-Verbräuche'!N140*Emissionsfaktoren!N140/1000, 0)</f>
        <v>0</v>
      </c>
      <c r="O305" s="15">
        <f>IF(ISNUMBER('Refsz-Verbräuche'!O140), 'Refsz-Verbräuche'!O140*Emissionsfaktoren!O140/1000, 0)</f>
        <v>0</v>
      </c>
      <c r="P305" s="15">
        <f>IF(ISNUMBER('Refsz-Verbräuche'!P140), 'Refsz-Verbräuche'!P140*Emissionsfaktoren!P140/1000, 0)</f>
        <v>0</v>
      </c>
      <c r="Q305" s="15">
        <f>IF(ISNUMBER('Refsz-Verbräuche'!Q140), 'Refsz-Verbräuche'!Q140*Emissionsfaktoren!Q140/1000, 0)</f>
        <v>0</v>
      </c>
      <c r="R305" s="15">
        <f>IF(ISNUMBER('Refsz-Verbräuche'!R140), 'Refsz-Verbräuche'!R140*Emissionsfaktoren!R140/1000, 0)</f>
        <v>0</v>
      </c>
      <c r="S305" s="15">
        <f>IF(ISNUMBER('Refsz-Verbräuche'!S140), 'Refsz-Verbräuche'!S140*Emissionsfaktoren!S140/1000, 0)</f>
        <v>0</v>
      </c>
      <c r="T305" s="15">
        <f>IF(ISNUMBER('Refsz-Verbräuche'!T140), 'Refsz-Verbräuche'!T140*Emissionsfaktoren!T140/1000, 0)</f>
        <v>0</v>
      </c>
      <c r="U305" s="15">
        <f>IF(ISNUMBER('Refsz-Verbräuche'!U140), 'Refsz-Verbräuche'!U140*Emissionsfaktoren!U140/1000, 0)</f>
        <v>0</v>
      </c>
      <c r="V305" s="15">
        <f>IF(ISNUMBER('Refsz-Verbräuche'!V140), 'Refsz-Verbräuche'!V140*Emissionsfaktoren!V140/1000, 0)</f>
        <v>0</v>
      </c>
      <c r="W305" s="15">
        <f>IF(ISNUMBER('Refsz-Verbräuche'!W140), 'Refsz-Verbräuche'!W140*Emissionsfaktoren!W140/1000, 0)</f>
        <v>0</v>
      </c>
      <c r="X305" s="15">
        <f>IF(ISNUMBER('Refsz-Verbräuche'!X140), 'Refsz-Verbräuche'!X140*Emissionsfaktoren!X140/1000, 0)</f>
        <v>0</v>
      </c>
    </row>
    <row r="306" spans="2:24" ht="16.5" hidden="1" x14ac:dyDescent="0.45">
      <c r="B306" s="15">
        <v>81</v>
      </c>
      <c r="C306" s="20">
        <f>'Refsz-Verbräuche'!C141</f>
        <v>0</v>
      </c>
      <c r="D306" t="s">
        <v>208</v>
      </c>
      <c r="E306" s="15">
        <f>IF(ISNUMBER('Refsz-Verbräuche'!E141), 'Refsz-Verbräuche'!E141*Emissionsfaktoren!E141/1000, 0)</f>
        <v>0</v>
      </c>
      <c r="F306" s="15">
        <f>IF(ISNUMBER('Refsz-Verbräuche'!F141), 'Refsz-Verbräuche'!F141*Emissionsfaktoren!F141/1000, 0)</f>
        <v>0</v>
      </c>
      <c r="G306" s="15">
        <f>IF(ISNUMBER('Refsz-Verbräuche'!G141), 'Refsz-Verbräuche'!G141*Emissionsfaktoren!G141/1000, 0)</f>
        <v>0</v>
      </c>
      <c r="H306" s="15">
        <f>IF(ISNUMBER('Refsz-Verbräuche'!H141), 'Refsz-Verbräuche'!H141*Emissionsfaktoren!H141/1000, 0)</f>
        <v>0</v>
      </c>
      <c r="I306" s="15">
        <f>IF(ISNUMBER('Refsz-Verbräuche'!I141), 'Refsz-Verbräuche'!I141*Emissionsfaktoren!I141/1000, 0)</f>
        <v>0</v>
      </c>
      <c r="J306" s="15">
        <f>IF(ISNUMBER('Refsz-Verbräuche'!J141), 'Refsz-Verbräuche'!J141*Emissionsfaktoren!J141/1000, 0)</f>
        <v>0</v>
      </c>
      <c r="K306" s="15">
        <f>IF(ISNUMBER('Refsz-Verbräuche'!K141), 'Refsz-Verbräuche'!K141*Emissionsfaktoren!K141/1000, 0)</f>
        <v>0</v>
      </c>
      <c r="L306" s="15">
        <f>IF(ISNUMBER('Refsz-Verbräuche'!L141), 'Refsz-Verbräuche'!L141*Emissionsfaktoren!L141/1000, 0)</f>
        <v>0</v>
      </c>
      <c r="M306" s="15">
        <f>IF(ISNUMBER('Refsz-Verbräuche'!M141), 'Refsz-Verbräuche'!M141*Emissionsfaktoren!M141/1000, 0)</f>
        <v>0</v>
      </c>
      <c r="N306" s="15">
        <f>IF(ISNUMBER('Refsz-Verbräuche'!N141), 'Refsz-Verbräuche'!N141*Emissionsfaktoren!N141/1000, 0)</f>
        <v>0</v>
      </c>
      <c r="O306" s="15">
        <f>IF(ISNUMBER('Refsz-Verbräuche'!O141), 'Refsz-Verbräuche'!O141*Emissionsfaktoren!O141/1000, 0)</f>
        <v>0</v>
      </c>
      <c r="P306" s="15">
        <f>IF(ISNUMBER('Refsz-Verbräuche'!P141), 'Refsz-Verbräuche'!P141*Emissionsfaktoren!P141/1000, 0)</f>
        <v>0</v>
      </c>
      <c r="Q306" s="15">
        <f>IF(ISNUMBER('Refsz-Verbräuche'!Q141), 'Refsz-Verbräuche'!Q141*Emissionsfaktoren!Q141/1000, 0)</f>
        <v>0</v>
      </c>
      <c r="R306" s="15">
        <f>IF(ISNUMBER('Refsz-Verbräuche'!R141), 'Refsz-Verbräuche'!R141*Emissionsfaktoren!R141/1000, 0)</f>
        <v>0</v>
      </c>
      <c r="S306" s="15">
        <f>IF(ISNUMBER('Refsz-Verbräuche'!S141), 'Refsz-Verbräuche'!S141*Emissionsfaktoren!S141/1000, 0)</f>
        <v>0</v>
      </c>
      <c r="T306" s="15">
        <f>IF(ISNUMBER('Refsz-Verbräuche'!T141), 'Refsz-Verbräuche'!T141*Emissionsfaktoren!T141/1000, 0)</f>
        <v>0</v>
      </c>
      <c r="U306" s="15">
        <f>IF(ISNUMBER('Refsz-Verbräuche'!U141), 'Refsz-Verbräuche'!U141*Emissionsfaktoren!U141/1000, 0)</f>
        <v>0</v>
      </c>
      <c r="V306" s="15">
        <f>IF(ISNUMBER('Refsz-Verbräuche'!V141), 'Refsz-Verbräuche'!V141*Emissionsfaktoren!V141/1000, 0)</f>
        <v>0</v>
      </c>
      <c r="W306" s="15">
        <f>IF(ISNUMBER('Refsz-Verbräuche'!W141), 'Refsz-Verbräuche'!W141*Emissionsfaktoren!W141/1000, 0)</f>
        <v>0</v>
      </c>
      <c r="X306" s="15">
        <f>IF(ISNUMBER('Refsz-Verbräuche'!X141), 'Refsz-Verbräuche'!X141*Emissionsfaktoren!X141/1000, 0)</f>
        <v>0</v>
      </c>
    </row>
    <row r="307" spans="2:24" ht="16.5" hidden="1" x14ac:dyDescent="0.45">
      <c r="B307" s="15">
        <v>82</v>
      </c>
      <c r="C307" s="20" t="str">
        <f>'Refsz-Verbräuche'!C142</f>
        <v>An- und Abreise von Gästen - Flugreisen</v>
      </c>
      <c r="D307" t="s">
        <v>208</v>
      </c>
      <c r="E307" s="15">
        <f>IF(ISNUMBER('Refsz-Verbräuche'!E142), 'Refsz-Verbräuche'!E142*Emissionsfaktoren!E142/1000, 0)</f>
        <v>0</v>
      </c>
      <c r="F307" s="15">
        <f>IF(ISNUMBER('Refsz-Verbräuche'!F142), 'Refsz-Verbräuche'!F142*Emissionsfaktoren!F142/1000, 0)</f>
        <v>0</v>
      </c>
      <c r="G307" s="15">
        <f>IF(ISNUMBER('Refsz-Verbräuche'!G142), 'Refsz-Verbräuche'!G142*Emissionsfaktoren!G142/1000, 0)</f>
        <v>0</v>
      </c>
      <c r="H307" s="15">
        <f>IF(ISNUMBER('Refsz-Verbräuche'!H142), 'Refsz-Verbräuche'!H142*Emissionsfaktoren!H142/1000, 0)</f>
        <v>0</v>
      </c>
      <c r="I307" s="15">
        <f>IF(ISNUMBER('Refsz-Verbräuche'!I142), 'Refsz-Verbräuche'!I142*Emissionsfaktoren!I142/1000, 0)</f>
        <v>0</v>
      </c>
      <c r="J307" s="15">
        <f>IF(ISNUMBER('Refsz-Verbräuche'!J142), 'Refsz-Verbräuche'!J142*Emissionsfaktoren!J142/1000, 0)</f>
        <v>0</v>
      </c>
      <c r="K307" s="15">
        <f>IF(ISNUMBER('Refsz-Verbräuche'!K142), 'Refsz-Verbräuche'!K142*Emissionsfaktoren!K142/1000, 0)</f>
        <v>0</v>
      </c>
      <c r="L307" s="15">
        <f>IF(ISNUMBER('Refsz-Verbräuche'!L142), 'Refsz-Verbräuche'!L142*Emissionsfaktoren!L142/1000, 0)</f>
        <v>0</v>
      </c>
      <c r="M307" s="15">
        <f>IF(ISNUMBER('Refsz-Verbräuche'!M142), 'Refsz-Verbräuche'!M142*Emissionsfaktoren!M142/1000, 0)</f>
        <v>0</v>
      </c>
      <c r="N307" s="15">
        <f>IF(ISNUMBER('Refsz-Verbräuche'!N142), 'Refsz-Verbräuche'!N142*Emissionsfaktoren!N142/1000, 0)</f>
        <v>0</v>
      </c>
      <c r="O307" s="15">
        <f>IF(ISNUMBER('Refsz-Verbräuche'!O142), 'Refsz-Verbräuche'!O142*Emissionsfaktoren!O142/1000, 0)</f>
        <v>0</v>
      </c>
      <c r="P307" s="15">
        <f>IF(ISNUMBER('Refsz-Verbräuche'!P142), 'Refsz-Verbräuche'!P142*Emissionsfaktoren!P142/1000, 0)</f>
        <v>0</v>
      </c>
      <c r="Q307" s="15">
        <f>IF(ISNUMBER('Refsz-Verbräuche'!Q142), 'Refsz-Verbräuche'!Q142*Emissionsfaktoren!Q142/1000, 0)</f>
        <v>0</v>
      </c>
      <c r="R307" s="15">
        <f>IF(ISNUMBER('Refsz-Verbräuche'!R142), 'Refsz-Verbräuche'!R142*Emissionsfaktoren!R142/1000, 0)</f>
        <v>0</v>
      </c>
      <c r="S307" s="15">
        <f>IF(ISNUMBER('Refsz-Verbräuche'!S142), 'Refsz-Verbräuche'!S142*Emissionsfaktoren!S142/1000, 0)</f>
        <v>0</v>
      </c>
      <c r="T307" s="15">
        <f>IF(ISNUMBER('Refsz-Verbräuche'!T142), 'Refsz-Verbräuche'!T142*Emissionsfaktoren!T142/1000, 0)</f>
        <v>0</v>
      </c>
      <c r="U307" s="15">
        <f>IF(ISNUMBER('Refsz-Verbräuche'!U142), 'Refsz-Verbräuche'!U142*Emissionsfaktoren!U142/1000, 0)</f>
        <v>0</v>
      </c>
      <c r="V307" s="15">
        <f>IF(ISNUMBER('Refsz-Verbräuche'!V142), 'Refsz-Verbräuche'!V142*Emissionsfaktoren!V142/1000, 0)</f>
        <v>0</v>
      </c>
      <c r="W307" s="15">
        <f>IF(ISNUMBER('Refsz-Verbräuche'!W142), 'Refsz-Verbräuche'!W142*Emissionsfaktoren!W142/1000, 0)</f>
        <v>0</v>
      </c>
      <c r="X307" s="15">
        <f>IF(ISNUMBER('Refsz-Verbräuche'!X142), 'Refsz-Verbräuche'!X142*Emissionsfaktoren!X142/1000, 0)</f>
        <v>0</v>
      </c>
    </row>
    <row r="308" spans="2:24" ht="16.5" hidden="1" x14ac:dyDescent="0.45">
      <c r="B308" s="15">
        <v>83</v>
      </c>
      <c r="C308" s="20" t="str">
        <f>'Refsz-Verbräuche'!C143</f>
        <v>An- und Abreise von Gästen - Eisenbahn (Nahverkehr)</v>
      </c>
      <c r="D308" t="s">
        <v>208</v>
      </c>
      <c r="E308" s="15">
        <f>IF(ISNUMBER('Refsz-Verbräuche'!E143), 'Refsz-Verbräuche'!E143*Emissionsfaktoren!E143/1000, 0)</f>
        <v>0</v>
      </c>
      <c r="F308" s="15">
        <f>IF(ISNUMBER('Refsz-Verbräuche'!F143), 'Refsz-Verbräuche'!F143*Emissionsfaktoren!F143/1000, 0)</f>
        <v>0</v>
      </c>
      <c r="G308" s="15">
        <f>IF(ISNUMBER('Refsz-Verbräuche'!G143), 'Refsz-Verbräuche'!G143*Emissionsfaktoren!G143/1000, 0)</f>
        <v>0</v>
      </c>
      <c r="H308" s="15">
        <f>IF(ISNUMBER('Refsz-Verbräuche'!H143), 'Refsz-Verbräuche'!H143*Emissionsfaktoren!H143/1000, 0)</f>
        <v>0</v>
      </c>
      <c r="I308" s="15">
        <f>IF(ISNUMBER('Refsz-Verbräuche'!I143), 'Refsz-Verbräuche'!I143*Emissionsfaktoren!I143/1000, 0)</f>
        <v>0</v>
      </c>
      <c r="J308" s="15">
        <f>IF(ISNUMBER('Refsz-Verbräuche'!J143), 'Refsz-Verbräuche'!J143*Emissionsfaktoren!J143/1000, 0)</f>
        <v>0</v>
      </c>
      <c r="K308" s="15">
        <f>IF(ISNUMBER('Refsz-Verbräuche'!K143), 'Refsz-Verbräuche'!K143*Emissionsfaktoren!K143/1000, 0)</f>
        <v>0</v>
      </c>
      <c r="L308" s="15">
        <f>IF(ISNUMBER('Refsz-Verbräuche'!L143), 'Refsz-Verbräuche'!L143*Emissionsfaktoren!L143/1000, 0)</f>
        <v>0</v>
      </c>
      <c r="M308" s="15">
        <f>IF(ISNUMBER('Refsz-Verbräuche'!M143), 'Refsz-Verbräuche'!M143*Emissionsfaktoren!M143/1000, 0)</f>
        <v>0</v>
      </c>
      <c r="N308" s="15">
        <f>IF(ISNUMBER('Refsz-Verbräuche'!N143), 'Refsz-Verbräuche'!N143*Emissionsfaktoren!N143/1000, 0)</f>
        <v>0</v>
      </c>
      <c r="O308" s="15">
        <f>IF(ISNUMBER('Refsz-Verbräuche'!O143), 'Refsz-Verbräuche'!O143*Emissionsfaktoren!O143/1000, 0)</f>
        <v>0</v>
      </c>
      <c r="P308" s="15">
        <f>IF(ISNUMBER('Refsz-Verbräuche'!P143), 'Refsz-Verbräuche'!P143*Emissionsfaktoren!P143/1000, 0)</f>
        <v>0</v>
      </c>
      <c r="Q308" s="15">
        <f>IF(ISNUMBER('Refsz-Verbräuche'!Q143), 'Refsz-Verbräuche'!Q143*Emissionsfaktoren!Q143/1000, 0)</f>
        <v>0</v>
      </c>
      <c r="R308" s="15">
        <f>IF(ISNUMBER('Refsz-Verbräuche'!R143), 'Refsz-Verbräuche'!R143*Emissionsfaktoren!R143/1000, 0)</f>
        <v>0</v>
      </c>
      <c r="S308" s="15">
        <f>IF(ISNUMBER('Refsz-Verbräuche'!S143), 'Refsz-Verbräuche'!S143*Emissionsfaktoren!S143/1000, 0)</f>
        <v>0</v>
      </c>
      <c r="T308" s="15">
        <f>IF(ISNUMBER('Refsz-Verbräuche'!T143), 'Refsz-Verbräuche'!T143*Emissionsfaktoren!T143/1000, 0)</f>
        <v>0</v>
      </c>
      <c r="U308" s="15">
        <f>IF(ISNUMBER('Refsz-Verbräuche'!U143), 'Refsz-Verbräuche'!U143*Emissionsfaktoren!U143/1000, 0)</f>
        <v>0</v>
      </c>
      <c r="V308" s="15">
        <f>IF(ISNUMBER('Refsz-Verbräuche'!V143), 'Refsz-Verbräuche'!V143*Emissionsfaktoren!V143/1000, 0)</f>
        <v>0</v>
      </c>
      <c r="W308" s="15">
        <f>IF(ISNUMBER('Refsz-Verbräuche'!W143), 'Refsz-Verbräuche'!W143*Emissionsfaktoren!W143/1000, 0)</f>
        <v>0</v>
      </c>
      <c r="X308" s="15">
        <f>IF(ISNUMBER('Refsz-Verbräuche'!X143), 'Refsz-Verbräuche'!X143*Emissionsfaktoren!X143/1000, 0)</f>
        <v>0</v>
      </c>
    </row>
    <row r="309" spans="2:24" ht="16.5" hidden="1" x14ac:dyDescent="0.45">
      <c r="B309" s="15">
        <v>84</v>
      </c>
      <c r="C309" s="20" t="str">
        <f>'Refsz-Verbräuche'!C144</f>
        <v>An- und Abreise von Gästen - Privater PKW (alle Antriebsarten)</v>
      </c>
      <c r="D309" t="s">
        <v>208</v>
      </c>
      <c r="E309" s="15">
        <f>IF(ISNUMBER('Refsz-Verbräuche'!E144), 'Refsz-Verbräuche'!E144*Emissionsfaktoren!E144/1000, 0)</f>
        <v>0</v>
      </c>
      <c r="F309" s="15">
        <f>IF(ISNUMBER('Refsz-Verbräuche'!F144), 'Refsz-Verbräuche'!F144*Emissionsfaktoren!F144/1000, 0)</f>
        <v>0</v>
      </c>
      <c r="G309" s="15">
        <f>IF(ISNUMBER('Refsz-Verbräuche'!G144), 'Refsz-Verbräuche'!G144*Emissionsfaktoren!G144/1000, 0)</f>
        <v>0</v>
      </c>
      <c r="H309" s="15">
        <f>IF(ISNUMBER('Refsz-Verbräuche'!H144), 'Refsz-Verbräuche'!H144*Emissionsfaktoren!H144/1000, 0)</f>
        <v>0</v>
      </c>
      <c r="I309" s="15">
        <f>IF(ISNUMBER('Refsz-Verbräuche'!I144), 'Refsz-Verbräuche'!I144*Emissionsfaktoren!I144/1000, 0)</f>
        <v>0</v>
      </c>
      <c r="J309" s="15">
        <f>IF(ISNUMBER('Refsz-Verbräuche'!J144), 'Refsz-Verbräuche'!J144*Emissionsfaktoren!J144/1000, 0)</f>
        <v>0</v>
      </c>
      <c r="K309" s="15">
        <f>IF(ISNUMBER('Refsz-Verbräuche'!K144), 'Refsz-Verbräuche'!K144*Emissionsfaktoren!K144/1000, 0)</f>
        <v>0</v>
      </c>
      <c r="L309" s="15">
        <f>IF(ISNUMBER('Refsz-Verbräuche'!L144), 'Refsz-Verbräuche'!L144*Emissionsfaktoren!L144/1000, 0)</f>
        <v>0</v>
      </c>
      <c r="M309" s="15">
        <f>IF(ISNUMBER('Refsz-Verbräuche'!M144), 'Refsz-Verbräuche'!M144*Emissionsfaktoren!M144/1000, 0)</f>
        <v>0</v>
      </c>
      <c r="N309" s="15">
        <f>IF(ISNUMBER('Refsz-Verbräuche'!N144), 'Refsz-Verbräuche'!N144*Emissionsfaktoren!N144/1000, 0)</f>
        <v>0</v>
      </c>
      <c r="O309" s="15">
        <f>IF(ISNUMBER('Refsz-Verbräuche'!O144), 'Refsz-Verbräuche'!O144*Emissionsfaktoren!O144/1000, 0)</f>
        <v>0</v>
      </c>
      <c r="P309" s="15">
        <f>IF(ISNUMBER('Refsz-Verbräuche'!P144), 'Refsz-Verbräuche'!P144*Emissionsfaktoren!P144/1000, 0)</f>
        <v>0</v>
      </c>
      <c r="Q309" s="15">
        <f>IF(ISNUMBER('Refsz-Verbräuche'!Q144), 'Refsz-Verbräuche'!Q144*Emissionsfaktoren!Q144/1000, 0)</f>
        <v>0</v>
      </c>
      <c r="R309" s="15">
        <f>IF(ISNUMBER('Refsz-Verbräuche'!R144), 'Refsz-Verbräuche'!R144*Emissionsfaktoren!R144/1000, 0)</f>
        <v>0</v>
      </c>
      <c r="S309" s="15">
        <f>IF(ISNUMBER('Refsz-Verbräuche'!S144), 'Refsz-Verbräuche'!S144*Emissionsfaktoren!S144/1000, 0)</f>
        <v>0</v>
      </c>
      <c r="T309" s="15">
        <f>IF(ISNUMBER('Refsz-Verbräuche'!T144), 'Refsz-Verbräuche'!T144*Emissionsfaktoren!T144/1000, 0)</f>
        <v>0</v>
      </c>
      <c r="U309" s="15">
        <f>IF(ISNUMBER('Refsz-Verbräuche'!U144), 'Refsz-Verbräuche'!U144*Emissionsfaktoren!U144/1000, 0)</f>
        <v>0</v>
      </c>
      <c r="V309" s="15">
        <f>IF(ISNUMBER('Refsz-Verbräuche'!V144), 'Refsz-Verbräuche'!V144*Emissionsfaktoren!V144/1000, 0)</f>
        <v>0</v>
      </c>
      <c r="W309" s="15">
        <f>IF(ISNUMBER('Refsz-Verbräuche'!W144), 'Refsz-Verbräuche'!W144*Emissionsfaktoren!W144/1000, 0)</f>
        <v>0</v>
      </c>
      <c r="X309" s="15">
        <f>IF(ISNUMBER('Refsz-Verbräuche'!X144), 'Refsz-Verbräuche'!X144*Emissionsfaktoren!X144/1000, 0)</f>
        <v>0</v>
      </c>
    </row>
    <row r="310" spans="2:24" ht="16.5" hidden="1" x14ac:dyDescent="0.45">
      <c r="B310" s="15">
        <v>85</v>
      </c>
      <c r="C310" s="20">
        <f>'Refsz-Verbräuche'!C145</f>
        <v>0</v>
      </c>
      <c r="D310" t="s">
        <v>208</v>
      </c>
      <c r="E310" s="15">
        <f>IF(ISNUMBER('Refsz-Verbräuche'!E145), 'Refsz-Verbräuche'!E145*Emissionsfaktoren!E145/1000, 0)</f>
        <v>0</v>
      </c>
      <c r="F310" s="15">
        <f>IF(ISNUMBER('Refsz-Verbräuche'!F145), 'Refsz-Verbräuche'!F145*Emissionsfaktoren!F145/1000, 0)</f>
        <v>0</v>
      </c>
      <c r="G310" s="15">
        <f>IF(ISNUMBER('Refsz-Verbräuche'!G145), 'Refsz-Verbräuche'!G145*Emissionsfaktoren!G145/1000, 0)</f>
        <v>0</v>
      </c>
      <c r="H310" s="15">
        <f>IF(ISNUMBER('Refsz-Verbräuche'!H145), 'Refsz-Verbräuche'!H145*Emissionsfaktoren!H145/1000, 0)</f>
        <v>0</v>
      </c>
      <c r="I310" s="15">
        <f>IF(ISNUMBER('Refsz-Verbräuche'!I145), 'Refsz-Verbräuche'!I145*Emissionsfaktoren!I145/1000, 0)</f>
        <v>0</v>
      </c>
      <c r="J310" s="15">
        <f>IF(ISNUMBER('Refsz-Verbräuche'!J145), 'Refsz-Verbräuche'!J145*Emissionsfaktoren!J145/1000, 0)</f>
        <v>0</v>
      </c>
      <c r="K310" s="15">
        <f>IF(ISNUMBER('Refsz-Verbräuche'!K145), 'Refsz-Verbräuche'!K145*Emissionsfaktoren!K145/1000, 0)</f>
        <v>0</v>
      </c>
      <c r="L310" s="15">
        <f>IF(ISNUMBER('Refsz-Verbräuche'!L145), 'Refsz-Verbräuche'!L145*Emissionsfaktoren!L145/1000, 0)</f>
        <v>0</v>
      </c>
      <c r="M310" s="15">
        <f>IF(ISNUMBER('Refsz-Verbräuche'!M145), 'Refsz-Verbräuche'!M145*Emissionsfaktoren!M145/1000, 0)</f>
        <v>0</v>
      </c>
      <c r="N310" s="15">
        <f>IF(ISNUMBER('Refsz-Verbräuche'!N145), 'Refsz-Verbräuche'!N145*Emissionsfaktoren!N145/1000, 0)</f>
        <v>0</v>
      </c>
      <c r="O310" s="15">
        <f>IF(ISNUMBER('Refsz-Verbräuche'!O145), 'Refsz-Verbräuche'!O145*Emissionsfaktoren!O145/1000, 0)</f>
        <v>0</v>
      </c>
      <c r="P310" s="15">
        <f>IF(ISNUMBER('Refsz-Verbräuche'!P145), 'Refsz-Verbräuche'!P145*Emissionsfaktoren!P145/1000, 0)</f>
        <v>0</v>
      </c>
      <c r="Q310" s="15">
        <f>IF(ISNUMBER('Refsz-Verbräuche'!Q145), 'Refsz-Verbräuche'!Q145*Emissionsfaktoren!Q145/1000, 0)</f>
        <v>0</v>
      </c>
      <c r="R310" s="15">
        <f>IF(ISNUMBER('Refsz-Verbräuche'!R145), 'Refsz-Verbräuche'!R145*Emissionsfaktoren!R145/1000, 0)</f>
        <v>0</v>
      </c>
      <c r="S310" s="15">
        <f>IF(ISNUMBER('Refsz-Verbräuche'!S145), 'Refsz-Verbräuche'!S145*Emissionsfaktoren!S145/1000, 0)</f>
        <v>0</v>
      </c>
      <c r="T310" s="15">
        <f>IF(ISNUMBER('Refsz-Verbräuche'!T145), 'Refsz-Verbräuche'!T145*Emissionsfaktoren!T145/1000, 0)</f>
        <v>0</v>
      </c>
      <c r="U310" s="15">
        <f>IF(ISNUMBER('Refsz-Verbräuche'!U145), 'Refsz-Verbräuche'!U145*Emissionsfaktoren!U145/1000, 0)</f>
        <v>0</v>
      </c>
      <c r="V310" s="15">
        <f>IF(ISNUMBER('Refsz-Verbräuche'!V145), 'Refsz-Verbräuche'!V145*Emissionsfaktoren!V145/1000, 0)</f>
        <v>0</v>
      </c>
      <c r="W310" s="15">
        <f>IF(ISNUMBER('Refsz-Verbräuche'!W145), 'Refsz-Verbräuche'!W145*Emissionsfaktoren!W145/1000, 0)</f>
        <v>0</v>
      </c>
      <c r="X310" s="15">
        <f>IF(ISNUMBER('Refsz-Verbräuche'!X145), 'Refsz-Verbräuche'!X145*Emissionsfaktoren!X145/1000, 0)</f>
        <v>0</v>
      </c>
    </row>
    <row r="311" spans="2:24" ht="16.5" hidden="1" x14ac:dyDescent="0.45">
      <c r="B311" s="15">
        <v>86</v>
      </c>
      <c r="C311" s="20" t="str">
        <f>'Refsz-Verbräuche'!C146</f>
        <v>Abwasser</v>
      </c>
      <c r="D311" t="s">
        <v>208</v>
      </c>
      <c r="E311" s="15">
        <f>IF(ISNUMBER('Refsz-Verbräuche'!E146), 'Refsz-Verbräuche'!E146*Emissionsfaktoren!E146/1000, 0)</f>
        <v>0</v>
      </c>
      <c r="F311" s="15">
        <f>IF(ISNUMBER('Refsz-Verbräuche'!F146), 'Refsz-Verbräuche'!F146*Emissionsfaktoren!F146/1000, 0)</f>
        <v>0</v>
      </c>
      <c r="G311" s="15">
        <f>IF(ISNUMBER('Refsz-Verbräuche'!G146), 'Refsz-Verbräuche'!G146*Emissionsfaktoren!G146/1000, 0)</f>
        <v>0</v>
      </c>
      <c r="H311" s="15">
        <f>IF(ISNUMBER('Refsz-Verbräuche'!H146), 'Refsz-Verbräuche'!H146*Emissionsfaktoren!H146/1000, 0)</f>
        <v>0</v>
      </c>
      <c r="I311" s="15">
        <f>IF(ISNUMBER('Refsz-Verbräuche'!I146), 'Refsz-Verbräuche'!I146*Emissionsfaktoren!I146/1000, 0)</f>
        <v>0</v>
      </c>
      <c r="J311" s="15">
        <f>IF(ISNUMBER('Refsz-Verbräuche'!J146), 'Refsz-Verbräuche'!J146*Emissionsfaktoren!J146/1000, 0)</f>
        <v>0</v>
      </c>
      <c r="K311" s="15">
        <f>IF(ISNUMBER('Refsz-Verbräuche'!K146), 'Refsz-Verbräuche'!K146*Emissionsfaktoren!K146/1000, 0)</f>
        <v>0</v>
      </c>
      <c r="L311" s="15">
        <f>IF(ISNUMBER('Refsz-Verbräuche'!L146), 'Refsz-Verbräuche'!L146*Emissionsfaktoren!L146/1000, 0)</f>
        <v>0</v>
      </c>
      <c r="M311" s="15">
        <f>IF(ISNUMBER('Refsz-Verbräuche'!M146), 'Refsz-Verbräuche'!M146*Emissionsfaktoren!M146/1000, 0)</f>
        <v>0</v>
      </c>
      <c r="N311" s="15">
        <f>IF(ISNUMBER('Refsz-Verbräuche'!N146), 'Refsz-Verbräuche'!N146*Emissionsfaktoren!N146/1000, 0)</f>
        <v>0</v>
      </c>
      <c r="O311" s="15">
        <f>IF(ISNUMBER('Refsz-Verbräuche'!O146), 'Refsz-Verbräuche'!O146*Emissionsfaktoren!O146/1000, 0)</f>
        <v>0</v>
      </c>
      <c r="P311" s="15">
        <f>IF(ISNUMBER('Refsz-Verbräuche'!P146), 'Refsz-Verbräuche'!P146*Emissionsfaktoren!P146/1000, 0)</f>
        <v>0</v>
      </c>
      <c r="Q311" s="15">
        <f>IF(ISNUMBER('Refsz-Verbräuche'!Q146), 'Refsz-Verbräuche'!Q146*Emissionsfaktoren!Q146/1000, 0)</f>
        <v>0</v>
      </c>
      <c r="R311" s="15">
        <f>IF(ISNUMBER('Refsz-Verbräuche'!R146), 'Refsz-Verbräuche'!R146*Emissionsfaktoren!R146/1000, 0)</f>
        <v>0</v>
      </c>
      <c r="S311" s="15">
        <f>IF(ISNUMBER('Refsz-Verbräuche'!S146), 'Refsz-Verbräuche'!S146*Emissionsfaktoren!S146/1000, 0)</f>
        <v>0</v>
      </c>
      <c r="T311" s="15">
        <f>IF(ISNUMBER('Refsz-Verbräuche'!T146), 'Refsz-Verbräuche'!T146*Emissionsfaktoren!T146/1000, 0)</f>
        <v>0</v>
      </c>
      <c r="U311" s="15">
        <f>IF(ISNUMBER('Refsz-Verbräuche'!U146), 'Refsz-Verbräuche'!U146*Emissionsfaktoren!U146/1000, 0)</f>
        <v>0</v>
      </c>
      <c r="V311" s="15">
        <f>IF(ISNUMBER('Refsz-Verbräuche'!V146), 'Refsz-Verbräuche'!V146*Emissionsfaktoren!V146/1000, 0)</f>
        <v>0</v>
      </c>
      <c r="W311" s="15">
        <f>IF(ISNUMBER('Refsz-Verbräuche'!W146), 'Refsz-Verbräuche'!W146*Emissionsfaktoren!W146/1000, 0)</f>
        <v>0</v>
      </c>
      <c r="X311" s="15">
        <f>IF(ISNUMBER('Refsz-Verbräuche'!X146), 'Refsz-Verbräuche'!X146*Emissionsfaktoren!X146/1000, 0)</f>
        <v>0</v>
      </c>
    </row>
    <row r="312" spans="2:24" ht="16.5" hidden="1" x14ac:dyDescent="0.45">
      <c r="B312" s="15">
        <v>87</v>
      </c>
      <c r="C312" s="20" t="str">
        <f>'Refsz-Verbräuche'!C147</f>
        <v>Trinkwasser</v>
      </c>
      <c r="D312" t="s">
        <v>208</v>
      </c>
      <c r="E312" s="15">
        <f>IF(ISNUMBER('Refsz-Verbräuche'!E147), 'Refsz-Verbräuche'!E147*Emissionsfaktoren!E147/1000, 0)</f>
        <v>0</v>
      </c>
      <c r="F312" s="15">
        <f>IF(ISNUMBER('Refsz-Verbräuche'!F147), 'Refsz-Verbräuche'!F147*Emissionsfaktoren!F147/1000, 0)</f>
        <v>0</v>
      </c>
      <c r="G312" s="15">
        <f>IF(ISNUMBER('Refsz-Verbräuche'!G147), 'Refsz-Verbräuche'!G147*Emissionsfaktoren!G147/1000, 0)</f>
        <v>0</v>
      </c>
      <c r="H312" s="15">
        <f>IF(ISNUMBER('Refsz-Verbräuche'!H147), 'Refsz-Verbräuche'!H147*Emissionsfaktoren!H147/1000, 0)</f>
        <v>0</v>
      </c>
      <c r="I312" s="15">
        <f>IF(ISNUMBER('Refsz-Verbräuche'!I147), 'Refsz-Verbräuche'!I147*Emissionsfaktoren!I147/1000, 0)</f>
        <v>0</v>
      </c>
      <c r="J312" s="15">
        <f>IF(ISNUMBER('Refsz-Verbräuche'!J147), 'Refsz-Verbräuche'!J147*Emissionsfaktoren!J147/1000, 0)</f>
        <v>0</v>
      </c>
      <c r="K312" s="15">
        <f>IF(ISNUMBER('Refsz-Verbräuche'!K147), 'Refsz-Verbräuche'!K147*Emissionsfaktoren!K147/1000, 0)</f>
        <v>0</v>
      </c>
      <c r="L312" s="15">
        <f>IF(ISNUMBER('Refsz-Verbräuche'!L147), 'Refsz-Verbräuche'!L147*Emissionsfaktoren!L147/1000, 0)</f>
        <v>0</v>
      </c>
      <c r="M312" s="15">
        <f>IF(ISNUMBER('Refsz-Verbräuche'!M147), 'Refsz-Verbräuche'!M147*Emissionsfaktoren!M147/1000, 0)</f>
        <v>0</v>
      </c>
      <c r="N312" s="15">
        <f>IF(ISNUMBER('Refsz-Verbräuche'!N147), 'Refsz-Verbräuche'!N147*Emissionsfaktoren!N147/1000, 0)</f>
        <v>0</v>
      </c>
      <c r="O312" s="15">
        <f>IF(ISNUMBER('Refsz-Verbräuche'!O147), 'Refsz-Verbräuche'!O147*Emissionsfaktoren!O147/1000, 0)</f>
        <v>0</v>
      </c>
      <c r="P312" s="15">
        <f>IF(ISNUMBER('Refsz-Verbräuche'!P147), 'Refsz-Verbräuche'!P147*Emissionsfaktoren!P147/1000, 0)</f>
        <v>0</v>
      </c>
      <c r="Q312" s="15">
        <f>IF(ISNUMBER('Refsz-Verbräuche'!Q147), 'Refsz-Verbräuche'!Q147*Emissionsfaktoren!Q147/1000, 0)</f>
        <v>0</v>
      </c>
      <c r="R312" s="15">
        <f>IF(ISNUMBER('Refsz-Verbräuche'!R147), 'Refsz-Verbräuche'!R147*Emissionsfaktoren!R147/1000, 0)</f>
        <v>0</v>
      </c>
      <c r="S312" s="15">
        <f>IF(ISNUMBER('Refsz-Verbräuche'!S147), 'Refsz-Verbräuche'!S147*Emissionsfaktoren!S147/1000, 0)</f>
        <v>0</v>
      </c>
      <c r="T312" s="15">
        <f>IF(ISNUMBER('Refsz-Verbräuche'!T147), 'Refsz-Verbräuche'!T147*Emissionsfaktoren!T147/1000, 0)</f>
        <v>0</v>
      </c>
      <c r="U312" s="15">
        <f>IF(ISNUMBER('Refsz-Verbräuche'!U147), 'Refsz-Verbräuche'!U147*Emissionsfaktoren!U147/1000, 0)</f>
        <v>0</v>
      </c>
      <c r="V312" s="15">
        <f>IF(ISNUMBER('Refsz-Verbräuche'!V147), 'Refsz-Verbräuche'!V147*Emissionsfaktoren!V147/1000, 0)</f>
        <v>0</v>
      </c>
      <c r="W312" s="15">
        <f>IF(ISNUMBER('Refsz-Verbräuche'!W147), 'Refsz-Verbräuche'!W147*Emissionsfaktoren!W147/1000, 0)</f>
        <v>0</v>
      </c>
      <c r="X312" s="15">
        <f>IF(ISNUMBER('Refsz-Verbräuche'!X147), 'Refsz-Verbräuche'!X147*Emissionsfaktoren!X147/1000, 0)</f>
        <v>0</v>
      </c>
    </row>
    <row r="313" spans="2:24" ht="16.5" hidden="1" x14ac:dyDescent="0.45">
      <c r="B313" s="15">
        <v>88</v>
      </c>
      <c r="C313" s="20">
        <f>'Refsz-Verbräuche'!C148</f>
        <v>0</v>
      </c>
      <c r="D313" t="s">
        <v>208</v>
      </c>
      <c r="E313" s="15">
        <f>IF(ISNUMBER('Refsz-Verbräuche'!E148), 'Refsz-Verbräuche'!E148*Emissionsfaktoren!E148/1000, 0)</f>
        <v>0</v>
      </c>
      <c r="F313" s="15">
        <f>IF(ISNUMBER('Refsz-Verbräuche'!F148), 'Refsz-Verbräuche'!F148*Emissionsfaktoren!F148/1000, 0)</f>
        <v>0</v>
      </c>
      <c r="G313" s="15">
        <f>IF(ISNUMBER('Refsz-Verbräuche'!G148), 'Refsz-Verbräuche'!G148*Emissionsfaktoren!G148/1000, 0)</f>
        <v>0</v>
      </c>
      <c r="H313" s="15">
        <f>IF(ISNUMBER('Refsz-Verbräuche'!H148), 'Refsz-Verbräuche'!H148*Emissionsfaktoren!H148/1000, 0)</f>
        <v>0</v>
      </c>
      <c r="I313" s="15">
        <f>IF(ISNUMBER('Refsz-Verbräuche'!I148), 'Refsz-Verbräuche'!I148*Emissionsfaktoren!I148/1000, 0)</f>
        <v>0</v>
      </c>
      <c r="J313" s="15">
        <f>IF(ISNUMBER('Refsz-Verbräuche'!J148), 'Refsz-Verbräuche'!J148*Emissionsfaktoren!J148/1000, 0)</f>
        <v>0</v>
      </c>
      <c r="K313" s="15">
        <f>IF(ISNUMBER('Refsz-Verbräuche'!K148), 'Refsz-Verbräuche'!K148*Emissionsfaktoren!K148/1000, 0)</f>
        <v>0</v>
      </c>
      <c r="L313" s="15">
        <f>IF(ISNUMBER('Refsz-Verbräuche'!L148), 'Refsz-Verbräuche'!L148*Emissionsfaktoren!L148/1000, 0)</f>
        <v>0</v>
      </c>
      <c r="M313" s="15">
        <f>IF(ISNUMBER('Refsz-Verbräuche'!M148), 'Refsz-Verbräuche'!M148*Emissionsfaktoren!M148/1000, 0)</f>
        <v>0</v>
      </c>
      <c r="N313" s="15">
        <f>IF(ISNUMBER('Refsz-Verbräuche'!N148), 'Refsz-Verbräuche'!N148*Emissionsfaktoren!N148/1000, 0)</f>
        <v>0</v>
      </c>
      <c r="O313" s="15">
        <f>IF(ISNUMBER('Refsz-Verbräuche'!O148), 'Refsz-Verbräuche'!O148*Emissionsfaktoren!O148/1000, 0)</f>
        <v>0</v>
      </c>
      <c r="P313" s="15">
        <f>IF(ISNUMBER('Refsz-Verbräuche'!P148), 'Refsz-Verbräuche'!P148*Emissionsfaktoren!P148/1000, 0)</f>
        <v>0</v>
      </c>
      <c r="Q313" s="15">
        <f>IF(ISNUMBER('Refsz-Verbräuche'!Q148), 'Refsz-Verbräuche'!Q148*Emissionsfaktoren!Q148/1000, 0)</f>
        <v>0</v>
      </c>
      <c r="R313" s="15">
        <f>IF(ISNUMBER('Refsz-Verbräuche'!R148), 'Refsz-Verbräuche'!R148*Emissionsfaktoren!R148/1000, 0)</f>
        <v>0</v>
      </c>
      <c r="S313" s="15">
        <f>IF(ISNUMBER('Refsz-Verbräuche'!S148), 'Refsz-Verbräuche'!S148*Emissionsfaktoren!S148/1000, 0)</f>
        <v>0</v>
      </c>
      <c r="T313" s="15">
        <f>IF(ISNUMBER('Refsz-Verbräuche'!T148), 'Refsz-Verbräuche'!T148*Emissionsfaktoren!T148/1000, 0)</f>
        <v>0</v>
      </c>
      <c r="U313" s="15">
        <f>IF(ISNUMBER('Refsz-Verbräuche'!U148), 'Refsz-Verbräuche'!U148*Emissionsfaktoren!U148/1000, 0)</f>
        <v>0</v>
      </c>
      <c r="V313" s="15">
        <f>IF(ISNUMBER('Refsz-Verbräuche'!V148), 'Refsz-Verbräuche'!V148*Emissionsfaktoren!V148/1000, 0)</f>
        <v>0</v>
      </c>
      <c r="W313" s="15">
        <f>IF(ISNUMBER('Refsz-Verbräuche'!W148), 'Refsz-Verbräuche'!W148*Emissionsfaktoren!W148/1000, 0)</f>
        <v>0</v>
      </c>
      <c r="X313" s="15">
        <f>IF(ISNUMBER('Refsz-Verbräuche'!X148), 'Refsz-Verbräuche'!X148*Emissionsfaktoren!X148/1000, 0)</f>
        <v>0</v>
      </c>
    </row>
    <row r="314" spans="2:24" ht="16.5" hidden="1" x14ac:dyDescent="0.45">
      <c r="B314" s="15">
        <v>89</v>
      </c>
      <c r="C314" s="20" t="str">
        <f>'Refsz-Verbräuche'!C149</f>
        <v>Recyclingpapier</v>
      </c>
      <c r="D314" t="s">
        <v>208</v>
      </c>
      <c r="E314" s="15">
        <f>IF(ISNUMBER('Refsz-Verbräuche'!E149), 'Refsz-Verbräuche'!E149*Emissionsfaktoren!E149/1000, 0)</f>
        <v>0</v>
      </c>
      <c r="F314" s="15">
        <f>IF(ISNUMBER('Refsz-Verbräuche'!F149), 'Refsz-Verbräuche'!F149*Emissionsfaktoren!F149/1000, 0)</f>
        <v>0</v>
      </c>
      <c r="G314" s="15">
        <f>IF(ISNUMBER('Refsz-Verbräuche'!G149), 'Refsz-Verbräuche'!G149*Emissionsfaktoren!G149/1000, 0)</f>
        <v>0</v>
      </c>
      <c r="H314" s="15">
        <f>IF(ISNUMBER('Refsz-Verbräuche'!H149), 'Refsz-Verbräuche'!H149*Emissionsfaktoren!H149/1000, 0)</f>
        <v>0</v>
      </c>
      <c r="I314" s="15">
        <f>IF(ISNUMBER('Refsz-Verbräuche'!I149), 'Refsz-Verbräuche'!I149*Emissionsfaktoren!I149/1000, 0)</f>
        <v>0</v>
      </c>
      <c r="J314" s="15">
        <f>IF(ISNUMBER('Refsz-Verbräuche'!J149), 'Refsz-Verbräuche'!J149*Emissionsfaktoren!J149/1000, 0)</f>
        <v>0</v>
      </c>
      <c r="K314" s="15">
        <f>IF(ISNUMBER('Refsz-Verbräuche'!K149), 'Refsz-Verbräuche'!K149*Emissionsfaktoren!K149/1000, 0)</f>
        <v>0</v>
      </c>
      <c r="L314" s="15">
        <f>IF(ISNUMBER('Refsz-Verbräuche'!L149), 'Refsz-Verbräuche'!L149*Emissionsfaktoren!L149/1000, 0)</f>
        <v>0</v>
      </c>
      <c r="M314" s="15">
        <f>IF(ISNUMBER('Refsz-Verbräuche'!M149), 'Refsz-Verbräuche'!M149*Emissionsfaktoren!M149/1000, 0)</f>
        <v>0</v>
      </c>
      <c r="N314" s="15">
        <f>IF(ISNUMBER('Refsz-Verbräuche'!N149), 'Refsz-Verbräuche'!N149*Emissionsfaktoren!N149/1000, 0)</f>
        <v>0</v>
      </c>
      <c r="O314" s="15">
        <f>IF(ISNUMBER('Refsz-Verbräuche'!O149), 'Refsz-Verbräuche'!O149*Emissionsfaktoren!O149/1000, 0)</f>
        <v>0</v>
      </c>
      <c r="P314" s="15">
        <f>IF(ISNUMBER('Refsz-Verbräuche'!P149), 'Refsz-Verbräuche'!P149*Emissionsfaktoren!P149/1000, 0)</f>
        <v>0</v>
      </c>
      <c r="Q314" s="15">
        <f>IF(ISNUMBER('Refsz-Verbräuche'!Q149), 'Refsz-Verbräuche'!Q149*Emissionsfaktoren!Q149/1000, 0)</f>
        <v>0</v>
      </c>
      <c r="R314" s="15">
        <f>IF(ISNUMBER('Refsz-Verbräuche'!R149), 'Refsz-Verbräuche'!R149*Emissionsfaktoren!R149/1000, 0)</f>
        <v>0</v>
      </c>
      <c r="S314" s="15">
        <f>IF(ISNUMBER('Refsz-Verbräuche'!S149), 'Refsz-Verbräuche'!S149*Emissionsfaktoren!S149/1000, 0)</f>
        <v>0</v>
      </c>
      <c r="T314" s="15">
        <f>IF(ISNUMBER('Refsz-Verbräuche'!T149), 'Refsz-Verbräuche'!T149*Emissionsfaktoren!T149/1000, 0)</f>
        <v>0</v>
      </c>
      <c r="U314" s="15">
        <f>IF(ISNUMBER('Refsz-Verbräuche'!U149), 'Refsz-Verbräuche'!U149*Emissionsfaktoren!U149/1000, 0)</f>
        <v>0</v>
      </c>
      <c r="V314" s="15">
        <f>IF(ISNUMBER('Refsz-Verbräuche'!V149), 'Refsz-Verbräuche'!V149*Emissionsfaktoren!V149/1000, 0)</f>
        <v>0</v>
      </c>
      <c r="W314" s="15">
        <f>IF(ISNUMBER('Refsz-Verbräuche'!W149), 'Refsz-Verbräuche'!W149*Emissionsfaktoren!W149/1000, 0)</f>
        <v>0</v>
      </c>
      <c r="X314" s="15">
        <f>IF(ISNUMBER('Refsz-Verbräuche'!X149), 'Refsz-Verbräuche'!X149*Emissionsfaktoren!X149/1000, 0)</f>
        <v>0</v>
      </c>
    </row>
    <row r="315" spans="2:24" ht="16.5" hidden="1" x14ac:dyDescent="0.45">
      <c r="B315" s="15">
        <v>90</v>
      </c>
      <c r="C315" s="20" t="str">
        <f>'Refsz-Verbräuche'!C150</f>
        <v>Frischfaserpapier</v>
      </c>
      <c r="D315" t="s">
        <v>208</v>
      </c>
      <c r="E315" s="15">
        <f>IF(ISNUMBER('Refsz-Verbräuche'!E150), 'Refsz-Verbräuche'!E150*Emissionsfaktoren!E150/1000, 0)</f>
        <v>0</v>
      </c>
      <c r="F315" s="15">
        <f>IF(ISNUMBER('Refsz-Verbräuche'!F150), 'Refsz-Verbräuche'!F150*Emissionsfaktoren!F150/1000, 0)</f>
        <v>0</v>
      </c>
      <c r="G315" s="15">
        <f>IF(ISNUMBER('Refsz-Verbräuche'!G150), 'Refsz-Verbräuche'!G150*Emissionsfaktoren!G150/1000, 0)</f>
        <v>0</v>
      </c>
      <c r="H315" s="15">
        <f>IF(ISNUMBER('Refsz-Verbräuche'!H150), 'Refsz-Verbräuche'!H150*Emissionsfaktoren!H150/1000, 0)</f>
        <v>0</v>
      </c>
      <c r="I315" s="15">
        <f>IF(ISNUMBER('Refsz-Verbräuche'!I150), 'Refsz-Verbräuche'!I150*Emissionsfaktoren!I150/1000, 0)</f>
        <v>0</v>
      </c>
      <c r="J315" s="15">
        <f>IF(ISNUMBER('Refsz-Verbräuche'!J150), 'Refsz-Verbräuche'!J150*Emissionsfaktoren!J150/1000, 0)</f>
        <v>0</v>
      </c>
      <c r="K315" s="15">
        <f>IF(ISNUMBER('Refsz-Verbräuche'!K150), 'Refsz-Verbräuche'!K150*Emissionsfaktoren!K150/1000, 0)</f>
        <v>0</v>
      </c>
      <c r="L315" s="15">
        <f>IF(ISNUMBER('Refsz-Verbräuche'!L150), 'Refsz-Verbräuche'!L150*Emissionsfaktoren!L150/1000, 0)</f>
        <v>0</v>
      </c>
      <c r="M315" s="15">
        <f>IF(ISNUMBER('Refsz-Verbräuche'!M150), 'Refsz-Verbräuche'!M150*Emissionsfaktoren!M150/1000, 0)</f>
        <v>0</v>
      </c>
      <c r="N315" s="15">
        <f>IF(ISNUMBER('Refsz-Verbräuche'!N150), 'Refsz-Verbräuche'!N150*Emissionsfaktoren!N150/1000, 0)</f>
        <v>0</v>
      </c>
      <c r="O315" s="15">
        <f>IF(ISNUMBER('Refsz-Verbräuche'!O150), 'Refsz-Verbräuche'!O150*Emissionsfaktoren!O150/1000, 0)</f>
        <v>0</v>
      </c>
      <c r="P315" s="15">
        <f>IF(ISNUMBER('Refsz-Verbräuche'!P150), 'Refsz-Verbräuche'!P150*Emissionsfaktoren!P150/1000, 0)</f>
        <v>0</v>
      </c>
      <c r="Q315" s="15">
        <f>IF(ISNUMBER('Refsz-Verbräuche'!Q150), 'Refsz-Verbräuche'!Q150*Emissionsfaktoren!Q150/1000, 0)</f>
        <v>0</v>
      </c>
      <c r="R315" s="15">
        <f>IF(ISNUMBER('Refsz-Verbräuche'!R150), 'Refsz-Verbräuche'!R150*Emissionsfaktoren!R150/1000, 0)</f>
        <v>0</v>
      </c>
      <c r="S315" s="15">
        <f>IF(ISNUMBER('Refsz-Verbräuche'!S150), 'Refsz-Verbräuche'!S150*Emissionsfaktoren!S150/1000, 0)</f>
        <v>0</v>
      </c>
      <c r="T315" s="15">
        <f>IF(ISNUMBER('Refsz-Verbräuche'!T150), 'Refsz-Verbräuche'!T150*Emissionsfaktoren!T150/1000, 0)</f>
        <v>0</v>
      </c>
      <c r="U315" s="15">
        <f>IF(ISNUMBER('Refsz-Verbräuche'!U150), 'Refsz-Verbräuche'!U150*Emissionsfaktoren!U150/1000, 0)</f>
        <v>0</v>
      </c>
      <c r="V315" s="15">
        <f>IF(ISNUMBER('Refsz-Verbräuche'!V150), 'Refsz-Verbräuche'!V150*Emissionsfaktoren!V150/1000, 0)</f>
        <v>0</v>
      </c>
      <c r="W315" s="15">
        <f>IF(ISNUMBER('Refsz-Verbräuche'!W150), 'Refsz-Verbräuche'!W150*Emissionsfaktoren!W150/1000, 0)</f>
        <v>0</v>
      </c>
      <c r="X315" s="15">
        <f>IF(ISNUMBER('Refsz-Verbräuche'!X150), 'Refsz-Verbräuche'!X150*Emissionsfaktoren!X150/1000, 0)</f>
        <v>0</v>
      </c>
    </row>
    <row r="316" spans="2:24" ht="16.5" hidden="1" x14ac:dyDescent="0.45">
      <c r="B316" s="15">
        <v>91</v>
      </c>
      <c r="C316" s="20" t="str">
        <f>'Refsz-Verbräuche'!C151</f>
        <v>Toilettenpapier (Recycling)</v>
      </c>
      <c r="D316" t="s">
        <v>208</v>
      </c>
      <c r="E316" s="15">
        <f>IF(ISNUMBER('Refsz-Verbräuche'!E151), 'Refsz-Verbräuche'!E151*Emissionsfaktoren!E151/1000, 0)</f>
        <v>0</v>
      </c>
      <c r="F316" s="15">
        <f>IF(ISNUMBER('Refsz-Verbräuche'!F151), 'Refsz-Verbräuche'!F151*Emissionsfaktoren!F151/1000, 0)</f>
        <v>0</v>
      </c>
      <c r="G316" s="15">
        <f>IF(ISNUMBER('Refsz-Verbräuche'!G151), 'Refsz-Verbräuche'!G151*Emissionsfaktoren!G151/1000, 0)</f>
        <v>0</v>
      </c>
      <c r="H316" s="15">
        <f>IF(ISNUMBER('Refsz-Verbräuche'!H151), 'Refsz-Verbräuche'!H151*Emissionsfaktoren!H151/1000, 0)</f>
        <v>0</v>
      </c>
      <c r="I316" s="15">
        <f>IF(ISNUMBER('Refsz-Verbräuche'!I151), 'Refsz-Verbräuche'!I151*Emissionsfaktoren!I151/1000, 0)</f>
        <v>0</v>
      </c>
      <c r="J316" s="15">
        <f>IF(ISNUMBER('Refsz-Verbräuche'!J151), 'Refsz-Verbräuche'!J151*Emissionsfaktoren!J151/1000, 0)</f>
        <v>0</v>
      </c>
      <c r="K316" s="15">
        <f>IF(ISNUMBER('Refsz-Verbräuche'!K151), 'Refsz-Verbräuche'!K151*Emissionsfaktoren!K151/1000, 0)</f>
        <v>0</v>
      </c>
      <c r="L316" s="15">
        <f>IF(ISNUMBER('Refsz-Verbräuche'!L151), 'Refsz-Verbräuche'!L151*Emissionsfaktoren!L151/1000, 0)</f>
        <v>0</v>
      </c>
      <c r="M316" s="15">
        <f>IF(ISNUMBER('Refsz-Verbräuche'!M151), 'Refsz-Verbräuche'!M151*Emissionsfaktoren!M151/1000, 0)</f>
        <v>0</v>
      </c>
      <c r="N316" s="15">
        <f>IF(ISNUMBER('Refsz-Verbräuche'!N151), 'Refsz-Verbräuche'!N151*Emissionsfaktoren!N151/1000, 0)</f>
        <v>0</v>
      </c>
      <c r="O316" s="15">
        <f>IF(ISNUMBER('Refsz-Verbräuche'!O151), 'Refsz-Verbräuche'!O151*Emissionsfaktoren!O151/1000, 0)</f>
        <v>0</v>
      </c>
      <c r="P316" s="15">
        <f>IF(ISNUMBER('Refsz-Verbräuche'!P151), 'Refsz-Verbräuche'!P151*Emissionsfaktoren!P151/1000, 0)</f>
        <v>0</v>
      </c>
      <c r="Q316" s="15">
        <f>IF(ISNUMBER('Refsz-Verbräuche'!Q151), 'Refsz-Verbräuche'!Q151*Emissionsfaktoren!Q151/1000, 0)</f>
        <v>0</v>
      </c>
      <c r="R316" s="15">
        <f>IF(ISNUMBER('Refsz-Verbräuche'!R151), 'Refsz-Verbräuche'!R151*Emissionsfaktoren!R151/1000, 0)</f>
        <v>0</v>
      </c>
      <c r="S316" s="15">
        <f>IF(ISNUMBER('Refsz-Verbräuche'!S151), 'Refsz-Verbräuche'!S151*Emissionsfaktoren!S151/1000, 0)</f>
        <v>0</v>
      </c>
      <c r="T316" s="15">
        <f>IF(ISNUMBER('Refsz-Verbräuche'!T151), 'Refsz-Verbräuche'!T151*Emissionsfaktoren!T151/1000, 0)</f>
        <v>0</v>
      </c>
      <c r="U316" s="15">
        <f>IF(ISNUMBER('Refsz-Verbräuche'!U151), 'Refsz-Verbräuche'!U151*Emissionsfaktoren!U151/1000, 0)</f>
        <v>0</v>
      </c>
      <c r="V316" s="15">
        <f>IF(ISNUMBER('Refsz-Verbräuche'!V151), 'Refsz-Verbräuche'!V151*Emissionsfaktoren!V151/1000, 0)</f>
        <v>0</v>
      </c>
      <c r="W316" s="15">
        <f>IF(ISNUMBER('Refsz-Verbräuche'!W151), 'Refsz-Verbräuche'!W151*Emissionsfaktoren!W151/1000, 0)</f>
        <v>0</v>
      </c>
      <c r="X316" s="15">
        <f>IF(ISNUMBER('Refsz-Verbräuche'!X151), 'Refsz-Verbräuche'!X151*Emissionsfaktoren!X151/1000, 0)</f>
        <v>0</v>
      </c>
    </row>
    <row r="317" spans="2:24" ht="16.5" hidden="1" x14ac:dyDescent="0.45">
      <c r="B317" s="15">
        <v>92</v>
      </c>
      <c r="C317" s="20" t="str">
        <f>'Refsz-Verbräuche'!C152</f>
        <v>Papierhandtücher (Recycling)</v>
      </c>
      <c r="D317" t="s">
        <v>208</v>
      </c>
      <c r="E317" s="15">
        <f>IF(ISNUMBER('Refsz-Verbräuche'!E152), 'Refsz-Verbräuche'!E152*Emissionsfaktoren!E152/1000, 0)</f>
        <v>0</v>
      </c>
      <c r="F317" s="15">
        <f>IF(ISNUMBER('Refsz-Verbräuche'!F152), 'Refsz-Verbräuche'!F152*Emissionsfaktoren!F152/1000, 0)</f>
        <v>0</v>
      </c>
      <c r="G317" s="15">
        <f>IF(ISNUMBER('Refsz-Verbräuche'!G152), 'Refsz-Verbräuche'!G152*Emissionsfaktoren!G152/1000, 0)</f>
        <v>0</v>
      </c>
      <c r="H317" s="15">
        <f>IF(ISNUMBER('Refsz-Verbräuche'!H152), 'Refsz-Verbräuche'!H152*Emissionsfaktoren!H152/1000, 0)</f>
        <v>0</v>
      </c>
      <c r="I317" s="15">
        <f>IF(ISNUMBER('Refsz-Verbräuche'!I152), 'Refsz-Verbräuche'!I152*Emissionsfaktoren!I152/1000, 0)</f>
        <v>0</v>
      </c>
      <c r="J317" s="15">
        <f>IF(ISNUMBER('Refsz-Verbräuche'!J152), 'Refsz-Verbräuche'!J152*Emissionsfaktoren!J152/1000, 0)</f>
        <v>0</v>
      </c>
      <c r="K317" s="15">
        <f>IF(ISNUMBER('Refsz-Verbräuche'!K152), 'Refsz-Verbräuche'!K152*Emissionsfaktoren!K152/1000, 0)</f>
        <v>0</v>
      </c>
      <c r="L317" s="15">
        <f>IF(ISNUMBER('Refsz-Verbräuche'!L152), 'Refsz-Verbräuche'!L152*Emissionsfaktoren!L152/1000, 0)</f>
        <v>0</v>
      </c>
      <c r="M317" s="15">
        <f>IF(ISNUMBER('Refsz-Verbräuche'!M152), 'Refsz-Verbräuche'!M152*Emissionsfaktoren!M152/1000, 0)</f>
        <v>0</v>
      </c>
      <c r="N317" s="15">
        <f>IF(ISNUMBER('Refsz-Verbräuche'!N152), 'Refsz-Verbräuche'!N152*Emissionsfaktoren!N152/1000, 0)</f>
        <v>0</v>
      </c>
      <c r="O317" s="15">
        <f>IF(ISNUMBER('Refsz-Verbräuche'!O152), 'Refsz-Verbräuche'!O152*Emissionsfaktoren!O152/1000, 0)</f>
        <v>0</v>
      </c>
      <c r="P317" s="15">
        <f>IF(ISNUMBER('Refsz-Verbräuche'!P152), 'Refsz-Verbräuche'!P152*Emissionsfaktoren!P152/1000, 0)</f>
        <v>0</v>
      </c>
      <c r="Q317" s="15">
        <f>IF(ISNUMBER('Refsz-Verbräuche'!Q152), 'Refsz-Verbräuche'!Q152*Emissionsfaktoren!Q152/1000, 0)</f>
        <v>0</v>
      </c>
      <c r="R317" s="15">
        <f>IF(ISNUMBER('Refsz-Verbräuche'!R152), 'Refsz-Verbräuche'!R152*Emissionsfaktoren!R152/1000, 0)</f>
        <v>0</v>
      </c>
      <c r="S317" s="15">
        <f>IF(ISNUMBER('Refsz-Verbräuche'!S152), 'Refsz-Verbräuche'!S152*Emissionsfaktoren!S152/1000, 0)</f>
        <v>0</v>
      </c>
      <c r="T317" s="15">
        <f>IF(ISNUMBER('Refsz-Verbräuche'!T152), 'Refsz-Verbräuche'!T152*Emissionsfaktoren!T152/1000, 0)</f>
        <v>0</v>
      </c>
      <c r="U317" s="15">
        <f>IF(ISNUMBER('Refsz-Verbräuche'!U152), 'Refsz-Verbräuche'!U152*Emissionsfaktoren!U152/1000, 0)</f>
        <v>0</v>
      </c>
      <c r="V317" s="15">
        <f>IF(ISNUMBER('Refsz-Verbräuche'!V152), 'Refsz-Verbräuche'!V152*Emissionsfaktoren!V152/1000, 0)</f>
        <v>0</v>
      </c>
      <c r="W317" s="15">
        <f>IF(ISNUMBER('Refsz-Verbräuche'!W152), 'Refsz-Verbräuche'!W152*Emissionsfaktoren!W152/1000, 0)</f>
        <v>0</v>
      </c>
      <c r="X317" s="15">
        <f>IF(ISNUMBER('Refsz-Verbräuche'!X152), 'Refsz-Verbräuche'!X152*Emissionsfaktoren!X152/1000, 0)</f>
        <v>0</v>
      </c>
    </row>
    <row r="318" spans="2:24" ht="16.5" hidden="1" x14ac:dyDescent="0.45">
      <c r="B318" s="15">
        <v>93</v>
      </c>
      <c r="C318" s="20">
        <f>'Refsz-Verbräuche'!C153</f>
        <v>0</v>
      </c>
      <c r="D318" t="s">
        <v>208</v>
      </c>
      <c r="E318" s="15">
        <f>IF(ISNUMBER('Refsz-Verbräuche'!E153), 'Refsz-Verbräuche'!E153*Emissionsfaktoren!E153/1000, 0)</f>
        <v>0</v>
      </c>
      <c r="F318" s="15">
        <f>IF(ISNUMBER('Refsz-Verbräuche'!F153), 'Refsz-Verbräuche'!F153*Emissionsfaktoren!F153/1000, 0)</f>
        <v>0</v>
      </c>
      <c r="G318" s="15">
        <f>IF(ISNUMBER('Refsz-Verbräuche'!G153), 'Refsz-Verbräuche'!G153*Emissionsfaktoren!G153/1000, 0)</f>
        <v>0</v>
      </c>
      <c r="H318" s="15">
        <f>IF(ISNUMBER('Refsz-Verbräuche'!H153), 'Refsz-Verbräuche'!H153*Emissionsfaktoren!H153/1000, 0)</f>
        <v>0</v>
      </c>
      <c r="I318" s="15">
        <f>IF(ISNUMBER('Refsz-Verbräuche'!I153), 'Refsz-Verbräuche'!I153*Emissionsfaktoren!I153/1000, 0)</f>
        <v>0</v>
      </c>
      <c r="J318" s="15">
        <f>IF(ISNUMBER('Refsz-Verbräuche'!J153), 'Refsz-Verbräuche'!J153*Emissionsfaktoren!J153/1000, 0)</f>
        <v>0</v>
      </c>
      <c r="K318" s="15">
        <f>IF(ISNUMBER('Refsz-Verbräuche'!K153), 'Refsz-Verbräuche'!K153*Emissionsfaktoren!K153/1000, 0)</f>
        <v>0</v>
      </c>
      <c r="L318" s="15">
        <f>IF(ISNUMBER('Refsz-Verbräuche'!L153), 'Refsz-Verbräuche'!L153*Emissionsfaktoren!L153/1000, 0)</f>
        <v>0</v>
      </c>
      <c r="M318" s="15">
        <f>IF(ISNUMBER('Refsz-Verbräuche'!M153), 'Refsz-Verbräuche'!M153*Emissionsfaktoren!M153/1000, 0)</f>
        <v>0</v>
      </c>
      <c r="N318" s="15">
        <f>IF(ISNUMBER('Refsz-Verbräuche'!N153), 'Refsz-Verbräuche'!N153*Emissionsfaktoren!N153/1000, 0)</f>
        <v>0</v>
      </c>
      <c r="O318" s="15">
        <f>IF(ISNUMBER('Refsz-Verbräuche'!O153), 'Refsz-Verbräuche'!O153*Emissionsfaktoren!O153/1000, 0)</f>
        <v>0</v>
      </c>
      <c r="P318" s="15">
        <f>IF(ISNUMBER('Refsz-Verbräuche'!P153), 'Refsz-Verbräuche'!P153*Emissionsfaktoren!P153/1000, 0)</f>
        <v>0</v>
      </c>
      <c r="Q318" s="15">
        <f>IF(ISNUMBER('Refsz-Verbräuche'!Q153), 'Refsz-Verbräuche'!Q153*Emissionsfaktoren!Q153/1000, 0)</f>
        <v>0</v>
      </c>
      <c r="R318" s="15">
        <f>IF(ISNUMBER('Refsz-Verbräuche'!R153), 'Refsz-Verbräuche'!R153*Emissionsfaktoren!R153/1000, 0)</f>
        <v>0</v>
      </c>
      <c r="S318" s="15">
        <f>IF(ISNUMBER('Refsz-Verbräuche'!S153), 'Refsz-Verbräuche'!S153*Emissionsfaktoren!S153/1000, 0)</f>
        <v>0</v>
      </c>
      <c r="T318" s="15">
        <f>IF(ISNUMBER('Refsz-Verbräuche'!T153), 'Refsz-Verbräuche'!T153*Emissionsfaktoren!T153/1000, 0)</f>
        <v>0</v>
      </c>
      <c r="U318" s="15">
        <f>IF(ISNUMBER('Refsz-Verbräuche'!U153), 'Refsz-Verbräuche'!U153*Emissionsfaktoren!U153/1000, 0)</f>
        <v>0</v>
      </c>
      <c r="V318" s="15">
        <f>IF(ISNUMBER('Refsz-Verbräuche'!V153), 'Refsz-Verbräuche'!V153*Emissionsfaktoren!V153/1000, 0)</f>
        <v>0</v>
      </c>
      <c r="W318" s="15">
        <f>IF(ISNUMBER('Refsz-Verbräuche'!W153), 'Refsz-Verbräuche'!W153*Emissionsfaktoren!W153/1000, 0)</f>
        <v>0</v>
      </c>
      <c r="X318" s="15">
        <f>IF(ISNUMBER('Refsz-Verbräuche'!X153), 'Refsz-Verbräuche'!X153*Emissionsfaktoren!X153/1000, 0)</f>
        <v>0</v>
      </c>
    </row>
    <row r="319" spans="2:24" ht="16.5" hidden="1" x14ac:dyDescent="0.45">
      <c r="B319" s="15">
        <v>94</v>
      </c>
      <c r="C319" s="20" t="str">
        <f>'Refsz-Verbräuche'!C154</f>
        <v>Outgesourcte Leistungen des Rechenzentrums</v>
      </c>
      <c r="D319" t="s">
        <v>208</v>
      </c>
      <c r="E319" s="15">
        <f>IF(ISNUMBER('Refsz-Verbräuche'!E154), 'Refsz-Verbräuche'!E154*Emissionsfaktoren!E154/1000, 0)</f>
        <v>0</v>
      </c>
      <c r="F319" s="15">
        <f>IF(ISNUMBER('Refsz-Verbräuche'!F154), 'Refsz-Verbräuche'!F154*Emissionsfaktoren!F154/1000, 0)</f>
        <v>0</v>
      </c>
      <c r="G319" s="15">
        <f>IF(ISNUMBER('Refsz-Verbräuche'!G154), 'Refsz-Verbräuche'!G154*Emissionsfaktoren!G154/1000, 0)</f>
        <v>0</v>
      </c>
      <c r="H319" s="15">
        <f>IF(ISNUMBER('Refsz-Verbräuche'!H154), 'Refsz-Verbräuche'!H154*Emissionsfaktoren!H154/1000, 0)</f>
        <v>0</v>
      </c>
      <c r="I319" s="15">
        <f>IF(ISNUMBER('Refsz-Verbräuche'!I154), 'Refsz-Verbräuche'!I154*Emissionsfaktoren!I154/1000, 0)</f>
        <v>0</v>
      </c>
      <c r="J319" s="15">
        <f>IF(ISNUMBER('Refsz-Verbräuche'!J154), 'Refsz-Verbräuche'!J154*Emissionsfaktoren!J154/1000, 0)</f>
        <v>0</v>
      </c>
      <c r="K319" s="15">
        <f>IF(ISNUMBER('Refsz-Verbräuche'!K154), 'Refsz-Verbräuche'!K154*Emissionsfaktoren!K154/1000, 0)</f>
        <v>0</v>
      </c>
      <c r="L319" s="15">
        <f>IF(ISNUMBER('Refsz-Verbräuche'!L154), 'Refsz-Verbräuche'!L154*Emissionsfaktoren!L154/1000, 0)</f>
        <v>0</v>
      </c>
      <c r="M319" s="15">
        <f>IF(ISNUMBER('Refsz-Verbräuche'!M154), 'Refsz-Verbräuche'!M154*Emissionsfaktoren!M154/1000, 0)</f>
        <v>0</v>
      </c>
      <c r="N319" s="15">
        <f>IF(ISNUMBER('Refsz-Verbräuche'!N154), 'Refsz-Verbräuche'!N154*Emissionsfaktoren!N154/1000, 0)</f>
        <v>0</v>
      </c>
      <c r="O319" s="15">
        <f>IF(ISNUMBER('Refsz-Verbräuche'!O154), 'Refsz-Verbräuche'!O154*Emissionsfaktoren!O154/1000, 0)</f>
        <v>0</v>
      </c>
      <c r="P319" s="15">
        <f>IF(ISNUMBER('Refsz-Verbräuche'!P154), 'Refsz-Verbräuche'!P154*Emissionsfaktoren!P154/1000, 0)</f>
        <v>0</v>
      </c>
      <c r="Q319" s="15">
        <f>IF(ISNUMBER('Refsz-Verbräuche'!Q154), 'Refsz-Verbräuche'!Q154*Emissionsfaktoren!Q154/1000, 0)</f>
        <v>0</v>
      </c>
      <c r="R319" s="15">
        <f>IF(ISNUMBER('Refsz-Verbräuche'!R154), 'Refsz-Verbräuche'!R154*Emissionsfaktoren!R154/1000, 0)</f>
        <v>0</v>
      </c>
      <c r="S319" s="15">
        <f>IF(ISNUMBER('Refsz-Verbräuche'!S154), 'Refsz-Verbräuche'!S154*Emissionsfaktoren!S154/1000, 0)</f>
        <v>0</v>
      </c>
      <c r="T319" s="15">
        <f>IF(ISNUMBER('Refsz-Verbräuche'!T154), 'Refsz-Verbräuche'!T154*Emissionsfaktoren!T154/1000, 0)</f>
        <v>0</v>
      </c>
      <c r="U319" s="15">
        <f>IF(ISNUMBER('Refsz-Verbräuche'!U154), 'Refsz-Verbräuche'!U154*Emissionsfaktoren!U154/1000, 0)</f>
        <v>0</v>
      </c>
      <c r="V319" s="15">
        <f>IF(ISNUMBER('Refsz-Verbräuche'!V154), 'Refsz-Verbräuche'!V154*Emissionsfaktoren!V154/1000, 0)</f>
        <v>0</v>
      </c>
      <c r="W319" s="15">
        <f>IF(ISNUMBER('Refsz-Verbräuche'!W154), 'Refsz-Verbräuche'!W154*Emissionsfaktoren!W154/1000, 0)</f>
        <v>0</v>
      </c>
      <c r="X319" s="15">
        <f>IF(ISNUMBER('Refsz-Verbräuche'!X154), 'Refsz-Verbräuche'!X154*Emissionsfaktoren!X154/1000, 0)</f>
        <v>0</v>
      </c>
    </row>
    <row r="320" spans="2:24" ht="16.5" hidden="1" x14ac:dyDescent="0.45">
      <c r="B320" s="15">
        <v>95</v>
      </c>
      <c r="C320" s="20" t="str">
        <f>'Refsz-Verbräuche'!C155</f>
        <v>Beamer</v>
      </c>
      <c r="D320" t="s">
        <v>208</v>
      </c>
      <c r="E320" s="15">
        <f>IF(ISNUMBER('Refsz-Verbräuche'!E155), 'Refsz-Verbräuche'!E155*Emissionsfaktoren!E155/1000, 0)</f>
        <v>0</v>
      </c>
      <c r="F320" s="15">
        <f>IF(ISNUMBER('Refsz-Verbräuche'!F155), 'Refsz-Verbräuche'!F155*Emissionsfaktoren!F155/1000, 0)</f>
        <v>0</v>
      </c>
      <c r="G320" s="15">
        <f>IF(ISNUMBER('Refsz-Verbräuche'!G155), 'Refsz-Verbräuche'!G155*Emissionsfaktoren!G155/1000, 0)</f>
        <v>0</v>
      </c>
      <c r="H320" s="15">
        <f>IF(ISNUMBER('Refsz-Verbräuche'!H155), 'Refsz-Verbräuche'!H155*Emissionsfaktoren!H155/1000, 0)</f>
        <v>0</v>
      </c>
      <c r="I320" s="15">
        <f>IF(ISNUMBER('Refsz-Verbräuche'!I155), 'Refsz-Verbräuche'!I155*Emissionsfaktoren!I155/1000, 0)</f>
        <v>0</v>
      </c>
      <c r="J320" s="15">
        <f>IF(ISNUMBER('Refsz-Verbräuche'!J155), 'Refsz-Verbräuche'!J155*Emissionsfaktoren!J155/1000, 0)</f>
        <v>0</v>
      </c>
      <c r="K320" s="15">
        <f>IF(ISNUMBER('Refsz-Verbräuche'!K155), 'Refsz-Verbräuche'!K155*Emissionsfaktoren!K155/1000, 0)</f>
        <v>0</v>
      </c>
      <c r="L320" s="15">
        <f>IF(ISNUMBER('Refsz-Verbräuche'!L155), 'Refsz-Verbräuche'!L155*Emissionsfaktoren!L155/1000, 0)</f>
        <v>0</v>
      </c>
      <c r="M320" s="15">
        <f>IF(ISNUMBER('Refsz-Verbräuche'!M155), 'Refsz-Verbräuche'!M155*Emissionsfaktoren!M155/1000, 0)</f>
        <v>0</v>
      </c>
      <c r="N320" s="15">
        <f>IF(ISNUMBER('Refsz-Verbräuche'!N155), 'Refsz-Verbräuche'!N155*Emissionsfaktoren!N155/1000, 0)</f>
        <v>0</v>
      </c>
      <c r="O320" s="15">
        <f>IF(ISNUMBER('Refsz-Verbräuche'!O155), 'Refsz-Verbräuche'!O155*Emissionsfaktoren!O155/1000, 0)</f>
        <v>0</v>
      </c>
      <c r="P320" s="15">
        <f>IF(ISNUMBER('Refsz-Verbräuche'!P155), 'Refsz-Verbräuche'!P155*Emissionsfaktoren!P155/1000, 0)</f>
        <v>0</v>
      </c>
      <c r="Q320" s="15">
        <f>IF(ISNUMBER('Refsz-Verbräuche'!Q155), 'Refsz-Verbräuche'!Q155*Emissionsfaktoren!Q155/1000, 0)</f>
        <v>0</v>
      </c>
      <c r="R320" s="15">
        <f>IF(ISNUMBER('Refsz-Verbräuche'!R155), 'Refsz-Verbräuche'!R155*Emissionsfaktoren!R155/1000, 0)</f>
        <v>0</v>
      </c>
      <c r="S320" s="15">
        <f>IF(ISNUMBER('Refsz-Verbräuche'!S155), 'Refsz-Verbräuche'!S155*Emissionsfaktoren!S155/1000, 0)</f>
        <v>0</v>
      </c>
      <c r="T320" s="15">
        <f>IF(ISNUMBER('Refsz-Verbräuche'!T155), 'Refsz-Verbräuche'!T155*Emissionsfaktoren!T155/1000, 0)</f>
        <v>0</v>
      </c>
      <c r="U320" s="15">
        <f>IF(ISNUMBER('Refsz-Verbräuche'!U155), 'Refsz-Verbräuche'!U155*Emissionsfaktoren!U155/1000, 0)</f>
        <v>0</v>
      </c>
      <c r="V320" s="15">
        <f>IF(ISNUMBER('Refsz-Verbräuche'!V155), 'Refsz-Verbräuche'!V155*Emissionsfaktoren!V155/1000, 0)</f>
        <v>0</v>
      </c>
      <c r="W320" s="15">
        <f>IF(ISNUMBER('Refsz-Verbräuche'!W155), 'Refsz-Verbräuche'!W155*Emissionsfaktoren!W155/1000, 0)</f>
        <v>0</v>
      </c>
      <c r="X320" s="15">
        <f>IF(ISNUMBER('Refsz-Verbräuche'!X155), 'Refsz-Verbräuche'!X155*Emissionsfaktoren!X155/1000, 0)</f>
        <v>0</v>
      </c>
    </row>
    <row r="321" spans="2:24" ht="16.5" hidden="1" x14ac:dyDescent="0.45">
      <c r="B321" s="15">
        <v>96</v>
      </c>
      <c r="C321" s="20" t="str">
        <f>'Refsz-Verbräuche'!C156</f>
        <v>Notebook/Laptop</v>
      </c>
      <c r="D321" t="s">
        <v>208</v>
      </c>
      <c r="E321" s="15">
        <f>IF(ISNUMBER('Refsz-Verbräuche'!E156), 'Refsz-Verbräuche'!E156*Emissionsfaktoren!E156/1000, 0)</f>
        <v>0</v>
      </c>
      <c r="F321" s="15">
        <f>IF(ISNUMBER('Refsz-Verbräuche'!F156), 'Refsz-Verbräuche'!F156*Emissionsfaktoren!F156/1000, 0)</f>
        <v>0</v>
      </c>
      <c r="G321" s="15">
        <f>IF(ISNUMBER('Refsz-Verbräuche'!G156), 'Refsz-Verbräuche'!G156*Emissionsfaktoren!G156/1000, 0)</f>
        <v>0</v>
      </c>
      <c r="H321" s="15">
        <f>IF(ISNUMBER('Refsz-Verbräuche'!H156), 'Refsz-Verbräuche'!H156*Emissionsfaktoren!H156/1000, 0)</f>
        <v>0</v>
      </c>
      <c r="I321" s="15">
        <f>IF(ISNUMBER('Refsz-Verbräuche'!I156), 'Refsz-Verbräuche'!I156*Emissionsfaktoren!I156/1000, 0)</f>
        <v>0</v>
      </c>
      <c r="J321" s="15">
        <f>IF(ISNUMBER('Refsz-Verbräuche'!J156), 'Refsz-Verbräuche'!J156*Emissionsfaktoren!J156/1000, 0)</f>
        <v>0</v>
      </c>
      <c r="K321" s="15">
        <f>IF(ISNUMBER('Refsz-Verbräuche'!K156), 'Refsz-Verbräuche'!K156*Emissionsfaktoren!K156/1000, 0)</f>
        <v>0</v>
      </c>
      <c r="L321" s="15">
        <f>IF(ISNUMBER('Refsz-Verbräuche'!L156), 'Refsz-Verbräuche'!L156*Emissionsfaktoren!L156/1000, 0)</f>
        <v>0</v>
      </c>
      <c r="M321" s="15">
        <f>IF(ISNUMBER('Refsz-Verbräuche'!M156), 'Refsz-Verbräuche'!M156*Emissionsfaktoren!M156/1000, 0)</f>
        <v>0</v>
      </c>
      <c r="N321" s="15">
        <f>IF(ISNUMBER('Refsz-Verbräuche'!N156), 'Refsz-Verbräuche'!N156*Emissionsfaktoren!N156/1000, 0)</f>
        <v>0</v>
      </c>
      <c r="O321" s="15">
        <f>IF(ISNUMBER('Refsz-Verbräuche'!O156), 'Refsz-Verbräuche'!O156*Emissionsfaktoren!O156/1000, 0)</f>
        <v>0</v>
      </c>
      <c r="P321" s="15">
        <f>IF(ISNUMBER('Refsz-Verbräuche'!P156), 'Refsz-Verbräuche'!P156*Emissionsfaktoren!P156/1000, 0)</f>
        <v>0</v>
      </c>
      <c r="Q321" s="15">
        <f>IF(ISNUMBER('Refsz-Verbräuche'!Q156), 'Refsz-Verbräuche'!Q156*Emissionsfaktoren!Q156/1000, 0)</f>
        <v>0</v>
      </c>
      <c r="R321" s="15">
        <f>IF(ISNUMBER('Refsz-Verbräuche'!R156), 'Refsz-Verbräuche'!R156*Emissionsfaktoren!R156/1000, 0)</f>
        <v>0</v>
      </c>
      <c r="S321" s="15">
        <f>IF(ISNUMBER('Refsz-Verbräuche'!S156), 'Refsz-Verbräuche'!S156*Emissionsfaktoren!S156/1000, 0)</f>
        <v>0</v>
      </c>
      <c r="T321" s="15">
        <f>IF(ISNUMBER('Refsz-Verbräuche'!T156), 'Refsz-Verbräuche'!T156*Emissionsfaktoren!T156/1000, 0)</f>
        <v>0</v>
      </c>
      <c r="U321" s="15">
        <f>IF(ISNUMBER('Refsz-Verbräuche'!U156), 'Refsz-Verbräuche'!U156*Emissionsfaktoren!U156/1000, 0)</f>
        <v>0</v>
      </c>
      <c r="V321" s="15">
        <f>IF(ISNUMBER('Refsz-Verbräuche'!V156), 'Refsz-Verbräuche'!V156*Emissionsfaktoren!V156/1000, 0)</f>
        <v>0</v>
      </c>
      <c r="W321" s="15">
        <f>IF(ISNUMBER('Refsz-Verbräuche'!W156), 'Refsz-Verbräuche'!W156*Emissionsfaktoren!W156/1000, 0)</f>
        <v>0</v>
      </c>
      <c r="X321" s="15">
        <f>IF(ISNUMBER('Refsz-Verbräuche'!X156), 'Refsz-Verbräuche'!X156*Emissionsfaktoren!X156/1000, 0)</f>
        <v>0</v>
      </c>
    </row>
    <row r="322" spans="2:24" ht="16.5" hidden="1" x14ac:dyDescent="0.45">
      <c r="B322" s="15">
        <v>97</v>
      </c>
      <c r="C322" s="20" t="str">
        <f>'Refsz-Verbräuche'!C157</f>
        <v>Desktop-PC mit Monitor</v>
      </c>
      <c r="D322" t="s">
        <v>208</v>
      </c>
      <c r="E322" s="15">
        <f>IF(ISNUMBER('Refsz-Verbräuche'!E157), 'Refsz-Verbräuche'!E157*Emissionsfaktoren!E157/1000, 0)</f>
        <v>0</v>
      </c>
      <c r="F322" s="15">
        <f>IF(ISNUMBER('Refsz-Verbräuche'!F157), 'Refsz-Verbräuche'!F157*Emissionsfaktoren!F157/1000, 0)</f>
        <v>0</v>
      </c>
      <c r="G322" s="15">
        <f>IF(ISNUMBER('Refsz-Verbräuche'!G157), 'Refsz-Verbräuche'!G157*Emissionsfaktoren!G157/1000, 0)</f>
        <v>0</v>
      </c>
      <c r="H322" s="15">
        <f>IF(ISNUMBER('Refsz-Verbräuche'!H157), 'Refsz-Verbräuche'!H157*Emissionsfaktoren!H157/1000, 0)</f>
        <v>0</v>
      </c>
      <c r="I322" s="15">
        <f>IF(ISNUMBER('Refsz-Verbräuche'!I157), 'Refsz-Verbräuche'!I157*Emissionsfaktoren!I157/1000, 0)</f>
        <v>0</v>
      </c>
      <c r="J322" s="15">
        <f>IF(ISNUMBER('Refsz-Verbräuche'!J157), 'Refsz-Verbräuche'!J157*Emissionsfaktoren!J157/1000, 0)</f>
        <v>0</v>
      </c>
      <c r="K322" s="15">
        <f>IF(ISNUMBER('Refsz-Verbräuche'!K157), 'Refsz-Verbräuche'!K157*Emissionsfaktoren!K157/1000, 0)</f>
        <v>0</v>
      </c>
      <c r="L322" s="15">
        <f>IF(ISNUMBER('Refsz-Verbräuche'!L157), 'Refsz-Verbräuche'!L157*Emissionsfaktoren!L157/1000, 0)</f>
        <v>0</v>
      </c>
      <c r="M322" s="15">
        <f>IF(ISNUMBER('Refsz-Verbräuche'!M157), 'Refsz-Verbräuche'!M157*Emissionsfaktoren!M157/1000, 0)</f>
        <v>0</v>
      </c>
      <c r="N322" s="15">
        <f>IF(ISNUMBER('Refsz-Verbräuche'!N157), 'Refsz-Verbräuche'!N157*Emissionsfaktoren!N157/1000, 0)</f>
        <v>0</v>
      </c>
      <c r="O322" s="15">
        <f>IF(ISNUMBER('Refsz-Verbräuche'!O157), 'Refsz-Verbräuche'!O157*Emissionsfaktoren!O157/1000, 0)</f>
        <v>0</v>
      </c>
      <c r="P322" s="15">
        <f>IF(ISNUMBER('Refsz-Verbräuche'!P157), 'Refsz-Verbräuche'!P157*Emissionsfaktoren!P157/1000, 0)</f>
        <v>0</v>
      </c>
      <c r="Q322" s="15">
        <f>IF(ISNUMBER('Refsz-Verbräuche'!Q157), 'Refsz-Verbräuche'!Q157*Emissionsfaktoren!Q157/1000, 0)</f>
        <v>0</v>
      </c>
      <c r="R322" s="15">
        <f>IF(ISNUMBER('Refsz-Verbräuche'!R157), 'Refsz-Verbräuche'!R157*Emissionsfaktoren!R157/1000, 0)</f>
        <v>0</v>
      </c>
      <c r="S322" s="15">
        <f>IF(ISNUMBER('Refsz-Verbräuche'!S157), 'Refsz-Verbräuche'!S157*Emissionsfaktoren!S157/1000, 0)</f>
        <v>0</v>
      </c>
      <c r="T322" s="15">
        <f>IF(ISNUMBER('Refsz-Verbräuche'!T157), 'Refsz-Verbräuche'!T157*Emissionsfaktoren!T157/1000, 0)</f>
        <v>0</v>
      </c>
      <c r="U322" s="15">
        <f>IF(ISNUMBER('Refsz-Verbräuche'!U157), 'Refsz-Verbräuche'!U157*Emissionsfaktoren!U157/1000, 0)</f>
        <v>0</v>
      </c>
      <c r="V322" s="15">
        <f>IF(ISNUMBER('Refsz-Verbräuche'!V157), 'Refsz-Verbräuche'!V157*Emissionsfaktoren!V157/1000, 0)</f>
        <v>0</v>
      </c>
      <c r="W322" s="15">
        <f>IF(ISNUMBER('Refsz-Verbräuche'!W157), 'Refsz-Verbräuche'!W157*Emissionsfaktoren!W157/1000, 0)</f>
        <v>0</v>
      </c>
      <c r="X322" s="15">
        <f>IF(ISNUMBER('Refsz-Verbräuche'!X157), 'Refsz-Verbräuche'!X157*Emissionsfaktoren!X157/1000, 0)</f>
        <v>0</v>
      </c>
    </row>
    <row r="323" spans="2:24" ht="16.5" hidden="1" x14ac:dyDescent="0.45">
      <c r="B323" s="15">
        <v>98</v>
      </c>
      <c r="C323" s="20" t="str">
        <f>'Refsz-Verbräuche'!C158</f>
        <v>Docking-Station</v>
      </c>
      <c r="D323" t="s">
        <v>208</v>
      </c>
      <c r="E323" s="15">
        <f>IF(ISNUMBER('Refsz-Verbräuche'!E158), 'Refsz-Verbräuche'!E158*Emissionsfaktoren!E158/1000, 0)</f>
        <v>0</v>
      </c>
      <c r="F323" s="15">
        <f>IF(ISNUMBER('Refsz-Verbräuche'!F158), 'Refsz-Verbräuche'!F158*Emissionsfaktoren!F158/1000, 0)</f>
        <v>0</v>
      </c>
      <c r="G323" s="15">
        <f>IF(ISNUMBER('Refsz-Verbräuche'!G158), 'Refsz-Verbräuche'!G158*Emissionsfaktoren!G158/1000, 0)</f>
        <v>0</v>
      </c>
      <c r="H323" s="15">
        <f>IF(ISNUMBER('Refsz-Verbräuche'!H158), 'Refsz-Verbräuche'!H158*Emissionsfaktoren!H158/1000, 0)</f>
        <v>0</v>
      </c>
      <c r="I323" s="15">
        <f>IF(ISNUMBER('Refsz-Verbräuche'!I158), 'Refsz-Verbräuche'!I158*Emissionsfaktoren!I158/1000, 0)</f>
        <v>0</v>
      </c>
      <c r="J323" s="15">
        <f>IF(ISNUMBER('Refsz-Verbräuche'!J158), 'Refsz-Verbräuche'!J158*Emissionsfaktoren!J158/1000, 0)</f>
        <v>0</v>
      </c>
      <c r="K323" s="15">
        <f>IF(ISNUMBER('Refsz-Verbräuche'!K158), 'Refsz-Verbräuche'!K158*Emissionsfaktoren!K158/1000, 0)</f>
        <v>0</v>
      </c>
      <c r="L323" s="15">
        <f>IF(ISNUMBER('Refsz-Verbräuche'!L158), 'Refsz-Verbräuche'!L158*Emissionsfaktoren!L158/1000, 0)</f>
        <v>0</v>
      </c>
      <c r="M323" s="15">
        <f>IF(ISNUMBER('Refsz-Verbräuche'!M158), 'Refsz-Verbräuche'!M158*Emissionsfaktoren!M158/1000, 0)</f>
        <v>0</v>
      </c>
      <c r="N323" s="15">
        <f>IF(ISNUMBER('Refsz-Verbräuche'!N158), 'Refsz-Verbräuche'!N158*Emissionsfaktoren!N158/1000, 0)</f>
        <v>0</v>
      </c>
      <c r="O323" s="15">
        <f>IF(ISNUMBER('Refsz-Verbräuche'!O158), 'Refsz-Verbräuche'!O158*Emissionsfaktoren!O158/1000, 0)</f>
        <v>0</v>
      </c>
      <c r="P323" s="15">
        <f>IF(ISNUMBER('Refsz-Verbräuche'!P158), 'Refsz-Verbräuche'!P158*Emissionsfaktoren!P158/1000, 0)</f>
        <v>0</v>
      </c>
      <c r="Q323" s="15">
        <f>IF(ISNUMBER('Refsz-Verbräuche'!Q158), 'Refsz-Verbräuche'!Q158*Emissionsfaktoren!Q158/1000, 0)</f>
        <v>0</v>
      </c>
      <c r="R323" s="15">
        <f>IF(ISNUMBER('Refsz-Verbräuche'!R158), 'Refsz-Verbräuche'!R158*Emissionsfaktoren!R158/1000, 0)</f>
        <v>0</v>
      </c>
      <c r="S323" s="15">
        <f>IF(ISNUMBER('Refsz-Verbräuche'!S158), 'Refsz-Verbräuche'!S158*Emissionsfaktoren!S158/1000, 0)</f>
        <v>0</v>
      </c>
      <c r="T323" s="15">
        <f>IF(ISNUMBER('Refsz-Verbräuche'!T158), 'Refsz-Verbräuche'!T158*Emissionsfaktoren!T158/1000, 0)</f>
        <v>0</v>
      </c>
      <c r="U323" s="15">
        <f>IF(ISNUMBER('Refsz-Verbräuche'!U158), 'Refsz-Verbräuche'!U158*Emissionsfaktoren!U158/1000, 0)</f>
        <v>0</v>
      </c>
      <c r="V323" s="15">
        <f>IF(ISNUMBER('Refsz-Verbräuche'!V158), 'Refsz-Verbräuche'!V158*Emissionsfaktoren!V158/1000, 0)</f>
        <v>0</v>
      </c>
      <c r="W323" s="15">
        <f>IF(ISNUMBER('Refsz-Verbräuche'!W158), 'Refsz-Verbräuche'!W158*Emissionsfaktoren!W158/1000, 0)</f>
        <v>0</v>
      </c>
      <c r="X323" s="15">
        <f>IF(ISNUMBER('Refsz-Verbräuche'!X158), 'Refsz-Verbräuche'!X158*Emissionsfaktoren!X158/1000, 0)</f>
        <v>0</v>
      </c>
    </row>
    <row r="324" spans="2:24" ht="16.5" hidden="1" x14ac:dyDescent="0.45">
      <c r="B324" s="15">
        <v>99</v>
      </c>
      <c r="C324" s="20" t="str">
        <f>'Refsz-Verbräuche'!C159</f>
        <v>Laserdrucker</v>
      </c>
      <c r="D324" t="s">
        <v>208</v>
      </c>
      <c r="E324" s="15">
        <f>IF(ISNUMBER('Refsz-Verbräuche'!E159), 'Refsz-Verbräuche'!E159*Emissionsfaktoren!E159/1000, 0)</f>
        <v>0</v>
      </c>
      <c r="F324" s="15">
        <f>IF(ISNUMBER('Refsz-Verbräuche'!F159), 'Refsz-Verbräuche'!F159*Emissionsfaktoren!F159/1000, 0)</f>
        <v>0</v>
      </c>
      <c r="G324" s="15">
        <f>IF(ISNUMBER('Refsz-Verbräuche'!G159), 'Refsz-Verbräuche'!G159*Emissionsfaktoren!G159/1000, 0)</f>
        <v>0</v>
      </c>
      <c r="H324" s="15">
        <f>IF(ISNUMBER('Refsz-Verbräuche'!H159), 'Refsz-Verbräuche'!H159*Emissionsfaktoren!H159/1000, 0)</f>
        <v>0</v>
      </c>
      <c r="I324" s="15">
        <f>IF(ISNUMBER('Refsz-Verbräuche'!I159), 'Refsz-Verbräuche'!I159*Emissionsfaktoren!I159/1000, 0)</f>
        <v>0</v>
      </c>
      <c r="J324" s="15">
        <f>IF(ISNUMBER('Refsz-Verbräuche'!J159), 'Refsz-Verbräuche'!J159*Emissionsfaktoren!J159/1000, 0)</f>
        <v>0</v>
      </c>
      <c r="K324" s="15">
        <f>IF(ISNUMBER('Refsz-Verbräuche'!K159), 'Refsz-Verbräuche'!K159*Emissionsfaktoren!K159/1000, 0)</f>
        <v>0</v>
      </c>
      <c r="L324" s="15">
        <f>IF(ISNUMBER('Refsz-Verbräuche'!L159), 'Refsz-Verbräuche'!L159*Emissionsfaktoren!L159/1000, 0)</f>
        <v>0</v>
      </c>
      <c r="M324" s="15">
        <f>IF(ISNUMBER('Refsz-Verbräuche'!M159), 'Refsz-Verbräuche'!M159*Emissionsfaktoren!M159/1000, 0)</f>
        <v>0</v>
      </c>
      <c r="N324" s="15">
        <f>IF(ISNUMBER('Refsz-Verbräuche'!N159), 'Refsz-Verbräuche'!N159*Emissionsfaktoren!N159/1000, 0)</f>
        <v>0</v>
      </c>
      <c r="O324" s="15">
        <f>IF(ISNUMBER('Refsz-Verbräuche'!O159), 'Refsz-Verbräuche'!O159*Emissionsfaktoren!O159/1000, 0)</f>
        <v>0</v>
      </c>
      <c r="P324" s="15">
        <f>IF(ISNUMBER('Refsz-Verbräuche'!P159), 'Refsz-Verbräuche'!P159*Emissionsfaktoren!P159/1000, 0)</f>
        <v>0</v>
      </c>
      <c r="Q324" s="15">
        <f>IF(ISNUMBER('Refsz-Verbräuche'!Q159), 'Refsz-Verbräuche'!Q159*Emissionsfaktoren!Q159/1000, 0)</f>
        <v>0</v>
      </c>
      <c r="R324" s="15">
        <f>IF(ISNUMBER('Refsz-Verbräuche'!R159), 'Refsz-Verbräuche'!R159*Emissionsfaktoren!R159/1000, 0)</f>
        <v>0</v>
      </c>
      <c r="S324" s="15">
        <f>IF(ISNUMBER('Refsz-Verbräuche'!S159), 'Refsz-Verbräuche'!S159*Emissionsfaktoren!S159/1000, 0)</f>
        <v>0</v>
      </c>
      <c r="T324" s="15">
        <f>IF(ISNUMBER('Refsz-Verbräuche'!T159), 'Refsz-Verbräuche'!T159*Emissionsfaktoren!T159/1000, 0)</f>
        <v>0</v>
      </c>
      <c r="U324" s="15">
        <f>IF(ISNUMBER('Refsz-Verbräuche'!U159), 'Refsz-Verbräuche'!U159*Emissionsfaktoren!U159/1000, 0)</f>
        <v>0</v>
      </c>
      <c r="V324" s="15">
        <f>IF(ISNUMBER('Refsz-Verbräuche'!V159), 'Refsz-Verbräuche'!V159*Emissionsfaktoren!V159/1000, 0)</f>
        <v>0</v>
      </c>
      <c r="W324" s="15">
        <f>IF(ISNUMBER('Refsz-Verbräuche'!W159), 'Refsz-Verbräuche'!W159*Emissionsfaktoren!W159/1000, 0)</f>
        <v>0</v>
      </c>
      <c r="X324" s="15">
        <f>IF(ISNUMBER('Refsz-Verbräuche'!X159), 'Refsz-Verbräuche'!X159*Emissionsfaktoren!X159/1000, 0)</f>
        <v>0</v>
      </c>
    </row>
    <row r="325" spans="2:24" ht="16.5" hidden="1" x14ac:dyDescent="0.45">
      <c r="B325" s="15">
        <v>100</v>
      </c>
      <c r="C325" s="20" t="str">
        <f>'Refsz-Verbräuche'!C160</f>
        <v>Multifunktionsdrucker klein (31 x 44 x 42 cm)</v>
      </c>
      <c r="D325" t="s">
        <v>208</v>
      </c>
      <c r="E325" s="15">
        <f>IF(ISNUMBER('Refsz-Verbräuche'!E160), 'Refsz-Verbräuche'!E160*Emissionsfaktoren!E160/1000, 0)</f>
        <v>0</v>
      </c>
      <c r="F325" s="15">
        <f>IF(ISNUMBER('Refsz-Verbräuche'!F160), 'Refsz-Verbräuche'!F160*Emissionsfaktoren!F160/1000, 0)</f>
        <v>0</v>
      </c>
      <c r="G325" s="15">
        <f>IF(ISNUMBER('Refsz-Verbräuche'!G160), 'Refsz-Verbräuche'!G160*Emissionsfaktoren!G160/1000, 0)</f>
        <v>0</v>
      </c>
      <c r="H325" s="15">
        <f>IF(ISNUMBER('Refsz-Verbräuche'!H160), 'Refsz-Verbräuche'!H160*Emissionsfaktoren!H160/1000, 0)</f>
        <v>0</v>
      </c>
      <c r="I325" s="15">
        <f>IF(ISNUMBER('Refsz-Verbräuche'!I160), 'Refsz-Verbräuche'!I160*Emissionsfaktoren!I160/1000, 0)</f>
        <v>0</v>
      </c>
      <c r="J325" s="15">
        <f>IF(ISNUMBER('Refsz-Verbräuche'!J160), 'Refsz-Verbräuche'!J160*Emissionsfaktoren!J160/1000, 0)</f>
        <v>0</v>
      </c>
      <c r="K325" s="15">
        <f>IF(ISNUMBER('Refsz-Verbräuche'!K160), 'Refsz-Verbräuche'!K160*Emissionsfaktoren!K160/1000, 0)</f>
        <v>0</v>
      </c>
      <c r="L325" s="15">
        <f>IF(ISNUMBER('Refsz-Verbräuche'!L160), 'Refsz-Verbräuche'!L160*Emissionsfaktoren!L160/1000, 0)</f>
        <v>0</v>
      </c>
      <c r="M325" s="15">
        <f>IF(ISNUMBER('Refsz-Verbräuche'!M160), 'Refsz-Verbräuche'!M160*Emissionsfaktoren!M160/1000, 0)</f>
        <v>0</v>
      </c>
      <c r="N325" s="15">
        <f>IF(ISNUMBER('Refsz-Verbräuche'!N160), 'Refsz-Verbräuche'!N160*Emissionsfaktoren!N160/1000, 0)</f>
        <v>0</v>
      </c>
      <c r="O325" s="15">
        <f>IF(ISNUMBER('Refsz-Verbräuche'!O160), 'Refsz-Verbräuche'!O160*Emissionsfaktoren!O160/1000, 0)</f>
        <v>0</v>
      </c>
      <c r="P325" s="15">
        <f>IF(ISNUMBER('Refsz-Verbräuche'!P160), 'Refsz-Verbräuche'!P160*Emissionsfaktoren!P160/1000, 0)</f>
        <v>0</v>
      </c>
      <c r="Q325" s="15">
        <f>IF(ISNUMBER('Refsz-Verbräuche'!Q160), 'Refsz-Verbräuche'!Q160*Emissionsfaktoren!Q160/1000, 0)</f>
        <v>0</v>
      </c>
      <c r="R325" s="15">
        <f>IF(ISNUMBER('Refsz-Verbräuche'!R160), 'Refsz-Verbräuche'!R160*Emissionsfaktoren!R160/1000, 0)</f>
        <v>0</v>
      </c>
      <c r="S325" s="15">
        <f>IF(ISNUMBER('Refsz-Verbräuche'!S160), 'Refsz-Verbräuche'!S160*Emissionsfaktoren!S160/1000, 0)</f>
        <v>0</v>
      </c>
      <c r="T325" s="15">
        <f>IF(ISNUMBER('Refsz-Verbräuche'!T160), 'Refsz-Verbräuche'!T160*Emissionsfaktoren!T160/1000, 0)</f>
        <v>0</v>
      </c>
      <c r="U325" s="15">
        <f>IF(ISNUMBER('Refsz-Verbräuche'!U160), 'Refsz-Verbräuche'!U160*Emissionsfaktoren!U160/1000, 0)</f>
        <v>0</v>
      </c>
      <c r="V325" s="15">
        <f>IF(ISNUMBER('Refsz-Verbräuche'!V160), 'Refsz-Verbräuche'!V160*Emissionsfaktoren!V160/1000, 0)</f>
        <v>0</v>
      </c>
      <c r="W325" s="15">
        <f>IF(ISNUMBER('Refsz-Verbräuche'!W160), 'Refsz-Verbräuche'!W160*Emissionsfaktoren!W160/1000, 0)</f>
        <v>0</v>
      </c>
      <c r="X325" s="15">
        <f>IF(ISNUMBER('Refsz-Verbräuche'!X160), 'Refsz-Verbräuche'!X160*Emissionsfaktoren!X160/1000, 0)</f>
        <v>0</v>
      </c>
    </row>
    <row r="326" spans="2:24" ht="16.5" hidden="1" x14ac:dyDescent="0.45">
      <c r="B326" s="15">
        <v>101</v>
      </c>
      <c r="C326" s="20" t="str">
        <f>'Refsz-Verbräuche'!C161</f>
        <v>Multifunktionsdrucker mittel (54 x 56 x 52 cm)</v>
      </c>
      <c r="D326" t="s">
        <v>208</v>
      </c>
      <c r="E326" s="15">
        <f>IF(ISNUMBER('Refsz-Verbräuche'!E161), 'Refsz-Verbräuche'!E161*Emissionsfaktoren!E161/1000, 0)</f>
        <v>0</v>
      </c>
      <c r="F326" s="15">
        <f>IF(ISNUMBER('Refsz-Verbräuche'!F161), 'Refsz-Verbräuche'!F161*Emissionsfaktoren!F161/1000, 0)</f>
        <v>0</v>
      </c>
      <c r="G326" s="15">
        <f>IF(ISNUMBER('Refsz-Verbräuche'!G161), 'Refsz-Verbräuche'!G161*Emissionsfaktoren!G161/1000, 0)</f>
        <v>0</v>
      </c>
      <c r="H326" s="15">
        <f>IF(ISNUMBER('Refsz-Verbräuche'!H161), 'Refsz-Verbräuche'!H161*Emissionsfaktoren!H161/1000, 0)</f>
        <v>0</v>
      </c>
      <c r="I326" s="15">
        <f>IF(ISNUMBER('Refsz-Verbräuche'!I161), 'Refsz-Verbräuche'!I161*Emissionsfaktoren!I161/1000, 0)</f>
        <v>0</v>
      </c>
      <c r="J326" s="15">
        <f>IF(ISNUMBER('Refsz-Verbräuche'!J161), 'Refsz-Verbräuche'!J161*Emissionsfaktoren!J161/1000, 0)</f>
        <v>0</v>
      </c>
      <c r="K326" s="15">
        <f>IF(ISNUMBER('Refsz-Verbräuche'!K161), 'Refsz-Verbräuche'!K161*Emissionsfaktoren!K161/1000, 0)</f>
        <v>0</v>
      </c>
      <c r="L326" s="15">
        <f>IF(ISNUMBER('Refsz-Verbräuche'!L161), 'Refsz-Verbräuche'!L161*Emissionsfaktoren!L161/1000, 0)</f>
        <v>0</v>
      </c>
      <c r="M326" s="15">
        <f>IF(ISNUMBER('Refsz-Verbräuche'!M161), 'Refsz-Verbräuche'!M161*Emissionsfaktoren!M161/1000, 0)</f>
        <v>0</v>
      </c>
      <c r="N326" s="15">
        <f>IF(ISNUMBER('Refsz-Verbräuche'!N161), 'Refsz-Verbräuche'!N161*Emissionsfaktoren!N161/1000, 0)</f>
        <v>0</v>
      </c>
      <c r="O326" s="15">
        <f>IF(ISNUMBER('Refsz-Verbräuche'!O161), 'Refsz-Verbräuche'!O161*Emissionsfaktoren!O161/1000, 0)</f>
        <v>0</v>
      </c>
      <c r="P326" s="15">
        <f>IF(ISNUMBER('Refsz-Verbräuche'!P161), 'Refsz-Verbräuche'!P161*Emissionsfaktoren!P161/1000, 0)</f>
        <v>0</v>
      </c>
      <c r="Q326" s="15">
        <f>IF(ISNUMBER('Refsz-Verbräuche'!Q161), 'Refsz-Verbräuche'!Q161*Emissionsfaktoren!Q161/1000, 0)</f>
        <v>0</v>
      </c>
      <c r="R326" s="15">
        <f>IF(ISNUMBER('Refsz-Verbräuche'!R161), 'Refsz-Verbräuche'!R161*Emissionsfaktoren!R161/1000, 0)</f>
        <v>0</v>
      </c>
      <c r="S326" s="15">
        <f>IF(ISNUMBER('Refsz-Verbräuche'!S161), 'Refsz-Verbräuche'!S161*Emissionsfaktoren!S161/1000, 0)</f>
        <v>0</v>
      </c>
      <c r="T326" s="15">
        <f>IF(ISNUMBER('Refsz-Verbräuche'!T161), 'Refsz-Verbräuche'!T161*Emissionsfaktoren!T161/1000, 0)</f>
        <v>0</v>
      </c>
      <c r="U326" s="15">
        <f>IF(ISNUMBER('Refsz-Verbräuche'!U161), 'Refsz-Verbräuche'!U161*Emissionsfaktoren!U161/1000, 0)</f>
        <v>0</v>
      </c>
      <c r="V326" s="15">
        <f>IF(ISNUMBER('Refsz-Verbräuche'!V161), 'Refsz-Verbräuche'!V161*Emissionsfaktoren!V161/1000, 0)</f>
        <v>0</v>
      </c>
      <c r="W326" s="15">
        <f>IF(ISNUMBER('Refsz-Verbräuche'!W161), 'Refsz-Verbräuche'!W161*Emissionsfaktoren!W161/1000, 0)</f>
        <v>0</v>
      </c>
      <c r="X326" s="15">
        <f>IF(ISNUMBER('Refsz-Verbräuche'!X161), 'Refsz-Verbräuche'!X161*Emissionsfaktoren!X161/1000, 0)</f>
        <v>0</v>
      </c>
    </row>
    <row r="327" spans="2:24" ht="16.5" hidden="1" x14ac:dyDescent="0.45">
      <c r="B327" s="15">
        <v>102</v>
      </c>
      <c r="C327" s="20" t="str">
        <f>'Refsz-Verbräuche'!C162</f>
        <v>Multifunktionsdrucker groß (114 x 65 x 59 cm)</v>
      </c>
      <c r="D327" t="s">
        <v>208</v>
      </c>
      <c r="E327" s="15">
        <f>IF(ISNUMBER('Refsz-Verbräuche'!E162), 'Refsz-Verbräuche'!E162*Emissionsfaktoren!E162/1000, 0)</f>
        <v>0</v>
      </c>
      <c r="F327" s="15">
        <f>IF(ISNUMBER('Refsz-Verbräuche'!F162), 'Refsz-Verbräuche'!F162*Emissionsfaktoren!F162/1000, 0)</f>
        <v>0</v>
      </c>
      <c r="G327" s="15">
        <f>IF(ISNUMBER('Refsz-Verbräuche'!G162), 'Refsz-Verbräuche'!G162*Emissionsfaktoren!G162/1000, 0)</f>
        <v>0</v>
      </c>
      <c r="H327" s="15">
        <f>IF(ISNUMBER('Refsz-Verbräuche'!H162), 'Refsz-Verbräuche'!H162*Emissionsfaktoren!H162/1000, 0)</f>
        <v>0</v>
      </c>
      <c r="I327" s="15">
        <f>IF(ISNUMBER('Refsz-Verbräuche'!I162), 'Refsz-Verbräuche'!I162*Emissionsfaktoren!I162/1000, 0)</f>
        <v>0</v>
      </c>
      <c r="J327" s="15">
        <f>IF(ISNUMBER('Refsz-Verbräuche'!J162), 'Refsz-Verbräuche'!J162*Emissionsfaktoren!J162/1000, 0)</f>
        <v>0</v>
      </c>
      <c r="K327" s="15">
        <f>IF(ISNUMBER('Refsz-Verbräuche'!K162), 'Refsz-Verbräuche'!K162*Emissionsfaktoren!K162/1000, 0)</f>
        <v>0</v>
      </c>
      <c r="L327" s="15">
        <f>IF(ISNUMBER('Refsz-Verbräuche'!L162), 'Refsz-Verbräuche'!L162*Emissionsfaktoren!L162/1000, 0)</f>
        <v>0</v>
      </c>
      <c r="M327" s="15">
        <f>IF(ISNUMBER('Refsz-Verbräuche'!M162), 'Refsz-Verbräuche'!M162*Emissionsfaktoren!M162/1000, 0)</f>
        <v>0</v>
      </c>
      <c r="N327" s="15">
        <f>IF(ISNUMBER('Refsz-Verbräuche'!N162), 'Refsz-Verbräuche'!N162*Emissionsfaktoren!N162/1000, 0)</f>
        <v>0</v>
      </c>
      <c r="O327" s="15">
        <f>IF(ISNUMBER('Refsz-Verbräuche'!O162), 'Refsz-Verbräuche'!O162*Emissionsfaktoren!O162/1000, 0)</f>
        <v>0</v>
      </c>
      <c r="P327" s="15">
        <f>IF(ISNUMBER('Refsz-Verbräuche'!P162), 'Refsz-Verbräuche'!P162*Emissionsfaktoren!P162/1000, 0)</f>
        <v>0</v>
      </c>
      <c r="Q327" s="15">
        <f>IF(ISNUMBER('Refsz-Verbräuche'!Q162), 'Refsz-Verbräuche'!Q162*Emissionsfaktoren!Q162/1000, 0)</f>
        <v>0</v>
      </c>
      <c r="R327" s="15">
        <f>IF(ISNUMBER('Refsz-Verbräuche'!R162), 'Refsz-Verbräuche'!R162*Emissionsfaktoren!R162/1000, 0)</f>
        <v>0</v>
      </c>
      <c r="S327" s="15">
        <f>IF(ISNUMBER('Refsz-Verbräuche'!S162), 'Refsz-Verbräuche'!S162*Emissionsfaktoren!S162/1000, 0)</f>
        <v>0</v>
      </c>
      <c r="T327" s="15">
        <f>IF(ISNUMBER('Refsz-Verbräuche'!T162), 'Refsz-Verbräuche'!T162*Emissionsfaktoren!T162/1000, 0)</f>
        <v>0</v>
      </c>
      <c r="U327" s="15">
        <f>IF(ISNUMBER('Refsz-Verbräuche'!U162), 'Refsz-Verbräuche'!U162*Emissionsfaktoren!U162/1000, 0)</f>
        <v>0</v>
      </c>
      <c r="V327" s="15">
        <f>IF(ISNUMBER('Refsz-Verbräuche'!V162), 'Refsz-Verbräuche'!V162*Emissionsfaktoren!V162/1000, 0)</f>
        <v>0</v>
      </c>
      <c r="W327" s="15">
        <f>IF(ISNUMBER('Refsz-Verbräuche'!W162), 'Refsz-Verbräuche'!W162*Emissionsfaktoren!W162/1000, 0)</f>
        <v>0</v>
      </c>
      <c r="X327" s="15">
        <f>IF(ISNUMBER('Refsz-Verbräuche'!X162), 'Refsz-Verbräuche'!X162*Emissionsfaktoren!X162/1000, 0)</f>
        <v>0</v>
      </c>
    </row>
    <row r="328" spans="2:24" ht="16.5" hidden="1" x14ac:dyDescent="0.45">
      <c r="B328" s="15">
        <v>103</v>
      </c>
      <c r="C328" s="20" t="str">
        <f>'Refsz-Verbräuche'!C163</f>
        <v>Toner</v>
      </c>
      <c r="D328" t="s">
        <v>208</v>
      </c>
      <c r="E328" s="15">
        <f>IF(ISNUMBER('Refsz-Verbräuche'!E163), 'Refsz-Verbräuche'!E163*Emissionsfaktoren!E163/1000, 0)</f>
        <v>0</v>
      </c>
      <c r="F328" s="15">
        <f>IF(ISNUMBER('Refsz-Verbräuche'!F163), 'Refsz-Verbräuche'!F163*Emissionsfaktoren!F163/1000, 0)</f>
        <v>0</v>
      </c>
      <c r="G328" s="15">
        <f>IF(ISNUMBER('Refsz-Verbräuche'!G163), 'Refsz-Verbräuche'!G163*Emissionsfaktoren!G163/1000, 0)</f>
        <v>0</v>
      </c>
      <c r="H328" s="15">
        <f>IF(ISNUMBER('Refsz-Verbräuche'!H163), 'Refsz-Verbräuche'!H163*Emissionsfaktoren!H163/1000, 0)</f>
        <v>0</v>
      </c>
      <c r="I328" s="15">
        <f>IF(ISNUMBER('Refsz-Verbräuche'!I163), 'Refsz-Verbräuche'!I163*Emissionsfaktoren!I163/1000, 0)</f>
        <v>0</v>
      </c>
      <c r="J328" s="15">
        <f>IF(ISNUMBER('Refsz-Verbräuche'!J163), 'Refsz-Verbräuche'!J163*Emissionsfaktoren!J163/1000, 0)</f>
        <v>0</v>
      </c>
      <c r="K328" s="15">
        <f>IF(ISNUMBER('Refsz-Verbräuche'!K163), 'Refsz-Verbräuche'!K163*Emissionsfaktoren!K163/1000, 0)</f>
        <v>0</v>
      </c>
      <c r="L328" s="15">
        <f>IF(ISNUMBER('Refsz-Verbräuche'!L163), 'Refsz-Verbräuche'!L163*Emissionsfaktoren!L163/1000, 0)</f>
        <v>0</v>
      </c>
      <c r="M328" s="15">
        <f>IF(ISNUMBER('Refsz-Verbräuche'!M163), 'Refsz-Verbräuche'!M163*Emissionsfaktoren!M163/1000, 0)</f>
        <v>0</v>
      </c>
      <c r="N328" s="15">
        <f>IF(ISNUMBER('Refsz-Verbräuche'!N163), 'Refsz-Verbräuche'!N163*Emissionsfaktoren!N163/1000, 0)</f>
        <v>0</v>
      </c>
      <c r="O328" s="15">
        <f>IF(ISNUMBER('Refsz-Verbräuche'!O163), 'Refsz-Verbräuche'!O163*Emissionsfaktoren!O163/1000, 0)</f>
        <v>0</v>
      </c>
      <c r="P328" s="15">
        <f>IF(ISNUMBER('Refsz-Verbräuche'!P163), 'Refsz-Verbräuche'!P163*Emissionsfaktoren!P163/1000, 0)</f>
        <v>0</v>
      </c>
      <c r="Q328" s="15">
        <f>IF(ISNUMBER('Refsz-Verbräuche'!Q163), 'Refsz-Verbräuche'!Q163*Emissionsfaktoren!Q163/1000, 0)</f>
        <v>0</v>
      </c>
      <c r="R328" s="15">
        <f>IF(ISNUMBER('Refsz-Verbräuche'!R163), 'Refsz-Verbräuche'!R163*Emissionsfaktoren!R163/1000, 0)</f>
        <v>0</v>
      </c>
      <c r="S328" s="15">
        <f>IF(ISNUMBER('Refsz-Verbräuche'!S163), 'Refsz-Verbräuche'!S163*Emissionsfaktoren!S163/1000, 0)</f>
        <v>0</v>
      </c>
      <c r="T328" s="15">
        <f>IF(ISNUMBER('Refsz-Verbräuche'!T163), 'Refsz-Verbräuche'!T163*Emissionsfaktoren!T163/1000, 0)</f>
        <v>0</v>
      </c>
      <c r="U328" s="15">
        <f>IF(ISNUMBER('Refsz-Verbräuche'!U163), 'Refsz-Verbräuche'!U163*Emissionsfaktoren!U163/1000, 0)</f>
        <v>0</v>
      </c>
      <c r="V328" s="15">
        <f>IF(ISNUMBER('Refsz-Verbräuche'!V163), 'Refsz-Verbräuche'!V163*Emissionsfaktoren!V163/1000, 0)</f>
        <v>0</v>
      </c>
      <c r="W328" s="15">
        <f>IF(ISNUMBER('Refsz-Verbräuche'!W163), 'Refsz-Verbräuche'!W163*Emissionsfaktoren!W163/1000, 0)</f>
        <v>0</v>
      </c>
      <c r="X328" s="15">
        <f>IF(ISNUMBER('Refsz-Verbräuche'!X163), 'Refsz-Verbräuche'!X163*Emissionsfaktoren!X163/1000, 0)</f>
        <v>0</v>
      </c>
    </row>
    <row r="329" spans="2:24" ht="16.5" hidden="1" x14ac:dyDescent="0.45">
      <c r="B329" s="15">
        <v>104</v>
      </c>
      <c r="C329" s="20">
        <f>'Refsz-Verbräuche'!C164</f>
        <v>0</v>
      </c>
      <c r="D329" t="s">
        <v>208</v>
      </c>
      <c r="E329" s="15">
        <f>IF(ISNUMBER('Refsz-Verbräuche'!E164), 'Refsz-Verbräuche'!E164*Emissionsfaktoren!E164/1000, 0)</f>
        <v>0</v>
      </c>
      <c r="F329" s="15">
        <f>IF(ISNUMBER('Refsz-Verbräuche'!F164), 'Refsz-Verbräuche'!F164*Emissionsfaktoren!F164/1000, 0)</f>
        <v>0</v>
      </c>
      <c r="G329" s="15">
        <f>IF(ISNUMBER('Refsz-Verbräuche'!G164), 'Refsz-Verbräuche'!G164*Emissionsfaktoren!G164/1000, 0)</f>
        <v>0</v>
      </c>
      <c r="H329" s="15">
        <f>IF(ISNUMBER('Refsz-Verbräuche'!H164), 'Refsz-Verbräuche'!H164*Emissionsfaktoren!H164/1000, 0)</f>
        <v>0</v>
      </c>
      <c r="I329" s="15">
        <f>IF(ISNUMBER('Refsz-Verbräuche'!#REF!), 'Refsz-Verbräuche'!#REF!*Emissionsfaktoren!I164/1000, 0)</f>
        <v>0</v>
      </c>
      <c r="J329" s="15">
        <f>IF(ISNUMBER('Refsz-Verbräuche'!J164), 'Refsz-Verbräuche'!J164*Emissionsfaktoren!J164/1000, 0)</f>
        <v>0</v>
      </c>
      <c r="K329" s="15">
        <f>IF(ISNUMBER('Refsz-Verbräuche'!K164), 'Refsz-Verbräuche'!K164*Emissionsfaktoren!K164/1000, 0)</f>
        <v>0</v>
      </c>
      <c r="L329" s="15">
        <f>IF(ISNUMBER('Refsz-Verbräuche'!L164), 'Refsz-Verbräuche'!L164*Emissionsfaktoren!L164/1000, 0)</f>
        <v>0</v>
      </c>
      <c r="M329" s="15">
        <f>IF(ISNUMBER('Refsz-Verbräuche'!M164), 'Refsz-Verbräuche'!M164*Emissionsfaktoren!M164/1000, 0)</f>
        <v>0</v>
      </c>
      <c r="N329" s="15">
        <f>IF(ISNUMBER('Refsz-Verbräuche'!N164), 'Refsz-Verbräuche'!N164*Emissionsfaktoren!N164/1000, 0)</f>
        <v>0</v>
      </c>
      <c r="O329" s="15">
        <f>IF(ISNUMBER('Refsz-Verbräuche'!O164), 'Refsz-Verbräuche'!O164*Emissionsfaktoren!O164/1000, 0)</f>
        <v>0</v>
      </c>
      <c r="P329" s="15">
        <f>IF(ISNUMBER('Refsz-Verbräuche'!P164), 'Refsz-Verbräuche'!P164*Emissionsfaktoren!P164/1000, 0)</f>
        <v>0</v>
      </c>
      <c r="Q329" s="15">
        <f>IF(ISNUMBER('Refsz-Verbräuche'!Q164), 'Refsz-Verbräuche'!Q164*Emissionsfaktoren!Q164/1000, 0)</f>
        <v>0</v>
      </c>
      <c r="R329" s="15">
        <f>IF(ISNUMBER('Refsz-Verbräuche'!R164), 'Refsz-Verbräuche'!R164*Emissionsfaktoren!R164/1000, 0)</f>
        <v>0</v>
      </c>
      <c r="S329" s="15">
        <f>IF(ISNUMBER('Refsz-Verbräuche'!S164), 'Refsz-Verbräuche'!S164*Emissionsfaktoren!S164/1000, 0)</f>
        <v>0</v>
      </c>
      <c r="T329" s="15">
        <f>IF(ISNUMBER('Refsz-Verbräuche'!T164), 'Refsz-Verbräuche'!T164*Emissionsfaktoren!T164/1000, 0)</f>
        <v>0</v>
      </c>
      <c r="U329" s="15">
        <f>IF(ISNUMBER('Refsz-Verbräuche'!U164), 'Refsz-Verbräuche'!U164*Emissionsfaktoren!U164/1000, 0)</f>
        <v>0</v>
      </c>
      <c r="V329" s="15">
        <f>IF(ISNUMBER('Refsz-Verbräuche'!V164), 'Refsz-Verbräuche'!V164*Emissionsfaktoren!V164/1000, 0)</f>
        <v>0</v>
      </c>
      <c r="W329" s="15">
        <f>IF(ISNUMBER('Refsz-Verbräuche'!W164), 'Refsz-Verbräuche'!W164*Emissionsfaktoren!W164/1000, 0)</f>
        <v>0</v>
      </c>
      <c r="X329" s="15">
        <f>IF(ISNUMBER('Refsz-Verbräuche'!X164), 'Refsz-Verbräuche'!X164*Emissionsfaktoren!X164/1000, 0)</f>
        <v>0</v>
      </c>
    </row>
    <row r="330" spans="2:24" ht="16.5" hidden="1" x14ac:dyDescent="0.45">
      <c r="B330" s="15">
        <v>105</v>
      </c>
      <c r="C330" s="20" t="str">
        <f>'Refsz-Verbräuche'!C165</f>
        <v>Bioabfall, Grünschnitt (Kompostierung)</v>
      </c>
      <c r="D330" t="s">
        <v>208</v>
      </c>
      <c r="E330" s="15">
        <f>IF(ISNUMBER('Refsz-Verbräuche'!E165), 'Refsz-Verbräuche'!E165*Emissionsfaktoren!E165/1000, 0)</f>
        <v>0</v>
      </c>
      <c r="F330" s="15">
        <f>IF(ISNUMBER('Refsz-Verbräuche'!F165), 'Refsz-Verbräuche'!F165*Emissionsfaktoren!F165/1000, 0)</f>
        <v>0</v>
      </c>
      <c r="G330" s="15">
        <f>IF(ISNUMBER('Refsz-Verbräuche'!G165), 'Refsz-Verbräuche'!G165*Emissionsfaktoren!G165/1000, 0)</f>
        <v>0</v>
      </c>
      <c r="H330" s="15">
        <f>IF(ISNUMBER('Refsz-Verbräuche'!H165), 'Refsz-Verbräuche'!H165*Emissionsfaktoren!H165/1000, 0)</f>
        <v>0</v>
      </c>
      <c r="I330" s="15">
        <f>IF(ISNUMBER('Refsz-Verbräuche'!I165), 'Refsz-Verbräuche'!I165*Emissionsfaktoren!I165/1000, 0)</f>
        <v>0</v>
      </c>
      <c r="J330" s="15">
        <f>IF(ISNUMBER('Refsz-Verbräuche'!J165), 'Refsz-Verbräuche'!J165*Emissionsfaktoren!J165/1000, 0)</f>
        <v>0</v>
      </c>
      <c r="K330" s="15">
        <f>IF(ISNUMBER('Refsz-Verbräuche'!K165), 'Refsz-Verbräuche'!K165*Emissionsfaktoren!K165/1000, 0)</f>
        <v>0</v>
      </c>
      <c r="L330" s="15">
        <f>IF(ISNUMBER('Refsz-Verbräuche'!L165), 'Refsz-Verbräuche'!L165*Emissionsfaktoren!L165/1000, 0)</f>
        <v>0</v>
      </c>
      <c r="M330" s="15">
        <f>IF(ISNUMBER('Refsz-Verbräuche'!M165), 'Refsz-Verbräuche'!M165*Emissionsfaktoren!M165/1000, 0)</f>
        <v>0</v>
      </c>
      <c r="N330" s="15">
        <f>IF(ISNUMBER('Refsz-Verbräuche'!N165), 'Refsz-Verbräuche'!N165*Emissionsfaktoren!N165/1000, 0)</f>
        <v>0</v>
      </c>
      <c r="O330" s="15">
        <f>IF(ISNUMBER('Refsz-Verbräuche'!O165), 'Refsz-Verbräuche'!O165*Emissionsfaktoren!O165/1000, 0)</f>
        <v>0</v>
      </c>
      <c r="P330" s="15">
        <f>IF(ISNUMBER('Refsz-Verbräuche'!P165), 'Refsz-Verbräuche'!P165*Emissionsfaktoren!P165/1000, 0)</f>
        <v>0</v>
      </c>
      <c r="Q330" s="15">
        <f>IF(ISNUMBER('Refsz-Verbräuche'!Q165), 'Refsz-Verbräuche'!Q165*Emissionsfaktoren!Q165/1000, 0)</f>
        <v>0</v>
      </c>
      <c r="R330" s="15">
        <f>IF(ISNUMBER('Refsz-Verbräuche'!R165), 'Refsz-Verbräuche'!R165*Emissionsfaktoren!R165/1000, 0)</f>
        <v>0</v>
      </c>
      <c r="S330" s="15">
        <f>IF(ISNUMBER('Refsz-Verbräuche'!S165), 'Refsz-Verbräuche'!S165*Emissionsfaktoren!S165/1000, 0)</f>
        <v>0</v>
      </c>
      <c r="T330" s="15">
        <f>IF(ISNUMBER('Refsz-Verbräuche'!T165), 'Refsz-Verbräuche'!T165*Emissionsfaktoren!T165/1000, 0)</f>
        <v>0</v>
      </c>
      <c r="U330" s="15">
        <f>IF(ISNUMBER('Refsz-Verbräuche'!U165), 'Refsz-Verbräuche'!U165*Emissionsfaktoren!U165/1000, 0)</f>
        <v>0</v>
      </c>
      <c r="V330" s="15">
        <f>IF(ISNUMBER('Refsz-Verbräuche'!V165), 'Refsz-Verbräuche'!V165*Emissionsfaktoren!V165/1000, 0)</f>
        <v>0</v>
      </c>
      <c r="W330" s="15">
        <f>IF(ISNUMBER('Refsz-Verbräuche'!W165), 'Refsz-Verbräuche'!W165*Emissionsfaktoren!W165/1000, 0)</f>
        <v>0</v>
      </c>
      <c r="X330" s="15">
        <f>IF(ISNUMBER('Refsz-Verbräuche'!X165), 'Refsz-Verbräuche'!X165*Emissionsfaktoren!X165/1000, 0)</f>
        <v>0</v>
      </c>
    </row>
    <row r="331" spans="2:24" ht="16.5" hidden="1" x14ac:dyDescent="0.45">
      <c r="B331" s="15">
        <v>106</v>
      </c>
      <c r="C331" s="20" t="str">
        <f>'Refsz-Verbräuche'!C166</f>
        <v>Bioabfall (Verbrennung)</v>
      </c>
      <c r="D331" t="s">
        <v>208</v>
      </c>
      <c r="E331" s="15">
        <f>IF(ISNUMBER('Refsz-Verbräuche'!E166), 'Refsz-Verbräuche'!E166*Emissionsfaktoren!E166/1000, 0)</f>
        <v>0</v>
      </c>
      <c r="F331" s="15">
        <f>IF(ISNUMBER('Refsz-Verbräuche'!F166), 'Refsz-Verbräuche'!F166*Emissionsfaktoren!F166/1000, 0)</f>
        <v>0</v>
      </c>
      <c r="G331" s="15">
        <f>IF(ISNUMBER('Refsz-Verbräuche'!G166), 'Refsz-Verbräuche'!G166*Emissionsfaktoren!G166/1000, 0)</f>
        <v>0</v>
      </c>
      <c r="H331" s="15">
        <f>IF(ISNUMBER('Refsz-Verbräuche'!H166), 'Refsz-Verbräuche'!H166*Emissionsfaktoren!H166/1000, 0)</f>
        <v>0</v>
      </c>
      <c r="I331" s="15">
        <f>IF(ISNUMBER('Refsz-Verbräuche'!I166), 'Refsz-Verbräuche'!I166*Emissionsfaktoren!I166/1000, 0)</f>
        <v>0</v>
      </c>
      <c r="J331" s="15">
        <f>IF(ISNUMBER('Refsz-Verbräuche'!J166), 'Refsz-Verbräuche'!J166*Emissionsfaktoren!J166/1000, 0)</f>
        <v>0</v>
      </c>
      <c r="K331" s="15">
        <f>IF(ISNUMBER('Refsz-Verbräuche'!K166), 'Refsz-Verbräuche'!K166*Emissionsfaktoren!K166/1000, 0)</f>
        <v>0</v>
      </c>
      <c r="L331" s="15">
        <f>IF(ISNUMBER('Refsz-Verbräuche'!L166), 'Refsz-Verbräuche'!L166*Emissionsfaktoren!L166/1000, 0)</f>
        <v>0</v>
      </c>
      <c r="M331" s="15">
        <f>IF(ISNUMBER('Refsz-Verbräuche'!M166), 'Refsz-Verbräuche'!M166*Emissionsfaktoren!M166/1000, 0)</f>
        <v>0</v>
      </c>
      <c r="N331" s="15">
        <f>IF(ISNUMBER('Refsz-Verbräuche'!N166), 'Refsz-Verbräuche'!N166*Emissionsfaktoren!N166/1000, 0)</f>
        <v>0</v>
      </c>
      <c r="O331" s="15">
        <f>IF(ISNUMBER('Refsz-Verbräuche'!O166), 'Refsz-Verbräuche'!O166*Emissionsfaktoren!O166/1000, 0)</f>
        <v>0</v>
      </c>
      <c r="P331" s="15">
        <f>IF(ISNUMBER('Refsz-Verbräuche'!P166), 'Refsz-Verbräuche'!P166*Emissionsfaktoren!P166/1000, 0)</f>
        <v>0</v>
      </c>
      <c r="Q331" s="15">
        <f>IF(ISNUMBER('Refsz-Verbräuche'!Q166), 'Refsz-Verbräuche'!Q166*Emissionsfaktoren!Q166/1000, 0)</f>
        <v>0</v>
      </c>
      <c r="R331" s="15">
        <f>IF(ISNUMBER('Refsz-Verbräuche'!R166), 'Refsz-Verbräuche'!R166*Emissionsfaktoren!R166/1000, 0)</f>
        <v>0</v>
      </c>
      <c r="S331" s="15">
        <f>IF(ISNUMBER('Refsz-Verbräuche'!S166), 'Refsz-Verbräuche'!S166*Emissionsfaktoren!S166/1000, 0)</f>
        <v>0</v>
      </c>
      <c r="T331" s="15">
        <f>IF(ISNUMBER('Refsz-Verbräuche'!T166), 'Refsz-Verbräuche'!T166*Emissionsfaktoren!T166/1000, 0)</f>
        <v>0</v>
      </c>
      <c r="U331" s="15">
        <f>IF(ISNUMBER('Refsz-Verbräuche'!U166), 'Refsz-Verbräuche'!U166*Emissionsfaktoren!U166/1000, 0)</f>
        <v>0</v>
      </c>
      <c r="V331" s="15">
        <f>IF(ISNUMBER('Refsz-Verbräuche'!V166), 'Refsz-Verbräuche'!V166*Emissionsfaktoren!V166/1000, 0)</f>
        <v>0</v>
      </c>
      <c r="W331" s="15">
        <f>IF(ISNUMBER('Refsz-Verbräuche'!W166), 'Refsz-Verbräuche'!W166*Emissionsfaktoren!W166/1000, 0)</f>
        <v>0</v>
      </c>
      <c r="X331" s="15">
        <f>IF(ISNUMBER('Refsz-Verbräuche'!X166), 'Refsz-Verbräuche'!X166*Emissionsfaktoren!X166/1000, 0)</f>
        <v>0</v>
      </c>
    </row>
    <row r="332" spans="2:24" ht="16.5" hidden="1" x14ac:dyDescent="0.45">
      <c r="B332" s="15">
        <v>107</v>
      </c>
      <c r="C332" s="20" t="str">
        <f>'Refsz-Verbräuche'!C167</f>
        <v>Papierabfall</v>
      </c>
      <c r="D332" t="s">
        <v>208</v>
      </c>
      <c r="E332" s="15">
        <f>IF(ISNUMBER('Refsz-Verbräuche'!E167), 'Refsz-Verbräuche'!E167*Emissionsfaktoren!E167/1000, 0)</f>
        <v>0</v>
      </c>
      <c r="F332" s="15">
        <f>IF(ISNUMBER('Refsz-Verbräuche'!F167), 'Refsz-Verbräuche'!F167*Emissionsfaktoren!F167/1000, 0)</f>
        <v>0</v>
      </c>
      <c r="G332" s="15">
        <f>IF(ISNUMBER('Refsz-Verbräuche'!G167), 'Refsz-Verbräuche'!G167*Emissionsfaktoren!G167/1000, 0)</f>
        <v>0</v>
      </c>
      <c r="H332" s="15">
        <f>IF(ISNUMBER('Refsz-Verbräuche'!H167), 'Refsz-Verbräuche'!H167*Emissionsfaktoren!H167/1000, 0)</f>
        <v>0</v>
      </c>
      <c r="I332" s="15">
        <f>IF(ISNUMBER('Refsz-Verbräuche'!I167), 'Refsz-Verbräuche'!I167*Emissionsfaktoren!I167/1000, 0)</f>
        <v>0</v>
      </c>
      <c r="J332" s="15">
        <f>IF(ISNUMBER('Refsz-Verbräuche'!J167), 'Refsz-Verbräuche'!J167*Emissionsfaktoren!J167/1000, 0)</f>
        <v>0</v>
      </c>
      <c r="K332" s="15">
        <f>IF(ISNUMBER('Refsz-Verbräuche'!K167), 'Refsz-Verbräuche'!K167*Emissionsfaktoren!K167/1000, 0)</f>
        <v>0</v>
      </c>
      <c r="L332" s="15">
        <f>IF(ISNUMBER('Refsz-Verbräuche'!L167), 'Refsz-Verbräuche'!L167*Emissionsfaktoren!L167/1000, 0)</f>
        <v>0</v>
      </c>
      <c r="M332" s="15">
        <f>IF(ISNUMBER('Refsz-Verbräuche'!M167), 'Refsz-Verbräuche'!M167*Emissionsfaktoren!M167/1000, 0)</f>
        <v>0</v>
      </c>
      <c r="N332" s="15">
        <f>IF(ISNUMBER('Refsz-Verbräuche'!N167), 'Refsz-Verbräuche'!N167*Emissionsfaktoren!N167/1000, 0)</f>
        <v>0</v>
      </c>
      <c r="O332" s="15">
        <f>IF(ISNUMBER('Refsz-Verbräuche'!O167), 'Refsz-Verbräuche'!O167*Emissionsfaktoren!O167/1000, 0)</f>
        <v>0</v>
      </c>
      <c r="P332" s="15">
        <f>IF(ISNUMBER('Refsz-Verbräuche'!P167), 'Refsz-Verbräuche'!P167*Emissionsfaktoren!P167/1000, 0)</f>
        <v>0</v>
      </c>
      <c r="Q332" s="15">
        <f>IF(ISNUMBER('Refsz-Verbräuche'!Q167), 'Refsz-Verbräuche'!Q167*Emissionsfaktoren!Q167/1000, 0)</f>
        <v>0</v>
      </c>
      <c r="R332" s="15">
        <f>IF(ISNUMBER('Refsz-Verbräuche'!R167), 'Refsz-Verbräuche'!R167*Emissionsfaktoren!R167/1000, 0)</f>
        <v>0</v>
      </c>
      <c r="S332" s="15">
        <f>IF(ISNUMBER('Refsz-Verbräuche'!S167), 'Refsz-Verbräuche'!S167*Emissionsfaktoren!S167/1000, 0)</f>
        <v>0</v>
      </c>
      <c r="T332" s="15">
        <f>IF(ISNUMBER('Refsz-Verbräuche'!T167), 'Refsz-Verbräuche'!T167*Emissionsfaktoren!T167/1000, 0)</f>
        <v>0</v>
      </c>
      <c r="U332" s="15">
        <f>IF(ISNUMBER('Refsz-Verbräuche'!U167), 'Refsz-Verbräuche'!U167*Emissionsfaktoren!U167/1000, 0)</f>
        <v>0</v>
      </c>
      <c r="V332" s="15">
        <f>IF(ISNUMBER('Refsz-Verbräuche'!V167), 'Refsz-Verbräuche'!V167*Emissionsfaktoren!V167/1000, 0)</f>
        <v>0</v>
      </c>
      <c r="W332" s="15">
        <f>IF(ISNUMBER('Refsz-Verbräuche'!W167), 'Refsz-Verbräuche'!W167*Emissionsfaktoren!W167/1000, 0)</f>
        <v>0</v>
      </c>
      <c r="X332" s="15">
        <f>IF(ISNUMBER('Refsz-Verbräuche'!X167), 'Refsz-Verbräuche'!X167*Emissionsfaktoren!X167/1000, 0)</f>
        <v>0</v>
      </c>
    </row>
    <row r="333" spans="2:24" ht="16.5" hidden="1" x14ac:dyDescent="0.45">
      <c r="B333" s="15">
        <v>108</v>
      </c>
      <c r="C333" s="20" t="str">
        <f>'Refsz-Verbräuche'!C168</f>
        <v>Plastik- und Verpackungsabfall</v>
      </c>
      <c r="D333" t="s">
        <v>208</v>
      </c>
      <c r="E333" s="15">
        <f>IF(ISNUMBER('Refsz-Verbräuche'!E168), 'Refsz-Verbräuche'!E168*Emissionsfaktoren!E168/1000, 0)</f>
        <v>0</v>
      </c>
      <c r="F333" s="15">
        <f>IF(ISNUMBER('Refsz-Verbräuche'!F168), 'Refsz-Verbräuche'!F168*Emissionsfaktoren!F168/1000, 0)</f>
        <v>0</v>
      </c>
      <c r="G333" s="15">
        <f>IF(ISNUMBER('Refsz-Verbräuche'!G168), 'Refsz-Verbräuche'!G168*Emissionsfaktoren!G168/1000, 0)</f>
        <v>0</v>
      </c>
      <c r="H333" s="15">
        <f>IF(ISNUMBER('Refsz-Verbräuche'!H168), 'Refsz-Verbräuche'!H168*Emissionsfaktoren!H168/1000, 0)</f>
        <v>0</v>
      </c>
      <c r="I333" s="15">
        <f>IF(ISNUMBER('Refsz-Verbräuche'!I168), 'Refsz-Verbräuche'!I168*Emissionsfaktoren!I168/1000, 0)</f>
        <v>0</v>
      </c>
      <c r="J333" s="15">
        <f>IF(ISNUMBER('Refsz-Verbräuche'!J168), 'Refsz-Verbräuche'!J168*Emissionsfaktoren!J168/1000, 0)</f>
        <v>0</v>
      </c>
      <c r="K333" s="15">
        <f>IF(ISNUMBER('Refsz-Verbräuche'!K168), 'Refsz-Verbräuche'!K168*Emissionsfaktoren!K168/1000, 0)</f>
        <v>0</v>
      </c>
      <c r="L333" s="15">
        <f>IF(ISNUMBER('Refsz-Verbräuche'!L168), 'Refsz-Verbräuche'!L168*Emissionsfaktoren!L168/1000, 0)</f>
        <v>0</v>
      </c>
      <c r="M333" s="15">
        <f>IF(ISNUMBER('Refsz-Verbräuche'!M168), 'Refsz-Verbräuche'!M168*Emissionsfaktoren!M168/1000, 0)</f>
        <v>0</v>
      </c>
      <c r="N333" s="15">
        <f>IF(ISNUMBER('Refsz-Verbräuche'!N168), 'Refsz-Verbräuche'!N168*Emissionsfaktoren!N168/1000, 0)</f>
        <v>0</v>
      </c>
      <c r="O333" s="15">
        <f>IF(ISNUMBER('Refsz-Verbräuche'!O168), 'Refsz-Verbräuche'!O168*Emissionsfaktoren!O168/1000, 0)</f>
        <v>0</v>
      </c>
      <c r="P333" s="15">
        <f>IF(ISNUMBER('Refsz-Verbräuche'!P168), 'Refsz-Verbräuche'!P168*Emissionsfaktoren!P168/1000, 0)</f>
        <v>0</v>
      </c>
      <c r="Q333" s="15">
        <f>IF(ISNUMBER('Refsz-Verbräuche'!Q168), 'Refsz-Verbräuche'!Q168*Emissionsfaktoren!Q168/1000, 0)</f>
        <v>0</v>
      </c>
      <c r="R333" s="15">
        <f>IF(ISNUMBER('Refsz-Verbräuche'!R168), 'Refsz-Verbräuche'!R168*Emissionsfaktoren!R168/1000, 0)</f>
        <v>0</v>
      </c>
      <c r="S333" s="15">
        <f>IF(ISNUMBER('Refsz-Verbräuche'!S168), 'Refsz-Verbräuche'!S168*Emissionsfaktoren!S168/1000, 0)</f>
        <v>0</v>
      </c>
      <c r="T333" s="15">
        <f>IF(ISNUMBER('Refsz-Verbräuche'!T168), 'Refsz-Verbräuche'!T168*Emissionsfaktoren!T168/1000, 0)</f>
        <v>0</v>
      </c>
      <c r="U333" s="15">
        <f>IF(ISNUMBER('Refsz-Verbräuche'!U168), 'Refsz-Verbräuche'!U168*Emissionsfaktoren!U168/1000, 0)</f>
        <v>0</v>
      </c>
      <c r="V333" s="15">
        <f>IF(ISNUMBER('Refsz-Verbräuche'!V168), 'Refsz-Verbräuche'!V168*Emissionsfaktoren!V168/1000, 0)</f>
        <v>0</v>
      </c>
      <c r="W333" s="15">
        <f>IF(ISNUMBER('Refsz-Verbräuche'!W168), 'Refsz-Verbräuche'!W168*Emissionsfaktoren!W168/1000, 0)</f>
        <v>0</v>
      </c>
      <c r="X333" s="15">
        <f>IF(ISNUMBER('Refsz-Verbräuche'!X168), 'Refsz-Verbräuche'!X168*Emissionsfaktoren!X168/1000, 0)</f>
        <v>0</v>
      </c>
    </row>
    <row r="334" spans="2:24" ht="16.5" hidden="1" x14ac:dyDescent="0.45">
      <c r="B334" s="15">
        <v>109</v>
      </c>
      <c r="C334" s="20" t="str">
        <f>'Refsz-Verbräuche'!C169</f>
        <v>Restmüll</v>
      </c>
      <c r="D334" t="s">
        <v>208</v>
      </c>
      <c r="E334" s="15">
        <f>IF(ISNUMBER('Refsz-Verbräuche'!E169), 'Refsz-Verbräuche'!E169*Emissionsfaktoren!E169/1000, 0)</f>
        <v>0</v>
      </c>
      <c r="F334" s="15">
        <f>IF(ISNUMBER('Refsz-Verbräuche'!F169), 'Refsz-Verbräuche'!F169*Emissionsfaktoren!F169/1000, 0)</f>
        <v>0</v>
      </c>
      <c r="G334" s="15">
        <f>IF(ISNUMBER('Refsz-Verbräuche'!G169), 'Refsz-Verbräuche'!G169*Emissionsfaktoren!G169/1000, 0)</f>
        <v>0</v>
      </c>
      <c r="H334" s="15">
        <f>IF(ISNUMBER('Refsz-Verbräuche'!H169), 'Refsz-Verbräuche'!H169*Emissionsfaktoren!H169/1000, 0)</f>
        <v>0</v>
      </c>
      <c r="I334" s="15">
        <f>IF(ISNUMBER('Refsz-Verbräuche'!I169), 'Refsz-Verbräuche'!I169*Emissionsfaktoren!I169/1000, 0)</f>
        <v>0</v>
      </c>
      <c r="J334" s="15">
        <f>IF(ISNUMBER('Refsz-Verbräuche'!J169), 'Refsz-Verbräuche'!J169*Emissionsfaktoren!J169/1000, 0)</f>
        <v>0</v>
      </c>
      <c r="K334" s="15">
        <f>IF(ISNUMBER('Refsz-Verbräuche'!K169), 'Refsz-Verbräuche'!K169*Emissionsfaktoren!K169/1000, 0)</f>
        <v>0</v>
      </c>
      <c r="L334" s="15">
        <f>IF(ISNUMBER('Refsz-Verbräuche'!L169), 'Refsz-Verbräuche'!L169*Emissionsfaktoren!L169/1000, 0)</f>
        <v>0</v>
      </c>
      <c r="M334" s="15">
        <f>IF(ISNUMBER('Refsz-Verbräuche'!M169), 'Refsz-Verbräuche'!M169*Emissionsfaktoren!M169/1000, 0)</f>
        <v>0</v>
      </c>
      <c r="N334" s="15">
        <f>IF(ISNUMBER('Refsz-Verbräuche'!N169), 'Refsz-Verbräuche'!N169*Emissionsfaktoren!N169/1000, 0)</f>
        <v>0</v>
      </c>
      <c r="O334" s="15">
        <f>IF(ISNUMBER('Refsz-Verbräuche'!O169), 'Refsz-Verbräuche'!O169*Emissionsfaktoren!O169/1000, 0)</f>
        <v>0</v>
      </c>
      <c r="P334" s="15">
        <f>IF(ISNUMBER('Refsz-Verbräuche'!P169), 'Refsz-Verbräuche'!P169*Emissionsfaktoren!P169/1000, 0)</f>
        <v>0</v>
      </c>
      <c r="Q334" s="15">
        <f>IF(ISNUMBER('Refsz-Verbräuche'!Q169), 'Refsz-Verbräuche'!Q169*Emissionsfaktoren!Q169/1000, 0)</f>
        <v>0</v>
      </c>
      <c r="R334" s="15">
        <f>IF(ISNUMBER('Refsz-Verbräuche'!R169), 'Refsz-Verbräuche'!R169*Emissionsfaktoren!R169/1000, 0)</f>
        <v>0</v>
      </c>
      <c r="S334" s="15">
        <f>IF(ISNUMBER('Refsz-Verbräuche'!S169), 'Refsz-Verbräuche'!S169*Emissionsfaktoren!S169/1000, 0)</f>
        <v>0</v>
      </c>
      <c r="T334" s="15">
        <f>IF(ISNUMBER('Refsz-Verbräuche'!T169), 'Refsz-Verbräuche'!T169*Emissionsfaktoren!T169/1000, 0)</f>
        <v>0</v>
      </c>
      <c r="U334" s="15">
        <f>IF(ISNUMBER('Refsz-Verbräuche'!U169), 'Refsz-Verbräuche'!U169*Emissionsfaktoren!U169/1000, 0)</f>
        <v>0</v>
      </c>
      <c r="V334" s="15">
        <f>IF(ISNUMBER('Refsz-Verbräuche'!V169), 'Refsz-Verbräuche'!V169*Emissionsfaktoren!V169/1000, 0)</f>
        <v>0</v>
      </c>
      <c r="W334" s="15">
        <f>IF(ISNUMBER('Refsz-Verbräuche'!W169), 'Refsz-Verbräuche'!W169*Emissionsfaktoren!W169/1000, 0)</f>
        <v>0</v>
      </c>
      <c r="X334" s="15">
        <f>IF(ISNUMBER('Refsz-Verbräuche'!X169), 'Refsz-Verbräuche'!X169*Emissionsfaktoren!X169/1000, 0)</f>
        <v>0</v>
      </c>
    </row>
    <row r="335" spans="2:24" ht="16.5" hidden="1" x14ac:dyDescent="0.45">
      <c r="B335" s="15">
        <v>110</v>
      </c>
      <c r="C335" s="20" t="str">
        <f>'Refsz-Verbräuche'!C170</f>
        <v>Sperrmüll</v>
      </c>
      <c r="D335" t="s">
        <v>208</v>
      </c>
      <c r="E335" s="15">
        <f>IF(ISNUMBER('Refsz-Verbräuche'!E170), 'Refsz-Verbräuche'!E170*Emissionsfaktoren!E170/1000, 0)</f>
        <v>0</v>
      </c>
      <c r="F335" s="15">
        <f>IF(ISNUMBER('Refsz-Verbräuche'!F170), 'Refsz-Verbräuche'!F170*Emissionsfaktoren!F170/1000, 0)</f>
        <v>0</v>
      </c>
      <c r="G335" s="15">
        <f>IF(ISNUMBER('Refsz-Verbräuche'!G170), 'Refsz-Verbräuche'!G170*Emissionsfaktoren!G170/1000, 0)</f>
        <v>0</v>
      </c>
      <c r="H335" s="15">
        <f>IF(ISNUMBER('Refsz-Verbräuche'!H170), 'Refsz-Verbräuche'!H170*Emissionsfaktoren!H170/1000, 0)</f>
        <v>0</v>
      </c>
      <c r="I335" s="15">
        <f>IF(ISNUMBER('Refsz-Verbräuche'!I170), 'Refsz-Verbräuche'!I170*Emissionsfaktoren!I170/1000, 0)</f>
        <v>0</v>
      </c>
      <c r="J335" s="15">
        <f>IF(ISNUMBER('Refsz-Verbräuche'!J170), 'Refsz-Verbräuche'!J170*Emissionsfaktoren!J170/1000, 0)</f>
        <v>0</v>
      </c>
      <c r="K335" s="15">
        <f>IF(ISNUMBER('Refsz-Verbräuche'!K170), 'Refsz-Verbräuche'!K170*Emissionsfaktoren!K170/1000, 0)</f>
        <v>0</v>
      </c>
      <c r="L335" s="15">
        <f>IF(ISNUMBER('Refsz-Verbräuche'!L170), 'Refsz-Verbräuche'!L170*Emissionsfaktoren!L170/1000, 0)</f>
        <v>0</v>
      </c>
      <c r="M335" s="15">
        <f>IF(ISNUMBER('Refsz-Verbräuche'!M170), 'Refsz-Verbräuche'!M170*Emissionsfaktoren!M170/1000, 0)</f>
        <v>0</v>
      </c>
      <c r="N335" s="15">
        <f>IF(ISNUMBER('Refsz-Verbräuche'!N170), 'Refsz-Verbräuche'!N170*Emissionsfaktoren!N170/1000, 0)</f>
        <v>0</v>
      </c>
      <c r="O335" s="15">
        <f>IF(ISNUMBER('Refsz-Verbräuche'!O170), 'Refsz-Verbräuche'!O170*Emissionsfaktoren!O170/1000, 0)</f>
        <v>0</v>
      </c>
      <c r="P335" s="15">
        <f>IF(ISNUMBER('Refsz-Verbräuche'!P170), 'Refsz-Verbräuche'!P170*Emissionsfaktoren!P170/1000, 0)</f>
        <v>0</v>
      </c>
      <c r="Q335" s="15">
        <f>IF(ISNUMBER('Refsz-Verbräuche'!Q170), 'Refsz-Verbräuche'!Q170*Emissionsfaktoren!Q170/1000, 0)</f>
        <v>0</v>
      </c>
      <c r="R335" s="15">
        <f>IF(ISNUMBER('Refsz-Verbräuche'!R170), 'Refsz-Verbräuche'!R170*Emissionsfaktoren!R170/1000, 0)</f>
        <v>0</v>
      </c>
      <c r="S335" s="15">
        <f>IF(ISNUMBER('Refsz-Verbräuche'!S170), 'Refsz-Verbräuche'!S170*Emissionsfaktoren!S170/1000, 0)</f>
        <v>0</v>
      </c>
      <c r="T335" s="15">
        <f>IF(ISNUMBER('Refsz-Verbräuche'!T170), 'Refsz-Verbräuche'!T170*Emissionsfaktoren!T170/1000, 0)</f>
        <v>0</v>
      </c>
      <c r="U335" s="15">
        <f>IF(ISNUMBER('Refsz-Verbräuche'!U170), 'Refsz-Verbräuche'!U170*Emissionsfaktoren!U170/1000, 0)</f>
        <v>0</v>
      </c>
      <c r="V335" s="15">
        <f>IF(ISNUMBER('Refsz-Verbräuche'!V170), 'Refsz-Verbräuche'!V170*Emissionsfaktoren!V170/1000, 0)</f>
        <v>0</v>
      </c>
      <c r="W335" s="15">
        <f>IF(ISNUMBER('Refsz-Verbräuche'!W170), 'Refsz-Verbräuche'!W170*Emissionsfaktoren!W170/1000, 0)</f>
        <v>0</v>
      </c>
      <c r="X335" s="15">
        <f>IF(ISNUMBER('Refsz-Verbräuche'!X170), 'Refsz-Verbräuche'!X170*Emissionsfaktoren!X170/1000, 0)</f>
        <v>0</v>
      </c>
    </row>
    <row r="336" spans="2:24" ht="16.5" hidden="1" x14ac:dyDescent="0.45">
      <c r="B336" s="15">
        <v>111</v>
      </c>
      <c r="C336" s="20" t="str">
        <f>'Refsz-Verbräuche'!C171</f>
        <v>Altholz</v>
      </c>
      <c r="D336" t="s">
        <v>208</v>
      </c>
      <c r="E336" s="15">
        <f>IF(ISNUMBER('Refsz-Verbräuche'!E171), 'Refsz-Verbräuche'!E171*Emissionsfaktoren!E171/1000, 0)</f>
        <v>0</v>
      </c>
      <c r="F336" s="15">
        <f>IF(ISNUMBER('Refsz-Verbräuche'!F171), 'Refsz-Verbräuche'!F171*Emissionsfaktoren!F171/1000, 0)</f>
        <v>0</v>
      </c>
      <c r="G336" s="15">
        <f>IF(ISNUMBER('Refsz-Verbräuche'!G171), 'Refsz-Verbräuche'!G171*Emissionsfaktoren!G171/1000, 0)</f>
        <v>0</v>
      </c>
      <c r="H336" s="15">
        <f>IF(ISNUMBER('Refsz-Verbräuche'!H171), 'Refsz-Verbräuche'!H171*Emissionsfaktoren!H171/1000, 0)</f>
        <v>0</v>
      </c>
      <c r="I336" s="15">
        <f>IF(ISNUMBER('Refsz-Verbräuche'!I171), 'Refsz-Verbräuche'!I171*Emissionsfaktoren!I171/1000, 0)</f>
        <v>0</v>
      </c>
      <c r="J336" s="15">
        <f>IF(ISNUMBER('Refsz-Verbräuche'!J171), 'Refsz-Verbräuche'!J171*Emissionsfaktoren!J171/1000, 0)</f>
        <v>0</v>
      </c>
      <c r="K336" s="15">
        <f>IF(ISNUMBER('Refsz-Verbräuche'!K171), 'Refsz-Verbräuche'!K171*Emissionsfaktoren!K171/1000, 0)</f>
        <v>0</v>
      </c>
      <c r="L336" s="15">
        <f>IF(ISNUMBER('Refsz-Verbräuche'!L171), 'Refsz-Verbräuche'!L171*Emissionsfaktoren!L171/1000, 0)</f>
        <v>0</v>
      </c>
      <c r="M336" s="15">
        <f>IF(ISNUMBER('Refsz-Verbräuche'!M171), 'Refsz-Verbräuche'!M171*Emissionsfaktoren!M171/1000, 0)</f>
        <v>0</v>
      </c>
      <c r="N336" s="15">
        <f>IF(ISNUMBER('Refsz-Verbräuche'!N171), 'Refsz-Verbräuche'!N171*Emissionsfaktoren!N171/1000, 0)</f>
        <v>0</v>
      </c>
      <c r="O336" s="15">
        <f>IF(ISNUMBER('Refsz-Verbräuche'!O171), 'Refsz-Verbräuche'!O171*Emissionsfaktoren!O171/1000, 0)</f>
        <v>0</v>
      </c>
      <c r="P336" s="15">
        <f>IF(ISNUMBER('Refsz-Verbräuche'!P171), 'Refsz-Verbräuche'!P171*Emissionsfaktoren!P171/1000, 0)</f>
        <v>0</v>
      </c>
      <c r="Q336" s="15">
        <f>IF(ISNUMBER('Refsz-Verbräuche'!Q171), 'Refsz-Verbräuche'!Q171*Emissionsfaktoren!Q171/1000, 0)</f>
        <v>0</v>
      </c>
      <c r="R336" s="15">
        <f>IF(ISNUMBER('Refsz-Verbräuche'!R171), 'Refsz-Verbräuche'!R171*Emissionsfaktoren!R171/1000, 0)</f>
        <v>0</v>
      </c>
      <c r="S336" s="15">
        <f>IF(ISNUMBER('Refsz-Verbräuche'!S171), 'Refsz-Verbräuche'!S171*Emissionsfaktoren!S171/1000, 0)</f>
        <v>0</v>
      </c>
      <c r="T336" s="15">
        <f>IF(ISNUMBER('Refsz-Verbräuche'!T171), 'Refsz-Verbräuche'!T171*Emissionsfaktoren!T171/1000, 0)</f>
        <v>0</v>
      </c>
      <c r="U336" s="15">
        <f>IF(ISNUMBER('Refsz-Verbräuche'!U171), 'Refsz-Verbräuche'!U171*Emissionsfaktoren!U171/1000, 0)</f>
        <v>0</v>
      </c>
      <c r="V336" s="15">
        <f>IF(ISNUMBER('Refsz-Verbräuche'!V171), 'Refsz-Verbräuche'!V171*Emissionsfaktoren!V171/1000, 0)</f>
        <v>0</v>
      </c>
      <c r="W336" s="15">
        <f>IF(ISNUMBER('Refsz-Verbräuche'!W171), 'Refsz-Verbräuche'!W171*Emissionsfaktoren!W171/1000, 0)</f>
        <v>0</v>
      </c>
      <c r="X336" s="15">
        <f>IF(ISNUMBER('Refsz-Verbräuche'!X171), 'Refsz-Verbräuche'!X171*Emissionsfaktoren!X171/1000, 0)</f>
        <v>0</v>
      </c>
    </row>
    <row r="337" spans="2:24" ht="16.5" hidden="1" x14ac:dyDescent="0.45">
      <c r="B337" s="15">
        <v>112</v>
      </c>
      <c r="C337" s="20" t="str">
        <f>'Refsz-Verbräuche'!C172</f>
        <v>Altglas</v>
      </c>
      <c r="D337" t="s">
        <v>208</v>
      </c>
      <c r="E337" s="15">
        <f>IF(ISNUMBER('Refsz-Verbräuche'!E172), 'Refsz-Verbräuche'!E172*Emissionsfaktoren!E172/1000, 0)</f>
        <v>0</v>
      </c>
      <c r="F337" s="15">
        <f>IF(ISNUMBER('Refsz-Verbräuche'!F172), 'Refsz-Verbräuche'!F172*Emissionsfaktoren!F172/1000, 0)</f>
        <v>0</v>
      </c>
      <c r="G337" s="15">
        <f>IF(ISNUMBER('Refsz-Verbräuche'!G172), 'Refsz-Verbräuche'!G172*Emissionsfaktoren!G172/1000, 0)</f>
        <v>0</v>
      </c>
      <c r="H337" s="15">
        <f>IF(ISNUMBER('Refsz-Verbräuche'!H172), 'Refsz-Verbräuche'!H172*Emissionsfaktoren!H172/1000, 0)</f>
        <v>0</v>
      </c>
      <c r="I337" s="15">
        <f>IF(ISNUMBER('Refsz-Verbräuche'!I172), 'Refsz-Verbräuche'!I172*Emissionsfaktoren!I172/1000, 0)</f>
        <v>0</v>
      </c>
      <c r="J337" s="15">
        <f>IF(ISNUMBER('Refsz-Verbräuche'!J172), 'Refsz-Verbräuche'!J172*Emissionsfaktoren!J172/1000, 0)</f>
        <v>0</v>
      </c>
      <c r="K337" s="15">
        <f>IF(ISNUMBER('Refsz-Verbräuche'!K172), 'Refsz-Verbräuche'!K172*Emissionsfaktoren!K172/1000, 0)</f>
        <v>0</v>
      </c>
      <c r="L337" s="15">
        <f>IF(ISNUMBER('Refsz-Verbräuche'!L172), 'Refsz-Verbräuche'!L172*Emissionsfaktoren!L172/1000, 0)</f>
        <v>0</v>
      </c>
      <c r="M337" s="15">
        <f>IF(ISNUMBER('Refsz-Verbräuche'!M172), 'Refsz-Verbräuche'!M172*Emissionsfaktoren!M172/1000, 0)</f>
        <v>0</v>
      </c>
      <c r="N337" s="15">
        <f>IF(ISNUMBER('Refsz-Verbräuche'!N172), 'Refsz-Verbräuche'!N172*Emissionsfaktoren!N172/1000, 0)</f>
        <v>0</v>
      </c>
      <c r="O337" s="15">
        <f>IF(ISNUMBER('Refsz-Verbräuche'!O172), 'Refsz-Verbräuche'!O172*Emissionsfaktoren!O172/1000, 0)</f>
        <v>0</v>
      </c>
      <c r="P337" s="15">
        <f>IF(ISNUMBER('Refsz-Verbräuche'!P172), 'Refsz-Verbräuche'!P172*Emissionsfaktoren!P172/1000, 0)</f>
        <v>0</v>
      </c>
      <c r="Q337" s="15">
        <f>IF(ISNUMBER('Refsz-Verbräuche'!Q172), 'Refsz-Verbräuche'!Q172*Emissionsfaktoren!Q172/1000, 0)</f>
        <v>0</v>
      </c>
      <c r="R337" s="15">
        <f>IF(ISNUMBER('Refsz-Verbräuche'!R172), 'Refsz-Verbräuche'!R172*Emissionsfaktoren!R172/1000, 0)</f>
        <v>0</v>
      </c>
      <c r="S337" s="15">
        <f>IF(ISNUMBER('Refsz-Verbräuche'!S172), 'Refsz-Verbräuche'!S172*Emissionsfaktoren!S172/1000, 0)</f>
        <v>0</v>
      </c>
      <c r="T337" s="15">
        <f>IF(ISNUMBER('Refsz-Verbräuche'!T172), 'Refsz-Verbräuche'!T172*Emissionsfaktoren!T172/1000, 0)</f>
        <v>0</v>
      </c>
      <c r="U337" s="15">
        <f>IF(ISNUMBER('Refsz-Verbräuche'!U172), 'Refsz-Verbräuche'!U172*Emissionsfaktoren!U172/1000, 0)</f>
        <v>0</v>
      </c>
      <c r="V337" s="15">
        <f>IF(ISNUMBER('Refsz-Verbräuche'!V172), 'Refsz-Verbräuche'!V172*Emissionsfaktoren!V172/1000, 0)</f>
        <v>0</v>
      </c>
      <c r="W337" s="15">
        <f>IF(ISNUMBER('Refsz-Verbräuche'!W172), 'Refsz-Verbräuche'!W172*Emissionsfaktoren!W172/1000, 0)</f>
        <v>0</v>
      </c>
      <c r="X337" s="15">
        <f>IF(ISNUMBER('Refsz-Verbräuche'!X172), 'Refsz-Verbräuche'!X172*Emissionsfaktoren!X172/1000, 0)</f>
        <v>0</v>
      </c>
    </row>
    <row r="338" spans="2:24" ht="16.5" hidden="1" x14ac:dyDescent="0.45">
      <c r="B338" s="15">
        <v>113</v>
      </c>
      <c r="C338" s="20" t="str">
        <f>'Refsz-Verbräuche'!C173</f>
        <v>E-Großgeräte (Abfall)</v>
      </c>
      <c r="D338" t="s">
        <v>208</v>
      </c>
      <c r="E338" s="15">
        <f>IF(ISNUMBER('Refsz-Verbräuche'!E173), 'Refsz-Verbräuche'!E173*Emissionsfaktoren!E173/1000, 0)</f>
        <v>0</v>
      </c>
      <c r="F338" s="15">
        <f>IF(ISNUMBER('Refsz-Verbräuche'!F173), 'Refsz-Verbräuche'!F173*Emissionsfaktoren!F173/1000, 0)</f>
        <v>0</v>
      </c>
      <c r="G338" s="15">
        <f>IF(ISNUMBER('Refsz-Verbräuche'!G173), 'Refsz-Verbräuche'!G173*Emissionsfaktoren!G173/1000, 0)</f>
        <v>0</v>
      </c>
      <c r="H338" s="15">
        <f>IF(ISNUMBER('Refsz-Verbräuche'!H173), 'Refsz-Verbräuche'!H173*Emissionsfaktoren!H173/1000, 0)</f>
        <v>0</v>
      </c>
      <c r="I338" s="15">
        <f>IF(ISNUMBER('Refsz-Verbräuche'!I173), 'Refsz-Verbräuche'!I173*Emissionsfaktoren!I173/1000, 0)</f>
        <v>0</v>
      </c>
      <c r="J338" s="15">
        <f>IF(ISNUMBER('Refsz-Verbräuche'!J173), 'Refsz-Verbräuche'!J173*Emissionsfaktoren!J173/1000, 0)</f>
        <v>0</v>
      </c>
      <c r="K338" s="15">
        <f>IF(ISNUMBER('Refsz-Verbräuche'!K173), 'Refsz-Verbräuche'!K173*Emissionsfaktoren!K173/1000, 0)</f>
        <v>0</v>
      </c>
      <c r="L338" s="15">
        <f>IF(ISNUMBER('Refsz-Verbräuche'!L173), 'Refsz-Verbräuche'!L173*Emissionsfaktoren!L173/1000, 0)</f>
        <v>0</v>
      </c>
      <c r="M338" s="15">
        <f>IF(ISNUMBER('Refsz-Verbräuche'!M173), 'Refsz-Verbräuche'!M173*Emissionsfaktoren!M173/1000, 0)</f>
        <v>0</v>
      </c>
      <c r="N338" s="15">
        <f>IF(ISNUMBER('Refsz-Verbräuche'!N173), 'Refsz-Verbräuche'!N173*Emissionsfaktoren!N173/1000, 0)</f>
        <v>0</v>
      </c>
      <c r="O338" s="15">
        <f>IF(ISNUMBER('Refsz-Verbräuche'!O173), 'Refsz-Verbräuche'!O173*Emissionsfaktoren!O173/1000, 0)</f>
        <v>0</v>
      </c>
      <c r="P338" s="15">
        <f>IF(ISNUMBER('Refsz-Verbräuche'!P173), 'Refsz-Verbräuche'!P173*Emissionsfaktoren!P173/1000, 0)</f>
        <v>0</v>
      </c>
      <c r="Q338" s="15">
        <f>IF(ISNUMBER('Refsz-Verbräuche'!Q173), 'Refsz-Verbräuche'!Q173*Emissionsfaktoren!Q173/1000, 0)</f>
        <v>0</v>
      </c>
      <c r="R338" s="15">
        <f>IF(ISNUMBER('Refsz-Verbräuche'!R173), 'Refsz-Verbräuche'!R173*Emissionsfaktoren!R173/1000, 0)</f>
        <v>0</v>
      </c>
      <c r="S338" s="15">
        <f>IF(ISNUMBER('Refsz-Verbräuche'!S173), 'Refsz-Verbräuche'!S173*Emissionsfaktoren!S173/1000, 0)</f>
        <v>0</v>
      </c>
      <c r="T338" s="15">
        <f>IF(ISNUMBER('Refsz-Verbräuche'!T173), 'Refsz-Verbräuche'!T173*Emissionsfaktoren!T173/1000, 0)</f>
        <v>0</v>
      </c>
      <c r="U338" s="15">
        <f>IF(ISNUMBER('Refsz-Verbräuche'!U173), 'Refsz-Verbräuche'!U173*Emissionsfaktoren!U173/1000, 0)</f>
        <v>0</v>
      </c>
      <c r="V338" s="15">
        <f>IF(ISNUMBER('Refsz-Verbräuche'!V173), 'Refsz-Verbräuche'!V173*Emissionsfaktoren!V173/1000, 0)</f>
        <v>0</v>
      </c>
      <c r="W338" s="15">
        <f>IF(ISNUMBER('Refsz-Verbräuche'!W173), 'Refsz-Verbräuche'!W173*Emissionsfaktoren!W173/1000, 0)</f>
        <v>0</v>
      </c>
      <c r="X338" s="15">
        <f>IF(ISNUMBER('Refsz-Verbräuche'!X173), 'Refsz-Verbräuche'!X173*Emissionsfaktoren!X173/1000, 0)</f>
        <v>0</v>
      </c>
    </row>
    <row r="339" spans="2:24" ht="16.5" hidden="1" x14ac:dyDescent="0.45">
      <c r="B339" s="15">
        <v>114</v>
      </c>
      <c r="C339" s="20" t="str">
        <f>'Refsz-Verbräuche'!C174</f>
        <v>Metalle (Abfall)</v>
      </c>
      <c r="D339" t="s">
        <v>208</v>
      </c>
      <c r="E339" s="15">
        <f>IF(ISNUMBER('Refsz-Verbräuche'!E174), 'Refsz-Verbräuche'!E174*Emissionsfaktoren!E174/1000, 0)</f>
        <v>0</v>
      </c>
      <c r="F339" s="15">
        <f>IF(ISNUMBER('Refsz-Verbräuche'!F174), 'Refsz-Verbräuche'!F174*Emissionsfaktoren!F174/1000, 0)</f>
        <v>0</v>
      </c>
      <c r="G339" s="15">
        <f>IF(ISNUMBER('Refsz-Verbräuche'!G174), 'Refsz-Verbräuche'!G174*Emissionsfaktoren!G174/1000, 0)</f>
        <v>0</v>
      </c>
      <c r="H339" s="15">
        <f>IF(ISNUMBER('Refsz-Verbräuche'!H174), 'Refsz-Verbräuche'!H174*Emissionsfaktoren!H174/1000, 0)</f>
        <v>0</v>
      </c>
      <c r="I339" s="15">
        <f>IF(ISNUMBER('Refsz-Verbräuche'!I174), 'Refsz-Verbräuche'!I174*Emissionsfaktoren!I174/1000, 0)</f>
        <v>0</v>
      </c>
      <c r="J339" s="15">
        <f>IF(ISNUMBER('Refsz-Verbräuche'!J174), 'Refsz-Verbräuche'!J174*Emissionsfaktoren!J174/1000, 0)</f>
        <v>0</v>
      </c>
      <c r="K339" s="15">
        <f>IF(ISNUMBER('Refsz-Verbräuche'!K174), 'Refsz-Verbräuche'!K174*Emissionsfaktoren!K174/1000, 0)</f>
        <v>0</v>
      </c>
      <c r="L339" s="15">
        <f>IF(ISNUMBER('Refsz-Verbräuche'!L174), 'Refsz-Verbräuche'!L174*Emissionsfaktoren!L174/1000, 0)</f>
        <v>0</v>
      </c>
      <c r="M339" s="15">
        <f>IF(ISNUMBER('Refsz-Verbräuche'!M174), 'Refsz-Verbräuche'!M174*Emissionsfaktoren!M174/1000, 0)</f>
        <v>0</v>
      </c>
      <c r="N339" s="15">
        <f>IF(ISNUMBER('Refsz-Verbräuche'!N174), 'Refsz-Verbräuche'!N174*Emissionsfaktoren!N174/1000, 0)</f>
        <v>0</v>
      </c>
      <c r="O339" s="15">
        <f>IF(ISNUMBER('Refsz-Verbräuche'!O174), 'Refsz-Verbräuche'!O174*Emissionsfaktoren!O174/1000, 0)</f>
        <v>0</v>
      </c>
      <c r="P339" s="15">
        <f>IF(ISNUMBER('Refsz-Verbräuche'!P174), 'Refsz-Verbräuche'!P174*Emissionsfaktoren!P174/1000, 0)</f>
        <v>0</v>
      </c>
      <c r="Q339" s="15">
        <f>IF(ISNUMBER('Refsz-Verbräuche'!Q174), 'Refsz-Verbräuche'!Q174*Emissionsfaktoren!Q174/1000, 0)</f>
        <v>0</v>
      </c>
      <c r="R339" s="15">
        <f>IF(ISNUMBER('Refsz-Verbräuche'!R174), 'Refsz-Verbräuche'!R174*Emissionsfaktoren!R174/1000, 0)</f>
        <v>0</v>
      </c>
      <c r="S339" s="15">
        <f>IF(ISNUMBER('Refsz-Verbräuche'!S174), 'Refsz-Verbräuche'!S174*Emissionsfaktoren!S174/1000, 0)</f>
        <v>0</v>
      </c>
      <c r="T339" s="15">
        <f>IF(ISNUMBER('Refsz-Verbräuche'!T174), 'Refsz-Verbräuche'!T174*Emissionsfaktoren!T174/1000, 0)</f>
        <v>0</v>
      </c>
      <c r="U339" s="15">
        <f>IF(ISNUMBER('Refsz-Verbräuche'!U174), 'Refsz-Verbräuche'!U174*Emissionsfaktoren!U174/1000, 0)</f>
        <v>0</v>
      </c>
      <c r="V339" s="15">
        <f>IF(ISNUMBER('Refsz-Verbräuche'!V174), 'Refsz-Verbräuche'!V174*Emissionsfaktoren!V174/1000, 0)</f>
        <v>0</v>
      </c>
      <c r="W339" s="15">
        <f>IF(ISNUMBER('Refsz-Verbräuche'!W174), 'Refsz-Verbräuche'!W174*Emissionsfaktoren!W174/1000, 0)</f>
        <v>0</v>
      </c>
      <c r="X339" s="15">
        <f>IF(ISNUMBER('Refsz-Verbräuche'!X174), 'Refsz-Verbräuche'!X174*Emissionsfaktoren!X174/1000, 0)</f>
        <v>0</v>
      </c>
    </row>
    <row r="340" spans="2:24" ht="16.5" hidden="1" x14ac:dyDescent="0.45">
      <c r="B340" s="15">
        <v>115</v>
      </c>
      <c r="C340" s="20" t="str">
        <f>'Refsz-Verbräuche'!C175</f>
        <v>Bauschutt</v>
      </c>
      <c r="D340" t="s">
        <v>208</v>
      </c>
      <c r="E340" s="15">
        <f>IF(ISNUMBER('Refsz-Verbräuche'!E175), 'Refsz-Verbräuche'!E175*Emissionsfaktoren!E175/1000, 0)</f>
        <v>0</v>
      </c>
      <c r="F340" s="15">
        <f>IF(ISNUMBER('Refsz-Verbräuche'!F175), 'Refsz-Verbräuche'!F175*Emissionsfaktoren!F175/1000, 0)</f>
        <v>0</v>
      </c>
      <c r="G340" s="15">
        <f>IF(ISNUMBER('Refsz-Verbräuche'!G175), 'Refsz-Verbräuche'!G175*Emissionsfaktoren!G175/1000, 0)</f>
        <v>0</v>
      </c>
      <c r="H340" s="15">
        <f>IF(ISNUMBER('Refsz-Verbräuche'!H175), 'Refsz-Verbräuche'!H175*Emissionsfaktoren!H175/1000, 0)</f>
        <v>0</v>
      </c>
      <c r="I340" s="15">
        <f>IF(ISNUMBER('Refsz-Verbräuche'!I175), 'Refsz-Verbräuche'!I175*Emissionsfaktoren!I175/1000, 0)</f>
        <v>0</v>
      </c>
      <c r="J340" s="15">
        <f>IF(ISNUMBER('Refsz-Verbräuche'!J175), 'Refsz-Verbräuche'!J175*Emissionsfaktoren!J175/1000, 0)</f>
        <v>0</v>
      </c>
      <c r="K340" s="15">
        <f>IF(ISNUMBER('Refsz-Verbräuche'!K175), 'Refsz-Verbräuche'!K175*Emissionsfaktoren!K175/1000, 0)</f>
        <v>0</v>
      </c>
      <c r="L340" s="15">
        <f>IF(ISNUMBER('Refsz-Verbräuche'!L175), 'Refsz-Verbräuche'!L175*Emissionsfaktoren!L175/1000, 0)</f>
        <v>0</v>
      </c>
      <c r="M340" s="15">
        <f>IF(ISNUMBER('Refsz-Verbräuche'!M175), 'Refsz-Verbräuche'!M175*Emissionsfaktoren!M175/1000, 0)</f>
        <v>0</v>
      </c>
      <c r="N340" s="15">
        <f>IF(ISNUMBER('Refsz-Verbräuche'!N175), 'Refsz-Verbräuche'!N175*Emissionsfaktoren!N175/1000, 0)</f>
        <v>0</v>
      </c>
      <c r="O340" s="15">
        <f>IF(ISNUMBER('Refsz-Verbräuche'!O175), 'Refsz-Verbräuche'!O175*Emissionsfaktoren!O175/1000, 0)</f>
        <v>0</v>
      </c>
      <c r="P340" s="15">
        <f>IF(ISNUMBER('Refsz-Verbräuche'!P175), 'Refsz-Verbräuche'!P175*Emissionsfaktoren!P175/1000, 0)</f>
        <v>0</v>
      </c>
      <c r="Q340" s="15">
        <f>IF(ISNUMBER('Refsz-Verbräuche'!Q175), 'Refsz-Verbräuche'!Q175*Emissionsfaktoren!Q175/1000, 0)</f>
        <v>0</v>
      </c>
      <c r="R340" s="15">
        <f>IF(ISNUMBER('Refsz-Verbräuche'!R175), 'Refsz-Verbräuche'!R175*Emissionsfaktoren!R175/1000, 0)</f>
        <v>0</v>
      </c>
      <c r="S340" s="15">
        <f>IF(ISNUMBER('Refsz-Verbräuche'!S175), 'Refsz-Verbräuche'!S175*Emissionsfaktoren!S175/1000, 0)</f>
        <v>0</v>
      </c>
      <c r="T340" s="15">
        <f>IF(ISNUMBER('Refsz-Verbräuche'!T175), 'Refsz-Verbräuche'!T175*Emissionsfaktoren!T175/1000, 0)</f>
        <v>0</v>
      </c>
      <c r="U340" s="15">
        <f>IF(ISNUMBER('Refsz-Verbräuche'!U175), 'Refsz-Verbräuche'!U175*Emissionsfaktoren!U175/1000, 0)</f>
        <v>0</v>
      </c>
      <c r="V340" s="15">
        <f>IF(ISNUMBER('Refsz-Verbräuche'!V175), 'Refsz-Verbräuche'!V175*Emissionsfaktoren!V175/1000, 0)</f>
        <v>0</v>
      </c>
      <c r="W340" s="15">
        <f>IF(ISNUMBER('Refsz-Verbräuche'!W175), 'Refsz-Verbräuche'!W175*Emissionsfaktoren!W175/1000, 0)</f>
        <v>0</v>
      </c>
      <c r="X340" s="15">
        <f>IF(ISNUMBER('Refsz-Verbräuche'!X175), 'Refsz-Verbräuche'!X175*Emissionsfaktoren!X175/1000, 0)</f>
        <v>0</v>
      </c>
    </row>
    <row r="341" spans="2:24" ht="16.5" hidden="1" x14ac:dyDescent="0.45">
      <c r="B341" s="15">
        <v>116</v>
      </c>
      <c r="C341" s="20">
        <f>'Refsz-Verbräuche'!C176</f>
        <v>0</v>
      </c>
      <c r="D341" t="s">
        <v>208</v>
      </c>
      <c r="E341" s="15">
        <f>IF(ISNUMBER('Refsz-Verbräuche'!E176), 'Refsz-Verbräuche'!E176*Emissionsfaktoren!E176/1000, 0)</f>
        <v>0</v>
      </c>
      <c r="F341" s="15">
        <f>IF(ISNUMBER('Refsz-Verbräuche'!F176), 'Refsz-Verbräuche'!F176*Emissionsfaktoren!F176/1000, 0)</f>
        <v>0</v>
      </c>
      <c r="G341" s="15">
        <f>IF(ISNUMBER('Refsz-Verbräuche'!G176), 'Refsz-Verbräuche'!G176*Emissionsfaktoren!G176/1000, 0)</f>
        <v>0</v>
      </c>
      <c r="H341" s="15">
        <f>IF(ISNUMBER('Refsz-Verbräuche'!H176), 'Refsz-Verbräuche'!H176*Emissionsfaktoren!H176/1000, 0)</f>
        <v>0</v>
      </c>
      <c r="I341" s="15">
        <f>IF(ISNUMBER('Refsz-Verbräuche'!I176), 'Refsz-Verbräuche'!I176*Emissionsfaktoren!I176/1000, 0)</f>
        <v>0</v>
      </c>
      <c r="J341" s="15">
        <f>IF(ISNUMBER('Refsz-Verbräuche'!J176), 'Refsz-Verbräuche'!J176*Emissionsfaktoren!J176/1000, 0)</f>
        <v>0</v>
      </c>
      <c r="K341" s="15">
        <f>IF(ISNUMBER('Refsz-Verbräuche'!K176), 'Refsz-Verbräuche'!K176*Emissionsfaktoren!K176/1000, 0)</f>
        <v>0</v>
      </c>
      <c r="L341" s="15">
        <f>IF(ISNUMBER('Refsz-Verbräuche'!L176), 'Refsz-Verbräuche'!L176*Emissionsfaktoren!L176/1000, 0)</f>
        <v>0</v>
      </c>
      <c r="M341" s="15">
        <f>IF(ISNUMBER('Refsz-Verbräuche'!M176), 'Refsz-Verbräuche'!M176*Emissionsfaktoren!M176/1000, 0)</f>
        <v>0</v>
      </c>
      <c r="N341" s="15">
        <f>IF(ISNUMBER('Refsz-Verbräuche'!N176), 'Refsz-Verbräuche'!N176*Emissionsfaktoren!N176/1000, 0)</f>
        <v>0</v>
      </c>
      <c r="O341" s="15">
        <f>IF(ISNUMBER('Refsz-Verbräuche'!O176), 'Refsz-Verbräuche'!O176*Emissionsfaktoren!O176/1000, 0)</f>
        <v>0</v>
      </c>
      <c r="P341" s="15">
        <f>IF(ISNUMBER('Refsz-Verbräuche'!P176), 'Refsz-Verbräuche'!P176*Emissionsfaktoren!P176/1000, 0)</f>
        <v>0</v>
      </c>
      <c r="Q341" s="15">
        <f>IF(ISNUMBER('Refsz-Verbräuche'!Q176), 'Refsz-Verbräuche'!Q176*Emissionsfaktoren!Q176/1000, 0)</f>
        <v>0</v>
      </c>
      <c r="R341" s="15">
        <f>IF(ISNUMBER('Refsz-Verbräuche'!R176), 'Refsz-Verbräuche'!R176*Emissionsfaktoren!R176/1000, 0)</f>
        <v>0</v>
      </c>
      <c r="S341" s="15">
        <f>IF(ISNUMBER('Refsz-Verbräuche'!S176), 'Refsz-Verbräuche'!S176*Emissionsfaktoren!S176/1000, 0)</f>
        <v>0</v>
      </c>
      <c r="T341" s="15">
        <f>IF(ISNUMBER('Refsz-Verbräuche'!T176), 'Refsz-Verbräuche'!T176*Emissionsfaktoren!T176/1000, 0)</f>
        <v>0</v>
      </c>
      <c r="U341" s="15">
        <f>IF(ISNUMBER('Refsz-Verbräuche'!U176), 'Refsz-Verbräuche'!U176*Emissionsfaktoren!U176/1000, 0)</f>
        <v>0</v>
      </c>
      <c r="V341" s="15">
        <f>IF(ISNUMBER('Refsz-Verbräuche'!V176), 'Refsz-Verbräuche'!V176*Emissionsfaktoren!V176/1000, 0)</f>
        <v>0</v>
      </c>
      <c r="W341" s="15">
        <f>IF(ISNUMBER('Refsz-Verbräuche'!W176), 'Refsz-Verbräuche'!W176*Emissionsfaktoren!W176/1000, 0)</f>
        <v>0</v>
      </c>
      <c r="X341" s="15">
        <f>IF(ISNUMBER('Refsz-Verbräuche'!X176), 'Refsz-Verbräuche'!X176*Emissionsfaktoren!X176/1000, 0)</f>
        <v>0</v>
      </c>
    </row>
    <row r="342" spans="2:24" ht="16.5" hidden="1" x14ac:dyDescent="0.45">
      <c r="B342" s="15">
        <v>117</v>
      </c>
      <c r="C342" s="20" t="str">
        <f>'Refsz-Verbräuche'!C177</f>
        <v>Branntkalk</v>
      </c>
      <c r="D342" t="s">
        <v>208</v>
      </c>
      <c r="E342" s="15">
        <f>IF(ISNUMBER('Refsz-Verbräuche'!E177), 'Refsz-Verbräuche'!E177*Emissionsfaktoren!E177/1000, 0)</f>
        <v>0</v>
      </c>
      <c r="F342" s="15">
        <f>IF(ISNUMBER('Refsz-Verbräuche'!F177), 'Refsz-Verbräuche'!F177*Emissionsfaktoren!F177/1000, 0)</f>
        <v>0</v>
      </c>
      <c r="G342" s="15">
        <f>IF(ISNUMBER('Refsz-Verbräuche'!G177), 'Refsz-Verbräuche'!G177*Emissionsfaktoren!G177/1000, 0)</f>
        <v>0</v>
      </c>
      <c r="H342" s="15">
        <f>IF(ISNUMBER('Refsz-Verbräuche'!H177), 'Refsz-Verbräuche'!H177*Emissionsfaktoren!H177/1000, 0)</f>
        <v>0</v>
      </c>
      <c r="I342" s="15">
        <f>IF(ISNUMBER('Refsz-Verbräuche'!I177), 'Refsz-Verbräuche'!I177*Emissionsfaktoren!I177/1000, 0)</f>
        <v>0</v>
      </c>
      <c r="J342" s="15">
        <f>IF(ISNUMBER('Refsz-Verbräuche'!J177), 'Refsz-Verbräuche'!J177*Emissionsfaktoren!J177/1000, 0)</f>
        <v>0</v>
      </c>
      <c r="K342" s="15">
        <f>IF(ISNUMBER('Refsz-Verbräuche'!K177), 'Refsz-Verbräuche'!K177*Emissionsfaktoren!K177/1000, 0)</f>
        <v>0</v>
      </c>
      <c r="L342" s="15">
        <f>IF(ISNUMBER('Refsz-Verbräuche'!L177), 'Refsz-Verbräuche'!L177*Emissionsfaktoren!L177/1000, 0)</f>
        <v>0</v>
      </c>
      <c r="M342" s="15">
        <f>IF(ISNUMBER('Refsz-Verbräuche'!M177), 'Refsz-Verbräuche'!M177*Emissionsfaktoren!M177/1000, 0)</f>
        <v>0</v>
      </c>
      <c r="N342" s="15">
        <f>IF(ISNUMBER('Refsz-Verbräuche'!N177), 'Refsz-Verbräuche'!N177*Emissionsfaktoren!N177/1000, 0)</f>
        <v>0</v>
      </c>
      <c r="O342" s="15">
        <f>IF(ISNUMBER('Refsz-Verbräuche'!O177), 'Refsz-Verbräuche'!O177*Emissionsfaktoren!O177/1000, 0)</f>
        <v>0</v>
      </c>
      <c r="P342" s="15">
        <f>IF(ISNUMBER('Refsz-Verbräuche'!P177), 'Refsz-Verbräuche'!P177*Emissionsfaktoren!P177/1000, 0)</f>
        <v>0</v>
      </c>
      <c r="Q342" s="15">
        <f>IF(ISNUMBER('Refsz-Verbräuche'!Q177), 'Refsz-Verbräuche'!Q177*Emissionsfaktoren!Q177/1000, 0)</f>
        <v>0</v>
      </c>
      <c r="R342" s="15">
        <f>IF(ISNUMBER('Refsz-Verbräuche'!R177), 'Refsz-Verbräuche'!R177*Emissionsfaktoren!R177/1000, 0)</f>
        <v>0</v>
      </c>
      <c r="S342" s="15">
        <f>IF(ISNUMBER('Refsz-Verbräuche'!S177), 'Refsz-Verbräuche'!S177*Emissionsfaktoren!S177/1000, 0)</f>
        <v>0</v>
      </c>
      <c r="T342" s="15">
        <f>IF(ISNUMBER('Refsz-Verbräuche'!T177), 'Refsz-Verbräuche'!T177*Emissionsfaktoren!T177/1000, 0)</f>
        <v>0</v>
      </c>
      <c r="U342" s="15">
        <f>IF(ISNUMBER('Refsz-Verbräuche'!U177), 'Refsz-Verbräuche'!U177*Emissionsfaktoren!U177/1000, 0)</f>
        <v>0</v>
      </c>
      <c r="V342" s="15">
        <f>IF(ISNUMBER('Refsz-Verbräuche'!V177), 'Refsz-Verbräuche'!V177*Emissionsfaktoren!V177/1000, 0)</f>
        <v>0</v>
      </c>
      <c r="W342" s="15">
        <f>IF(ISNUMBER('Refsz-Verbräuche'!W177), 'Refsz-Verbräuche'!W177*Emissionsfaktoren!W177/1000, 0)</f>
        <v>0</v>
      </c>
      <c r="X342" s="15">
        <f>IF(ISNUMBER('Refsz-Verbräuche'!X177), 'Refsz-Verbräuche'!X177*Emissionsfaktoren!X177/1000, 0)</f>
        <v>0</v>
      </c>
    </row>
    <row r="343" spans="2:24" ht="16.5" hidden="1" x14ac:dyDescent="0.45">
      <c r="B343" s="15">
        <v>118</v>
      </c>
      <c r="C343" s="20" t="str">
        <f>'Refsz-Verbräuche'!C178</f>
        <v>Gips</v>
      </c>
      <c r="D343" t="s">
        <v>208</v>
      </c>
      <c r="E343" s="15">
        <f>IF(ISNUMBER('Refsz-Verbräuche'!E178), 'Refsz-Verbräuche'!E178*Emissionsfaktoren!E178/1000, 0)</f>
        <v>0</v>
      </c>
      <c r="F343" s="15">
        <f>IF(ISNUMBER('Refsz-Verbräuche'!F178), 'Refsz-Verbräuche'!F178*Emissionsfaktoren!F178/1000, 0)</f>
        <v>0</v>
      </c>
      <c r="G343" s="15">
        <f>IF(ISNUMBER('Refsz-Verbräuche'!G178), 'Refsz-Verbräuche'!G178*Emissionsfaktoren!G178/1000, 0)</f>
        <v>0</v>
      </c>
      <c r="H343" s="15">
        <f>IF(ISNUMBER('Refsz-Verbräuche'!H178), 'Refsz-Verbräuche'!H178*Emissionsfaktoren!H178/1000, 0)</f>
        <v>0</v>
      </c>
      <c r="I343" s="15">
        <f>IF(ISNUMBER('Refsz-Verbräuche'!I178), 'Refsz-Verbräuche'!I178*Emissionsfaktoren!I178/1000, 0)</f>
        <v>0</v>
      </c>
      <c r="J343" s="15">
        <f>IF(ISNUMBER('Refsz-Verbräuche'!J178), 'Refsz-Verbräuche'!J178*Emissionsfaktoren!J178/1000, 0)</f>
        <v>0</v>
      </c>
      <c r="K343" s="15">
        <f>IF(ISNUMBER('Refsz-Verbräuche'!K178), 'Refsz-Verbräuche'!K178*Emissionsfaktoren!K178/1000, 0)</f>
        <v>0</v>
      </c>
      <c r="L343" s="15">
        <f>IF(ISNUMBER('Refsz-Verbräuche'!L178), 'Refsz-Verbräuche'!L178*Emissionsfaktoren!L178/1000, 0)</f>
        <v>0</v>
      </c>
      <c r="M343" s="15">
        <f>IF(ISNUMBER('Refsz-Verbräuche'!M178), 'Refsz-Verbräuche'!M178*Emissionsfaktoren!M178/1000, 0)</f>
        <v>0</v>
      </c>
      <c r="N343" s="15">
        <f>IF(ISNUMBER('Refsz-Verbräuche'!N178), 'Refsz-Verbräuche'!N178*Emissionsfaktoren!N178/1000, 0)</f>
        <v>0</v>
      </c>
      <c r="O343" s="15">
        <f>IF(ISNUMBER('Refsz-Verbräuche'!O178), 'Refsz-Verbräuche'!O178*Emissionsfaktoren!O178/1000, 0)</f>
        <v>0</v>
      </c>
      <c r="P343" s="15">
        <f>IF(ISNUMBER('Refsz-Verbräuche'!P178), 'Refsz-Verbräuche'!P178*Emissionsfaktoren!P178/1000, 0)</f>
        <v>0</v>
      </c>
      <c r="Q343" s="15">
        <f>IF(ISNUMBER('Refsz-Verbräuche'!Q178), 'Refsz-Verbräuche'!Q178*Emissionsfaktoren!Q178/1000, 0)</f>
        <v>0</v>
      </c>
      <c r="R343" s="15">
        <f>IF(ISNUMBER('Refsz-Verbräuche'!R178), 'Refsz-Verbräuche'!R178*Emissionsfaktoren!R178/1000, 0)</f>
        <v>0</v>
      </c>
      <c r="S343" s="15">
        <f>IF(ISNUMBER('Refsz-Verbräuche'!S178), 'Refsz-Verbräuche'!S178*Emissionsfaktoren!S178/1000, 0)</f>
        <v>0</v>
      </c>
      <c r="T343" s="15">
        <f>IF(ISNUMBER('Refsz-Verbräuche'!T178), 'Refsz-Verbräuche'!T178*Emissionsfaktoren!T178/1000, 0)</f>
        <v>0</v>
      </c>
      <c r="U343" s="15">
        <f>IF(ISNUMBER('Refsz-Verbräuche'!U178), 'Refsz-Verbräuche'!U178*Emissionsfaktoren!U178/1000, 0)</f>
        <v>0</v>
      </c>
      <c r="V343" s="15">
        <f>IF(ISNUMBER('Refsz-Verbräuche'!V178), 'Refsz-Verbräuche'!V178*Emissionsfaktoren!V178/1000, 0)</f>
        <v>0</v>
      </c>
      <c r="W343" s="15">
        <f>IF(ISNUMBER('Refsz-Verbräuche'!W178), 'Refsz-Verbräuche'!W178*Emissionsfaktoren!W178/1000, 0)</f>
        <v>0</v>
      </c>
      <c r="X343" s="15">
        <f>IF(ISNUMBER('Refsz-Verbräuche'!X178), 'Refsz-Verbräuche'!X178*Emissionsfaktoren!X178/1000, 0)</f>
        <v>0</v>
      </c>
    </row>
    <row r="344" spans="2:24" ht="16.5" hidden="1" x14ac:dyDescent="0.45">
      <c r="B344" s="15">
        <v>119</v>
      </c>
      <c r="C344" s="20" t="str">
        <f>'Refsz-Verbräuche'!C179</f>
        <v>Gipsplatte</v>
      </c>
      <c r="D344" t="s">
        <v>208</v>
      </c>
      <c r="E344" s="15">
        <f>IF(ISNUMBER('Refsz-Verbräuche'!E179), 'Refsz-Verbräuche'!E179*Emissionsfaktoren!E179/1000, 0)</f>
        <v>0</v>
      </c>
      <c r="F344" s="15">
        <f>IF(ISNUMBER('Refsz-Verbräuche'!F179), 'Refsz-Verbräuche'!F179*Emissionsfaktoren!F179/1000, 0)</f>
        <v>0</v>
      </c>
      <c r="G344" s="15">
        <f>IF(ISNUMBER('Refsz-Verbräuche'!G179), 'Refsz-Verbräuche'!G179*Emissionsfaktoren!G179/1000, 0)</f>
        <v>0</v>
      </c>
      <c r="H344" s="15">
        <f>IF(ISNUMBER('Refsz-Verbräuche'!H179), 'Refsz-Verbräuche'!H179*Emissionsfaktoren!H179/1000, 0)</f>
        <v>0</v>
      </c>
      <c r="I344" s="15">
        <f>IF(ISNUMBER('Refsz-Verbräuche'!I179), 'Refsz-Verbräuche'!I179*Emissionsfaktoren!I179/1000, 0)</f>
        <v>0</v>
      </c>
      <c r="J344" s="15">
        <f>IF(ISNUMBER('Refsz-Verbräuche'!J179), 'Refsz-Verbräuche'!J179*Emissionsfaktoren!J179/1000, 0)</f>
        <v>0</v>
      </c>
      <c r="K344" s="15">
        <f>IF(ISNUMBER('Refsz-Verbräuche'!K179), 'Refsz-Verbräuche'!K179*Emissionsfaktoren!K179/1000, 0)</f>
        <v>0</v>
      </c>
      <c r="L344" s="15">
        <f>IF(ISNUMBER('Refsz-Verbräuche'!L179), 'Refsz-Verbräuche'!L179*Emissionsfaktoren!L179/1000, 0)</f>
        <v>0</v>
      </c>
      <c r="M344" s="15">
        <f>IF(ISNUMBER('Refsz-Verbräuche'!M179), 'Refsz-Verbräuche'!M179*Emissionsfaktoren!M179/1000, 0)</f>
        <v>0</v>
      </c>
      <c r="N344" s="15">
        <f>IF(ISNUMBER('Refsz-Verbräuche'!N179), 'Refsz-Verbräuche'!N179*Emissionsfaktoren!N179/1000, 0)</f>
        <v>0</v>
      </c>
      <c r="O344" s="15">
        <f>IF(ISNUMBER('Refsz-Verbräuche'!O179), 'Refsz-Verbräuche'!O179*Emissionsfaktoren!O179/1000, 0)</f>
        <v>0</v>
      </c>
      <c r="P344" s="15">
        <f>IF(ISNUMBER('Refsz-Verbräuche'!P179), 'Refsz-Verbräuche'!P179*Emissionsfaktoren!P179/1000, 0)</f>
        <v>0</v>
      </c>
      <c r="Q344" s="15">
        <f>IF(ISNUMBER('Refsz-Verbräuche'!Q179), 'Refsz-Verbräuche'!Q179*Emissionsfaktoren!Q179/1000, 0)</f>
        <v>0</v>
      </c>
      <c r="R344" s="15">
        <f>IF(ISNUMBER('Refsz-Verbräuche'!R179), 'Refsz-Verbräuche'!R179*Emissionsfaktoren!R179/1000, 0)</f>
        <v>0</v>
      </c>
      <c r="S344" s="15">
        <f>IF(ISNUMBER('Refsz-Verbräuche'!S179), 'Refsz-Verbräuche'!S179*Emissionsfaktoren!S179/1000, 0)</f>
        <v>0</v>
      </c>
      <c r="T344" s="15">
        <f>IF(ISNUMBER('Refsz-Verbräuche'!T179), 'Refsz-Verbräuche'!T179*Emissionsfaktoren!T179/1000, 0)</f>
        <v>0</v>
      </c>
      <c r="U344" s="15">
        <f>IF(ISNUMBER('Refsz-Verbräuche'!U179), 'Refsz-Verbräuche'!U179*Emissionsfaktoren!U179/1000, 0)</f>
        <v>0</v>
      </c>
      <c r="V344" s="15">
        <f>IF(ISNUMBER('Refsz-Verbräuche'!V179), 'Refsz-Verbräuche'!V179*Emissionsfaktoren!V179/1000, 0)</f>
        <v>0</v>
      </c>
      <c r="W344" s="15">
        <f>IF(ISNUMBER('Refsz-Verbräuche'!W179), 'Refsz-Verbräuche'!W179*Emissionsfaktoren!W179/1000, 0)</f>
        <v>0</v>
      </c>
      <c r="X344" s="15">
        <f>IF(ISNUMBER('Refsz-Verbräuche'!X179), 'Refsz-Verbräuche'!X179*Emissionsfaktoren!X179/1000, 0)</f>
        <v>0</v>
      </c>
    </row>
    <row r="345" spans="2:24" ht="16.5" hidden="1" x14ac:dyDescent="0.45">
      <c r="B345" s="15">
        <v>120</v>
      </c>
      <c r="C345" s="20" t="str">
        <f>'Refsz-Verbräuche'!C180</f>
        <v>Glas (flach)</v>
      </c>
      <c r="D345" t="s">
        <v>208</v>
      </c>
      <c r="E345" s="15">
        <f>IF(ISNUMBER('Refsz-Verbräuche'!E180), 'Refsz-Verbräuche'!E180*Emissionsfaktoren!E180/1000, 0)</f>
        <v>0</v>
      </c>
      <c r="F345" s="15">
        <f>IF(ISNUMBER('Refsz-Verbräuche'!F180), 'Refsz-Verbräuche'!F180*Emissionsfaktoren!F180/1000, 0)</f>
        <v>0</v>
      </c>
      <c r="G345" s="15">
        <f>IF(ISNUMBER('Refsz-Verbräuche'!G180), 'Refsz-Verbräuche'!G180*Emissionsfaktoren!G180/1000, 0)</f>
        <v>0</v>
      </c>
      <c r="H345" s="15">
        <f>IF(ISNUMBER('Refsz-Verbräuche'!H180), 'Refsz-Verbräuche'!H180*Emissionsfaktoren!H180/1000, 0)</f>
        <v>0</v>
      </c>
      <c r="I345" s="15">
        <f>IF(ISNUMBER('Refsz-Verbräuche'!I180), 'Refsz-Verbräuche'!I180*Emissionsfaktoren!I180/1000, 0)</f>
        <v>0</v>
      </c>
      <c r="J345" s="15">
        <f>IF(ISNUMBER('Refsz-Verbräuche'!J180), 'Refsz-Verbräuche'!J180*Emissionsfaktoren!J180/1000, 0)</f>
        <v>0</v>
      </c>
      <c r="K345" s="15">
        <f>IF(ISNUMBER('Refsz-Verbräuche'!K180), 'Refsz-Verbräuche'!K180*Emissionsfaktoren!K180/1000, 0)</f>
        <v>0</v>
      </c>
      <c r="L345" s="15">
        <f>IF(ISNUMBER('Refsz-Verbräuche'!L180), 'Refsz-Verbräuche'!L180*Emissionsfaktoren!L180/1000, 0)</f>
        <v>0</v>
      </c>
      <c r="M345" s="15">
        <f>IF(ISNUMBER('Refsz-Verbräuche'!M180), 'Refsz-Verbräuche'!M180*Emissionsfaktoren!M180/1000, 0)</f>
        <v>0</v>
      </c>
      <c r="N345" s="15">
        <f>IF(ISNUMBER('Refsz-Verbräuche'!N180), 'Refsz-Verbräuche'!N180*Emissionsfaktoren!N180/1000, 0)</f>
        <v>0</v>
      </c>
      <c r="O345" s="15">
        <f>IF(ISNUMBER('Refsz-Verbräuche'!O180), 'Refsz-Verbräuche'!O180*Emissionsfaktoren!O180/1000, 0)</f>
        <v>0</v>
      </c>
      <c r="P345" s="15">
        <f>IF(ISNUMBER('Refsz-Verbräuche'!P180), 'Refsz-Verbräuche'!P180*Emissionsfaktoren!P180/1000, 0)</f>
        <v>0</v>
      </c>
      <c r="Q345" s="15">
        <f>IF(ISNUMBER('Refsz-Verbräuche'!Q180), 'Refsz-Verbräuche'!Q180*Emissionsfaktoren!Q180/1000, 0)</f>
        <v>0</v>
      </c>
      <c r="R345" s="15">
        <f>IF(ISNUMBER('Refsz-Verbräuche'!R180), 'Refsz-Verbräuche'!R180*Emissionsfaktoren!R180/1000, 0)</f>
        <v>0</v>
      </c>
      <c r="S345" s="15">
        <f>IF(ISNUMBER('Refsz-Verbräuche'!S180), 'Refsz-Verbräuche'!S180*Emissionsfaktoren!S180/1000, 0)</f>
        <v>0</v>
      </c>
      <c r="T345" s="15">
        <f>IF(ISNUMBER('Refsz-Verbräuche'!T180), 'Refsz-Verbräuche'!T180*Emissionsfaktoren!T180/1000, 0)</f>
        <v>0</v>
      </c>
      <c r="U345" s="15">
        <f>IF(ISNUMBER('Refsz-Verbräuche'!U180), 'Refsz-Verbräuche'!U180*Emissionsfaktoren!U180/1000, 0)</f>
        <v>0</v>
      </c>
      <c r="V345" s="15">
        <f>IF(ISNUMBER('Refsz-Verbräuche'!V180), 'Refsz-Verbräuche'!V180*Emissionsfaktoren!V180/1000, 0)</f>
        <v>0</v>
      </c>
      <c r="W345" s="15">
        <f>IF(ISNUMBER('Refsz-Verbräuche'!W180), 'Refsz-Verbräuche'!W180*Emissionsfaktoren!W180/1000, 0)</f>
        <v>0</v>
      </c>
      <c r="X345" s="15">
        <f>IF(ISNUMBER('Refsz-Verbräuche'!X180), 'Refsz-Verbräuche'!X180*Emissionsfaktoren!X180/1000, 0)</f>
        <v>0</v>
      </c>
    </row>
    <row r="346" spans="2:24" ht="16.5" hidden="1" x14ac:dyDescent="0.45">
      <c r="B346" s="15">
        <v>121</v>
      </c>
      <c r="C346" s="20" t="str">
        <f>'Refsz-Verbräuche'!C181</f>
        <v>Gussasphalt</v>
      </c>
      <c r="D346" t="s">
        <v>208</v>
      </c>
      <c r="E346" s="15">
        <f>IF(ISNUMBER('Refsz-Verbräuche'!E181), 'Refsz-Verbräuche'!E181*Emissionsfaktoren!E181/1000, 0)</f>
        <v>0</v>
      </c>
      <c r="F346" s="15">
        <f>IF(ISNUMBER('Refsz-Verbräuche'!F181), 'Refsz-Verbräuche'!F181*Emissionsfaktoren!F181/1000, 0)</f>
        <v>0</v>
      </c>
      <c r="G346" s="15">
        <f>IF(ISNUMBER('Refsz-Verbräuche'!G181), 'Refsz-Verbräuche'!G181*Emissionsfaktoren!G181/1000, 0)</f>
        <v>0</v>
      </c>
      <c r="H346" s="15">
        <f>IF(ISNUMBER('Refsz-Verbräuche'!H181), 'Refsz-Verbräuche'!H181*Emissionsfaktoren!H181/1000, 0)</f>
        <v>0</v>
      </c>
      <c r="I346" s="15">
        <f>IF(ISNUMBER('Refsz-Verbräuche'!I181), 'Refsz-Verbräuche'!I181*Emissionsfaktoren!I181/1000, 0)</f>
        <v>0</v>
      </c>
      <c r="J346" s="15">
        <f>IF(ISNUMBER('Refsz-Verbräuche'!J181), 'Refsz-Verbräuche'!J181*Emissionsfaktoren!J181/1000, 0)</f>
        <v>0</v>
      </c>
      <c r="K346" s="15">
        <f>IF(ISNUMBER('Refsz-Verbräuche'!K181), 'Refsz-Verbräuche'!K181*Emissionsfaktoren!K181/1000, 0)</f>
        <v>0</v>
      </c>
      <c r="L346" s="15">
        <f>IF(ISNUMBER('Refsz-Verbräuche'!L181), 'Refsz-Verbräuche'!L181*Emissionsfaktoren!L181/1000, 0)</f>
        <v>0</v>
      </c>
      <c r="M346" s="15">
        <f>IF(ISNUMBER('Refsz-Verbräuche'!M181), 'Refsz-Verbräuche'!M181*Emissionsfaktoren!M181/1000, 0)</f>
        <v>0</v>
      </c>
      <c r="N346" s="15">
        <f>IF(ISNUMBER('Refsz-Verbräuche'!N181), 'Refsz-Verbräuche'!N181*Emissionsfaktoren!N181/1000, 0)</f>
        <v>0</v>
      </c>
      <c r="O346" s="15">
        <f>IF(ISNUMBER('Refsz-Verbräuche'!O181), 'Refsz-Verbräuche'!O181*Emissionsfaktoren!O181/1000, 0)</f>
        <v>0</v>
      </c>
      <c r="P346" s="15">
        <f>IF(ISNUMBER('Refsz-Verbräuche'!P181), 'Refsz-Verbräuche'!P181*Emissionsfaktoren!P181/1000, 0)</f>
        <v>0</v>
      </c>
      <c r="Q346" s="15">
        <f>IF(ISNUMBER('Refsz-Verbräuche'!Q181), 'Refsz-Verbräuche'!Q181*Emissionsfaktoren!Q181/1000, 0)</f>
        <v>0</v>
      </c>
      <c r="R346" s="15">
        <f>IF(ISNUMBER('Refsz-Verbräuche'!R181), 'Refsz-Verbräuche'!R181*Emissionsfaktoren!R181/1000, 0)</f>
        <v>0</v>
      </c>
      <c r="S346" s="15">
        <f>IF(ISNUMBER('Refsz-Verbräuche'!S181), 'Refsz-Verbräuche'!S181*Emissionsfaktoren!S181/1000, 0)</f>
        <v>0</v>
      </c>
      <c r="T346" s="15">
        <f>IF(ISNUMBER('Refsz-Verbräuche'!T181), 'Refsz-Verbräuche'!T181*Emissionsfaktoren!T181/1000, 0)</f>
        <v>0</v>
      </c>
      <c r="U346" s="15">
        <f>IF(ISNUMBER('Refsz-Verbräuche'!U181), 'Refsz-Verbräuche'!U181*Emissionsfaktoren!U181/1000, 0)</f>
        <v>0</v>
      </c>
      <c r="V346" s="15">
        <f>IF(ISNUMBER('Refsz-Verbräuche'!V181), 'Refsz-Verbräuche'!V181*Emissionsfaktoren!V181/1000, 0)</f>
        <v>0</v>
      </c>
      <c r="W346" s="15">
        <f>IF(ISNUMBER('Refsz-Verbräuche'!W181), 'Refsz-Verbräuche'!W181*Emissionsfaktoren!W181/1000, 0)</f>
        <v>0</v>
      </c>
      <c r="X346" s="15">
        <f>IF(ISNUMBER('Refsz-Verbräuche'!X181), 'Refsz-Verbräuche'!X181*Emissionsfaktoren!X181/1000, 0)</f>
        <v>0</v>
      </c>
    </row>
    <row r="347" spans="2:24" ht="16.5" hidden="1" x14ac:dyDescent="0.45">
      <c r="B347" s="15">
        <v>122</v>
      </c>
      <c r="C347" s="20" t="str">
        <f>'Refsz-Verbräuche'!C182</f>
        <v>Kalksandstein</v>
      </c>
      <c r="D347" t="s">
        <v>208</v>
      </c>
      <c r="E347" s="15">
        <f>IF(ISNUMBER('Refsz-Verbräuche'!E182), 'Refsz-Verbräuche'!E182*Emissionsfaktoren!E182/1000, 0)</f>
        <v>0</v>
      </c>
      <c r="F347" s="15">
        <f>IF(ISNUMBER('Refsz-Verbräuche'!F182), 'Refsz-Verbräuche'!F182*Emissionsfaktoren!F182/1000, 0)</f>
        <v>0</v>
      </c>
      <c r="G347" s="15">
        <f>IF(ISNUMBER('Refsz-Verbräuche'!G182), 'Refsz-Verbräuche'!G182*Emissionsfaktoren!G182/1000, 0)</f>
        <v>0</v>
      </c>
      <c r="H347" s="15">
        <f>IF(ISNUMBER('Refsz-Verbräuche'!H182), 'Refsz-Verbräuche'!H182*Emissionsfaktoren!H182/1000, 0)</f>
        <v>0</v>
      </c>
      <c r="I347" s="15">
        <f>IF(ISNUMBER('Refsz-Verbräuche'!I182), 'Refsz-Verbräuche'!I182*Emissionsfaktoren!I182/1000, 0)</f>
        <v>0</v>
      </c>
      <c r="J347" s="15">
        <f>IF(ISNUMBER('Refsz-Verbräuche'!J182), 'Refsz-Verbräuche'!J182*Emissionsfaktoren!J182/1000, 0)</f>
        <v>0</v>
      </c>
      <c r="K347" s="15">
        <f>IF(ISNUMBER('Refsz-Verbräuche'!K182), 'Refsz-Verbräuche'!K182*Emissionsfaktoren!K182/1000, 0)</f>
        <v>0</v>
      </c>
      <c r="L347" s="15">
        <f>IF(ISNUMBER('Refsz-Verbräuche'!L182), 'Refsz-Verbräuche'!L182*Emissionsfaktoren!L182/1000, 0)</f>
        <v>0</v>
      </c>
      <c r="M347" s="15">
        <f>IF(ISNUMBER('Refsz-Verbräuche'!M182), 'Refsz-Verbräuche'!M182*Emissionsfaktoren!M182/1000, 0)</f>
        <v>0</v>
      </c>
      <c r="N347" s="15">
        <f>IF(ISNUMBER('Refsz-Verbräuche'!N182), 'Refsz-Verbräuche'!N182*Emissionsfaktoren!N182/1000, 0)</f>
        <v>0</v>
      </c>
      <c r="O347" s="15">
        <f>IF(ISNUMBER('Refsz-Verbräuche'!O182), 'Refsz-Verbräuche'!O182*Emissionsfaktoren!O182/1000, 0)</f>
        <v>0</v>
      </c>
      <c r="P347" s="15">
        <f>IF(ISNUMBER('Refsz-Verbräuche'!P182), 'Refsz-Verbräuche'!P182*Emissionsfaktoren!P182/1000, 0)</f>
        <v>0</v>
      </c>
      <c r="Q347" s="15">
        <f>IF(ISNUMBER('Refsz-Verbräuche'!Q182), 'Refsz-Verbräuche'!Q182*Emissionsfaktoren!Q182/1000, 0)</f>
        <v>0</v>
      </c>
      <c r="R347" s="15">
        <f>IF(ISNUMBER('Refsz-Verbräuche'!R182), 'Refsz-Verbräuche'!R182*Emissionsfaktoren!R182/1000, 0)</f>
        <v>0</v>
      </c>
      <c r="S347" s="15">
        <f>IF(ISNUMBER('Refsz-Verbräuche'!S182), 'Refsz-Verbräuche'!S182*Emissionsfaktoren!S182/1000, 0)</f>
        <v>0</v>
      </c>
      <c r="T347" s="15">
        <f>IF(ISNUMBER('Refsz-Verbräuche'!T182), 'Refsz-Verbräuche'!T182*Emissionsfaktoren!T182/1000, 0)</f>
        <v>0</v>
      </c>
      <c r="U347" s="15">
        <f>IF(ISNUMBER('Refsz-Verbräuche'!U182), 'Refsz-Verbräuche'!U182*Emissionsfaktoren!U182/1000, 0)</f>
        <v>0</v>
      </c>
      <c r="V347" s="15">
        <f>IF(ISNUMBER('Refsz-Verbräuche'!V182), 'Refsz-Verbräuche'!V182*Emissionsfaktoren!V182/1000, 0)</f>
        <v>0</v>
      </c>
      <c r="W347" s="15">
        <f>IF(ISNUMBER('Refsz-Verbräuche'!W182), 'Refsz-Verbräuche'!W182*Emissionsfaktoren!W182/1000, 0)</f>
        <v>0</v>
      </c>
      <c r="X347" s="15">
        <f>IF(ISNUMBER('Refsz-Verbräuche'!X182), 'Refsz-Verbräuche'!X182*Emissionsfaktoren!X182/1000, 0)</f>
        <v>0</v>
      </c>
    </row>
    <row r="348" spans="2:24" ht="16.5" hidden="1" x14ac:dyDescent="0.45">
      <c r="B348" s="15">
        <v>123</v>
      </c>
      <c r="C348" s="20" t="str">
        <f>'Refsz-Verbräuche'!C183</f>
        <v>Porenbetonstein</v>
      </c>
      <c r="D348" t="s">
        <v>208</v>
      </c>
      <c r="E348" s="15">
        <f>IF(ISNUMBER('Refsz-Verbräuche'!E183), 'Refsz-Verbräuche'!E183*Emissionsfaktoren!E183/1000, 0)</f>
        <v>0</v>
      </c>
      <c r="F348" s="15">
        <f>IF(ISNUMBER('Refsz-Verbräuche'!F183), 'Refsz-Verbräuche'!F183*Emissionsfaktoren!F183/1000, 0)</f>
        <v>0</v>
      </c>
      <c r="G348" s="15">
        <f>IF(ISNUMBER('Refsz-Verbräuche'!G183), 'Refsz-Verbräuche'!G183*Emissionsfaktoren!G183/1000, 0)</f>
        <v>0</v>
      </c>
      <c r="H348" s="15">
        <f>IF(ISNUMBER('Refsz-Verbräuche'!H183), 'Refsz-Verbräuche'!H183*Emissionsfaktoren!H183/1000, 0)</f>
        <v>0</v>
      </c>
      <c r="I348" s="15">
        <f>IF(ISNUMBER('Refsz-Verbräuche'!I183), 'Refsz-Verbräuche'!I183*Emissionsfaktoren!I183/1000, 0)</f>
        <v>0</v>
      </c>
      <c r="J348" s="15">
        <f>IF(ISNUMBER('Refsz-Verbräuche'!J183), 'Refsz-Verbräuche'!J183*Emissionsfaktoren!J183/1000, 0)</f>
        <v>0</v>
      </c>
      <c r="K348" s="15">
        <f>IF(ISNUMBER('Refsz-Verbräuche'!K183), 'Refsz-Verbräuche'!K183*Emissionsfaktoren!K183/1000, 0)</f>
        <v>0</v>
      </c>
      <c r="L348" s="15">
        <f>IF(ISNUMBER('Refsz-Verbräuche'!L183), 'Refsz-Verbräuche'!L183*Emissionsfaktoren!L183/1000, 0)</f>
        <v>0</v>
      </c>
      <c r="M348" s="15">
        <f>IF(ISNUMBER('Refsz-Verbräuche'!M183), 'Refsz-Verbräuche'!M183*Emissionsfaktoren!M183/1000, 0)</f>
        <v>0</v>
      </c>
      <c r="N348" s="15">
        <f>IF(ISNUMBER('Refsz-Verbräuche'!N183), 'Refsz-Verbräuche'!N183*Emissionsfaktoren!N183/1000, 0)</f>
        <v>0</v>
      </c>
      <c r="O348" s="15">
        <f>IF(ISNUMBER('Refsz-Verbräuche'!O183), 'Refsz-Verbräuche'!O183*Emissionsfaktoren!O183/1000, 0)</f>
        <v>0</v>
      </c>
      <c r="P348" s="15">
        <f>IF(ISNUMBER('Refsz-Verbräuche'!P183), 'Refsz-Verbräuche'!P183*Emissionsfaktoren!P183/1000, 0)</f>
        <v>0</v>
      </c>
      <c r="Q348" s="15">
        <f>IF(ISNUMBER('Refsz-Verbräuche'!Q183), 'Refsz-Verbräuche'!Q183*Emissionsfaktoren!Q183/1000, 0)</f>
        <v>0</v>
      </c>
      <c r="R348" s="15">
        <f>IF(ISNUMBER('Refsz-Verbräuche'!R183), 'Refsz-Verbräuche'!R183*Emissionsfaktoren!R183/1000, 0)</f>
        <v>0</v>
      </c>
      <c r="S348" s="15">
        <f>IF(ISNUMBER('Refsz-Verbräuche'!S183), 'Refsz-Verbräuche'!S183*Emissionsfaktoren!S183/1000, 0)</f>
        <v>0</v>
      </c>
      <c r="T348" s="15">
        <f>IF(ISNUMBER('Refsz-Verbräuche'!T183), 'Refsz-Verbräuche'!T183*Emissionsfaktoren!T183/1000, 0)</f>
        <v>0</v>
      </c>
      <c r="U348" s="15">
        <f>IF(ISNUMBER('Refsz-Verbräuche'!U183), 'Refsz-Verbräuche'!U183*Emissionsfaktoren!U183/1000, 0)</f>
        <v>0</v>
      </c>
      <c r="V348" s="15">
        <f>IF(ISNUMBER('Refsz-Verbräuche'!V183), 'Refsz-Verbräuche'!V183*Emissionsfaktoren!V183/1000, 0)</f>
        <v>0</v>
      </c>
      <c r="W348" s="15">
        <f>IF(ISNUMBER('Refsz-Verbräuche'!W183), 'Refsz-Verbräuche'!W183*Emissionsfaktoren!W183/1000, 0)</f>
        <v>0</v>
      </c>
      <c r="X348" s="15">
        <f>IF(ISNUMBER('Refsz-Verbräuche'!X183), 'Refsz-Verbräuche'!X183*Emissionsfaktoren!X183/1000, 0)</f>
        <v>0</v>
      </c>
    </row>
    <row r="349" spans="2:24" ht="16.5" hidden="1" x14ac:dyDescent="0.45">
      <c r="B349" s="15">
        <v>124</v>
      </c>
      <c r="C349" s="20" t="str">
        <f>'Refsz-Verbräuche'!C184</f>
        <v>Steinwolle</v>
      </c>
      <c r="D349" t="s">
        <v>208</v>
      </c>
      <c r="E349" s="15">
        <f>IF(ISNUMBER('Refsz-Verbräuche'!E184), 'Refsz-Verbräuche'!E184*Emissionsfaktoren!E184/1000, 0)</f>
        <v>0</v>
      </c>
      <c r="F349" s="15">
        <f>IF(ISNUMBER('Refsz-Verbräuche'!F184), 'Refsz-Verbräuche'!F184*Emissionsfaktoren!F184/1000, 0)</f>
        <v>0</v>
      </c>
      <c r="G349" s="15">
        <f>IF(ISNUMBER('Refsz-Verbräuche'!G184), 'Refsz-Verbräuche'!G184*Emissionsfaktoren!G184/1000, 0)</f>
        <v>0</v>
      </c>
      <c r="H349" s="15">
        <f>IF(ISNUMBER('Refsz-Verbräuche'!H184), 'Refsz-Verbräuche'!H184*Emissionsfaktoren!H184/1000, 0)</f>
        <v>0</v>
      </c>
      <c r="I349" s="15">
        <f>IF(ISNUMBER('Refsz-Verbräuche'!I184), 'Refsz-Verbräuche'!I184*Emissionsfaktoren!I184/1000, 0)</f>
        <v>0</v>
      </c>
      <c r="J349" s="15">
        <f>IF(ISNUMBER('Refsz-Verbräuche'!J184), 'Refsz-Verbräuche'!J184*Emissionsfaktoren!J184/1000, 0)</f>
        <v>0</v>
      </c>
      <c r="K349" s="15">
        <f>IF(ISNUMBER('Refsz-Verbräuche'!K184), 'Refsz-Verbräuche'!K184*Emissionsfaktoren!K184/1000, 0)</f>
        <v>0</v>
      </c>
      <c r="L349" s="15">
        <f>IF(ISNUMBER('Refsz-Verbräuche'!L184), 'Refsz-Verbräuche'!L184*Emissionsfaktoren!L184/1000, 0)</f>
        <v>0</v>
      </c>
      <c r="M349" s="15">
        <f>IF(ISNUMBER('Refsz-Verbräuche'!M184), 'Refsz-Verbräuche'!M184*Emissionsfaktoren!M184/1000, 0)</f>
        <v>0</v>
      </c>
      <c r="N349" s="15">
        <f>IF(ISNUMBER('Refsz-Verbräuche'!N184), 'Refsz-Verbräuche'!N184*Emissionsfaktoren!N184/1000, 0)</f>
        <v>0</v>
      </c>
      <c r="O349" s="15">
        <f>IF(ISNUMBER('Refsz-Verbräuche'!O184), 'Refsz-Verbräuche'!O184*Emissionsfaktoren!O184/1000, 0)</f>
        <v>0</v>
      </c>
      <c r="P349" s="15">
        <f>IF(ISNUMBER('Refsz-Verbräuche'!P184), 'Refsz-Verbräuche'!P184*Emissionsfaktoren!P184/1000, 0)</f>
        <v>0</v>
      </c>
      <c r="Q349" s="15">
        <f>IF(ISNUMBER('Refsz-Verbräuche'!Q184), 'Refsz-Verbräuche'!Q184*Emissionsfaktoren!Q184/1000, 0)</f>
        <v>0</v>
      </c>
      <c r="R349" s="15">
        <f>IF(ISNUMBER('Refsz-Verbräuche'!R184), 'Refsz-Verbräuche'!R184*Emissionsfaktoren!R184/1000, 0)</f>
        <v>0</v>
      </c>
      <c r="S349" s="15">
        <f>IF(ISNUMBER('Refsz-Verbräuche'!S184), 'Refsz-Verbräuche'!S184*Emissionsfaktoren!S184/1000, 0)</f>
        <v>0</v>
      </c>
      <c r="T349" s="15">
        <f>IF(ISNUMBER('Refsz-Verbräuche'!T184), 'Refsz-Verbräuche'!T184*Emissionsfaktoren!T184/1000, 0)</f>
        <v>0</v>
      </c>
      <c r="U349" s="15">
        <f>IF(ISNUMBER('Refsz-Verbräuche'!U184), 'Refsz-Verbräuche'!U184*Emissionsfaktoren!U184/1000, 0)</f>
        <v>0</v>
      </c>
      <c r="V349" s="15">
        <f>IF(ISNUMBER('Refsz-Verbräuche'!V184), 'Refsz-Verbräuche'!V184*Emissionsfaktoren!V184/1000, 0)</f>
        <v>0</v>
      </c>
      <c r="W349" s="15">
        <f>IF(ISNUMBER('Refsz-Verbräuche'!W184), 'Refsz-Verbräuche'!W184*Emissionsfaktoren!W184/1000, 0)</f>
        <v>0</v>
      </c>
      <c r="X349" s="15">
        <f>IF(ISNUMBER('Refsz-Verbräuche'!X184), 'Refsz-Verbräuche'!X184*Emissionsfaktoren!X184/1000, 0)</f>
        <v>0</v>
      </c>
    </row>
    <row r="350" spans="2:24" ht="16.5" hidden="1" x14ac:dyDescent="0.45">
      <c r="B350" s="15">
        <v>125</v>
      </c>
      <c r="C350" s="20" t="str">
        <f>'Refsz-Verbräuche'!C185</f>
        <v>Tonziegel (fürs Dach)</v>
      </c>
      <c r="D350" t="s">
        <v>208</v>
      </c>
      <c r="E350" s="15">
        <f>IF(ISNUMBER('Refsz-Verbräuche'!E185), 'Refsz-Verbräuche'!E185*Emissionsfaktoren!E185/1000, 0)</f>
        <v>0</v>
      </c>
      <c r="F350" s="15">
        <f>IF(ISNUMBER('Refsz-Verbräuche'!F185), 'Refsz-Verbräuche'!F185*Emissionsfaktoren!F185/1000, 0)</f>
        <v>0</v>
      </c>
      <c r="G350" s="15">
        <f>IF(ISNUMBER('Refsz-Verbräuche'!G185), 'Refsz-Verbräuche'!G185*Emissionsfaktoren!G185/1000, 0)</f>
        <v>0</v>
      </c>
      <c r="H350" s="15">
        <f>IF(ISNUMBER('Refsz-Verbräuche'!H185), 'Refsz-Verbräuche'!H185*Emissionsfaktoren!H185/1000, 0)</f>
        <v>0</v>
      </c>
      <c r="I350" s="15">
        <f>IF(ISNUMBER('Refsz-Verbräuche'!I185), 'Refsz-Verbräuche'!I185*Emissionsfaktoren!I185/1000, 0)</f>
        <v>0</v>
      </c>
      <c r="J350" s="15">
        <f>IF(ISNUMBER('Refsz-Verbräuche'!J185), 'Refsz-Verbräuche'!J185*Emissionsfaktoren!J185/1000, 0)</f>
        <v>0</v>
      </c>
      <c r="K350" s="15">
        <f>IF(ISNUMBER('Refsz-Verbräuche'!K185), 'Refsz-Verbräuche'!K185*Emissionsfaktoren!K185/1000, 0)</f>
        <v>0</v>
      </c>
      <c r="L350" s="15">
        <f>IF(ISNUMBER('Refsz-Verbräuche'!L185), 'Refsz-Verbräuche'!L185*Emissionsfaktoren!L185/1000, 0)</f>
        <v>0</v>
      </c>
      <c r="M350" s="15">
        <f>IF(ISNUMBER('Refsz-Verbräuche'!M185), 'Refsz-Verbräuche'!M185*Emissionsfaktoren!M185/1000, 0)</f>
        <v>0</v>
      </c>
      <c r="N350" s="15">
        <f>IF(ISNUMBER('Refsz-Verbräuche'!N185), 'Refsz-Verbräuche'!N185*Emissionsfaktoren!N185/1000, 0)</f>
        <v>0</v>
      </c>
      <c r="O350" s="15">
        <f>IF(ISNUMBER('Refsz-Verbräuche'!O185), 'Refsz-Verbräuche'!O185*Emissionsfaktoren!O185/1000, 0)</f>
        <v>0</v>
      </c>
      <c r="P350" s="15">
        <f>IF(ISNUMBER('Refsz-Verbräuche'!P185), 'Refsz-Verbräuche'!P185*Emissionsfaktoren!P185/1000, 0)</f>
        <v>0</v>
      </c>
      <c r="Q350" s="15">
        <f>IF(ISNUMBER('Refsz-Verbräuche'!Q185), 'Refsz-Verbräuche'!Q185*Emissionsfaktoren!Q185/1000, 0)</f>
        <v>0</v>
      </c>
      <c r="R350" s="15">
        <f>IF(ISNUMBER('Refsz-Verbräuche'!R185), 'Refsz-Verbräuche'!R185*Emissionsfaktoren!R185/1000, 0)</f>
        <v>0</v>
      </c>
      <c r="S350" s="15">
        <f>IF(ISNUMBER('Refsz-Verbräuche'!S185), 'Refsz-Verbräuche'!S185*Emissionsfaktoren!S185/1000, 0)</f>
        <v>0</v>
      </c>
      <c r="T350" s="15">
        <f>IF(ISNUMBER('Refsz-Verbräuche'!T185), 'Refsz-Verbräuche'!T185*Emissionsfaktoren!T185/1000, 0)</f>
        <v>0</v>
      </c>
      <c r="U350" s="15">
        <f>IF(ISNUMBER('Refsz-Verbräuche'!U185), 'Refsz-Verbräuche'!U185*Emissionsfaktoren!U185/1000, 0)</f>
        <v>0</v>
      </c>
      <c r="V350" s="15">
        <f>IF(ISNUMBER('Refsz-Verbräuche'!V185), 'Refsz-Verbräuche'!V185*Emissionsfaktoren!V185/1000, 0)</f>
        <v>0</v>
      </c>
      <c r="W350" s="15">
        <f>IF(ISNUMBER('Refsz-Verbräuche'!W185), 'Refsz-Verbräuche'!W185*Emissionsfaktoren!W185/1000, 0)</f>
        <v>0</v>
      </c>
      <c r="X350" s="15">
        <f>IF(ISNUMBER('Refsz-Verbräuche'!X185), 'Refsz-Verbräuche'!X185*Emissionsfaktoren!X185/1000, 0)</f>
        <v>0</v>
      </c>
    </row>
    <row r="351" spans="2:24" ht="16.5" hidden="1" x14ac:dyDescent="0.45">
      <c r="B351" s="15">
        <v>126</v>
      </c>
      <c r="C351" s="20" t="str">
        <f>'Refsz-Verbräuche'!C186</f>
        <v>Zement (Portland)</v>
      </c>
      <c r="D351" t="s">
        <v>208</v>
      </c>
      <c r="E351" s="15">
        <f>IF(ISNUMBER('Refsz-Verbräuche'!E186), 'Refsz-Verbräuche'!E186*Emissionsfaktoren!E186/1000, 0)</f>
        <v>0</v>
      </c>
      <c r="F351" s="15">
        <f>IF(ISNUMBER('Refsz-Verbräuche'!F186), 'Refsz-Verbräuche'!F186*Emissionsfaktoren!F186/1000, 0)</f>
        <v>0</v>
      </c>
      <c r="G351" s="15">
        <f>IF(ISNUMBER('Refsz-Verbräuche'!G186), 'Refsz-Verbräuche'!G186*Emissionsfaktoren!G186/1000, 0)</f>
        <v>0</v>
      </c>
      <c r="H351" s="15">
        <f>IF(ISNUMBER('Refsz-Verbräuche'!H186), 'Refsz-Verbräuche'!H186*Emissionsfaktoren!H186/1000, 0)</f>
        <v>0</v>
      </c>
      <c r="I351" s="15">
        <f>IF(ISNUMBER('Refsz-Verbräuche'!I186), 'Refsz-Verbräuche'!I186*Emissionsfaktoren!I186/1000, 0)</f>
        <v>0</v>
      </c>
      <c r="J351" s="15">
        <f>IF(ISNUMBER('Refsz-Verbräuche'!J186), 'Refsz-Verbräuche'!J186*Emissionsfaktoren!J186/1000, 0)</f>
        <v>0</v>
      </c>
      <c r="K351" s="15">
        <f>IF(ISNUMBER('Refsz-Verbräuche'!K186), 'Refsz-Verbräuche'!K186*Emissionsfaktoren!K186/1000, 0)</f>
        <v>0</v>
      </c>
      <c r="L351" s="15">
        <f>IF(ISNUMBER('Refsz-Verbräuche'!L186), 'Refsz-Verbräuche'!L186*Emissionsfaktoren!L186/1000, 0)</f>
        <v>0</v>
      </c>
      <c r="M351" s="15">
        <f>IF(ISNUMBER('Refsz-Verbräuche'!M186), 'Refsz-Verbräuche'!M186*Emissionsfaktoren!M186/1000, 0)</f>
        <v>0</v>
      </c>
      <c r="N351" s="15">
        <f>IF(ISNUMBER('Refsz-Verbräuche'!N186), 'Refsz-Verbräuche'!N186*Emissionsfaktoren!N186/1000, 0)</f>
        <v>0</v>
      </c>
      <c r="O351" s="15">
        <f>IF(ISNUMBER('Refsz-Verbräuche'!O186), 'Refsz-Verbräuche'!O186*Emissionsfaktoren!O186/1000, 0)</f>
        <v>0</v>
      </c>
      <c r="P351" s="15">
        <f>IF(ISNUMBER('Refsz-Verbräuche'!P186), 'Refsz-Verbräuche'!P186*Emissionsfaktoren!P186/1000, 0)</f>
        <v>0</v>
      </c>
      <c r="Q351" s="15">
        <f>IF(ISNUMBER('Refsz-Verbräuche'!Q186), 'Refsz-Verbräuche'!Q186*Emissionsfaktoren!Q186/1000, 0)</f>
        <v>0</v>
      </c>
      <c r="R351" s="15">
        <f>IF(ISNUMBER('Refsz-Verbräuche'!R186), 'Refsz-Verbräuche'!R186*Emissionsfaktoren!R186/1000, 0)</f>
        <v>0</v>
      </c>
      <c r="S351" s="15">
        <f>IF(ISNUMBER('Refsz-Verbräuche'!S186), 'Refsz-Verbräuche'!S186*Emissionsfaktoren!S186/1000, 0)</f>
        <v>0</v>
      </c>
      <c r="T351" s="15">
        <f>IF(ISNUMBER('Refsz-Verbräuche'!T186), 'Refsz-Verbräuche'!T186*Emissionsfaktoren!T186/1000, 0)</f>
        <v>0</v>
      </c>
      <c r="U351" s="15">
        <f>IF(ISNUMBER('Refsz-Verbräuche'!U186), 'Refsz-Verbräuche'!U186*Emissionsfaktoren!U186/1000, 0)</f>
        <v>0</v>
      </c>
      <c r="V351" s="15">
        <f>IF(ISNUMBER('Refsz-Verbräuche'!V186), 'Refsz-Verbräuche'!V186*Emissionsfaktoren!V186/1000, 0)</f>
        <v>0</v>
      </c>
      <c r="W351" s="15">
        <f>IF(ISNUMBER('Refsz-Verbräuche'!W186), 'Refsz-Verbräuche'!W186*Emissionsfaktoren!W186/1000, 0)</f>
        <v>0</v>
      </c>
      <c r="X351" s="15">
        <f>IF(ISNUMBER('Refsz-Verbräuche'!X186), 'Refsz-Verbräuche'!X186*Emissionsfaktoren!X186/1000, 0)</f>
        <v>0</v>
      </c>
    </row>
    <row r="352" spans="2:24" ht="16.5" hidden="1" x14ac:dyDescent="0.45">
      <c r="B352" s="15">
        <v>127</v>
      </c>
      <c r="C352" s="20" t="str">
        <f>'Refsz-Verbräuche'!C187</f>
        <v>Kies</v>
      </c>
      <c r="D352" t="s">
        <v>208</v>
      </c>
      <c r="E352" s="15">
        <f>IF(ISNUMBER('Refsz-Verbräuche'!E187), 'Refsz-Verbräuche'!E187*Emissionsfaktoren!E187/1000, 0)</f>
        <v>0</v>
      </c>
      <c r="F352" s="15">
        <f>IF(ISNUMBER('Refsz-Verbräuche'!F187), 'Refsz-Verbräuche'!F187*Emissionsfaktoren!F187/1000, 0)</f>
        <v>0</v>
      </c>
      <c r="G352" s="15">
        <f>IF(ISNUMBER('Refsz-Verbräuche'!G187), 'Refsz-Verbräuche'!G187*Emissionsfaktoren!G187/1000, 0)</f>
        <v>0</v>
      </c>
      <c r="H352" s="15">
        <f>IF(ISNUMBER('Refsz-Verbräuche'!H187), 'Refsz-Verbräuche'!H187*Emissionsfaktoren!H187/1000, 0)</f>
        <v>0</v>
      </c>
      <c r="I352" s="15">
        <f>IF(ISNUMBER('Refsz-Verbräuche'!I187), 'Refsz-Verbräuche'!I187*Emissionsfaktoren!I187/1000, 0)</f>
        <v>0</v>
      </c>
      <c r="J352" s="15">
        <f>IF(ISNUMBER('Refsz-Verbräuche'!J187), 'Refsz-Verbräuche'!J187*Emissionsfaktoren!J187/1000, 0)</f>
        <v>0</v>
      </c>
      <c r="K352" s="15">
        <f>IF(ISNUMBER('Refsz-Verbräuche'!K187), 'Refsz-Verbräuche'!K187*Emissionsfaktoren!K187/1000, 0)</f>
        <v>0</v>
      </c>
      <c r="L352" s="15">
        <f>IF(ISNUMBER('Refsz-Verbräuche'!L187), 'Refsz-Verbräuche'!L187*Emissionsfaktoren!L187/1000, 0)</f>
        <v>0</v>
      </c>
      <c r="M352" s="15">
        <f>IF(ISNUMBER('Refsz-Verbräuche'!M187), 'Refsz-Verbräuche'!M187*Emissionsfaktoren!M187/1000, 0)</f>
        <v>0</v>
      </c>
      <c r="N352" s="15">
        <f>IF(ISNUMBER('Refsz-Verbräuche'!N187), 'Refsz-Verbräuche'!N187*Emissionsfaktoren!N187/1000, 0)</f>
        <v>0</v>
      </c>
      <c r="O352" s="15">
        <f>IF(ISNUMBER('Refsz-Verbräuche'!O187), 'Refsz-Verbräuche'!O187*Emissionsfaktoren!O187/1000, 0)</f>
        <v>0</v>
      </c>
      <c r="P352" s="15">
        <f>IF(ISNUMBER('Refsz-Verbräuche'!P187), 'Refsz-Verbräuche'!P187*Emissionsfaktoren!P187/1000, 0)</f>
        <v>0</v>
      </c>
      <c r="Q352" s="15">
        <f>IF(ISNUMBER('Refsz-Verbräuche'!Q187), 'Refsz-Verbräuche'!Q187*Emissionsfaktoren!Q187/1000, 0)</f>
        <v>0</v>
      </c>
      <c r="R352" s="15">
        <f>IF(ISNUMBER('Refsz-Verbräuche'!R187), 'Refsz-Verbräuche'!R187*Emissionsfaktoren!R187/1000, 0)</f>
        <v>0</v>
      </c>
      <c r="S352" s="15">
        <f>IF(ISNUMBER('Refsz-Verbräuche'!S187), 'Refsz-Verbräuche'!S187*Emissionsfaktoren!S187/1000, 0)</f>
        <v>0</v>
      </c>
      <c r="T352" s="15">
        <f>IF(ISNUMBER('Refsz-Verbräuche'!T187), 'Refsz-Verbräuche'!T187*Emissionsfaktoren!T187/1000, 0)</f>
        <v>0</v>
      </c>
      <c r="U352" s="15">
        <f>IF(ISNUMBER('Refsz-Verbräuche'!U187), 'Refsz-Verbräuche'!U187*Emissionsfaktoren!U187/1000, 0)</f>
        <v>0</v>
      </c>
      <c r="V352" s="15">
        <f>IF(ISNUMBER('Refsz-Verbräuche'!V187), 'Refsz-Verbräuche'!V187*Emissionsfaktoren!V187/1000, 0)</f>
        <v>0</v>
      </c>
      <c r="W352" s="15">
        <f>IF(ISNUMBER('Refsz-Verbräuche'!W187), 'Refsz-Verbräuche'!W187*Emissionsfaktoren!W187/1000, 0)</f>
        <v>0</v>
      </c>
      <c r="X352" s="15">
        <f>IF(ISNUMBER('Refsz-Verbräuche'!X187), 'Refsz-Verbräuche'!X187*Emissionsfaktoren!X187/1000, 0)</f>
        <v>0</v>
      </c>
    </row>
    <row r="353" spans="2:24" ht="16.5" hidden="1" x14ac:dyDescent="0.45">
      <c r="B353" s="15">
        <v>128</v>
      </c>
      <c r="C353" s="20" t="str">
        <f>'Refsz-Verbräuche'!C188</f>
        <v>Sand</v>
      </c>
      <c r="D353" t="s">
        <v>208</v>
      </c>
      <c r="E353" s="15">
        <f>IF(ISNUMBER('Refsz-Verbräuche'!E188), 'Refsz-Verbräuche'!E188*Emissionsfaktoren!E188/1000, 0)</f>
        <v>0</v>
      </c>
      <c r="F353" s="15">
        <f>IF(ISNUMBER('Refsz-Verbräuche'!F188), 'Refsz-Verbräuche'!F188*Emissionsfaktoren!F188/1000, 0)</f>
        <v>0</v>
      </c>
      <c r="G353" s="15">
        <f>IF(ISNUMBER('Refsz-Verbräuche'!G188), 'Refsz-Verbräuche'!G188*Emissionsfaktoren!G188/1000, 0)</f>
        <v>0</v>
      </c>
      <c r="H353" s="15">
        <f>IF(ISNUMBER('Refsz-Verbräuche'!H188), 'Refsz-Verbräuche'!H188*Emissionsfaktoren!H188/1000, 0)</f>
        <v>0</v>
      </c>
      <c r="I353" s="15">
        <f>IF(ISNUMBER('Refsz-Verbräuche'!I188), 'Refsz-Verbräuche'!I188*Emissionsfaktoren!I188/1000, 0)</f>
        <v>0</v>
      </c>
      <c r="J353" s="15">
        <f>IF(ISNUMBER('Refsz-Verbräuche'!J188), 'Refsz-Verbräuche'!J188*Emissionsfaktoren!J188/1000, 0)</f>
        <v>0</v>
      </c>
      <c r="K353" s="15">
        <f>IF(ISNUMBER('Refsz-Verbräuche'!K188), 'Refsz-Verbräuche'!K188*Emissionsfaktoren!K188/1000, 0)</f>
        <v>0</v>
      </c>
      <c r="L353" s="15">
        <f>IF(ISNUMBER('Refsz-Verbräuche'!L188), 'Refsz-Verbräuche'!L188*Emissionsfaktoren!L188/1000, 0)</f>
        <v>0</v>
      </c>
      <c r="M353" s="15">
        <f>IF(ISNUMBER('Refsz-Verbräuche'!M188), 'Refsz-Verbräuche'!M188*Emissionsfaktoren!M188/1000, 0)</f>
        <v>0</v>
      </c>
      <c r="N353" s="15">
        <f>IF(ISNUMBER('Refsz-Verbräuche'!N188), 'Refsz-Verbräuche'!N188*Emissionsfaktoren!N188/1000, 0)</f>
        <v>0</v>
      </c>
      <c r="O353" s="15">
        <f>IF(ISNUMBER('Refsz-Verbräuche'!O188), 'Refsz-Verbräuche'!O188*Emissionsfaktoren!O188/1000, 0)</f>
        <v>0</v>
      </c>
      <c r="P353" s="15">
        <f>IF(ISNUMBER('Refsz-Verbräuche'!P188), 'Refsz-Verbräuche'!P188*Emissionsfaktoren!P188/1000, 0)</f>
        <v>0</v>
      </c>
      <c r="Q353" s="15">
        <f>IF(ISNUMBER('Refsz-Verbräuche'!Q188), 'Refsz-Verbräuche'!Q188*Emissionsfaktoren!Q188/1000, 0)</f>
        <v>0</v>
      </c>
      <c r="R353" s="15">
        <f>IF(ISNUMBER('Refsz-Verbräuche'!R188), 'Refsz-Verbräuche'!R188*Emissionsfaktoren!R188/1000, 0)</f>
        <v>0</v>
      </c>
      <c r="S353" s="15">
        <f>IF(ISNUMBER('Refsz-Verbräuche'!S188), 'Refsz-Verbräuche'!S188*Emissionsfaktoren!S188/1000, 0)</f>
        <v>0</v>
      </c>
      <c r="T353" s="15">
        <f>IF(ISNUMBER('Refsz-Verbräuche'!T188), 'Refsz-Verbräuche'!T188*Emissionsfaktoren!T188/1000, 0)</f>
        <v>0</v>
      </c>
      <c r="U353" s="15">
        <f>IF(ISNUMBER('Refsz-Verbräuche'!U188), 'Refsz-Verbräuche'!U188*Emissionsfaktoren!U188/1000, 0)</f>
        <v>0</v>
      </c>
      <c r="V353" s="15">
        <f>IF(ISNUMBER('Refsz-Verbräuche'!V188), 'Refsz-Verbräuche'!V188*Emissionsfaktoren!V188/1000, 0)</f>
        <v>0</v>
      </c>
      <c r="W353" s="15">
        <f>IF(ISNUMBER('Refsz-Verbräuche'!W188), 'Refsz-Verbräuche'!W188*Emissionsfaktoren!W188/1000, 0)</f>
        <v>0</v>
      </c>
      <c r="X353" s="15">
        <f>IF(ISNUMBER('Refsz-Verbräuche'!X188), 'Refsz-Verbräuche'!X188*Emissionsfaktoren!X188/1000, 0)</f>
        <v>0</v>
      </c>
    </row>
    <row r="354" spans="2:24" ht="16.5" hidden="1" x14ac:dyDescent="0.45">
      <c r="B354" s="15">
        <v>129</v>
      </c>
      <c r="C354" s="20" t="str">
        <f>'Refsz-Verbräuche'!C189</f>
        <v>Kupferdraht</v>
      </c>
      <c r="D354" t="s">
        <v>208</v>
      </c>
      <c r="E354" s="15">
        <f>IF(ISNUMBER('Refsz-Verbräuche'!E189), 'Refsz-Verbräuche'!E189*Emissionsfaktoren!E189/1000, 0)</f>
        <v>0</v>
      </c>
      <c r="F354" s="15">
        <f>IF(ISNUMBER('Refsz-Verbräuche'!F189), 'Refsz-Verbräuche'!F189*Emissionsfaktoren!F189/1000, 0)</f>
        <v>0</v>
      </c>
      <c r="G354" s="15">
        <f>IF(ISNUMBER('Refsz-Verbräuche'!G189), 'Refsz-Verbräuche'!G189*Emissionsfaktoren!G189/1000, 0)</f>
        <v>0</v>
      </c>
      <c r="H354" s="15">
        <f>IF(ISNUMBER('Refsz-Verbräuche'!H189), 'Refsz-Verbräuche'!H189*Emissionsfaktoren!H189/1000, 0)</f>
        <v>0</v>
      </c>
      <c r="I354" s="15">
        <f>IF(ISNUMBER('Refsz-Verbräuche'!I189), 'Refsz-Verbräuche'!I189*Emissionsfaktoren!I189/1000, 0)</f>
        <v>0</v>
      </c>
      <c r="J354" s="15">
        <f>IF(ISNUMBER('Refsz-Verbräuche'!J189), 'Refsz-Verbräuche'!J189*Emissionsfaktoren!J189/1000, 0)</f>
        <v>0</v>
      </c>
      <c r="K354" s="15">
        <f>IF(ISNUMBER('Refsz-Verbräuche'!K189), 'Refsz-Verbräuche'!K189*Emissionsfaktoren!K189/1000, 0)</f>
        <v>0</v>
      </c>
      <c r="L354" s="15">
        <f>IF(ISNUMBER('Refsz-Verbräuche'!L189), 'Refsz-Verbräuche'!L189*Emissionsfaktoren!L189/1000, 0)</f>
        <v>0</v>
      </c>
      <c r="M354" s="15">
        <f>IF(ISNUMBER('Refsz-Verbräuche'!M189), 'Refsz-Verbräuche'!M189*Emissionsfaktoren!M189/1000, 0)</f>
        <v>0</v>
      </c>
      <c r="N354" s="15">
        <f>IF(ISNUMBER('Refsz-Verbräuche'!N189), 'Refsz-Verbräuche'!N189*Emissionsfaktoren!N189/1000, 0)</f>
        <v>0</v>
      </c>
      <c r="O354" s="15">
        <f>IF(ISNUMBER('Refsz-Verbräuche'!O189), 'Refsz-Verbräuche'!O189*Emissionsfaktoren!O189/1000, 0)</f>
        <v>0</v>
      </c>
      <c r="P354" s="15">
        <f>IF(ISNUMBER('Refsz-Verbräuche'!P189), 'Refsz-Verbräuche'!P189*Emissionsfaktoren!P189/1000, 0)</f>
        <v>0</v>
      </c>
      <c r="Q354" s="15">
        <f>IF(ISNUMBER('Refsz-Verbräuche'!Q189), 'Refsz-Verbräuche'!Q189*Emissionsfaktoren!Q189/1000, 0)</f>
        <v>0</v>
      </c>
      <c r="R354" s="15">
        <f>IF(ISNUMBER('Refsz-Verbräuche'!R189), 'Refsz-Verbräuche'!R189*Emissionsfaktoren!R189/1000, 0)</f>
        <v>0</v>
      </c>
      <c r="S354" s="15">
        <f>IF(ISNUMBER('Refsz-Verbräuche'!S189), 'Refsz-Verbräuche'!S189*Emissionsfaktoren!S189/1000, 0)</f>
        <v>0</v>
      </c>
      <c r="T354" s="15">
        <f>IF(ISNUMBER('Refsz-Verbräuche'!T189), 'Refsz-Verbräuche'!T189*Emissionsfaktoren!T189/1000, 0)</f>
        <v>0</v>
      </c>
      <c r="U354" s="15">
        <f>IF(ISNUMBER('Refsz-Verbräuche'!U189), 'Refsz-Verbräuche'!U189*Emissionsfaktoren!U189/1000, 0)</f>
        <v>0</v>
      </c>
      <c r="V354" s="15">
        <f>IF(ISNUMBER('Refsz-Verbräuche'!V189), 'Refsz-Verbräuche'!V189*Emissionsfaktoren!V189/1000, 0)</f>
        <v>0</v>
      </c>
      <c r="W354" s="15">
        <f>IF(ISNUMBER('Refsz-Verbräuche'!W189), 'Refsz-Verbräuche'!W189*Emissionsfaktoren!W189/1000, 0)</f>
        <v>0</v>
      </c>
      <c r="X354" s="15">
        <f>IF(ISNUMBER('Refsz-Verbräuche'!X189), 'Refsz-Verbräuche'!X189*Emissionsfaktoren!X189/1000, 0)</f>
        <v>0</v>
      </c>
    </row>
    <row r="355" spans="2:24" ht="16.5" hidden="1" x14ac:dyDescent="0.45">
      <c r="B355" s="15">
        <v>130</v>
      </c>
      <c r="C355" s="20" t="str">
        <f>'Refsz-Verbräuche'!C190</f>
        <v>Kupferrohr</v>
      </c>
      <c r="D355" t="s">
        <v>208</v>
      </c>
      <c r="E355" s="15">
        <f>IF(ISNUMBER('Refsz-Verbräuche'!E190), 'Refsz-Verbräuche'!E190*Emissionsfaktoren!E190/1000, 0)</f>
        <v>0</v>
      </c>
      <c r="F355" s="15">
        <f>IF(ISNUMBER('Refsz-Verbräuche'!F190), 'Refsz-Verbräuche'!F190*Emissionsfaktoren!F190/1000, 0)</f>
        <v>0</v>
      </c>
      <c r="G355" s="15">
        <f>IF(ISNUMBER('Refsz-Verbräuche'!G190), 'Refsz-Verbräuche'!G190*Emissionsfaktoren!G190/1000, 0)</f>
        <v>0</v>
      </c>
      <c r="H355" s="15">
        <f>IF(ISNUMBER('Refsz-Verbräuche'!H190), 'Refsz-Verbräuche'!H190*Emissionsfaktoren!H190/1000, 0)</f>
        <v>0</v>
      </c>
      <c r="I355" s="15">
        <f>IF(ISNUMBER('Refsz-Verbräuche'!I190), 'Refsz-Verbräuche'!I190*Emissionsfaktoren!I190/1000, 0)</f>
        <v>0</v>
      </c>
      <c r="J355" s="15">
        <f>IF(ISNUMBER('Refsz-Verbräuche'!J190), 'Refsz-Verbräuche'!J190*Emissionsfaktoren!J190/1000, 0)</f>
        <v>0</v>
      </c>
      <c r="K355" s="15">
        <f>IF(ISNUMBER('Refsz-Verbräuche'!K190), 'Refsz-Verbräuche'!K190*Emissionsfaktoren!K190/1000, 0)</f>
        <v>0</v>
      </c>
      <c r="L355" s="15">
        <f>IF(ISNUMBER('Refsz-Verbräuche'!L190), 'Refsz-Verbräuche'!L190*Emissionsfaktoren!L190/1000, 0)</f>
        <v>0</v>
      </c>
      <c r="M355" s="15">
        <f>IF(ISNUMBER('Refsz-Verbräuche'!M190), 'Refsz-Verbräuche'!M190*Emissionsfaktoren!M190/1000, 0)</f>
        <v>0</v>
      </c>
      <c r="N355" s="15">
        <f>IF(ISNUMBER('Refsz-Verbräuche'!N190), 'Refsz-Verbräuche'!N190*Emissionsfaktoren!N190/1000, 0)</f>
        <v>0</v>
      </c>
      <c r="O355" s="15">
        <f>IF(ISNUMBER('Refsz-Verbräuche'!O190), 'Refsz-Verbräuche'!O190*Emissionsfaktoren!O190/1000, 0)</f>
        <v>0</v>
      </c>
      <c r="P355" s="15">
        <f>IF(ISNUMBER('Refsz-Verbräuche'!P190), 'Refsz-Verbräuche'!P190*Emissionsfaktoren!P190/1000, 0)</f>
        <v>0</v>
      </c>
      <c r="Q355" s="15">
        <f>IF(ISNUMBER('Refsz-Verbräuche'!Q190), 'Refsz-Verbräuche'!Q190*Emissionsfaktoren!Q190/1000, 0)</f>
        <v>0</v>
      </c>
      <c r="R355" s="15">
        <f>IF(ISNUMBER('Refsz-Verbräuche'!R190), 'Refsz-Verbräuche'!R190*Emissionsfaktoren!R190/1000, 0)</f>
        <v>0</v>
      </c>
      <c r="S355" s="15">
        <f>IF(ISNUMBER('Refsz-Verbräuche'!S190), 'Refsz-Verbräuche'!S190*Emissionsfaktoren!S190/1000, 0)</f>
        <v>0</v>
      </c>
      <c r="T355" s="15">
        <f>IF(ISNUMBER('Refsz-Verbräuche'!T190), 'Refsz-Verbräuche'!T190*Emissionsfaktoren!T190/1000, 0)</f>
        <v>0</v>
      </c>
      <c r="U355" s="15">
        <f>IF(ISNUMBER('Refsz-Verbräuche'!U190), 'Refsz-Verbräuche'!U190*Emissionsfaktoren!U190/1000, 0)</f>
        <v>0</v>
      </c>
      <c r="V355" s="15">
        <f>IF(ISNUMBER('Refsz-Verbräuche'!V190), 'Refsz-Verbräuche'!V190*Emissionsfaktoren!V190/1000, 0)</f>
        <v>0</v>
      </c>
      <c r="W355" s="15">
        <f>IF(ISNUMBER('Refsz-Verbräuche'!W190), 'Refsz-Verbräuche'!W190*Emissionsfaktoren!W190/1000, 0)</f>
        <v>0</v>
      </c>
      <c r="X355" s="15">
        <f>IF(ISNUMBER('Refsz-Verbräuche'!X190), 'Refsz-Verbräuche'!X190*Emissionsfaktoren!X190/1000, 0)</f>
        <v>0</v>
      </c>
    </row>
    <row r="356" spans="2:24" ht="16.5" hidden="1" x14ac:dyDescent="0.45">
      <c r="B356" s="15">
        <v>131</v>
      </c>
      <c r="C356" s="20" t="str">
        <f>'Refsz-Verbräuche'!C191</f>
        <v>Stahl-Blech</v>
      </c>
      <c r="D356" t="s">
        <v>208</v>
      </c>
      <c r="E356" s="15">
        <f>IF(ISNUMBER('Refsz-Verbräuche'!E191), 'Refsz-Verbräuche'!E191*Emissionsfaktoren!E191/1000, 0)</f>
        <v>0</v>
      </c>
      <c r="F356" s="15">
        <f>IF(ISNUMBER('Refsz-Verbräuche'!F191), 'Refsz-Verbräuche'!F191*Emissionsfaktoren!F191/1000, 0)</f>
        <v>0</v>
      </c>
      <c r="G356" s="15">
        <f>IF(ISNUMBER('Refsz-Verbräuche'!G191), 'Refsz-Verbräuche'!G191*Emissionsfaktoren!G191/1000, 0)</f>
        <v>0</v>
      </c>
      <c r="H356" s="15">
        <f>IF(ISNUMBER('Refsz-Verbräuche'!H191), 'Refsz-Verbräuche'!H191*Emissionsfaktoren!H191/1000, 0)</f>
        <v>0</v>
      </c>
      <c r="I356" s="15">
        <f>IF(ISNUMBER('Refsz-Verbräuche'!I191), 'Refsz-Verbräuche'!I191*Emissionsfaktoren!I191/1000, 0)</f>
        <v>0</v>
      </c>
      <c r="J356" s="15">
        <f>IF(ISNUMBER('Refsz-Verbräuche'!J191), 'Refsz-Verbräuche'!J191*Emissionsfaktoren!J191/1000, 0)</f>
        <v>0</v>
      </c>
      <c r="K356" s="15">
        <f>IF(ISNUMBER('Refsz-Verbräuche'!K191), 'Refsz-Verbräuche'!K191*Emissionsfaktoren!K191/1000, 0)</f>
        <v>0</v>
      </c>
      <c r="L356" s="15">
        <f>IF(ISNUMBER('Refsz-Verbräuche'!L191), 'Refsz-Verbräuche'!L191*Emissionsfaktoren!L191/1000, 0)</f>
        <v>0</v>
      </c>
      <c r="M356" s="15">
        <f>IF(ISNUMBER('Refsz-Verbräuche'!M191), 'Refsz-Verbräuche'!M191*Emissionsfaktoren!M191/1000, 0)</f>
        <v>0</v>
      </c>
      <c r="N356" s="15">
        <f>IF(ISNUMBER('Refsz-Verbräuche'!N191), 'Refsz-Verbräuche'!N191*Emissionsfaktoren!N191/1000, 0)</f>
        <v>0</v>
      </c>
      <c r="O356" s="15">
        <f>IF(ISNUMBER('Refsz-Verbräuche'!O191), 'Refsz-Verbräuche'!O191*Emissionsfaktoren!O191/1000, 0)</f>
        <v>0</v>
      </c>
      <c r="P356" s="15">
        <f>IF(ISNUMBER('Refsz-Verbräuche'!P191), 'Refsz-Verbräuche'!P191*Emissionsfaktoren!P191/1000, 0)</f>
        <v>0</v>
      </c>
      <c r="Q356" s="15">
        <f>IF(ISNUMBER('Refsz-Verbräuche'!Q191), 'Refsz-Verbräuche'!Q191*Emissionsfaktoren!Q191/1000, 0)</f>
        <v>0</v>
      </c>
      <c r="R356" s="15">
        <f>IF(ISNUMBER('Refsz-Verbräuche'!R191), 'Refsz-Verbräuche'!R191*Emissionsfaktoren!R191/1000, 0)</f>
        <v>0</v>
      </c>
      <c r="S356" s="15">
        <f>IF(ISNUMBER('Refsz-Verbräuche'!S191), 'Refsz-Verbräuche'!S191*Emissionsfaktoren!S191/1000, 0)</f>
        <v>0</v>
      </c>
      <c r="T356" s="15">
        <f>IF(ISNUMBER('Refsz-Verbräuche'!T191), 'Refsz-Verbräuche'!T191*Emissionsfaktoren!T191/1000, 0)</f>
        <v>0</v>
      </c>
      <c r="U356" s="15">
        <f>IF(ISNUMBER('Refsz-Verbräuche'!U191), 'Refsz-Verbräuche'!U191*Emissionsfaktoren!U191/1000, 0)</f>
        <v>0</v>
      </c>
      <c r="V356" s="15">
        <f>IF(ISNUMBER('Refsz-Verbräuche'!V191), 'Refsz-Verbräuche'!V191*Emissionsfaktoren!V191/1000, 0)</f>
        <v>0</v>
      </c>
      <c r="W356" s="15">
        <f>IF(ISNUMBER('Refsz-Verbräuche'!W191), 'Refsz-Verbräuche'!W191*Emissionsfaktoren!W191/1000, 0)</f>
        <v>0</v>
      </c>
      <c r="X356" s="15">
        <f>IF(ISNUMBER('Refsz-Verbräuche'!X191), 'Refsz-Verbräuche'!X191*Emissionsfaktoren!X191/1000, 0)</f>
        <v>0</v>
      </c>
    </row>
    <row r="357" spans="2:24" ht="16.5" hidden="1" x14ac:dyDescent="0.45">
      <c r="B357" s="15">
        <v>132</v>
      </c>
      <c r="C357" s="20" t="str">
        <f>'Refsz-Verbräuche'!C192</f>
        <v>Stahl-Blech verzinkt</v>
      </c>
      <c r="D357" t="s">
        <v>208</v>
      </c>
      <c r="E357" s="15">
        <f>IF(ISNUMBER('Refsz-Verbräuche'!E192), 'Refsz-Verbräuche'!E192*Emissionsfaktoren!E192/1000, 0)</f>
        <v>0</v>
      </c>
      <c r="F357" s="15">
        <f>IF(ISNUMBER('Refsz-Verbräuche'!F192), 'Refsz-Verbräuche'!F192*Emissionsfaktoren!F192/1000, 0)</f>
        <v>0</v>
      </c>
      <c r="G357" s="15">
        <f>IF(ISNUMBER('Refsz-Verbräuche'!G192), 'Refsz-Verbräuche'!G192*Emissionsfaktoren!G192/1000, 0)</f>
        <v>0</v>
      </c>
      <c r="H357" s="15">
        <f>IF(ISNUMBER('Refsz-Verbräuche'!H192), 'Refsz-Verbräuche'!H192*Emissionsfaktoren!H192/1000, 0)</f>
        <v>0</v>
      </c>
      <c r="I357" s="15">
        <f>IF(ISNUMBER('Refsz-Verbräuche'!I192), 'Refsz-Verbräuche'!I192*Emissionsfaktoren!I192/1000, 0)</f>
        <v>0</v>
      </c>
      <c r="J357" s="15">
        <f>IF(ISNUMBER('Refsz-Verbräuche'!J192), 'Refsz-Verbräuche'!J192*Emissionsfaktoren!J192/1000, 0)</f>
        <v>0</v>
      </c>
      <c r="K357" s="15">
        <f>IF(ISNUMBER('Refsz-Verbräuche'!K192), 'Refsz-Verbräuche'!K192*Emissionsfaktoren!K192/1000, 0)</f>
        <v>0</v>
      </c>
      <c r="L357" s="15">
        <f>IF(ISNUMBER('Refsz-Verbräuche'!L192), 'Refsz-Verbräuche'!L192*Emissionsfaktoren!L192/1000, 0)</f>
        <v>0</v>
      </c>
      <c r="M357" s="15">
        <f>IF(ISNUMBER('Refsz-Verbräuche'!M192), 'Refsz-Verbräuche'!M192*Emissionsfaktoren!M192/1000, 0)</f>
        <v>0</v>
      </c>
      <c r="N357" s="15">
        <f>IF(ISNUMBER('Refsz-Verbräuche'!N192), 'Refsz-Verbräuche'!N192*Emissionsfaktoren!N192/1000, 0)</f>
        <v>0</v>
      </c>
      <c r="O357" s="15">
        <f>IF(ISNUMBER('Refsz-Verbräuche'!O192), 'Refsz-Verbräuche'!O192*Emissionsfaktoren!O192/1000, 0)</f>
        <v>0</v>
      </c>
      <c r="P357" s="15">
        <f>IF(ISNUMBER('Refsz-Verbräuche'!P192), 'Refsz-Verbräuche'!P192*Emissionsfaktoren!P192/1000, 0)</f>
        <v>0</v>
      </c>
      <c r="Q357" s="15">
        <f>IF(ISNUMBER('Refsz-Verbräuche'!Q192), 'Refsz-Verbräuche'!Q192*Emissionsfaktoren!Q192/1000, 0)</f>
        <v>0</v>
      </c>
      <c r="R357" s="15">
        <f>IF(ISNUMBER('Refsz-Verbräuche'!R192), 'Refsz-Verbräuche'!R192*Emissionsfaktoren!R192/1000, 0)</f>
        <v>0</v>
      </c>
      <c r="S357" s="15">
        <f>IF(ISNUMBER('Refsz-Verbräuche'!S192), 'Refsz-Verbräuche'!S192*Emissionsfaktoren!S192/1000, 0)</f>
        <v>0</v>
      </c>
      <c r="T357" s="15">
        <f>IF(ISNUMBER('Refsz-Verbräuche'!T192), 'Refsz-Verbräuche'!T192*Emissionsfaktoren!T192/1000, 0)</f>
        <v>0</v>
      </c>
      <c r="U357" s="15">
        <f>IF(ISNUMBER('Refsz-Verbräuche'!U192), 'Refsz-Verbräuche'!U192*Emissionsfaktoren!U192/1000, 0)</f>
        <v>0</v>
      </c>
      <c r="V357" s="15">
        <f>IF(ISNUMBER('Refsz-Verbräuche'!V192), 'Refsz-Verbräuche'!V192*Emissionsfaktoren!V192/1000, 0)</f>
        <v>0</v>
      </c>
      <c r="W357" s="15">
        <f>IF(ISNUMBER('Refsz-Verbräuche'!W192), 'Refsz-Verbräuche'!W192*Emissionsfaktoren!W192/1000, 0)</f>
        <v>0</v>
      </c>
      <c r="X357" s="15">
        <f>IF(ISNUMBER('Refsz-Verbräuche'!X192), 'Refsz-Verbräuche'!X192*Emissionsfaktoren!X192/1000, 0)</f>
        <v>0</v>
      </c>
    </row>
    <row r="358" spans="2:24" ht="16.5" hidden="1" x14ac:dyDescent="0.45">
      <c r="B358" s="15">
        <v>133</v>
      </c>
      <c r="C358" s="20" t="str">
        <f>'Refsz-Verbräuche'!C193</f>
        <v>Stahl-Elektro</v>
      </c>
      <c r="D358" t="s">
        <v>208</v>
      </c>
      <c r="E358" s="15">
        <f>IF(ISNUMBER('Refsz-Verbräuche'!E193), 'Refsz-Verbräuche'!E193*Emissionsfaktoren!E193/1000, 0)</f>
        <v>0</v>
      </c>
      <c r="F358" s="15">
        <f>IF(ISNUMBER('Refsz-Verbräuche'!F193), 'Refsz-Verbräuche'!F193*Emissionsfaktoren!F193/1000, 0)</f>
        <v>0</v>
      </c>
      <c r="G358" s="15">
        <f>IF(ISNUMBER('Refsz-Verbräuche'!G193), 'Refsz-Verbräuche'!G193*Emissionsfaktoren!G193/1000, 0)</f>
        <v>0</v>
      </c>
      <c r="H358" s="15">
        <f>IF(ISNUMBER('Refsz-Verbräuche'!H193), 'Refsz-Verbräuche'!H193*Emissionsfaktoren!H193/1000, 0)</f>
        <v>0</v>
      </c>
      <c r="I358" s="15">
        <f>IF(ISNUMBER('Refsz-Verbräuche'!I193), 'Refsz-Verbräuche'!I193*Emissionsfaktoren!I193/1000, 0)</f>
        <v>0</v>
      </c>
      <c r="J358" s="15">
        <f>IF(ISNUMBER('Refsz-Verbräuche'!J193), 'Refsz-Verbräuche'!J193*Emissionsfaktoren!J193/1000, 0)</f>
        <v>0</v>
      </c>
      <c r="K358" s="15">
        <f>IF(ISNUMBER('Refsz-Verbräuche'!K193), 'Refsz-Verbräuche'!K193*Emissionsfaktoren!K193/1000, 0)</f>
        <v>0</v>
      </c>
      <c r="L358" s="15">
        <f>IF(ISNUMBER('Refsz-Verbräuche'!L193), 'Refsz-Verbräuche'!L193*Emissionsfaktoren!L193/1000, 0)</f>
        <v>0</v>
      </c>
      <c r="M358" s="15">
        <f>IF(ISNUMBER('Refsz-Verbräuche'!M193), 'Refsz-Verbräuche'!M193*Emissionsfaktoren!M193/1000, 0)</f>
        <v>0</v>
      </c>
      <c r="N358" s="15">
        <f>IF(ISNUMBER('Refsz-Verbräuche'!N193), 'Refsz-Verbräuche'!N193*Emissionsfaktoren!N193/1000, 0)</f>
        <v>0</v>
      </c>
      <c r="O358" s="15">
        <f>IF(ISNUMBER('Refsz-Verbräuche'!O193), 'Refsz-Verbräuche'!O193*Emissionsfaktoren!O193/1000, 0)</f>
        <v>0</v>
      </c>
      <c r="P358" s="15">
        <f>IF(ISNUMBER('Refsz-Verbräuche'!P193), 'Refsz-Verbräuche'!P193*Emissionsfaktoren!P193/1000, 0)</f>
        <v>0</v>
      </c>
      <c r="Q358" s="15">
        <f>IF(ISNUMBER('Refsz-Verbräuche'!Q193), 'Refsz-Verbräuche'!Q193*Emissionsfaktoren!Q193/1000, 0)</f>
        <v>0</v>
      </c>
      <c r="R358" s="15">
        <f>IF(ISNUMBER('Refsz-Verbräuche'!R193), 'Refsz-Verbräuche'!R193*Emissionsfaktoren!R193/1000, 0)</f>
        <v>0</v>
      </c>
      <c r="S358" s="15">
        <f>IF(ISNUMBER('Refsz-Verbräuche'!S193), 'Refsz-Verbräuche'!S193*Emissionsfaktoren!S193/1000, 0)</f>
        <v>0</v>
      </c>
      <c r="T358" s="15">
        <f>IF(ISNUMBER('Refsz-Verbräuche'!T193), 'Refsz-Verbräuche'!T193*Emissionsfaktoren!T193/1000, 0)</f>
        <v>0</v>
      </c>
      <c r="U358" s="15">
        <f>IF(ISNUMBER('Refsz-Verbräuche'!U193), 'Refsz-Verbräuche'!U193*Emissionsfaktoren!U193/1000, 0)</f>
        <v>0</v>
      </c>
      <c r="V358" s="15">
        <f>IF(ISNUMBER('Refsz-Verbräuche'!V193), 'Refsz-Verbräuche'!V193*Emissionsfaktoren!V193/1000, 0)</f>
        <v>0</v>
      </c>
      <c r="W358" s="15">
        <f>IF(ISNUMBER('Refsz-Verbräuche'!W193), 'Refsz-Verbräuche'!W193*Emissionsfaktoren!W193/1000, 0)</f>
        <v>0</v>
      </c>
      <c r="X358" s="15">
        <f>IF(ISNUMBER('Refsz-Verbräuche'!X193), 'Refsz-Verbräuche'!X193*Emissionsfaktoren!X193/1000, 0)</f>
        <v>0</v>
      </c>
    </row>
    <row r="359" spans="2:24" ht="16.5" hidden="1" x14ac:dyDescent="0.45">
      <c r="B359" s="15">
        <v>134</v>
      </c>
      <c r="C359" s="20" t="str">
        <f>'Refsz-Verbräuche'!C194</f>
        <v>Stahl-mix</v>
      </c>
      <c r="D359" t="s">
        <v>208</v>
      </c>
      <c r="E359" s="15">
        <f>IF(ISNUMBER('Refsz-Verbräuche'!E194), 'Refsz-Verbräuche'!E194*Emissionsfaktoren!E194/1000, 0)</f>
        <v>0</v>
      </c>
      <c r="F359" s="15">
        <f>IF(ISNUMBER('Refsz-Verbräuche'!F194), 'Refsz-Verbräuche'!F194*Emissionsfaktoren!F194/1000, 0)</f>
        <v>0</v>
      </c>
      <c r="G359" s="15">
        <f>IF(ISNUMBER('Refsz-Verbräuche'!G194), 'Refsz-Verbräuche'!G194*Emissionsfaktoren!G194/1000, 0)</f>
        <v>0</v>
      </c>
      <c r="H359" s="15">
        <f>IF(ISNUMBER('Refsz-Verbräuche'!H194), 'Refsz-Verbräuche'!H194*Emissionsfaktoren!H194/1000, 0)</f>
        <v>0</v>
      </c>
      <c r="I359" s="15">
        <f>IF(ISNUMBER('Refsz-Verbräuche'!I194), 'Refsz-Verbräuche'!I194*Emissionsfaktoren!I194/1000, 0)</f>
        <v>0</v>
      </c>
      <c r="J359" s="15">
        <f>IF(ISNUMBER('Refsz-Verbräuche'!J194), 'Refsz-Verbräuche'!J194*Emissionsfaktoren!J194/1000, 0)</f>
        <v>0</v>
      </c>
      <c r="K359" s="15">
        <f>IF(ISNUMBER('Refsz-Verbräuche'!K194), 'Refsz-Verbräuche'!K194*Emissionsfaktoren!K194/1000, 0)</f>
        <v>0</v>
      </c>
      <c r="L359" s="15">
        <f>IF(ISNUMBER('Refsz-Verbräuche'!L194), 'Refsz-Verbräuche'!L194*Emissionsfaktoren!L194/1000, 0)</f>
        <v>0</v>
      </c>
      <c r="M359" s="15">
        <f>IF(ISNUMBER('Refsz-Verbräuche'!M194), 'Refsz-Verbräuche'!M194*Emissionsfaktoren!M194/1000, 0)</f>
        <v>0</v>
      </c>
      <c r="N359" s="15">
        <f>IF(ISNUMBER('Refsz-Verbräuche'!N194), 'Refsz-Verbräuche'!N194*Emissionsfaktoren!N194/1000, 0)</f>
        <v>0</v>
      </c>
      <c r="O359" s="15">
        <f>IF(ISNUMBER('Refsz-Verbräuche'!O194), 'Refsz-Verbräuche'!O194*Emissionsfaktoren!O194/1000, 0)</f>
        <v>0</v>
      </c>
      <c r="P359" s="15">
        <f>IF(ISNUMBER('Refsz-Verbräuche'!P194), 'Refsz-Verbräuche'!P194*Emissionsfaktoren!P194/1000, 0)</f>
        <v>0</v>
      </c>
      <c r="Q359" s="15">
        <f>IF(ISNUMBER('Refsz-Verbräuche'!Q194), 'Refsz-Verbräuche'!Q194*Emissionsfaktoren!Q194/1000, 0)</f>
        <v>0</v>
      </c>
      <c r="R359" s="15">
        <f>IF(ISNUMBER('Refsz-Verbräuche'!R194), 'Refsz-Verbräuche'!R194*Emissionsfaktoren!R194/1000, 0)</f>
        <v>0</v>
      </c>
      <c r="S359" s="15">
        <f>IF(ISNUMBER('Refsz-Verbräuche'!S194), 'Refsz-Verbräuche'!S194*Emissionsfaktoren!S194/1000, 0)</f>
        <v>0</v>
      </c>
      <c r="T359" s="15">
        <f>IF(ISNUMBER('Refsz-Verbräuche'!T194), 'Refsz-Verbräuche'!T194*Emissionsfaktoren!T194/1000, 0)</f>
        <v>0</v>
      </c>
      <c r="U359" s="15">
        <f>IF(ISNUMBER('Refsz-Verbräuche'!U194), 'Refsz-Verbräuche'!U194*Emissionsfaktoren!U194/1000, 0)</f>
        <v>0</v>
      </c>
      <c r="V359" s="15">
        <f>IF(ISNUMBER('Refsz-Verbräuche'!V194), 'Refsz-Verbräuche'!V194*Emissionsfaktoren!V194/1000, 0)</f>
        <v>0</v>
      </c>
      <c r="W359" s="15">
        <f>IF(ISNUMBER('Refsz-Verbräuche'!W194), 'Refsz-Verbräuche'!W194*Emissionsfaktoren!W194/1000, 0)</f>
        <v>0</v>
      </c>
      <c r="X359" s="15">
        <f>IF(ISNUMBER('Refsz-Verbräuche'!X194), 'Refsz-Verbräuche'!X194*Emissionsfaktoren!X194/1000, 0)</f>
        <v>0</v>
      </c>
    </row>
    <row r="360" spans="2:24" ht="16.5" hidden="1" x14ac:dyDescent="0.45">
      <c r="B360" s="15">
        <v>135</v>
      </c>
      <c r="C360" s="20" t="str">
        <f>'Refsz-Verbräuche'!C195</f>
        <v>Beton</v>
      </c>
      <c r="D360" t="s">
        <v>208</v>
      </c>
      <c r="E360" s="15">
        <f>IF(ISNUMBER('Refsz-Verbräuche'!E195), 'Refsz-Verbräuche'!E195*Emissionsfaktoren!E195/1000, 0)</f>
        <v>0</v>
      </c>
      <c r="F360" s="15">
        <f>IF(ISNUMBER('Refsz-Verbräuche'!F195), 'Refsz-Verbräuche'!F195*Emissionsfaktoren!F195/1000, 0)</f>
        <v>0</v>
      </c>
      <c r="G360" s="15">
        <f>IF(ISNUMBER('Refsz-Verbräuche'!G195), 'Refsz-Verbräuche'!G195*Emissionsfaktoren!G195/1000, 0)</f>
        <v>0</v>
      </c>
      <c r="H360" s="15">
        <f>IF(ISNUMBER('Refsz-Verbräuche'!H195), 'Refsz-Verbräuche'!H195*Emissionsfaktoren!H195/1000, 0)</f>
        <v>0</v>
      </c>
      <c r="I360" s="15">
        <f>IF(ISNUMBER('Refsz-Verbräuche'!I195), 'Refsz-Verbräuche'!I195*Emissionsfaktoren!I195/1000, 0)</f>
        <v>0</v>
      </c>
      <c r="J360" s="15">
        <f>IF(ISNUMBER('Refsz-Verbräuche'!J195), 'Refsz-Verbräuche'!J195*Emissionsfaktoren!J195/1000, 0)</f>
        <v>0</v>
      </c>
      <c r="K360" s="15">
        <f>IF(ISNUMBER('Refsz-Verbräuche'!K195), 'Refsz-Verbräuche'!K195*Emissionsfaktoren!K195/1000, 0)</f>
        <v>0</v>
      </c>
      <c r="L360" s="15">
        <f>IF(ISNUMBER('Refsz-Verbräuche'!L195), 'Refsz-Verbräuche'!L195*Emissionsfaktoren!L195/1000, 0)</f>
        <v>0</v>
      </c>
      <c r="M360" s="15">
        <f>IF(ISNUMBER('Refsz-Verbräuche'!M195), 'Refsz-Verbräuche'!M195*Emissionsfaktoren!M195/1000, 0)</f>
        <v>0</v>
      </c>
      <c r="N360" s="15">
        <f>IF(ISNUMBER('Refsz-Verbräuche'!N195), 'Refsz-Verbräuche'!N195*Emissionsfaktoren!N195/1000, 0)</f>
        <v>0</v>
      </c>
      <c r="O360" s="15">
        <f>IF(ISNUMBER('Refsz-Verbräuche'!O195), 'Refsz-Verbräuche'!O195*Emissionsfaktoren!O195/1000, 0)</f>
        <v>0</v>
      </c>
      <c r="P360" s="15">
        <f>IF(ISNUMBER('Refsz-Verbräuche'!P195), 'Refsz-Verbräuche'!P195*Emissionsfaktoren!P195/1000, 0)</f>
        <v>0</v>
      </c>
      <c r="Q360" s="15">
        <f>IF(ISNUMBER('Refsz-Verbräuche'!Q195), 'Refsz-Verbräuche'!Q195*Emissionsfaktoren!Q195/1000, 0)</f>
        <v>0</v>
      </c>
      <c r="R360" s="15">
        <f>IF(ISNUMBER('Refsz-Verbräuche'!R195), 'Refsz-Verbräuche'!R195*Emissionsfaktoren!R195/1000, 0)</f>
        <v>0</v>
      </c>
      <c r="S360" s="15">
        <f>IF(ISNUMBER('Refsz-Verbräuche'!S195), 'Refsz-Verbräuche'!S195*Emissionsfaktoren!S195/1000, 0)</f>
        <v>0</v>
      </c>
      <c r="T360" s="15">
        <f>IF(ISNUMBER('Refsz-Verbräuche'!T195), 'Refsz-Verbräuche'!T195*Emissionsfaktoren!T195/1000, 0)</f>
        <v>0</v>
      </c>
      <c r="U360" s="15">
        <f>IF(ISNUMBER('Refsz-Verbräuche'!U195), 'Refsz-Verbräuche'!U195*Emissionsfaktoren!U195/1000, 0)</f>
        <v>0</v>
      </c>
      <c r="V360" s="15">
        <f>IF(ISNUMBER('Refsz-Verbräuche'!V195), 'Refsz-Verbräuche'!V195*Emissionsfaktoren!V195/1000, 0)</f>
        <v>0</v>
      </c>
      <c r="W360" s="15">
        <f>IF(ISNUMBER('Refsz-Verbräuche'!W195), 'Refsz-Verbräuche'!W195*Emissionsfaktoren!W195/1000, 0)</f>
        <v>0</v>
      </c>
      <c r="X360" s="15">
        <f>IF(ISNUMBER('Refsz-Verbräuche'!X195), 'Refsz-Verbräuche'!X195*Emissionsfaktoren!X195/1000, 0)</f>
        <v>0</v>
      </c>
    </row>
    <row r="361" spans="2:24" ht="16.5" hidden="1" x14ac:dyDescent="0.45">
      <c r="B361" s="15">
        <v>136</v>
      </c>
      <c r="C361" s="20" t="str">
        <f>'Refsz-Verbräuche'!C196</f>
        <v>Glaswolle</v>
      </c>
      <c r="D361" t="s">
        <v>208</v>
      </c>
      <c r="E361" s="15">
        <f>IF(ISNUMBER('Refsz-Verbräuche'!E196), 'Refsz-Verbräuche'!E196*Emissionsfaktoren!E196/1000, 0)</f>
        <v>0</v>
      </c>
      <c r="F361" s="15">
        <f>IF(ISNUMBER('Refsz-Verbräuche'!F196), 'Refsz-Verbräuche'!F196*Emissionsfaktoren!F196/1000, 0)</f>
        <v>0</v>
      </c>
      <c r="G361" s="15">
        <f>IF(ISNUMBER('Refsz-Verbräuche'!G196), 'Refsz-Verbräuche'!G196*Emissionsfaktoren!G196/1000, 0)</f>
        <v>0</v>
      </c>
      <c r="H361" s="15">
        <f>IF(ISNUMBER('Refsz-Verbräuche'!H196), 'Refsz-Verbräuche'!H196*Emissionsfaktoren!H196/1000, 0)</f>
        <v>0</v>
      </c>
      <c r="I361" s="15">
        <f>IF(ISNUMBER('Refsz-Verbräuche'!I196), 'Refsz-Verbräuche'!I196*Emissionsfaktoren!I196/1000, 0)</f>
        <v>0</v>
      </c>
      <c r="J361" s="15">
        <f>IF(ISNUMBER('Refsz-Verbräuche'!J196), 'Refsz-Verbräuche'!J196*Emissionsfaktoren!J196/1000, 0)</f>
        <v>0</v>
      </c>
      <c r="K361" s="15">
        <f>IF(ISNUMBER('Refsz-Verbräuche'!K196), 'Refsz-Verbräuche'!K196*Emissionsfaktoren!K196/1000, 0)</f>
        <v>0</v>
      </c>
      <c r="L361" s="15">
        <f>IF(ISNUMBER('Refsz-Verbräuche'!L196), 'Refsz-Verbräuche'!L196*Emissionsfaktoren!L196/1000, 0)</f>
        <v>0</v>
      </c>
      <c r="M361" s="15">
        <f>IF(ISNUMBER('Refsz-Verbräuche'!M196), 'Refsz-Verbräuche'!M196*Emissionsfaktoren!M196/1000, 0)</f>
        <v>0</v>
      </c>
      <c r="N361" s="15">
        <f>IF(ISNUMBER('Refsz-Verbräuche'!N196), 'Refsz-Verbräuche'!N196*Emissionsfaktoren!N196/1000, 0)</f>
        <v>0</v>
      </c>
      <c r="O361" s="15">
        <f>IF(ISNUMBER('Refsz-Verbräuche'!O196), 'Refsz-Verbräuche'!O196*Emissionsfaktoren!O196/1000, 0)</f>
        <v>0</v>
      </c>
      <c r="P361" s="15">
        <f>IF(ISNUMBER('Refsz-Verbräuche'!P196), 'Refsz-Verbräuche'!P196*Emissionsfaktoren!P196/1000, 0)</f>
        <v>0</v>
      </c>
      <c r="Q361" s="15">
        <f>IF(ISNUMBER('Refsz-Verbräuche'!Q196), 'Refsz-Verbräuche'!Q196*Emissionsfaktoren!Q196/1000, 0)</f>
        <v>0</v>
      </c>
      <c r="R361" s="15">
        <f>IF(ISNUMBER('Refsz-Verbräuche'!R196), 'Refsz-Verbräuche'!R196*Emissionsfaktoren!R196/1000, 0)</f>
        <v>0</v>
      </c>
      <c r="S361" s="15">
        <f>IF(ISNUMBER('Refsz-Verbräuche'!S196), 'Refsz-Verbräuche'!S196*Emissionsfaktoren!S196/1000, 0)</f>
        <v>0</v>
      </c>
      <c r="T361" s="15">
        <f>IF(ISNUMBER('Refsz-Verbräuche'!T196), 'Refsz-Verbräuche'!T196*Emissionsfaktoren!T196/1000, 0)</f>
        <v>0</v>
      </c>
      <c r="U361" s="15">
        <f>IF(ISNUMBER('Refsz-Verbräuche'!U196), 'Refsz-Verbräuche'!U196*Emissionsfaktoren!U196/1000, 0)</f>
        <v>0</v>
      </c>
      <c r="V361" s="15">
        <f>IF(ISNUMBER('Refsz-Verbräuche'!V196), 'Refsz-Verbräuche'!V196*Emissionsfaktoren!V196/1000, 0)</f>
        <v>0</v>
      </c>
      <c r="W361" s="15">
        <f>IF(ISNUMBER('Refsz-Verbräuche'!W196), 'Refsz-Verbräuche'!W196*Emissionsfaktoren!W196/1000, 0)</f>
        <v>0</v>
      </c>
      <c r="X361" s="15">
        <f>IF(ISNUMBER('Refsz-Verbräuche'!X196), 'Refsz-Verbräuche'!X196*Emissionsfaktoren!X196/1000, 0)</f>
        <v>0</v>
      </c>
    </row>
    <row r="362" spans="2:24" ht="16.5" hidden="1" x14ac:dyDescent="0.45">
      <c r="B362" s="15">
        <v>137</v>
      </c>
      <c r="C362" s="20" t="str">
        <f>'Refsz-Verbräuche'!C197</f>
        <v>Konstruktionsvollholz</v>
      </c>
      <c r="D362" t="s">
        <v>208</v>
      </c>
      <c r="E362" s="15">
        <f>IF(ISNUMBER('Refsz-Verbräuche'!E197), 'Refsz-Verbräuche'!E197*Emissionsfaktoren!E197/1000, 0)</f>
        <v>0</v>
      </c>
      <c r="F362" s="15">
        <f>IF(ISNUMBER('Refsz-Verbräuche'!F197), 'Refsz-Verbräuche'!F197*Emissionsfaktoren!F197/1000, 0)</f>
        <v>0</v>
      </c>
      <c r="G362" s="15">
        <f>IF(ISNUMBER('Refsz-Verbräuche'!G197), 'Refsz-Verbräuche'!G197*Emissionsfaktoren!G197/1000, 0)</f>
        <v>0</v>
      </c>
      <c r="H362" s="15">
        <f>IF(ISNUMBER('Refsz-Verbräuche'!H197), 'Refsz-Verbräuche'!H197*Emissionsfaktoren!H197/1000, 0)</f>
        <v>0</v>
      </c>
      <c r="I362" s="15">
        <f>IF(ISNUMBER('Refsz-Verbräuche'!I197), 'Refsz-Verbräuche'!I197*Emissionsfaktoren!I197/1000, 0)</f>
        <v>0</v>
      </c>
      <c r="J362" s="15">
        <f>IF(ISNUMBER('Refsz-Verbräuche'!J197), 'Refsz-Verbräuche'!J197*Emissionsfaktoren!J197/1000, 0)</f>
        <v>0</v>
      </c>
      <c r="K362" s="15">
        <f>IF(ISNUMBER('Refsz-Verbräuche'!K197), 'Refsz-Verbräuche'!K197*Emissionsfaktoren!K197/1000, 0)</f>
        <v>0</v>
      </c>
      <c r="L362" s="15">
        <f>IF(ISNUMBER('Refsz-Verbräuche'!L197), 'Refsz-Verbräuche'!L197*Emissionsfaktoren!L197/1000, 0)</f>
        <v>0</v>
      </c>
      <c r="M362" s="15">
        <f>IF(ISNUMBER('Refsz-Verbräuche'!M197), 'Refsz-Verbräuche'!M197*Emissionsfaktoren!M197/1000, 0)</f>
        <v>0</v>
      </c>
      <c r="N362" s="15">
        <f>IF(ISNUMBER('Refsz-Verbräuche'!N197), 'Refsz-Verbräuche'!N197*Emissionsfaktoren!N197/1000, 0)</f>
        <v>0</v>
      </c>
      <c r="O362" s="15">
        <f>IF(ISNUMBER('Refsz-Verbräuche'!O197), 'Refsz-Verbräuche'!O197*Emissionsfaktoren!O197/1000, 0)</f>
        <v>0</v>
      </c>
      <c r="P362" s="15">
        <f>IF(ISNUMBER('Refsz-Verbräuche'!P197), 'Refsz-Verbräuche'!P197*Emissionsfaktoren!P197/1000, 0)</f>
        <v>0</v>
      </c>
      <c r="Q362" s="15">
        <f>IF(ISNUMBER('Refsz-Verbräuche'!Q197), 'Refsz-Verbräuche'!Q197*Emissionsfaktoren!Q197/1000, 0)</f>
        <v>0</v>
      </c>
      <c r="R362" s="15">
        <f>IF(ISNUMBER('Refsz-Verbräuche'!R197), 'Refsz-Verbräuche'!R197*Emissionsfaktoren!R197/1000, 0)</f>
        <v>0</v>
      </c>
      <c r="S362" s="15">
        <f>IF(ISNUMBER('Refsz-Verbräuche'!S197), 'Refsz-Verbräuche'!S197*Emissionsfaktoren!S197/1000, 0)</f>
        <v>0</v>
      </c>
      <c r="T362" s="15">
        <f>IF(ISNUMBER('Refsz-Verbräuche'!T197), 'Refsz-Verbräuche'!T197*Emissionsfaktoren!T197/1000, 0)</f>
        <v>0</v>
      </c>
      <c r="U362" s="15">
        <f>IF(ISNUMBER('Refsz-Verbräuche'!U197), 'Refsz-Verbräuche'!U197*Emissionsfaktoren!U197/1000, 0)</f>
        <v>0</v>
      </c>
      <c r="V362" s="15">
        <f>IF(ISNUMBER('Refsz-Verbräuche'!V197), 'Refsz-Verbräuche'!V197*Emissionsfaktoren!V197/1000, 0)</f>
        <v>0</v>
      </c>
      <c r="W362" s="15">
        <f>IF(ISNUMBER('Refsz-Verbräuche'!W197), 'Refsz-Verbräuche'!W197*Emissionsfaktoren!W197/1000, 0)</f>
        <v>0</v>
      </c>
      <c r="X362" s="15">
        <f>IF(ISNUMBER('Refsz-Verbräuche'!X197), 'Refsz-Verbräuche'!X197*Emissionsfaktoren!X197/1000, 0)</f>
        <v>0</v>
      </c>
    </row>
    <row r="363" spans="2:24" ht="16.5" hidden="1" x14ac:dyDescent="0.45">
      <c r="B363" s="15">
        <v>138</v>
      </c>
      <c r="C363" s="20" t="str">
        <f>'Refsz-Verbräuche'!C198</f>
        <v>Spanplatte</v>
      </c>
      <c r="D363" t="s">
        <v>208</v>
      </c>
      <c r="E363" s="15">
        <f>IF(ISNUMBER('Refsz-Verbräuche'!E198), 'Refsz-Verbräuche'!E198*Emissionsfaktoren!E198/1000, 0)</f>
        <v>0</v>
      </c>
      <c r="F363" s="15">
        <f>IF(ISNUMBER('Refsz-Verbräuche'!F198), 'Refsz-Verbräuche'!F198*Emissionsfaktoren!F198/1000, 0)</f>
        <v>0</v>
      </c>
      <c r="G363" s="15">
        <f>IF(ISNUMBER('Refsz-Verbräuche'!G198), 'Refsz-Verbräuche'!G198*Emissionsfaktoren!G198/1000, 0)</f>
        <v>0</v>
      </c>
      <c r="H363" s="15">
        <f>IF(ISNUMBER('Refsz-Verbräuche'!H198), 'Refsz-Verbräuche'!H198*Emissionsfaktoren!H198/1000, 0)</f>
        <v>0</v>
      </c>
      <c r="I363" s="15">
        <f>IF(ISNUMBER('Refsz-Verbräuche'!I198), 'Refsz-Verbräuche'!I198*Emissionsfaktoren!I198/1000, 0)</f>
        <v>0</v>
      </c>
      <c r="J363" s="15">
        <f>IF(ISNUMBER('Refsz-Verbräuche'!J198), 'Refsz-Verbräuche'!J198*Emissionsfaktoren!J198/1000, 0)</f>
        <v>0</v>
      </c>
      <c r="K363" s="15">
        <f>IF(ISNUMBER('Refsz-Verbräuche'!K198), 'Refsz-Verbräuche'!K198*Emissionsfaktoren!K198/1000, 0)</f>
        <v>0</v>
      </c>
      <c r="L363" s="15">
        <f>IF(ISNUMBER('Refsz-Verbräuche'!L198), 'Refsz-Verbräuche'!L198*Emissionsfaktoren!L198/1000, 0)</f>
        <v>0</v>
      </c>
      <c r="M363" s="15">
        <f>IF(ISNUMBER('Refsz-Verbräuche'!M198), 'Refsz-Verbräuche'!M198*Emissionsfaktoren!M198/1000, 0)</f>
        <v>0</v>
      </c>
      <c r="N363" s="15">
        <f>IF(ISNUMBER('Refsz-Verbräuche'!N198), 'Refsz-Verbräuche'!N198*Emissionsfaktoren!N198/1000, 0)</f>
        <v>0</v>
      </c>
      <c r="O363" s="15">
        <f>IF(ISNUMBER('Refsz-Verbräuche'!O198), 'Refsz-Verbräuche'!O198*Emissionsfaktoren!O198/1000, 0)</f>
        <v>0</v>
      </c>
      <c r="P363" s="15">
        <f>IF(ISNUMBER('Refsz-Verbräuche'!P198), 'Refsz-Verbräuche'!P198*Emissionsfaktoren!P198/1000, 0)</f>
        <v>0</v>
      </c>
      <c r="Q363" s="15">
        <f>IF(ISNUMBER('Refsz-Verbräuche'!Q198), 'Refsz-Verbräuche'!Q198*Emissionsfaktoren!Q198/1000, 0)</f>
        <v>0</v>
      </c>
      <c r="R363" s="15">
        <f>IF(ISNUMBER('Refsz-Verbräuche'!R198), 'Refsz-Verbräuche'!R198*Emissionsfaktoren!R198/1000, 0)</f>
        <v>0</v>
      </c>
      <c r="S363" s="15">
        <f>IF(ISNUMBER('Refsz-Verbräuche'!S198), 'Refsz-Verbräuche'!S198*Emissionsfaktoren!S198/1000, 0)</f>
        <v>0</v>
      </c>
      <c r="T363" s="15">
        <f>IF(ISNUMBER('Refsz-Verbräuche'!T198), 'Refsz-Verbräuche'!T198*Emissionsfaktoren!T198/1000, 0)</f>
        <v>0</v>
      </c>
      <c r="U363" s="15">
        <f>IF(ISNUMBER('Refsz-Verbräuche'!U198), 'Refsz-Verbräuche'!U198*Emissionsfaktoren!U198/1000, 0)</f>
        <v>0</v>
      </c>
      <c r="V363" s="15">
        <f>IF(ISNUMBER('Refsz-Verbräuche'!V198), 'Refsz-Verbräuche'!V198*Emissionsfaktoren!V198/1000, 0)</f>
        <v>0</v>
      </c>
      <c r="W363" s="15">
        <f>IF(ISNUMBER('Refsz-Verbräuche'!W198), 'Refsz-Verbräuche'!W198*Emissionsfaktoren!W198/1000, 0)</f>
        <v>0</v>
      </c>
      <c r="X363" s="15">
        <f>IF(ISNUMBER('Refsz-Verbräuche'!X198), 'Refsz-Verbräuche'!X198*Emissionsfaktoren!X198/1000, 0)</f>
        <v>0</v>
      </c>
    </row>
    <row r="364" spans="2:24" ht="16.5" hidden="1" x14ac:dyDescent="0.45">
      <c r="B364" s="15">
        <v>139</v>
      </c>
      <c r="C364" s="20" t="str">
        <f>'Refsz-Verbräuche'!C199</f>
        <v>Perlit</v>
      </c>
      <c r="D364" t="s">
        <v>208</v>
      </c>
      <c r="E364" s="15">
        <f>IF(ISNUMBER('Refsz-Verbräuche'!E199), 'Refsz-Verbräuche'!E199*Emissionsfaktoren!E199/1000, 0)</f>
        <v>0</v>
      </c>
      <c r="F364" s="15">
        <f>IF(ISNUMBER('Refsz-Verbräuche'!F199), 'Refsz-Verbräuche'!F199*Emissionsfaktoren!F199/1000, 0)</f>
        <v>0</v>
      </c>
      <c r="G364" s="15">
        <f>IF(ISNUMBER('Refsz-Verbräuche'!G199), 'Refsz-Verbräuche'!G199*Emissionsfaktoren!G199/1000, 0)</f>
        <v>0</v>
      </c>
      <c r="H364" s="15">
        <f>IF(ISNUMBER('Refsz-Verbräuche'!H199), 'Refsz-Verbräuche'!H199*Emissionsfaktoren!H199/1000, 0)</f>
        <v>0</v>
      </c>
      <c r="I364" s="15">
        <f>IF(ISNUMBER('Refsz-Verbräuche'!I199), 'Refsz-Verbräuche'!I199*Emissionsfaktoren!I199/1000, 0)</f>
        <v>0</v>
      </c>
      <c r="J364" s="15">
        <f>IF(ISNUMBER('Refsz-Verbräuche'!J199), 'Refsz-Verbräuche'!J199*Emissionsfaktoren!J199/1000, 0)</f>
        <v>0</v>
      </c>
      <c r="K364" s="15">
        <f>IF(ISNUMBER('Refsz-Verbräuche'!K199), 'Refsz-Verbräuche'!K199*Emissionsfaktoren!K199/1000, 0)</f>
        <v>0</v>
      </c>
      <c r="L364" s="15">
        <f>IF(ISNUMBER('Refsz-Verbräuche'!L199), 'Refsz-Verbräuche'!L199*Emissionsfaktoren!L199/1000, 0)</f>
        <v>0</v>
      </c>
      <c r="M364" s="15">
        <f>IF(ISNUMBER('Refsz-Verbräuche'!M199), 'Refsz-Verbräuche'!M199*Emissionsfaktoren!M199/1000, 0)</f>
        <v>0</v>
      </c>
      <c r="N364" s="15">
        <f>IF(ISNUMBER('Refsz-Verbräuche'!N199), 'Refsz-Verbräuche'!N199*Emissionsfaktoren!N199/1000, 0)</f>
        <v>0</v>
      </c>
      <c r="O364" s="15">
        <f>IF(ISNUMBER('Refsz-Verbräuche'!O199), 'Refsz-Verbräuche'!O199*Emissionsfaktoren!O199/1000, 0)</f>
        <v>0</v>
      </c>
      <c r="P364" s="15">
        <f>IF(ISNUMBER('Refsz-Verbräuche'!P199), 'Refsz-Verbräuche'!P199*Emissionsfaktoren!P199/1000, 0)</f>
        <v>0</v>
      </c>
      <c r="Q364" s="15">
        <f>IF(ISNUMBER('Refsz-Verbräuche'!Q199), 'Refsz-Verbräuche'!Q199*Emissionsfaktoren!Q199/1000, 0)</f>
        <v>0</v>
      </c>
      <c r="R364" s="15">
        <f>IF(ISNUMBER('Refsz-Verbräuche'!R199), 'Refsz-Verbräuche'!R199*Emissionsfaktoren!R199/1000, 0)</f>
        <v>0</v>
      </c>
      <c r="S364" s="15">
        <f>IF(ISNUMBER('Refsz-Verbräuche'!S199), 'Refsz-Verbräuche'!S199*Emissionsfaktoren!S199/1000, 0)</f>
        <v>0</v>
      </c>
      <c r="T364" s="15">
        <f>IF(ISNUMBER('Refsz-Verbräuche'!T199), 'Refsz-Verbräuche'!T199*Emissionsfaktoren!T199/1000, 0)</f>
        <v>0</v>
      </c>
      <c r="U364" s="15">
        <f>IF(ISNUMBER('Refsz-Verbräuche'!U199), 'Refsz-Verbräuche'!U199*Emissionsfaktoren!U199/1000, 0)</f>
        <v>0</v>
      </c>
      <c r="V364" s="15">
        <f>IF(ISNUMBER('Refsz-Verbräuche'!V199), 'Refsz-Verbräuche'!V199*Emissionsfaktoren!V199/1000, 0)</f>
        <v>0</v>
      </c>
      <c r="W364" s="15">
        <f>IF(ISNUMBER('Refsz-Verbräuche'!W199), 'Refsz-Verbräuche'!W199*Emissionsfaktoren!W199/1000, 0)</f>
        <v>0</v>
      </c>
      <c r="X364" s="15">
        <f>IF(ISNUMBER('Refsz-Verbräuche'!X199), 'Refsz-Verbräuche'!X199*Emissionsfaktoren!X199/1000, 0)</f>
        <v>0</v>
      </c>
    </row>
    <row r="365" spans="2:24" ht="16.5" hidden="1" x14ac:dyDescent="0.45">
      <c r="B365" s="15">
        <v>140</v>
      </c>
      <c r="C365" s="20" t="str">
        <f>'Refsz-Verbräuche'!C200</f>
        <v>Stahlbeton Fertigteil Decke (20cm Dicke)</v>
      </c>
      <c r="D365" t="s">
        <v>208</v>
      </c>
      <c r="E365" s="15">
        <f>IF(ISNUMBER('Refsz-Verbräuche'!E200), 'Refsz-Verbräuche'!E200*Emissionsfaktoren!E200/1000, 0)</f>
        <v>0</v>
      </c>
      <c r="F365" s="15">
        <f>IF(ISNUMBER('Refsz-Verbräuche'!F200), 'Refsz-Verbräuche'!F200*Emissionsfaktoren!F200/1000, 0)</f>
        <v>0</v>
      </c>
      <c r="G365" s="15">
        <f>IF(ISNUMBER('Refsz-Verbräuche'!G200), 'Refsz-Verbräuche'!G200*Emissionsfaktoren!G200/1000, 0)</f>
        <v>0</v>
      </c>
      <c r="H365" s="15">
        <f>IF(ISNUMBER('Refsz-Verbräuche'!H200), 'Refsz-Verbräuche'!H200*Emissionsfaktoren!H200/1000, 0)</f>
        <v>0</v>
      </c>
      <c r="I365" s="15">
        <f>IF(ISNUMBER('Refsz-Verbräuche'!I200), 'Refsz-Verbräuche'!I200*Emissionsfaktoren!I200/1000, 0)</f>
        <v>0</v>
      </c>
      <c r="J365" s="15">
        <f>IF(ISNUMBER('Refsz-Verbräuche'!J200), 'Refsz-Verbräuche'!J200*Emissionsfaktoren!J200/1000, 0)</f>
        <v>0</v>
      </c>
      <c r="K365" s="15">
        <f>IF(ISNUMBER('Refsz-Verbräuche'!K200), 'Refsz-Verbräuche'!K200*Emissionsfaktoren!K200/1000, 0)</f>
        <v>0</v>
      </c>
      <c r="L365" s="15">
        <f>IF(ISNUMBER('Refsz-Verbräuche'!L200), 'Refsz-Verbräuche'!L200*Emissionsfaktoren!L200/1000, 0)</f>
        <v>0</v>
      </c>
      <c r="M365" s="15">
        <f>IF(ISNUMBER('Refsz-Verbräuche'!M200), 'Refsz-Verbräuche'!M200*Emissionsfaktoren!M200/1000, 0)</f>
        <v>0</v>
      </c>
      <c r="N365" s="15">
        <f>IF(ISNUMBER('Refsz-Verbräuche'!N200), 'Refsz-Verbräuche'!N200*Emissionsfaktoren!N200/1000, 0)</f>
        <v>0</v>
      </c>
      <c r="O365" s="15">
        <f>IF(ISNUMBER('Refsz-Verbräuche'!O200), 'Refsz-Verbräuche'!O200*Emissionsfaktoren!O200/1000, 0)</f>
        <v>0</v>
      </c>
      <c r="P365" s="15">
        <f>IF(ISNUMBER('Refsz-Verbräuche'!P200), 'Refsz-Verbräuche'!P200*Emissionsfaktoren!P200/1000, 0)</f>
        <v>0</v>
      </c>
      <c r="Q365" s="15">
        <f>IF(ISNUMBER('Refsz-Verbräuche'!Q200), 'Refsz-Verbräuche'!Q200*Emissionsfaktoren!Q200/1000, 0)</f>
        <v>0</v>
      </c>
      <c r="R365" s="15">
        <f>IF(ISNUMBER('Refsz-Verbräuche'!R200), 'Refsz-Verbräuche'!R200*Emissionsfaktoren!R200/1000, 0)</f>
        <v>0</v>
      </c>
      <c r="S365" s="15">
        <f>IF(ISNUMBER('Refsz-Verbräuche'!S200), 'Refsz-Verbräuche'!S200*Emissionsfaktoren!S200/1000, 0)</f>
        <v>0</v>
      </c>
      <c r="T365" s="15">
        <f>IF(ISNUMBER('Refsz-Verbräuche'!T200), 'Refsz-Verbräuche'!T200*Emissionsfaktoren!T200/1000, 0)</f>
        <v>0</v>
      </c>
      <c r="U365" s="15">
        <f>IF(ISNUMBER('Refsz-Verbräuche'!U200), 'Refsz-Verbräuche'!U200*Emissionsfaktoren!U200/1000, 0)</f>
        <v>0</v>
      </c>
      <c r="V365" s="15">
        <f>IF(ISNUMBER('Refsz-Verbräuche'!V200), 'Refsz-Verbräuche'!V200*Emissionsfaktoren!V200/1000, 0)</f>
        <v>0</v>
      </c>
      <c r="W365" s="15">
        <f>IF(ISNUMBER('Refsz-Verbräuche'!W200), 'Refsz-Verbräuche'!W200*Emissionsfaktoren!W200/1000, 0)</f>
        <v>0</v>
      </c>
      <c r="X365" s="15">
        <f>IF(ISNUMBER('Refsz-Verbräuche'!X200), 'Refsz-Verbräuche'!X200*Emissionsfaktoren!X200/1000, 0)</f>
        <v>0</v>
      </c>
    </row>
    <row r="366" spans="2:24" ht="16.5" hidden="1" x14ac:dyDescent="0.45">
      <c r="B366" s="15">
        <v>141</v>
      </c>
      <c r="C366" s="20" t="str">
        <f>'Refsz-Verbräuche'!C201</f>
        <v>Stahlbeton Fertigteil Wand (12cm Dicke)</v>
      </c>
      <c r="D366" t="s">
        <v>208</v>
      </c>
      <c r="E366" s="15">
        <f>IF(ISNUMBER('Refsz-Verbräuche'!E201), 'Refsz-Verbräuche'!E201*Emissionsfaktoren!E201/1000, 0)</f>
        <v>0</v>
      </c>
      <c r="F366" s="15">
        <f>IF(ISNUMBER('Refsz-Verbräuche'!F201), 'Refsz-Verbräuche'!F201*Emissionsfaktoren!F201/1000, 0)</f>
        <v>0</v>
      </c>
      <c r="G366" s="15">
        <f>IF(ISNUMBER('Refsz-Verbräuche'!G201), 'Refsz-Verbräuche'!G201*Emissionsfaktoren!G201/1000, 0)</f>
        <v>0</v>
      </c>
      <c r="H366" s="15">
        <f>IF(ISNUMBER('Refsz-Verbräuche'!H201), 'Refsz-Verbräuche'!H201*Emissionsfaktoren!H201/1000, 0)</f>
        <v>0</v>
      </c>
      <c r="I366" s="15">
        <f>IF(ISNUMBER('Refsz-Verbräuche'!I201), 'Refsz-Verbräuche'!I201*Emissionsfaktoren!I201/1000, 0)</f>
        <v>0</v>
      </c>
      <c r="J366" s="15">
        <f>IF(ISNUMBER('Refsz-Verbräuche'!J201), 'Refsz-Verbräuche'!J201*Emissionsfaktoren!J201/1000, 0)</f>
        <v>0</v>
      </c>
      <c r="K366" s="15">
        <f>IF(ISNUMBER('Refsz-Verbräuche'!K201), 'Refsz-Verbräuche'!K201*Emissionsfaktoren!K201/1000, 0)</f>
        <v>0</v>
      </c>
      <c r="L366" s="15">
        <f>IF(ISNUMBER('Refsz-Verbräuche'!L201), 'Refsz-Verbräuche'!L201*Emissionsfaktoren!L201/1000, 0)</f>
        <v>0</v>
      </c>
      <c r="M366" s="15">
        <f>IF(ISNUMBER('Refsz-Verbräuche'!M201), 'Refsz-Verbräuche'!M201*Emissionsfaktoren!M201/1000, 0)</f>
        <v>0</v>
      </c>
      <c r="N366" s="15">
        <f>IF(ISNUMBER('Refsz-Verbräuche'!N201), 'Refsz-Verbräuche'!N201*Emissionsfaktoren!N201/1000, 0)</f>
        <v>0</v>
      </c>
      <c r="O366" s="15">
        <f>IF(ISNUMBER('Refsz-Verbräuche'!O201), 'Refsz-Verbräuche'!O201*Emissionsfaktoren!O201/1000, 0)</f>
        <v>0</v>
      </c>
      <c r="P366" s="15">
        <f>IF(ISNUMBER('Refsz-Verbräuche'!P201), 'Refsz-Verbräuche'!P201*Emissionsfaktoren!P201/1000, 0)</f>
        <v>0</v>
      </c>
      <c r="Q366" s="15">
        <f>IF(ISNUMBER('Refsz-Verbräuche'!Q201), 'Refsz-Verbräuche'!Q201*Emissionsfaktoren!Q201/1000, 0)</f>
        <v>0</v>
      </c>
      <c r="R366" s="15">
        <f>IF(ISNUMBER('Refsz-Verbräuche'!R201), 'Refsz-Verbräuche'!R201*Emissionsfaktoren!R201/1000, 0)</f>
        <v>0</v>
      </c>
      <c r="S366" s="15">
        <f>IF(ISNUMBER('Refsz-Verbräuche'!S201), 'Refsz-Verbräuche'!S201*Emissionsfaktoren!S201/1000, 0)</f>
        <v>0</v>
      </c>
      <c r="T366" s="15">
        <f>IF(ISNUMBER('Refsz-Verbräuche'!T201), 'Refsz-Verbräuche'!T201*Emissionsfaktoren!T201/1000, 0)</f>
        <v>0</v>
      </c>
      <c r="U366" s="15">
        <f>IF(ISNUMBER('Refsz-Verbräuche'!U201), 'Refsz-Verbräuche'!U201*Emissionsfaktoren!U201/1000, 0)</f>
        <v>0</v>
      </c>
      <c r="V366" s="15">
        <f>IF(ISNUMBER('Refsz-Verbräuche'!V201), 'Refsz-Verbräuche'!V201*Emissionsfaktoren!V201/1000, 0)</f>
        <v>0</v>
      </c>
      <c r="W366" s="15">
        <f>IF(ISNUMBER('Refsz-Verbräuche'!W201), 'Refsz-Verbräuche'!W201*Emissionsfaktoren!W201/1000, 0)</f>
        <v>0</v>
      </c>
      <c r="X366" s="15">
        <f>IF(ISNUMBER('Refsz-Verbräuche'!X201), 'Refsz-Verbräuche'!X201*Emissionsfaktoren!X201/1000, 0)</f>
        <v>0</v>
      </c>
    </row>
    <row r="367" spans="2:24" ht="16.5" hidden="1" x14ac:dyDescent="0.45">
      <c r="B367" s="15">
        <v>142</v>
      </c>
      <c r="C367" s="20" t="str">
        <f>'Refsz-Verbräuche'!C202</f>
        <v xml:space="preserve">Stahlbeton Fertigteil Treppe (1,1 m Breite, 9 Stufen a 16 cm) </v>
      </c>
      <c r="D367" t="s">
        <v>208</v>
      </c>
      <c r="E367" s="15">
        <f>IF(ISNUMBER('Refsz-Verbräuche'!E202), 'Refsz-Verbräuche'!E202*Emissionsfaktoren!E202/1000, 0)</f>
        <v>0</v>
      </c>
      <c r="F367" s="15">
        <f>IF(ISNUMBER('Refsz-Verbräuche'!F202), 'Refsz-Verbräuche'!F202*Emissionsfaktoren!F202/1000, 0)</f>
        <v>0</v>
      </c>
      <c r="G367" s="15">
        <f>IF(ISNUMBER('Refsz-Verbräuche'!G202), 'Refsz-Verbräuche'!G202*Emissionsfaktoren!G202/1000, 0)</f>
        <v>0</v>
      </c>
      <c r="H367" s="15">
        <f>IF(ISNUMBER('Refsz-Verbräuche'!H202), 'Refsz-Verbräuche'!H202*Emissionsfaktoren!H202/1000, 0)</f>
        <v>0</v>
      </c>
      <c r="I367" s="15">
        <f>IF(ISNUMBER('Refsz-Verbräuche'!I202), 'Refsz-Verbräuche'!I202*Emissionsfaktoren!I202/1000, 0)</f>
        <v>0</v>
      </c>
      <c r="J367" s="15">
        <f>IF(ISNUMBER('Refsz-Verbräuche'!J202), 'Refsz-Verbräuche'!J202*Emissionsfaktoren!J202/1000, 0)</f>
        <v>0</v>
      </c>
      <c r="K367" s="15">
        <f>IF(ISNUMBER('Refsz-Verbräuche'!K202), 'Refsz-Verbräuche'!K202*Emissionsfaktoren!K202/1000, 0)</f>
        <v>0</v>
      </c>
      <c r="L367" s="15">
        <f>IF(ISNUMBER('Refsz-Verbräuche'!L202), 'Refsz-Verbräuche'!L202*Emissionsfaktoren!L202/1000, 0)</f>
        <v>0</v>
      </c>
      <c r="M367" s="15">
        <f>IF(ISNUMBER('Refsz-Verbräuche'!M202), 'Refsz-Verbräuche'!M202*Emissionsfaktoren!M202/1000, 0)</f>
        <v>0</v>
      </c>
      <c r="N367" s="15">
        <f>IF(ISNUMBER('Refsz-Verbräuche'!N202), 'Refsz-Verbräuche'!N202*Emissionsfaktoren!N202/1000, 0)</f>
        <v>0</v>
      </c>
      <c r="O367" s="15">
        <f>IF(ISNUMBER('Refsz-Verbräuche'!O202), 'Refsz-Verbräuche'!O202*Emissionsfaktoren!O202/1000, 0)</f>
        <v>0</v>
      </c>
      <c r="P367" s="15">
        <f>IF(ISNUMBER('Refsz-Verbräuche'!P202), 'Refsz-Verbräuche'!P202*Emissionsfaktoren!P202/1000, 0)</f>
        <v>0</v>
      </c>
      <c r="Q367" s="15">
        <f>IF(ISNUMBER('Refsz-Verbräuche'!Q202), 'Refsz-Verbräuche'!Q202*Emissionsfaktoren!Q202/1000, 0)</f>
        <v>0</v>
      </c>
      <c r="R367" s="15">
        <f>IF(ISNUMBER('Refsz-Verbräuche'!R202), 'Refsz-Verbräuche'!R202*Emissionsfaktoren!R202/1000, 0)</f>
        <v>0</v>
      </c>
      <c r="S367" s="15">
        <f>IF(ISNUMBER('Refsz-Verbräuche'!S202), 'Refsz-Verbräuche'!S202*Emissionsfaktoren!S202/1000, 0)</f>
        <v>0</v>
      </c>
      <c r="T367" s="15">
        <f>IF(ISNUMBER('Refsz-Verbräuche'!T202), 'Refsz-Verbräuche'!T202*Emissionsfaktoren!T202/1000, 0)</f>
        <v>0</v>
      </c>
      <c r="U367" s="15">
        <f>IF(ISNUMBER('Refsz-Verbräuche'!U202), 'Refsz-Verbräuche'!U202*Emissionsfaktoren!U202/1000, 0)</f>
        <v>0</v>
      </c>
      <c r="V367" s="15">
        <f>IF(ISNUMBER('Refsz-Verbräuche'!V202), 'Refsz-Verbräuche'!V202*Emissionsfaktoren!V202/1000, 0)</f>
        <v>0</v>
      </c>
      <c r="W367" s="15">
        <f>IF(ISNUMBER('Refsz-Verbräuche'!W202), 'Refsz-Verbräuche'!W202*Emissionsfaktoren!W202/1000, 0)</f>
        <v>0</v>
      </c>
      <c r="X367" s="15">
        <f>IF(ISNUMBER('Refsz-Verbräuche'!X202), 'Refsz-Verbräuche'!X202*Emissionsfaktoren!X202/1000, 0)</f>
        <v>0</v>
      </c>
    </row>
    <row r="368" spans="2:24" ht="16.5" hidden="1" x14ac:dyDescent="0.45">
      <c r="B368" s="15">
        <v>143</v>
      </c>
      <c r="C368" s="20" t="str">
        <f>'Refsz-Verbräuche'!C203</f>
        <v>Mineralwolle</v>
      </c>
      <c r="D368" t="s">
        <v>208</v>
      </c>
      <c r="E368" s="15">
        <f>IF(ISNUMBER('Refsz-Verbräuche'!E203), 'Refsz-Verbräuche'!E203*Emissionsfaktoren!E203/1000, 0)</f>
        <v>0</v>
      </c>
      <c r="F368" s="15">
        <f>IF(ISNUMBER('Refsz-Verbräuche'!F203), 'Refsz-Verbräuche'!F203*Emissionsfaktoren!F203/1000, 0)</f>
        <v>0</v>
      </c>
      <c r="G368" s="15">
        <f>IF(ISNUMBER('Refsz-Verbräuche'!G203), 'Refsz-Verbräuche'!G203*Emissionsfaktoren!G203/1000, 0)</f>
        <v>0</v>
      </c>
      <c r="H368" s="15">
        <f>IF(ISNUMBER('Refsz-Verbräuche'!H203), 'Refsz-Verbräuche'!H203*Emissionsfaktoren!H203/1000, 0)</f>
        <v>0</v>
      </c>
      <c r="I368" s="15">
        <f>IF(ISNUMBER('Refsz-Verbräuche'!I203), 'Refsz-Verbräuche'!I203*Emissionsfaktoren!I203/1000, 0)</f>
        <v>0</v>
      </c>
      <c r="J368" s="15">
        <f>IF(ISNUMBER('Refsz-Verbräuche'!J203), 'Refsz-Verbräuche'!J203*Emissionsfaktoren!J203/1000, 0)</f>
        <v>0</v>
      </c>
      <c r="K368" s="15">
        <f>IF(ISNUMBER('Refsz-Verbräuche'!K203), 'Refsz-Verbräuche'!K203*Emissionsfaktoren!K203/1000, 0)</f>
        <v>0</v>
      </c>
      <c r="L368" s="15">
        <f>IF(ISNUMBER('Refsz-Verbräuche'!L203), 'Refsz-Verbräuche'!L203*Emissionsfaktoren!L203/1000, 0)</f>
        <v>0</v>
      </c>
      <c r="M368" s="15">
        <f>IF(ISNUMBER('Refsz-Verbräuche'!M203), 'Refsz-Verbräuche'!M203*Emissionsfaktoren!M203/1000, 0)</f>
        <v>0</v>
      </c>
      <c r="N368" s="15">
        <f>IF(ISNUMBER('Refsz-Verbräuche'!N203), 'Refsz-Verbräuche'!N203*Emissionsfaktoren!N203/1000, 0)</f>
        <v>0</v>
      </c>
      <c r="O368" s="15">
        <f>IF(ISNUMBER('Refsz-Verbräuche'!O203), 'Refsz-Verbräuche'!O203*Emissionsfaktoren!O203/1000, 0)</f>
        <v>0</v>
      </c>
      <c r="P368" s="15">
        <f>IF(ISNUMBER('Refsz-Verbräuche'!P203), 'Refsz-Verbräuche'!P203*Emissionsfaktoren!P203/1000, 0)</f>
        <v>0</v>
      </c>
      <c r="Q368" s="15">
        <f>IF(ISNUMBER('Refsz-Verbräuche'!Q203), 'Refsz-Verbräuche'!Q203*Emissionsfaktoren!Q203/1000, 0)</f>
        <v>0</v>
      </c>
      <c r="R368" s="15">
        <f>IF(ISNUMBER('Refsz-Verbräuche'!R203), 'Refsz-Verbräuche'!R203*Emissionsfaktoren!R203/1000, 0)</f>
        <v>0</v>
      </c>
      <c r="S368" s="15">
        <f>IF(ISNUMBER('Refsz-Verbräuche'!S203), 'Refsz-Verbräuche'!S203*Emissionsfaktoren!S203/1000, 0)</f>
        <v>0</v>
      </c>
      <c r="T368" s="15">
        <f>IF(ISNUMBER('Refsz-Verbräuche'!T203), 'Refsz-Verbräuche'!T203*Emissionsfaktoren!T203/1000, 0)</f>
        <v>0</v>
      </c>
      <c r="U368" s="15">
        <f>IF(ISNUMBER('Refsz-Verbräuche'!U203), 'Refsz-Verbräuche'!U203*Emissionsfaktoren!U203/1000, 0)</f>
        <v>0</v>
      </c>
      <c r="V368" s="15">
        <f>IF(ISNUMBER('Refsz-Verbräuche'!V203), 'Refsz-Verbräuche'!V203*Emissionsfaktoren!V203/1000, 0)</f>
        <v>0</v>
      </c>
      <c r="W368" s="15">
        <f>IF(ISNUMBER('Refsz-Verbräuche'!W203), 'Refsz-Verbräuche'!W203*Emissionsfaktoren!W203/1000, 0)</f>
        <v>0</v>
      </c>
      <c r="X368" s="15">
        <f>IF(ISNUMBER('Refsz-Verbräuche'!X203), 'Refsz-Verbräuche'!X203*Emissionsfaktoren!X203/1000, 0)</f>
        <v>0</v>
      </c>
    </row>
    <row r="369" spans="2:24" ht="16.5" hidden="1" x14ac:dyDescent="0.45">
      <c r="B369" s="15">
        <v>144</v>
      </c>
      <c r="C369" s="20" t="str">
        <f>'Refsz-Verbräuche'!C204</f>
        <v>Mauerziegel (ungefüllt)</v>
      </c>
      <c r="D369" t="s">
        <v>208</v>
      </c>
      <c r="E369" s="15">
        <f>IF(ISNUMBER('Refsz-Verbräuche'!E204), 'Refsz-Verbräuche'!E204*Emissionsfaktoren!E204/1000, 0)</f>
        <v>0</v>
      </c>
      <c r="F369" s="15">
        <f>IF(ISNUMBER('Refsz-Verbräuche'!F204), 'Refsz-Verbräuche'!F204*Emissionsfaktoren!F204/1000, 0)</f>
        <v>0</v>
      </c>
      <c r="G369" s="15">
        <f>IF(ISNUMBER('Refsz-Verbräuche'!G204), 'Refsz-Verbräuche'!G204*Emissionsfaktoren!G204/1000, 0)</f>
        <v>0</v>
      </c>
      <c r="H369" s="15">
        <f>IF(ISNUMBER('Refsz-Verbräuche'!H204), 'Refsz-Verbräuche'!H204*Emissionsfaktoren!H204/1000, 0)</f>
        <v>0</v>
      </c>
      <c r="I369" s="15">
        <f>IF(ISNUMBER('Refsz-Verbräuche'!I204), 'Refsz-Verbräuche'!I204*Emissionsfaktoren!I204/1000, 0)</f>
        <v>0</v>
      </c>
      <c r="J369" s="15">
        <f>IF(ISNUMBER('Refsz-Verbräuche'!J204), 'Refsz-Verbräuche'!J204*Emissionsfaktoren!J204/1000, 0)</f>
        <v>0</v>
      </c>
      <c r="K369" s="15">
        <f>IF(ISNUMBER('Refsz-Verbräuche'!K204), 'Refsz-Verbräuche'!K204*Emissionsfaktoren!K204/1000, 0)</f>
        <v>0</v>
      </c>
      <c r="L369" s="15">
        <f>IF(ISNUMBER('Refsz-Verbräuche'!L204), 'Refsz-Verbräuche'!L204*Emissionsfaktoren!L204/1000, 0)</f>
        <v>0</v>
      </c>
      <c r="M369" s="15">
        <f>IF(ISNUMBER('Refsz-Verbräuche'!M204), 'Refsz-Verbräuche'!M204*Emissionsfaktoren!M204/1000, 0)</f>
        <v>0</v>
      </c>
      <c r="N369" s="15">
        <f>IF(ISNUMBER('Refsz-Verbräuche'!N204), 'Refsz-Verbräuche'!N204*Emissionsfaktoren!N204/1000, 0)</f>
        <v>0</v>
      </c>
      <c r="O369" s="15">
        <f>IF(ISNUMBER('Refsz-Verbräuche'!O204), 'Refsz-Verbräuche'!O204*Emissionsfaktoren!O204/1000, 0)</f>
        <v>0</v>
      </c>
      <c r="P369" s="15">
        <f>IF(ISNUMBER('Refsz-Verbräuche'!P204), 'Refsz-Verbräuche'!P204*Emissionsfaktoren!P204/1000, 0)</f>
        <v>0</v>
      </c>
      <c r="Q369" s="15">
        <f>IF(ISNUMBER('Refsz-Verbräuche'!Q204), 'Refsz-Verbräuche'!Q204*Emissionsfaktoren!Q204/1000, 0)</f>
        <v>0</v>
      </c>
      <c r="R369" s="15">
        <f>IF(ISNUMBER('Refsz-Verbräuche'!R204), 'Refsz-Verbräuche'!R204*Emissionsfaktoren!R204/1000, 0)</f>
        <v>0</v>
      </c>
      <c r="S369" s="15">
        <f>IF(ISNUMBER('Refsz-Verbräuche'!S204), 'Refsz-Verbräuche'!S204*Emissionsfaktoren!S204/1000, 0)</f>
        <v>0</v>
      </c>
      <c r="T369" s="15">
        <f>IF(ISNUMBER('Refsz-Verbräuche'!T204), 'Refsz-Verbräuche'!T204*Emissionsfaktoren!T204/1000, 0)</f>
        <v>0</v>
      </c>
      <c r="U369" s="15">
        <f>IF(ISNUMBER('Refsz-Verbräuche'!U204), 'Refsz-Verbräuche'!U204*Emissionsfaktoren!U204/1000, 0)</f>
        <v>0</v>
      </c>
      <c r="V369" s="15">
        <f>IF(ISNUMBER('Refsz-Verbräuche'!V204), 'Refsz-Verbräuche'!V204*Emissionsfaktoren!V204/1000, 0)</f>
        <v>0</v>
      </c>
      <c r="W369" s="15">
        <f>IF(ISNUMBER('Refsz-Verbräuche'!W204), 'Refsz-Verbräuche'!W204*Emissionsfaktoren!W204/1000, 0)</f>
        <v>0</v>
      </c>
      <c r="X369" s="15">
        <f>IF(ISNUMBER('Refsz-Verbräuche'!X204), 'Refsz-Verbräuche'!X204*Emissionsfaktoren!X204/1000, 0)</f>
        <v>0</v>
      </c>
    </row>
    <row r="370" spans="2:24" ht="16.5" hidden="1" x14ac:dyDescent="0.45">
      <c r="B370" s="15">
        <v>145</v>
      </c>
      <c r="C370" s="20">
        <f>'Refsz-Verbräuche'!C205</f>
        <v>0</v>
      </c>
      <c r="D370" t="s">
        <v>208</v>
      </c>
      <c r="E370" s="15">
        <f>IF(ISNUMBER('Refsz-Verbräuche'!E205), 'Refsz-Verbräuche'!E205*Emissionsfaktoren!E205/1000, 0)</f>
        <v>0</v>
      </c>
      <c r="F370" s="15">
        <f>IF(ISNUMBER('Refsz-Verbräuche'!F205), 'Refsz-Verbräuche'!F205*Emissionsfaktoren!F205/1000, 0)</f>
        <v>0</v>
      </c>
      <c r="G370" s="15">
        <f>IF(ISNUMBER('Refsz-Verbräuche'!G205), 'Refsz-Verbräuche'!G205*Emissionsfaktoren!G205/1000, 0)</f>
        <v>0</v>
      </c>
      <c r="H370" s="15">
        <f>IF(ISNUMBER('Refsz-Verbräuche'!H205), 'Refsz-Verbräuche'!H205*Emissionsfaktoren!H205/1000, 0)</f>
        <v>0</v>
      </c>
      <c r="I370" s="15">
        <f>IF(ISNUMBER('Refsz-Verbräuche'!I205), 'Refsz-Verbräuche'!I205*Emissionsfaktoren!I205/1000, 0)</f>
        <v>0</v>
      </c>
      <c r="J370" s="15">
        <f>IF(ISNUMBER('Refsz-Verbräuche'!J205), 'Refsz-Verbräuche'!J205*Emissionsfaktoren!J205/1000, 0)</f>
        <v>0</v>
      </c>
      <c r="K370" s="15">
        <f>IF(ISNUMBER('Refsz-Verbräuche'!K205), 'Refsz-Verbräuche'!K205*Emissionsfaktoren!K205/1000, 0)</f>
        <v>0</v>
      </c>
      <c r="L370" s="15">
        <f>IF(ISNUMBER('Refsz-Verbräuche'!L205), 'Refsz-Verbräuche'!L205*Emissionsfaktoren!L205/1000, 0)</f>
        <v>0</v>
      </c>
      <c r="M370" s="15">
        <f>IF(ISNUMBER('Refsz-Verbräuche'!M205), 'Refsz-Verbräuche'!M205*Emissionsfaktoren!M205/1000, 0)</f>
        <v>0</v>
      </c>
      <c r="N370" s="15">
        <f>IF(ISNUMBER('Refsz-Verbräuche'!N205), 'Refsz-Verbräuche'!N205*Emissionsfaktoren!N205/1000, 0)</f>
        <v>0</v>
      </c>
      <c r="O370" s="15">
        <f>IF(ISNUMBER('Refsz-Verbräuche'!O205), 'Refsz-Verbräuche'!O205*Emissionsfaktoren!O205/1000, 0)</f>
        <v>0</v>
      </c>
      <c r="P370" s="15">
        <f>IF(ISNUMBER('Refsz-Verbräuche'!P205), 'Refsz-Verbräuche'!P205*Emissionsfaktoren!P205/1000, 0)</f>
        <v>0</v>
      </c>
      <c r="Q370" s="15">
        <f>IF(ISNUMBER('Refsz-Verbräuche'!Q205), 'Refsz-Verbräuche'!Q205*Emissionsfaktoren!Q205/1000, 0)</f>
        <v>0</v>
      </c>
      <c r="R370" s="15">
        <f>IF(ISNUMBER('Refsz-Verbräuche'!R205), 'Refsz-Verbräuche'!R205*Emissionsfaktoren!R205/1000, 0)</f>
        <v>0</v>
      </c>
      <c r="S370" s="15">
        <f>IF(ISNUMBER('Refsz-Verbräuche'!S205), 'Refsz-Verbräuche'!S205*Emissionsfaktoren!S205/1000, 0)</f>
        <v>0</v>
      </c>
      <c r="T370" s="15">
        <f>IF(ISNUMBER('Refsz-Verbräuche'!T205), 'Refsz-Verbräuche'!T205*Emissionsfaktoren!T205/1000, 0)</f>
        <v>0</v>
      </c>
      <c r="U370" s="15">
        <f>IF(ISNUMBER('Refsz-Verbräuche'!U205), 'Refsz-Verbräuche'!U205*Emissionsfaktoren!U205/1000, 0)</f>
        <v>0</v>
      </c>
      <c r="V370" s="15">
        <f>IF(ISNUMBER('Refsz-Verbräuche'!V205), 'Refsz-Verbräuche'!V205*Emissionsfaktoren!V205/1000, 0)</f>
        <v>0</v>
      </c>
      <c r="W370" s="15">
        <f>IF(ISNUMBER('Refsz-Verbräuche'!W205), 'Refsz-Verbräuche'!W205*Emissionsfaktoren!W205/1000, 0)</f>
        <v>0</v>
      </c>
      <c r="X370" s="15">
        <f>IF(ISNUMBER('Refsz-Verbräuche'!X205), 'Refsz-Verbräuche'!X205*Emissionsfaktoren!X205/1000, 0)</f>
        <v>0</v>
      </c>
    </row>
    <row r="371" spans="2:24" ht="16.5" hidden="1" x14ac:dyDescent="0.45">
      <c r="B371" s="15">
        <v>146</v>
      </c>
      <c r="C371" s="20" t="str">
        <f>'Refsz-Verbräuche'!C206</f>
        <v>Holzfaserdämmpatte (flexibe Matte)</v>
      </c>
      <c r="D371" t="s">
        <v>208</v>
      </c>
      <c r="E371" s="15">
        <f>IF(ISNUMBER('Refsz-Verbräuche'!E206), 'Refsz-Verbräuche'!E206*Emissionsfaktoren!E206/1000, 0)</f>
        <v>0</v>
      </c>
      <c r="F371" s="15">
        <f>IF(ISNUMBER('Refsz-Verbräuche'!F206), 'Refsz-Verbräuche'!F206*Emissionsfaktoren!F206/1000, 0)</f>
        <v>0</v>
      </c>
      <c r="G371" s="15">
        <f>IF(ISNUMBER('Refsz-Verbräuche'!G206), 'Refsz-Verbräuche'!G206*Emissionsfaktoren!G206/1000, 0)</f>
        <v>0</v>
      </c>
      <c r="H371" s="15">
        <f>IF(ISNUMBER('Refsz-Verbräuche'!H206), 'Refsz-Verbräuche'!H206*Emissionsfaktoren!H206/1000, 0)</f>
        <v>0</v>
      </c>
      <c r="I371" s="15">
        <f>IF(ISNUMBER('Refsz-Verbräuche'!I206), 'Refsz-Verbräuche'!I206*Emissionsfaktoren!I206/1000, 0)</f>
        <v>0</v>
      </c>
      <c r="J371" s="15">
        <f>IF(ISNUMBER('Refsz-Verbräuche'!J206), 'Refsz-Verbräuche'!J206*Emissionsfaktoren!J206/1000, 0)</f>
        <v>0</v>
      </c>
      <c r="K371" s="15">
        <f>IF(ISNUMBER('Refsz-Verbräuche'!K206), 'Refsz-Verbräuche'!K206*Emissionsfaktoren!K206/1000, 0)</f>
        <v>0</v>
      </c>
      <c r="L371" s="15">
        <f>IF(ISNUMBER('Refsz-Verbräuche'!L206), 'Refsz-Verbräuche'!L206*Emissionsfaktoren!L206/1000, 0)</f>
        <v>0</v>
      </c>
      <c r="M371" s="15">
        <f>IF(ISNUMBER('Refsz-Verbräuche'!M206), 'Refsz-Verbräuche'!M206*Emissionsfaktoren!M206/1000, 0)</f>
        <v>0</v>
      </c>
      <c r="N371" s="15">
        <f>IF(ISNUMBER('Refsz-Verbräuche'!N206), 'Refsz-Verbräuche'!N206*Emissionsfaktoren!N206/1000, 0)</f>
        <v>0</v>
      </c>
      <c r="O371" s="15">
        <f>IF(ISNUMBER('Refsz-Verbräuche'!O206), 'Refsz-Verbräuche'!O206*Emissionsfaktoren!O206/1000, 0)</f>
        <v>0</v>
      </c>
      <c r="P371" s="15">
        <f>IF(ISNUMBER('Refsz-Verbräuche'!P206), 'Refsz-Verbräuche'!P206*Emissionsfaktoren!P206/1000, 0)</f>
        <v>0</v>
      </c>
      <c r="Q371" s="15">
        <f>IF(ISNUMBER('Refsz-Verbräuche'!Q206), 'Refsz-Verbräuche'!Q206*Emissionsfaktoren!Q206/1000, 0)</f>
        <v>0</v>
      </c>
      <c r="R371" s="15">
        <f>IF(ISNUMBER('Refsz-Verbräuche'!R206), 'Refsz-Verbräuche'!R206*Emissionsfaktoren!R206/1000, 0)</f>
        <v>0</v>
      </c>
      <c r="S371" s="15">
        <f>IF(ISNUMBER('Refsz-Verbräuche'!S206), 'Refsz-Verbräuche'!S206*Emissionsfaktoren!S206/1000, 0)</f>
        <v>0</v>
      </c>
      <c r="T371" s="15">
        <f>IF(ISNUMBER('Refsz-Verbräuche'!T206), 'Refsz-Verbräuche'!T206*Emissionsfaktoren!T206/1000, 0)</f>
        <v>0</v>
      </c>
      <c r="U371" s="15">
        <f>IF(ISNUMBER('Refsz-Verbräuche'!U206), 'Refsz-Verbräuche'!U206*Emissionsfaktoren!U206/1000, 0)</f>
        <v>0</v>
      </c>
      <c r="V371" s="15">
        <f>IF(ISNUMBER('Refsz-Verbräuche'!V206), 'Refsz-Verbräuche'!V206*Emissionsfaktoren!V206/1000, 0)</f>
        <v>0</v>
      </c>
      <c r="W371" s="15">
        <f>IF(ISNUMBER('Refsz-Verbräuche'!W206), 'Refsz-Verbräuche'!W206*Emissionsfaktoren!W206/1000, 0)</f>
        <v>0</v>
      </c>
      <c r="X371" s="15">
        <f>IF(ISNUMBER('Refsz-Verbräuche'!X206), 'Refsz-Verbräuche'!X206*Emissionsfaktoren!X206/1000, 0)</f>
        <v>0</v>
      </c>
    </row>
    <row r="372" spans="2:24" ht="16.5" hidden="1" x14ac:dyDescent="0.45">
      <c r="B372" s="15">
        <v>147</v>
      </c>
      <c r="C372" s="20">
        <f>'Refsz-Verbräuche'!C207</f>
        <v>0</v>
      </c>
      <c r="D372" t="s">
        <v>208</v>
      </c>
      <c r="E372" s="15">
        <f>IF(ISNUMBER('Refsz-Verbräuche'!E207), 'Refsz-Verbräuche'!E207*Emissionsfaktoren!E207/1000, 0)</f>
        <v>0</v>
      </c>
      <c r="F372" s="15">
        <f>IF(ISNUMBER('Refsz-Verbräuche'!F207), 'Refsz-Verbräuche'!F207*Emissionsfaktoren!F207/1000, 0)</f>
        <v>0</v>
      </c>
      <c r="G372" s="15">
        <f>IF(ISNUMBER('Refsz-Verbräuche'!G207), 'Refsz-Verbräuche'!G207*Emissionsfaktoren!G207/1000, 0)</f>
        <v>0</v>
      </c>
      <c r="H372" s="15">
        <f>IF(ISNUMBER('Refsz-Verbräuche'!H207), 'Refsz-Verbräuche'!H207*Emissionsfaktoren!H207/1000, 0)</f>
        <v>0</v>
      </c>
      <c r="I372" s="15">
        <f>IF(ISNUMBER('Refsz-Verbräuche'!I207), 'Refsz-Verbräuche'!I207*Emissionsfaktoren!I207/1000, 0)</f>
        <v>0</v>
      </c>
      <c r="J372" s="15">
        <f>IF(ISNUMBER('Refsz-Verbräuche'!J207), 'Refsz-Verbräuche'!J207*Emissionsfaktoren!J207/1000, 0)</f>
        <v>0</v>
      </c>
      <c r="K372" s="15">
        <f>IF(ISNUMBER('Refsz-Verbräuche'!K207), 'Refsz-Verbräuche'!K207*Emissionsfaktoren!K207/1000, 0)</f>
        <v>0</v>
      </c>
      <c r="L372" s="15">
        <f>IF(ISNUMBER('Refsz-Verbräuche'!L207), 'Refsz-Verbräuche'!L207*Emissionsfaktoren!L207/1000, 0)</f>
        <v>0</v>
      </c>
      <c r="M372" s="15">
        <f>IF(ISNUMBER('Refsz-Verbräuche'!M207), 'Refsz-Verbräuche'!M207*Emissionsfaktoren!M207/1000, 0)</f>
        <v>0</v>
      </c>
      <c r="N372" s="15">
        <f>IF(ISNUMBER('Refsz-Verbräuche'!N207), 'Refsz-Verbräuche'!N207*Emissionsfaktoren!N207/1000, 0)</f>
        <v>0</v>
      </c>
      <c r="O372" s="15">
        <f>IF(ISNUMBER('Refsz-Verbräuche'!O207), 'Refsz-Verbräuche'!O207*Emissionsfaktoren!O207/1000, 0)</f>
        <v>0</v>
      </c>
      <c r="P372" s="15">
        <f>IF(ISNUMBER('Refsz-Verbräuche'!P207), 'Refsz-Verbräuche'!P207*Emissionsfaktoren!P207/1000, 0)</f>
        <v>0</v>
      </c>
      <c r="Q372" s="15">
        <f>IF(ISNUMBER('Refsz-Verbräuche'!Q207), 'Refsz-Verbräuche'!Q207*Emissionsfaktoren!Q207/1000, 0)</f>
        <v>0</v>
      </c>
      <c r="R372" s="15">
        <f>IF(ISNUMBER('Refsz-Verbräuche'!R207), 'Refsz-Verbräuche'!R207*Emissionsfaktoren!R207/1000, 0)</f>
        <v>0</v>
      </c>
      <c r="S372" s="15">
        <f>IF(ISNUMBER('Refsz-Verbräuche'!S207), 'Refsz-Verbräuche'!S207*Emissionsfaktoren!S207/1000, 0)</f>
        <v>0</v>
      </c>
      <c r="T372" s="15">
        <f>IF(ISNUMBER('Refsz-Verbräuche'!T207), 'Refsz-Verbräuche'!T207*Emissionsfaktoren!T207/1000, 0)</f>
        <v>0</v>
      </c>
      <c r="U372" s="15">
        <f>IF(ISNUMBER('Refsz-Verbräuche'!U207), 'Refsz-Verbräuche'!U207*Emissionsfaktoren!U207/1000, 0)</f>
        <v>0</v>
      </c>
      <c r="V372" s="15">
        <f>IF(ISNUMBER('Refsz-Verbräuche'!V207), 'Refsz-Verbräuche'!V207*Emissionsfaktoren!V207/1000, 0)</f>
        <v>0</v>
      </c>
      <c r="W372" s="15">
        <f>IF(ISNUMBER('Refsz-Verbräuche'!W207), 'Refsz-Verbräuche'!W207*Emissionsfaktoren!W207/1000, 0)</f>
        <v>0</v>
      </c>
      <c r="X372" s="15">
        <f>IF(ISNUMBER('Refsz-Verbräuche'!X207), 'Refsz-Verbräuche'!X207*Emissionsfaktoren!X207/1000, 0)</f>
        <v>0</v>
      </c>
    </row>
    <row r="373" spans="2:24" ht="16.5" hidden="1" x14ac:dyDescent="0.45">
      <c r="B373" s="15">
        <v>148</v>
      </c>
      <c r="C373" s="20" t="str">
        <f>'Refsz-Verbräuche'!C208</f>
        <v>Kompensation</v>
      </c>
      <c r="D373" t="s">
        <v>208</v>
      </c>
      <c r="E373" s="15">
        <f>IF(ISNUMBER('Refsz-Verbräuche'!E208), 'Refsz-Verbräuche'!E208*Emissionsfaktoren!E208/1000, 0)</f>
        <v>0</v>
      </c>
      <c r="F373" s="15">
        <f>IF(ISNUMBER('Refsz-Verbräuche'!F208), 'Refsz-Verbräuche'!F208*Emissionsfaktoren!F208/1000, 0)</f>
        <v>0</v>
      </c>
      <c r="G373" s="15">
        <f>IF(ISNUMBER('Refsz-Verbräuche'!G208), 'Refsz-Verbräuche'!G208*Emissionsfaktoren!G208/1000, 0)</f>
        <v>0</v>
      </c>
      <c r="H373" s="15">
        <f>IF(ISNUMBER('Refsz-Verbräuche'!H208), 'Refsz-Verbräuche'!H208*Emissionsfaktoren!H208/1000, 0)</f>
        <v>0</v>
      </c>
      <c r="I373" s="15">
        <f>IF(ISNUMBER('Refsz-Verbräuche'!I208), 'Refsz-Verbräuche'!I208*Emissionsfaktoren!I208/1000, 0)</f>
        <v>0</v>
      </c>
      <c r="J373" s="15">
        <f>IF(ISNUMBER('Refsz-Verbräuche'!J208), 'Refsz-Verbräuche'!J208*Emissionsfaktoren!J208/1000, 0)</f>
        <v>0</v>
      </c>
      <c r="K373" s="15">
        <f>IF(ISNUMBER('Refsz-Verbräuche'!K208), 'Refsz-Verbräuche'!K208*Emissionsfaktoren!K208/1000, 0)</f>
        <v>0</v>
      </c>
      <c r="L373" s="15">
        <f>IF(ISNUMBER('Refsz-Verbräuche'!L208), 'Refsz-Verbräuche'!L208*Emissionsfaktoren!L208/1000, 0)</f>
        <v>0</v>
      </c>
      <c r="M373" s="15">
        <f>IF(ISNUMBER('Refsz-Verbräuche'!M208), 'Refsz-Verbräuche'!M208*Emissionsfaktoren!M208/1000, 0)</f>
        <v>0</v>
      </c>
      <c r="N373" s="15">
        <f>IF(ISNUMBER('Refsz-Verbräuche'!N208), 'Refsz-Verbräuche'!N208*Emissionsfaktoren!N208/1000, 0)</f>
        <v>0</v>
      </c>
      <c r="O373" s="15">
        <f>IF(ISNUMBER('Refsz-Verbräuche'!O208), 'Refsz-Verbräuche'!O208*Emissionsfaktoren!O208/1000, 0)</f>
        <v>0</v>
      </c>
      <c r="P373" s="15">
        <f>IF(ISNUMBER('Refsz-Verbräuche'!P208), 'Refsz-Verbräuche'!P208*Emissionsfaktoren!P208/1000, 0)</f>
        <v>0</v>
      </c>
      <c r="Q373" s="15">
        <f>IF(ISNUMBER('Refsz-Verbräuche'!Q208), 'Refsz-Verbräuche'!Q208*Emissionsfaktoren!Q208/1000, 0)</f>
        <v>0</v>
      </c>
      <c r="R373" s="15">
        <f>IF(ISNUMBER('Refsz-Verbräuche'!R208), 'Refsz-Verbräuche'!R208*Emissionsfaktoren!R208/1000, 0)</f>
        <v>0</v>
      </c>
      <c r="S373" s="15">
        <f>IF(ISNUMBER('Refsz-Verbräuche'!S208), 'Refsz-Verbräuche'!S208*Emissionsfaktoren!S208/1000, 0)</f>
        <v>0</v>
      </c>
      <c r="T373" s="15">
        <f>IF(ISNUMBER('Refsz-Verbräuche'!T208), 'Refsz-Verbräuche'!T208*Emissionsfaktoren!T208/1000, 0)</f>
        <v>0</v>
      </c>
      <c r="U373" s="15">
        <f>IF(ISNUMBER('Refsz-Verbräuche'!U208), 'Refsz-Verbräuche'!U208*Emissionsfaktoren!U208/1000, 0)</f>
        <v>0</v>
      </c>
      <c r="V373" s="15">
        <f>IF(ISNUMBER('Refsz-Verbräuche'!V208), 'Refsz-Verbräuche'!V208*Emissionsfaktoren!V208/1000, 0)</f>
        <v>0</v>
      </c>
      <c r="W373" s="15">
        <f>IF(ISNUMBER('Refsz-Verbräuche'!W208), 'Refsz-Verbräuche'!W208*Emissionsfaktoren!W208/1000, 0)</f>
        <v>0</v>
      </c>
      <c r="X373" s="15">
        <f>IF(ISNUMBER('Refsz-Verbräuche'!X208), 'Refsz-Verbräuche'!X208*Emissionsfaktoren!X208/1000, 0)</f>
        <v>0</v>
      </c>
    </row>
    <row r="374" spans="2:24" ht="16.5" hidden="1" x14ac:dyDescent="0.45">
      <c r="B374" s="15">
        <v>149</v>
      </c>
      <c r="C374" s="20">
        <f>'Refsz-Verbräuche'!C209</f>
        <v>0</v>
      </c>
      <c r="D374" t="s">
        <v>208</v>
      </c>
      <c r="E374" s="15">
        <f>IF(ISNUMBER('Refsz-Verbräuche'!E209), 'Refsz-Verbräuche'!E209*Emissionsfaktoren!E209/1000, 0)</f>
        <v>0</v>
      </c>
      <c r="F374" s="15">
        <f>IF(ISNUMBER('Refsz-Verbräuche'!F209), 'Refsz-Verbräuche'!F209*Emissionsfaktoren!F209/1000, 0)</f>
        <v>0</v>
      </c>
      <c r="G374" s="15">
        <f>IF(ISNUMBER('Refsz-Verbräuche'!G209), 'Refsz-Verbräuche'!G209*Emissionsfaktoren!G209/1000, 0)</f>
        <v>0</v>
      </c>
      <c r="H374" s="15">
        <f>IF(ISNUMBER('Refsz-Verbräuche'!H209), 'Refsz-Verbräuche'!H209*Emissionsfaktoren!H209/1000, 0)</f>
        <v>0</v>
      </c>
      <c r="I374" s="15">
        <f>IF(ISNUMBER('Refsz-Verbräuche'!I209), 'Refsz-Verbräuche'!I209*Emissionsfaktoren!I209/1000, 0)</f>
        <v>0</v>
      </c>
      <c r="J374" s="15">
        <f>IF(ISNUMBER('Refsz-Verbräuche'!J209), 'Refsz-Verbräuche'!J209*Emissionsfaktoren!J209/1000, 0)</f>
        <v>0</v>
      </c>
      <c r="K374" s="15">
        <f>IF(ISNUMBER('Refsz-Verbräuche'!K209), 'Refsz-Verbräuche'!K209*Emissionsfaktoren!K209/1000, 0)</f>
        <v>0</v>
      </c>
      <c r="L374" s="15">
        <f>IF(ISNUMBER('Refsz-Verbräuche'!L209), 'Refsz-Verbräuche'!L209*Emissionsfaktoren!L209/1000, 0)</f>
        <v>0</v>
      </c>
      <c r="M374" s="15">
        <f>IF(ISNUMBER('Refsz-Verbräuche'!M209), 'Refsz-Verbräuche'!M209*Emissionsfaktoren!M209/1000, 0)</f>
        <v>0</v>
      </c>
      <c r="N374" s="15">
        <f>IF(ISNUMBER('Refsz-Verbräuche'!N209), 'Refsz-Verbräuche'!N209*Emissionsfaktoren!N209/1000, 0)</f>
        <v>0</v>
      </c>
      <c r="O374" s="15">
        <f>IF(ISNUMBER('Refsz-Verbräuche'!O209), 'Refsz-Verbräuche'!O209*Emissionsfaktoren!O209/1000, 0)</f>
        <v>0</v>
      </c>
      <c r="P374" s="15">
        <f>IF(ISNUMBER('Refsz-Verbräuche'!P209), 'Refsz-Verbräuche'!P209*Emissionsfaktoren!P209/1000, 0)</f>
        <v>0</v>
      </c>
      <c r="Q374" s="15">
        <f>IF(ISNUMBER('Refsz-Verbräuche'!Q209), 'Refsz-Verbräuche'!Q209*Emissionsfaktoren!Q209/1000, 0)</f>
        <v>0</v>
      </c>
      <c r="R374" s="15">
        <f>IF(ISNUMBER('Refsz-Verbräuche'!R209), 'Refsz-Verbräuche'!R209*Emissionsfaktoren!R209/1000, 0)</f>
        <v>0</v>
      </c>
      <c r="S374" s="15">
        <f>IF(ISNUMBER('Refsz-Verbräuche'!S209), 'Refsz-Verbräuche'!S209*Emissionsfaktoren!S209/1000, 0)</f>
        <v>0</v>
      </c>
      <c r="T374" s="15">
        <f>IF(ISNUMBER('Refsz-Verbräuche'!T209), 'Refsz-Verbräuche'!T209*Emissionsfaktoren!T209/1000, 0)</f>
        <v>0</v>
      </c>
      <c r="U374" s="15">
        <f>IF(ISNUMBER('Refsz-Verbräuche'!U209), 'Refsz-Verbräuche'!U209*Emissionsfaktoren!U209/1000, 0)</f>
        <v>0</v>
      </c>
      <c r="V374" s="15">
        <f>IF(ISNUMBER('Refsz-Verbräuche'!V209), 'Refsz-Verbräuche'!V209*Emissionsfaktoren!V209/1000, 0)</f>
        <v>0</v>
      </c>
      <c r="W374" s="15">
        <f>IF(ISNUMBER('Refsz-Verbräuche'!W209), 'Refsz-Verbräuche'!W209*Emissionsfaktoren!W209/1000, 0)</f>
        <v>0</v>
      </c>
      <c r="X374" s="15">
        <f>IF(ISNUMBER('Refsz-Verbräuche'!X209), 'Refsz-Verbräuche'!X209*Emissionsfaktoren!X209/1000, 0)</f>
        <v>0</v>
      </c>
    </row>
    <row r="375" spans="2:24" ht="16.5" hidden="1" x14ac:dyDescent="0.45">
      <c r="B375" s="15">
        <v>150</v>
      </c>
      <c r="C375" s="20">
        <f>'Refsz-Verbräuche'!C210</f>
        <v>0</v>
      </c>
      <c r="D375" t="s">
        <v>208</v>
      </c>
      <c r="E375" s="15">
        <f>IF(ISNUMBER('Refsz-Verbräuche'!E210), 'Refsz-Verbräuche'!E210*Emissionsfaktoren!E210/1000, 0)</f>
        <v>0</v>
      </c>
      <c r="F375" s="15">
        <f>IF(ISNUMBER('Refsz-Verbräuche'!F210), 'Refsz-Verbräuche'!F210*Emissionsfaktoren!F210/1000, 0)</f>
        <v>0</v>
      </c>
      <c r="G375" s="15">
        <f>IF(ISNUMBER('Refsz-Verbräuche'!G210), 'Refsz-Verbräuche'!G210*Emissionsfaktoren!G210/1000, 0)</f>
        <v>0</v>
      </c>
      <c r="H375" s="15">
        <f>IF(ISNUMBER('Refsz-Verbräuche'!H210), 'Refsz-Verbräuche'!H210*Emissionsfaktoren!H210/1000, 0)</f>
        <v>0</v>
      </c>
      <c r="I375" s="15">
        <f>IF(ISNUMBER('Refsz-Verbräuche'!I210), 'Refsz-Verbräuche'!I210*Emissionsfaktoren!I210/1000, 0)</f>
        <v>0</v>
      </c>
      <c r="J375" s="15">
        <f>IF(ISNUMBER('Refsz-Verbräuche'!J210), 'Refsz-Verbräuche'!J210*Emissionsfaktoren!J210/1000, 0)</f>
        <v>0</v>
      </c>
      <c r="K375" s="15">
        <f>IF(ISNUMBER('Refsz-Verbräuche'!K210), 'Refsz-Verbräuche'!K210*Emissionsfaktoren!K210/1000, 0)</f>
        <v>0</v>
      </c>
      <c r="L375" s="15">
        <f>IF(ISNUMBER('Refsz-Verbräuche'!L210), 'Refsz-Verbräuche'!L210*Emissionsfaktoren!L210/1000, 0)</f>
        <v>0</v>
      </c>
      <c r="M375" s="15">
        <f>IF(ISNUMBER('Refsz-Verbräuche'!M210), 'Refsz-Verbräuche'!M210*Emissionsfaktoren!M210/1000, 0)</f>
        <v>0</v>
      </c>
      <c r="N375" s="15">
        <f>IF(ISNUMBER('Refsz-Verbräuche'!N210), 'Refsz-Verbräuche'!N210*Emissionsfaktoren!N210/1000, 0)</f>
        <v>0</v>
      </c>
      <c r="O375" s="15">
        <f>IF(ISNUMBER('Refsz-Verbräuche'!O210), 'Refsz-Verbräuche'!O210*Emissionsfaktoren!O210/1000, 0)</f>
        <v>0</v>
      </c>
      <c r="P375" s="15">
        <f>IF(ISNUMBER('Refsz-Verbräuche'!P210), 'Refsz-Verbräuche'!P210*Emissionsfaktoren!P210/1000, 0)</f>
        <v>0</v>
      </c>
      <c r="Q375" s="15">
        <f>IF(ISNUMBER('Refsz-Verbräuche'!Q210), 'Refsz-Verbräuche'!Q210*Emissionsfaktoren!Q210/1000, 0)</f>
        <v>0</v>
      </c>
      <c r="R375" s="15">
        <f>IF(ISNUMBER('Refsz-Verbräuche'!R210), 'Refsz-Verbräuche'!R210*Emissionsfaktoren!R210/1000, 0)</f>
        <v>0</v>
      </c>
      <c r="S375" s="15">
        <f>IF(ISNUMBER('Refsz-Verbräuche'!S210), 'Refsz-Verbräuche'!S210*Emissionsfaktoren!S210/1000, 0)</f>
        <v>0</v>
      </c>
      <c r="T375" s="15">
        <f>IF(ISNUMBER('Refsz-Verbräuche'!T210), 'Refsz-Verbräuche'!T210*Emissionsfaktoren!T210/1000, 0)</f>
        <v>0</v>
      </c>
      <c r="U375" s="15">
        <f>IF(ISNUMBER('Refsz-Verbräuche'!U210), 'Refsz-Verbräuche'!U210*Emissionsfaktoren!U210/1000, 0)</f>
        <v>0</v>
      </c>
      <c r="V375" s="15">
        <f>IF(ISNUMBER('Refsz-Verbräuche'!V210), 'Refsz-Verbräuche'!V210*Emissionsfaktoren!V210/1000, 0)</f>
        <v>0</v>
      </c>
      <c r="W375" s="15">
        <f>IF(ISNUMBER('Refsz-Verbräuche'!W210), 'Refsz-Verbräuche'!W210*Emissionsfaktoren!W210/1000, 0)</f>
        <v>0</v>
      </c>
      <c r="X375" s="15">
        <f>IF(ISNUMBER('Refsz-Verbräuche'!X210), 'Refsz-Verbräuche'!X210*Emissionsfaktoren!X210/1000, 0)</f>
        <v>0</v>
      </c>
    </row>
    <row r="376" spans="2:24" ht="16.5" hidden="1" x14ac:dyDescent="0.45">
      <c r="B376" s="15">
        <v>151</v>
      </c>
      <c r="C376" s="20">
        <f>'Refsz-Verbräuche'!C211</f>
        <v>0</v>
      </c>
      <c r="D376" t="s">
        <v>208</v>
      </c>
      <c r="E376" s="15">
        <f>IF(ISNUMBER('Refsz-Verbräuche'!E211), 'Refsz-Verbräuche'!E211*Emissionsfaktoren!E211/1000, 0)</f>
        <v>0</v>
      </c>
      <c r="F376" s="15">
        <f>IF(ISNUMBER('Refsz-Verbräuche'!F211), 'Refsz-Verbräuche'!F211*Emissionsfaktoren!F211/1000, 0)</f>
        <v>0</v>
      </c>
      <c r="G376" s="15">
        <f>IF(ISNUMBER('Refsz-Verbräuche'!G211), 'Refsz-Verbräuche'!G211*Emissionsfaktoren!G211/1000, 0)</f>
        <v>0</v>
      </c>
      <c r="H376" s="15">
        <f>IF(ISNUMBER('Refsz-Verbräuche'!H211), 'Refsz-Verbräuche'!H211*Emissionsfaktoren!H211/1000, 0)</f>
        <v>0</v>
      </c>
      <c r="I376" s="15">
        <f>IF(ISNUMBER('Refsz-Verbräuche'!I211), 'Refsz-Verbräuche'!I211*Emissionsfaktoren!I211/1000, 0)</f>
        <v>0</v>
      </c>
      <c r="J376" s="15">
        <f>IF(ISNUMBER('Refsz-Verbräuche'!J211), 'Refsz-Verbräuche'!J211*Emissionsfaktoren!J211/1000, 0)</f>
        <v>0</v>
      </c>
      <c r="K376" s="15">
        <f>IF(ISNUMBER('Refsz-Verbräuche'!K211), 'Refsz-Verbräuche'!K211*Emissionsfaktoren!K211/1000, 0)</f>
        <v>0</v>
      </c>
      <c r="L376" s="15">
        <f>IF(ISNUMBER('Refsz-Verbräuche'!L211), 'Refsz-Verbräuche'!L211*Emissionsfaktoren!L211/1000, 0)</f>
        <v>0</v>
      </c>
      <c r="M376" s="15">
        <f>IF(ISNUMBER('Refsz-Verbräuche'!M211), 'Refsz-Verbräuche'!M211*Emissionsfaktoren!M211/1000, 0)</f>
        <v>0</v>
      </c>
      <c r="N376" s="15">
        <f>IF(ISNUMBER('Refsz-Verbräuche'!N211), 'Refsz-Verbräuche'!N211*Emissionsfaktoren!N211/1000, 0)</f>
        <v>0</v>
      </c>
      <c r="O376" s="15">
        <f>IF(ISNUMBER('Refsz-Verbräuche'!O211), 'Refsz-Verbräuche'!O211*Emissionsfaktoren!O211/1000, 0)</f>
        <v>0</v>
      </c>
      <c r="P376" s="15">
        <f>IF(ISNUMBER('Refsz-Verbräuche'!P211), 'Refsz-Verbräuche'!P211*Emissionsfaktoren!P211/1000, 0)</f>
        <v>0</v>
      </c>
      <c r="Q376" s="15">
        <f>IF(ISNUMBER('Refsz-Verbräuche'!Q211), 'Refsz-Verbräuche'!Q211*Emissionsfaktoren!Q211/1000, 0)</f>
        <v>0</v>
      </c>
      <c r="R376" s="15">
        <f>IF(ISNUMBER('Refsz-Verbräuche'!R211), 'Refsz-Verbräuche'!R211*Emissionsfaktoren!R211/1000, 0)</f>
        <v>0</v>
      </c>
      <c r="S376" s="15">
        <f>IF(ISNUMBER('Refsz-Verbräuche'!S211), 'Refsz-Verbräuche'!S211*Emissionsfaktoren!S211/1000, 0)</f>
        <v>0</v>
      </c>
      <c r="T376" s="15">
        <f>IF(ISNUMBER('Refsz-Verbräuche'!T211), 'Refsz-Verbräuche'!T211*Emissionsfaktoren!T211/1000, 0)</f>
        <v>0</v>
      </c>
      <c r="U376" s="15">
        <f>IF(ISNUMBER('Refsz-Verbräuche'!U211), 'Refsz-Verbräuche'!U211*Emissionsfaktoren!U211/1000, 0)</f>
        <v>0</v>
      </c>
      <c r="V376" s="15">
        <f>IF(ISNUMBER('Refsz-Verbräuche'!V211), 'Refsz-Verbräuche'!V211*Emissionsfaktoren!V211/1000, 0)</f>
        <v>0</v>
      </c>
      <c r="W376" s="15">
        <f>IF(ISNUMBER('Refsz-Verbräuche'!W211), 'Refsz-Verbräuche'!W211*Emissionsfaktoren!W211/1000, 0)</f>
        <v>0</v>
      </c>
      <c r="X376" s="15">
        <f>IF(ISNUMBER('Refsz-Verbräuche'!X211), 'Refsz-Verbräuche'!X211*Emissionsfaktoren!X211/1000, 0)</f>
        <v>0</v>
      </c>
    </row>
    <row r="377" spans="2:24" ht="16.5" hidden="1" x14ac:dyDescent="0.45">
      <c r="B377" s="15">
        <v>152</v>
      </c>
      <c r="C377" s="20">
        <f>'Refsz-Verbräuche'!C212</f>
        <v>0</v>
      </c>
      <c r="D377" t="s">
        <v>208</v>
      </c>
      <c r="E377" s="15">
        <f>IF(ISNUMBER('Refsz-Verbräuche'!E212), 'Refsz-Verbräuche'!E212*Emissionsfaktoren!E212/1000, 0)</f>
        <v>0</v>
      </c>
      <c r="F377" s="15">
        <f>IF(ISNUMBER('Refsz-Verbräuche'!F212), 'Refsz-Verbräuche'!F212*Emissionsfaktoren!F212/1000, 0)</f>
        <v>0</v>
      </c>
      <c r="G377" s="15">
        <f>IF(ISNUMBER('Refsz-Verbräuche'!G212), 'Refsz-Verbräuche'!G212*Emissionsfaktoren!G212/1000, 0)</f>
        <v>0</v>
      </c>
      <c r="H377" s="15">
        <f>IF(ISNUMBER('Refsz-Verbräuche'!H212), 'Refsz-Verbräuche'!H212*Emissionsfaktoren!H212/1000, 0)</f>
        <v>0</v>
      </c>
      <c r="I377" s="15">
        <f>IF(ISNUMBER('Refsz-Verbräuche'!I212), 'Refsz-Verbräuche'!I212*Emissionsfaktoren!I212/1000, 0)</f>
        <v>0</v>
      </c>
      <c r="J377" s="15">
        <f>IF(ISNUMBER('Refsz-Verbräuche'!J212), 'Refsz-Verbräuche'!J212*Emissionsfaktoren!J212/1000, 0)</f>
        <v>0</v>
      </c>
      <c r="K377" s="15">
        <f>IF(ISNUMBER('Refsz-Verbräuche'!K212), 'Refsz-Verbräuche'!K212*Emissionsfaktoren!K212/1000, 0)</f>
        <v>0</v>
      </c>
      <c r="L377" s="15">
        <f>IF(ISNUMBER('Refsz-Verbräuche'!L212), 'Refsz-Verbräuche'!L212*Emissionsfaktoren!L212/1000, 0)</f>
        <v>0</v>
      </c>
      <c r="M377" s="15">
        <f>IF(ISNUMBER('Refsz-Verbräuche'!M212), 'Refsz-Verbräuche'!M212*Emissionsfaktoren!M212/1000, 0)</f>
        <v>0</v>
      </c>
      <c r="N377" s="15">
        <f>IF(ISNUMBER('Refsz-Verbräuche'!N212), 'Refsz-Verbräuche'!N212*Emissionsfaktoren!N212/1000, 0)</f>
        <v>0</v>
      </c>
      <c r="O377" s="15">
        <f>IF(ISNUMBER('Refsz-Verbräuche'!O212), 'Refsz-Verbräuche'!O212*Emissionsfaktoren!O212/1000, 0)</f>
        <v>0</v>
      </c>
      <c r="P377" s="15">
        <f>IF(ISNUMBER('Refsz-Verbräuche'!P212), 'Refsz-Verbräuche'!P212*Emissionsfaktoren!P212/1000, 0)</f>
        <v>0</v>
      </c>
      <c r="Q377" s="15">
        <f>IF(ISNUMBER('Refsz-Verbräuche'!Q212), 'Refsz-Verbräuche'!Q212*Emissionsfaktoren!Q212/1000, 0)</f>
        <v>0</v>
      </c>
      <c r="R377" s="15">
        <f>IF(ISNUMBER('Refsz-Verbräuche'!R212), 'Refsz-Verbräuche'!R212*Emissionsfaktoren!R212/1000, 0)</f>
        <v>0</v>
      </c>
      <c r="S377" s="15">
        <f>IF(ISNUMBER('Refsz-Verbräuche'!S212), 'Refsz-Verbräuche'!S212*Emissionsfaktoren!S212/1000, 0)</f>
        <v>0</v>
      </c>
      <c r="T377" s="15">
        <f>IF(ISNUMBER('Refsz-Verbräuche'!T212), 'Refsz-Verbräuche'!T212*Emissionsfaktoren!T212/1000, 0)</f>
        <v>0</v>
      </c>
      <c r="U377" s="15">
        <f>IF(ISNUMBER('Refsz-Verbräuche'!U212), 'Refsz-Verbräuche'!U212*Emissionsfaktoren!U212/1000, 0)</f>
        <v>0</v>
      </c>
      <c r="V377" s="15">
        <f>IF(ISNUMBER('Refsz-Verbräuche'!V212), 'Refsz-Verbräuche'!V212*Emissionsfaktoren!V212/1000, 0)</f>
        <v>0</v>
      </c>
      <c r="W377" s="15">
        <f>IF(ISNUMBER('Refsz-Verbräuche'!W212), 'Refsz-Verbräuche'!W212*Emissionsfaktoren!W212/1000, 0)</f>
        <v>0</v>
      </c>
      <c r="X377" s="15">
        <f>IF(ISNUMBER('Refsz-Verbräuche'!X212), 'Refsz-Verbräuche'!X212*Emissionsfaktoren!X212/1000, 0)</f>
        <v>0</v>
      </c>
    </row>
    <row r="378" spans="2:24" ht="16.5" hidden="1" x14ac:dyDescent="0.45">
      <c r="B378" s="15">
        <v>153</v>
      </c>
      <c r="C378" s="20">
        <f>'Refsz-Verbräuche'!C213</f>
        <v>0</v>
      </c>
      <c r="D378" t="s">
        <v>208</v>
      </c>
      <c r="E378" s="15">
        <f>IF(ISNUMBER('Refsz-Verbräuche'!E213), 'Refsz-Verbräuche'!E213*Emissionsfaktoren!E213/1000, 0)</f>
        <v>0</v>
      </c>
      <c r="F378" s="15">
        <f>IF(ISNUMBER('Refsz-Verbräuche'!F213), 'Refsz-Verbräuche'!F213*Emissionsfaktoren!F213/1000, 0)</f>
        <v>0</v>
      </c>
      <c r="G378" s="15">
        <f>IF(ISNUMBER('Refsz-Verbräuche'!G213), 'Refsz-Verbräuche'!G213*Emissionsfaktoren!G213/1000, 0)</f>
        <v>0</v>
      </c>
      <c r="H378" s="15">
        <f>IF(ISNUMBER('Refsz-Verbräuche'!H213), 'Refsz-Verbräuche'!H213*Emissionsfaktoren!H213/1000, 0)</f>
        <v>0</v>
      </c>
      <c r="I378" s="15">
        <f>IF(ISNUMBER('Refsz-Verbräuche'!I213), 'Refsz-Verbräuche'!I213*Emissionsfaktoren!I213/1000, 0)</f>
        <v>0</v>
      </c>
      <c r="J378" s="15">
        <f>IF(ISNUMBER('Refsz-Verbräuche'!J213), 'Refsz-Verbräuche'!J213*Emissionsfaktoren!J213/1000, 0)</f>
        <v>0</v>
      </c>
      <c r="K378" s="15">
        <f>IF(ISNUMBER('Refsz-Verbräuche'!K213), 'Refsz-Verbräuche'!K213*Emissionsfaktoren!K213/1000, 0)</f>
        <v>0</v>
      </c>
      <c r="L378" s="15">
        <f>IF(ISNUMBER('Refsz-Verbräuche'!L213), 'Refsz-Verbräuche'!L213*Emissionsfaktoren!L213/1000, 0)</f>
        <v>0</v>
      </c>
      <c r="M378" s="15">
        <f>IF(ISNUMBER('Refsz-Verbräuche'!M213), 'Refsz-Verbräuche'!M213*Emissionsfaktoren!M213/1000, 0)</f>
        <v>0</v>
      </c>
      <c r="N378" s="15">
        <f>IF(ISNUMBER('Refsz-Verbräuche'!N213), 'Refsz-Verbräuche'!N213*Emissionsfaktoren!N213/1000, 0)</f>
        <v>0</v>
      </c>
      <c r="O378" s="15">
        <f>IF(ISNUMBER('Refsz-Verbräuche'!O213), 'Refsz-Verbräuche'!O213*Emissionsfaktoren!O213/1000, 0)</f>
        <v>0</v>
      </c>
      <c r="P378" s="15">
        <f>IF(ISNUMBER('Refsz-Verbräuche'!P213), 'Refsz-Verbräuche'!P213*Emissionsfaktoren!P213/1000, 0)</f>
        <v>0</v>
      </c>
      <c r="Q378" s="15">
        <f>IF(ISNUMBER('Refsz-Verbräuche'!Q213), 'Refsz-Verbräuche'!Q213*Emissionsfaktoren!Q213/1000, 0)</f>
        <v>0</v>
      </c>
      <c r="R378" s="15">
        <f>IF(ISNUMBER('Refsz-Verbräuche'!R213), 'Refsz-Verbräuche'!R213*Emissionsfaktoren!R213/1000, 0)</f>
        <v>0</v>
      </c>
      <c r="S378" s="15">
        <f>IF(ISNUMBER('Refsz-Verbräuche'!S213), 'Refsz-Verbräuche'!S213*Emissionsfaktoren!S213/1000, 0)</f>
        <v>0</v>
      </c>
      <c r="T378" s="15">
        <f>IF(ISNUMBER('Refsz-Verbräuche'!T213), 'Refsz-Verbräuche'!T213*Emissionsfaktoren!T213/1000, 0)</f>
        <v>0</v>
      </c>
      <c r="U378" s="15">
        <f>IF(ISNUMBER('Refsz-Verbräuche'!U213), 'Refsz-Verbräuche'!U213*Emissionsfaktoren!U213/1000, 0)</f>
        <v>0</v>
      </c>
      <c r="V378" s="15">
        <f>IF(ISNUMBER('Refsz-Verbräuche'!V213), 'Refsz-Verbräuche'!V213*Emissionsfaktoren!V213/1000, 0)</f>
        <v>0</v>
      </c>
      <c r="W378" s="15">
        <f>IF(ISNUMBER('Refsz-Verbräuche'!W213), 'Refsz-Verbräuche'!W213*Emissionsfaktoren!W213/1000, 0)</f>
        <v>0</v>
      </c>
      <c r="X378" s="15">
        <f>IF(ISNUMBER('Refsz-Verbräuche'!X213), 'Refsz-Verbräuche'!X213*Emissionsfaktoren!X213/1000, 0)</f>
        <v>0</v>
      </c>
    </row>
    <row r="379" spans="2:24" ht="16.5" hidden="1" x14ac:dyDescent="0.45">
      <c r="B379" s="15">
        <v>154</v>
      </c>
      <c r="C379" s="20">
        <f>'Refsz-Verbräuche'!C214</f>
        <v>0</v>
      </c>
      <c r="D379" t="s">
        <v>208</v>
      </c>
      <c r="E379" s="15">
        <f>IF(ISNUMBER('Refsz-Verbräuche'!E214), 'Refsz-Verbräuche'!E214*Emissionsfaktoren!E214/1000, 0)</f>
        <v>0</v>
      </c>
      <c r="F379" s="15">
        <f>IF(ISNUMBER('Refsz-Verbräuche'!F214), 'Refsz-Verbräuche'!F214*Emissionsfaktoren!F214/1000, 0)</f>
        <v>0</v>
      </c>
      <c r="G379" s="15">
        <f>IF(ISNUMBER('Refsz-Verbräuche'!G214), 'Refsz-Verbräuche'!G214*Emissionsfaktoren!G214/1000, 0)</f>
        <v>0</v>
      </c>
      <c r="H379" s="15">
        <f>IF(ISNUMBER('Refsz-Verbräuche'!H214), 'Refsz-Verbräuche'!H214*Emissionsfaktoren!H214/1000, 0)</f>
        <v>0</v>
      </c>
      <c r="I379" s="15">
        <f>IF(ISNUMBER('Refsz-Verbräuche'!I214), 'Refsz-Verbräuche'!I214*Emissionsfaktoren!I214/1000, 0)</f>
        <v>0</v>
      </c>
      <c r="J379" s="15">
        <f>IF(ISNUMBER('Refsz-Verbräuche'!J214), 'Refsz-Verbräuche'!J214*Emissionsfaktoren!J214/1000, 0)</f>
        <v>0</v>
      </c>
      <c r="K379" s="15">
        <f>IF(ISNUMBER('Refsz-Verbräuche'!K214), 'Refsz-Verbräuche'!K214*Emissionsfaktoren!K214/1000, 0)</f>
        <v>0</v>
      </c>
      <c r="L379" s="15">
        <f>IF(ISNUMBER('Refsz-Verbräuche'!L214), 'Refsz-Verbräuche'!L214*Emissionsfaktoren!L214/1000, 0)</f>
        <v>0</v>
      </c>
      <c r="M379" s="15">
        <f>IF(ISNUMBER('Refsz-Verbräuche'!M214), 'Refsz-Verbräuche'!M214*Emissionsfaktoren!M214/1000, 0)</f>
        <v>0</v>
      </c>
      <c r="N379" s="15">
        <f>IF(ISNUMBER('Refsz-Verbräuche'!N214), 'Refsz-Verbräuche'!N214*Emissionsfaktoren!N214/1000, 0)</f>
        <v>0</v>
      </c>
      <c r="O379" s="15">
        <f>IF(ISNUMBER('Refsz-Verbräuche'!O214), 'Refsz-Verbräuche'!O214*Emissionsfaktoren!O214/1000, 0)</f>
        <v>0</v>
      </c>
      <c r="P379" s="15">
        <f>IF(ISNUMBER('Refsz-Verbräuche'!P214), 'Refsz-Verbräuche'!P214*Emissionsfaktoren!P214/1000, 0)</f>
        <v>0</v>
      </c>
      <c r="Q379" s="15">
        <f>IF(ISNUMBER('Refsz-Verbräuche'!Q214), 'Refsz-Verbräuche'!Q214*Emissionsfaktoren!Q214/1000, 0)</f>
        <v>0</v>
      </c>
      <c r="R379" s="15">
        <f>IF(ISNUMBER('Refsz-Verbräuche'!R214), 'Refsz-Verbräuche'!R214*Emissionsfaktoren!R214/1000, 0)</f>
        <v>0</v>
      </c>
      <c r="S379" s="15">
        <f>IF(ISNUMBER('Refsz-Verbräuche'!S214), 'Refsz-Verbräuche'!S214*Emissionsfaktoren!S214/1000, 0)</f>
        <v>0</v>
      </c>
      <c r="T379" s="15">
        <f>IF(ISNUMBER('Refsz-Verbräuche'!T214), 'Refsz-Verbräuche'!T214*Emissionsfaktoren!T214/1000, 0)</f>
        <v>0</v>
      </c>
      <c r="U379" s="15">
        <f>IF(ISNUMBER('Refsz-Verbräuche'!U214), 'Refsz-Verbräuche'!U214*Emissionsfaktoren!U214/1000, 0)</f>
        <v>0</v>
      </c>
      <c r="V379" s="15">
        <f>IF(ISNUMBER('Refsz-Verbräuche'!V214), 'Refsz-Verbräuche'!V214*Emissionsfaktoren!V214/1000, 0)</f>
        <v>0</v>
      </c>
      <c r="W379" s="15">
        <f>IF(ISNUMBER('Refsz-Verbräuche'!W214), 'Refsz-Verbräuche'!W214*Emissionsfaktoren!W214/1000, 0)</f>
        <v>0</v>
      </c>
      <c r="X379" s="15">
        <f>IF(ISNUMBER('Refsz-Verbräuche'!X214), 'Refsz-Verbräuche'!X214*Emissionsfaktoren!X214/1000, 0)</f>
        <v>0</v>
      </c>
    </row>
    <row r="380" spans="2:24" ht="16.5" hidden="1" x14ac:dyDescent="0.45">
      <c r="B380" s="15">
        <v>155</v>
      </c>
      <c r="C380" s="20">
        <f>'Refsz-Verbräuche'!C215</f>
        <v>0</v>
      </c>
      <c r="D380" t="s">
        <v>208</v>
      </c>
      <c r="E380" s="15">
        <f>IF(ISNUMBER('Refsz-Verbräuche'!E215), 'Refsz-Verbräuche'!E215*Emissionsfaktoren!E215/1000, 0)</f>
        <v>0</v>
      </c>
      <c r="F380" s="15">
        <f>IF(ISNUMBER('Refsz-Verbräuche'!F215), 'Refsz-Verbräuche'!F215*Emissionsfaktoren!F215/1000, 0)</f>
        <v>0</v>
      </c>
      <c r="G380" s="15">
        <f>IF(ISNUMBER('Refsz-Verbräuche'!G215), 'Refsz-Verbräuche'!G215*Emissionsfaktoren!G215/1000, 0)</f>
        <v>0</v>
      </c>
      <c r="H380" s="15">
        <f>IF(ISNUMBER('Refsz-Verbräuche'!H215), 'Refsz-Verbräuche'!H215*Emissionsfaktoren!H215/1000, 0)</f>
        <v>0</v>
      </c>
      <c r="I380" s="15">
        <f>IF(ISNUMBER('Refsz-Verbräuche'!I215), 'Refsz-Verbräuche'!I215*Emissionsfaktoren!I215/1000, 0)</f>
        <v>0</v>
      </c>
      <c r="J380" s="15">
        <f>IF(ISNUMBER('Refsz-Verbräuche'!J215), 'Refsz-Verbräuche'!J215*Emissionsfaktoren!J215/1000, 0)</f>
        <v>0</v>
      </c>
      <c r="K380" s="15">
        <f>IF(ISNUMBER('Refsz-Verbräuche'!K215), 'Refsz-Verbräuche'!K215*Emissionsfaktoren!K215/1000, 0)</f>
        <v>0</v>
      </c>
      <c r="L380" s="15">
        <f>IF(ISNUMBER('Refsz-Verbräuche'!L215), 'Refsz-Verbräuche'!L215*Emissionsfaktoren!L215/1000, 0)</f>
        <v>0</v>
      </c>
      <c r="M380" s="15">
        <f>IF(ISNUMBER('Refsz-Verbräuche'!M215), 'Refsz-Verbräuche'!M215*Emissionsfaktoren!M215/1000, 0)</f>
        <v>0</v>
      </c>
      <c r="N380" s="15">
        <f>IF(ISNUMBER('Refsz-Verbräuche'!N215), 'Refsz-Verbräuche'!N215*Emissionsfaktoren!N215/1000, 0)</f>
        <v>0</v>
      </c>
      <c r="O380" s="15">
        <f>IF(ISNUMBER('Refsz-Verbräuche'!O215), 'Refsz-Verbräuche'!O215*Emissionsfaktoren!O215/1000, 0)</f>
        <v>0</v>
      </c>
      <c r="P380" s="15">
        <f>IF(ISNUMBER('Refsz-Verbräuche'!P215), 'Refsz-Verbräuche'!P215*Emissionsfaktoren!P215/1000, 0)</f>
        <v>0</v>
      </c>
      <c r="Q380" s="15">
        <f>IF(ISNUMBER('Refsz-Verbräuche'!Q215), 'Refsz-Verbräuche'!Q215*Emissionsfaktoren!Q215/1000, 0)</f>
        <v>0</v>
      </c>
      <c r="R380" s="15">
        <f>IF(ISNUMBER('Refsz-Verbräuche'!R215), 'Refsz-Verbräuche'!R215*Emissionsfaktoren!R215/1000, 0)</f>
        <v>0</v>
      </c>
      <c r="S380" s="15">
        <f>IF(ISNUMBER('Refsz-Verbräuche'!S215), 'Refsz-Verbräuche'!S215*Emissionsfaktoren!S215/1000, 0)</f>
        <v>0</v>
      </c>
      <c r="T380" s="15">
        <f>IF(ISNUMBER('Refsz-Verbräuche'!T215), 'Refsz-Verbräuche'!T215*Emissionsfaktoren!T215/1000, 0)</f>
        <v>0</v>
      </c>
      <c r="U380" s="15">
        <f>IF(ISNUMBER('Refsz-Verbräuche'!U215), 'Refsz-Verbräuche'!U215*Emissionsfaktoren!U215/1000, 0)</f>
        <v>0</v>
      </c>
      <c r="V380" s="15">
        <f>IF(ISNUMBER('Refsz-Verbräuche'!V215), 'Refsz-Verbräuche'!V215*Emissionsfaktoren!V215/1000, 0)</f>
        <v>0</v>
      </c>
      <c r="W380" s="15">
        <f>IF(ISNUMBER('Refsz-Verbräuche'!W215), 'Refsz-Verbräuche'!W215*Emissionsfaktoren!W215/1000, 0)</f>
        <v>0</v>
      </c>
      <c r="X380" s="15">
        <f>IF(ISNUMBER('Refsz-Verbräuche'!X215), 'Refsz-Verbräuche'!X215*Emissionsfaktoren!X215/1000, 0)</f>
        <v>0</v>
      </c>
    </row>
    <row r="381" spans="2:24" ht="16.5" hidden="1" x14ac:dyDescent="0.45">
      <c r="B381" s="15">
        <v>156</v>
      </c>
      <c r="C381" s="20">
        <f>'Refsz-Verbräuche'!C216</f>
        <v>0</v>
      </c>
      <c r="D381" t="s">
        <v>208</v>
      </c>
      <c r="E381" s="15">
        <f>IF(ISNUMBER('Refsz-Verbräuche'!E216), 'Refsz-Verbräuche'!E216*Emissionsfaktoren!E216/1000, 0)</f>
        <v>0</v>
      </c>
      <c r="F381" s="15">
        <f>IF(ISNUMBER('Refsz-Verbräuche'!F216), 'Refsz-Verbräuche'!F216*Emissionsfaktoren!F216/1000, 0)</f>
        <v>0</v>
      </c>
      <c r="G381" s="15">
        <f>IF(ISNUMBER('Refsz-Verbräuche'!G216), 'Refsz-Verbräuche'!G216*Emissionsfaktoren!G216/1000, 0)</f>
        <v>0</v>
      </c>
      <c r="H381" s="15">
        <f>IF(ISNUMBER('Refsz-Verbräuche'!H216), 'Refsz-Verbräuche'!H216*Emissionsfaktoren!H216/1000, 0)</f>
        <v>0</v>
      </c>
      <c r="I381" s="15">
        <f>IF(ISNUMBER('Refsz-Verbräuche'!I216), 'Refsz-Verbräuche'!I216*Emissionsfaktoren!I216/1000, 0)</f>
        <v>0</v>
      </c>
      <c r="J381" s="15">
        <f>IF(ISNUMBER('Refsz-Verbräuche'!J216), 'Refsz-Verbräuche'!J216*Emissionsfaktoren!J216/1000, 0)</f>
        <v>0</v>
      </c>
      <c r="K381" s="15">
        <f>IF(ISNUMBER('Refsz-Verbräuche'!K216), 'Refsz-Verbräuche'!K216*Emissionsfaktoren!K216/1000, 0)</f>
        <v>0</v>
      </c>
      <c r="L381" s="15">
        <f>IF(ISNUMBER('Refsz-Verbräuche'!L216), 'Refsz-Verbräuche'!L216*Emissionsfaktoren!L216/1000, 0)</f>
        <v>0</v>
      </c>
      <c r="M381" s="15">
        <f>IF(ISNUMBER('Refsz-Verbräuche'!M216), 'Refsz-Verbräuche'!M216*Emissionsfaktoren!M216/1000, 0)</f>
        <v>0</v>
      </c>
      <c r="N381" s="15">
        <f>IF(ISNUMBER('Refsz-Verbräuche'!N216), 'Refsz-Verbräuche'!N216*Emissionsfaktoren!N216/1000, 0)</f>
        <v>0</v>
      </c>
      <c r="O381" s="15">
        <f>IF(ISNUMBER('Refsz-Verbräuche'!O216), 'Refsz-Verbräuche'!O216*Emissionsfaktoren!O216/1000, 0)</f>
        <v>0</v>
      </c>
      <c r="P381" s="15">
        <f>IF(ISNUMBER('Refsz-Verbräuche'!P216), 'Refsz-Verbräuche'!P216*Emissionsfaktoren!P216/1000, 0)</f>
        <v>0</v>
      </c>
      <c r="Q381" s="15">
        <f>IF(ISNUMBER('Refsz-Verbräuche'!Q216), 'Refsz-Verbräuche'!Q216*Emissionsfaktoren!Q216/1000, 0)</f>
        <v>0</v>
      </c>
      <c r="R381" s="15">
        <f>IF(ISNUMBER('Refsz-Verbräuche'!R216), 'Refsz-Verbräuche'!R216*Emissionsfaktoren!R216/1000, 0)</f>
        <v>0</v>
      </c>
      <c r="S381" s="15">
        <f>IF(ISNUMBER('Refsz-Verbräuche'!S216), 'Refsz-Verbräuche'!S216*Emissionsfaktoren!S216/1000, 0)</f>
        <v>0</v>
      </c>
      <c r="T381" s="15">
        <f>IF(ISNUMBER('Refsz-Verbräuche'!T216), 'Refsz-Verbräuche'!T216*Emissionsfaktoren!T216/1000, 0)</f>
        <v>0</v>
      </c>
      <c r="U381" s="15">
        <f>IF(ISNUMBER('Refsz-Verbräuche'!U216), 'Refsz-Verbräuche'!U216*Emissionsfaktoren!U216/1000, 0)</f>
        <v>0</v>
      </c>
      <c r="V381" s="15">
        <f>IF(ISNUMBER('Refsz-Verbräuche'!V216), 'Refsz-Verbräuche'!V216*Emissionsfaktoren!V216/1000, 0)</f>
        <v>0</v>
      </c>
      <c r="W381" s="15">
        <f>IF(ISNUMBER('Refsz-Verbräuche'!W216), 'Refsz-Verbräuche'!W216*Emissionsfaktoren!W216/1000, 0)</f>
        <v>0</v>
      </c>
      <c r="X381" s="15">
        <f>IF(ISNUMBER('Refsz-Verbräuche'!X216), 'Refsz-Verbräuche'!X216*Emissionsfaktoren!X216/1000, 0)</f>
        <v>0</v>
      </c>
    </row>
    <row r="382" spans="2:24" ht="16.5" hidden="1" x14ac:dyDescent="0.45">
      <c r="B382" s="15">
        <v>157</v>
      </c>
      <c r="C382" s="20">
        <f>'Refsz-Verbräuche'!C217</f>
        <v>0</v>
      </c>
      <c r="D382" t="s">
        <v>208</v>
      </c>
      <c r="E382" s="15">
        <f>IF(ISNUMBER('Refsz-Verbräuche'!E217), 'Refsz-Verbräuche'!E217*Emissionsfaktoren!E217/1000, 0)</f>
        <v>0</v>
      </c>
      <c r="F382" s="15">
        <f>IF(ISNUMBER('Refsz-Verbräuche'!F217), 'Refsz-Verbräuche'!F217*Emissionsfaktoren!F217/1000, 0)</f>
        <v>0</v>
      </c>
      <c r="G382" s="15">
        <f>IF(ISNUMBER('Refsz-Verbräuche'!G217), 'Refsz-Verbräuche'!G217*Emissionsfaktoren!G217/1000, 0)</f>
        <v>0</v>
      </c>
      <c r="H382" s="15">
        <f>IF(ISNUMBER('Refsz-Verbräuche'!H217), 'Refsz-Verbräuche'!H217*Emissionsfaktoren!H217/1000, 0)</f>
        <v>0</v>
      </c>
      <c r="I382" s="15">
        <f>IF(ISNUMBER('Refsz-Verbräuche'!I217), 'Refsz-Verbräuche'!I217*Emissionsfaktoren!I217/1000, 0)</f>
        <v>0</v>
      </c>
      <c r="J382" s="15">
        <f>IF(ISNUMBER('Refsz-Verbräuche'!J217), 'Refsz-Verbräuche'!J217*Emissionsfaktoren!J217/1000, 0)</f>
        <v>0</v>
      </c>
      <c r="K382" s="15">
        <f>IF(ISNUMBER('Refsz-Verbräuche'!K217), 'Refsz-Verbräuche'!K217*Emissionsfaktoren!K217/1000, 0)</f>
        <v>0</v>
      </c>
      <c r="L382" s="15">
        <f>IF(ISNUMBER('Refsz-Verbräuche'!L217), 'Refsz-Verbräuche'!L217*Emissionsfaktoren!L217/1000, 0)</f>
        <v>0</v>
      </c>
      <c r="M382" s="15">
        <f>IF(ISNUMBER('Refsz-Verbräuche'!M217), 'Refsz-Verbräuche'!M217*Emissionsfaktoren!M217/1000, 0)</f>
        <v>0</v>
      </c>
      <c r="N382" s="15">
        <f>IF(ISNUMBER('Refsz-Verbräuche'!N217), 'Refsz-Verbräuche'!N217*Emissionsfaktoren!N217/1000, 0)</f>
        <v>0</v>
      </c>
      <c r="O382" s="15">
        <f>IF(ISNUMBER('Refsz-Verbräuche'!O217), 'Refsz-Verbräuche'!O217*Emissionsfaktoren!O217/1000, 0)</f>
        <v>0</v>
      </c>
      <c r="P382" s="15">
        <f>IF(ISNUMBER('Refsz-Verbräuche'!P217), 'Refsz-Verbräuche'!P217*Emissionsfaktoren!P217/1000, 0)</f>
        <v>0</v>
      </c>
      <c r="Q382" s="15">
        <f>IF(ISNUMBER('Refsz-Verbräuche'!Q217), 'Refsz-Verbräuche'!Q217*Emissionsfaktoren!Q217/1000, 0)</f>
        <v>0</v>
      </c>
      <c r="R382" s="15">
        <f>IF(ISNUMBER('Refsz-Verbräuche'!R217), 'Refsz-Verbräuche'!R217*Emissionsfaktoren!R217/1000, 0)</f>
        <v>0</v>
      </c>
      <c r="S382" s="15">
        <f>IF(ISNUMBER('Refsz-Verbräuche'!S217), 'Refsz-Verbräuche'!S217*Emissionsfaktoren!S217/1000, 0)</f>
        <v>0</v>
      </c>
      <c r="T382" s="15">
        <f>IF(ISNUMBER('Refsz-Verbräuche'!T217), 'Refsz-Verbräuche'!T217*Emissionsfaktoren!T217/1000, 0)</f>
        <v>0</v>
      </c>
      <c r="U382" s="15">
        <f>IF(ISNUMBER('Refsz-Verbräuche'!U217), 'Refsz-Verbräuche'!U217*Emissionsfaktoren!U217/1000, 0)</f>
        <v>0</v>
      </c>
      <c r="V382" s="15">
        <f>IF(ISNUMBER('Refsz-Verbräuche'!V217), 'Refsz-Verbräuche'!V217*Emissionsfaktoren!V217/1000, 0)</f>
        <v>0</v>
      </c>
      <c r="W382" s="15">
        <f>IF(ISNUMBER('Refsz-Verbräuche'!W217), 'Refsz-Verbräuche'!W217*Emissionsfaktoren!W217/1000, 0)</f>
        <v>0</v>
      </c>
      <c r="X382" s="15">
        <f>IF(ISNUMBER('Refsz-Verbräuche'!X217), 'Refsz-Verbräuche'!X217*Emissionsfaktoren!X217/1000, 0)</f>
        <v>0</v>
      </c>
    </row>
    <row r="383" spans="2:24" ht="16.5" hidden="1" x14ac:dyDescent="0.45">
      <c r="B383" s="15">
        <v>158</v>
      </c>
      <c r="C383" s="20">
        <f>'Refsz-Verbräuche'!C218</f>
        <v>0</v>
      </c>
      <c r="D383" t="s">
        <v>208</v>
      </c>
      <c r="E383" s="15">
        <f>IF(ISNUMBER('Refsz-Verbräuche'!E218), 'Refsz-Verbräuche'!E218*Emissionsfaktoren!E218/1000, 0)</f>
        <v>0</v>
      </c>
      <c r="F383" s="15">
        <f>IF(ISNUMBER('Refsz-Verbräuche'!F218), 'Refsz-Verbräuche'!F218*Emissionsfaktoren!F218/1000, 0)</f>
        <v>0</v>
      </c>
      <c r="G383" s="15">
        <f>IF(ISNUMBER('Refsz-Verbräuche'!G218), 'Refsz-Verbräuche'!G218*Emissionsfaktoren!G218/1000, 0)</f>
        <v>0</v>
      </c>
      <c r="H383" s="15">
        <f>IF(ISNUMBER('Refsz-Verbräuche'!H218), 'Refsz-Verbräuche'!H218*Emissionsfaktoren!H218/1000, 0)</f>
        <v>0</v>
      </c>
      <c r="I383" s="15">
        <f>IF(ISNUMBER('Refsz-Verbräuche'!I218), 'Refsz-Verbräuche'!I218*Emissionsfaktoren!I218/1000, 0)</f>
        <v>0</v>
      </c>
      <c r="J383" s="15">
        <f>IF(ISNUMBER('Refsz-Verbräuche'!J218), 'Refsz-Verbräuche'!J218*Emissionsfaktoren!J218/1000, 0)</f>
        <v>0</v>
      </c>
      <c r="K383" s="15">
        <f>IF(ISNUMBER('Refsz-Verbräuche'!K218), 'Refsz-Verbräuche'!K218*Emissionsfaktoren!K218/1000, 0)</f>
        <v>0</v>
      </c>
      <c r="L383" s="15">
        <f>IF(ISNUMBER('Refsz-Verbräuche'!L218), 'Refsz-Verbräuche'!L218*Emissionsfaktoren!L218/1000, 0)</f>
        <v>0</v>
      </c>
      <c r="M383" s="15">
        <f>IF(ISNUMBER('Refsz-Verbräuche'!M218), 'Refsz-Verbräuche'!M218*Emissionsfaktoren!M218/1000, 0)</f>
        <v>0</v>
      </c>
      <c r="N383" s="15">
        <f>IF(ISNUMBER('Refsz-Verbräuche'!N218), 'Refsz-Verbräuche'!N218*Emissionsfaktoren!N218/1000, 0)</f>
        <v>0</v>
      </c>
      <c r="O383" s="15">
        <f>IF(ISNUMBER('Refsz-Verbräuche'!O218), 'Refsz-Verbräuche'!O218*Emissionsfaktoren!O218/1000, 0)</f>
        <v>0</v>
      </c>
      <c r="P383" s="15">
        <f>IF(ISNUMBER('Refsz-Verbräuche'!P218), 'Refsz-Verbräuche'!P218*Emissionsfaktoren!P218/1000, 0)</f>
        <v>0</v>
      </c>
      <c r="Q383" s="15">
        <f>IF(ISNUMBER('Refsz-Verbräuche'!Q218), 'Refsz-Verbräuche'!Q218*Emissionsfaktoren!Q218/1000, 0)</f>
        <v>0</v>
      </c>
      <c r="R383" s="15">
        <f>IF(ISNUMBER('Refsz-Verbräuche'!R218), 'Refsz-Verbräuche'!R218*Emissionsfaktoren!R218/1000, 0)</f>
        <v>0</v>
      </c>
      <c r="S383" s="15">
        <f>IF(ISNUMBER('Refsz-Verbräuche'!S218), 'Refsz-Verbräuche'!S218*Emissionsfaktoren!S218/1000, 0)</f>
        <v>0</v>
      </c>
      <c r="T383" s="15">
        <f>IF(ISNUMBER('Refsz-Verbräuche'!T218), 'Refsz-Verbräuche'!T218*Emissionsfaktoren!T218/1000, 0)</f>
        <v>0</v>
      </c>
      <c r="U383" s="15">
        <f>IF(ISNUMBER('Refsz-Verbräuche'!U218), 'Refsz-Verbräuche'!U218*Emissionsfaktoren!U218/1000, 0)</f>
        <v>0</v>
      </c>
      <c r="V383" s="15">
        <f>IF(ISNUMBER('Refsz-Verbräuche'!V218), 'Refsz-Verbräuche'!V218*Emissionsfaktoren!V218/1000, 0)</f>
        <v>0</v>
      </c>
      <c r="W383" s="15">
        <f>IF(ISNUMBER('Refsz-Verbräuche'!W218), 'Refsz-Verbräuche'!W218*Emissionsfaktoren!W218/1000, 0)</f>
        <v>0</v>
      </c>
      <c r="X383" s="15">
        <f>IF(ISNUMBER('Refsz-Verbräuche'!X218), 'Refsz-Verbräuche'!X218*Emissionsfaktoren!X218/1000, 0)</f>
        <v>0</v>
      </c>
    </row>
    <row r="384" spans="2:24" ht="16.5" hidden="1" x14ac:dyDescent="0.45">
      <c r="B384" s="15">
        <v>159</v>
      </c>
      <c r="C384" s="20">
        <f>'Refsz-Verbräuche'!C219</f>
        <v>0</v>
      </c>
      <c r="D384" t="s">
        <v>208</v>
      </c>
      <c r="E384" s="15">
        <f>IF(ISNUMBER('Refsz-Verbräuche'!E219), 'Refsz-Verbräuche'!E219*Emissionsfaktoren!E219/1000, 0)</f>
        <v>0</v>
      </c>
      <c r="F384" s="15">
        <f>IF(ISNUMBER('Refsz-Verbräuche'!F219), 'Refsz-Verbräuche'!F219*Emissionsfaktoren!F219/1000, 0)</f>
        <v>0</v>
      </c>
      <c r="G384" s="15">
        <f>IF(ISNUMBER('Refsz-Verbräuche'!G219), 'Refsz-Verbräuche'!G219*Emissionsfaktoren!G219/1000, 0)</f>
        <v>0</v>
      </c>
      <c r="H384" s="15">
        <f>IF(ISNUMBER('Refsz-Verbräuche'!H219), 'Refsz-Verbräuche'!H219*Emissionsfaktoren!H219/1000, 0)</f>
        <v>0</v>
      </c>
      <c r="I384" s="15">
        <f>IF(ISNUMBER('Refsz-Verbräuche'!I219), 'Refsz-Verbräuche'!I219*Emissionsfaktoren!I219/1000, 0)</f>
        <v>0</v>
      </c>
      <c r="J384" s="15">
        <f>IF(ISNUMBER('Refsz-Verbräuche'!J219), 'Refsz-Verbräuche'!J219*Emissionsfaktoren!J219/1000, 0)</f>
        <v>0</v>
      </c>
      <c r="K384" s="15">
        <f>IF(ISNUMBER('Refsz-Verbräuche'!K219), 'Refsz-Verbräuche'!K219*Emissionsfaktoren!K219/1000, 0)</f>
        <v>0</v>
      </c>
      <c r="L384" s="15">
        <f>IF(ISNUMBER('Refsz-Verbräuche'!L219), 'Refsz-Verbräuche'!L219*Emissionsfaktoren!L219/1000, 0)</f>
        <v>0</v>
      </c>
      <c r="M384" s="15">
        <f>IF(ISNUMBER('Refsz-Verbräuche'!M219), 'Refsz-Verbräuche'!M219*Emissionsfaktoren!M219/1000, 0)</f>
        <v>0</v>
      </c>
      <c r="N384" s="15">
        <f>IF(ISNUMBER('Refsz-Verbräuche'!N219), 'Refsz-Verbräuche'!N219*Emissionsfaktoren!N219/1000, 0)</f>
        <v>0</v>
      </c>
      <c r="O384" s="15">
        <f>IF(ISNUMBER('Refsz-Verbräuche'!O219), 'Refsz-Verbräuche'!O219*Emissionsfaktoren!O219/1000, 0)</f>
        <v>0</v>
      </c>
      <c r="P384" s="15">
        <f>IF(ISNUMBER('Refsz-Verbräuche'!P219), 'Refsz-Verbräuche'!P219*Emissionsfaktoren!P219/1000, 0)</f>
        <v>0</v>
      </c>
      <c r="Q384" s="15">
        <f>IF(ISNUMBER('Refsz-Verbräuche'!Q219), 'Refsz-Verbräuche'!Q219*Emissionsfaktoren!Q219/1000, 0)</f>
        <v>0</v>
      </c>
      <c r="R384" s="15">
        <f>IF(ISNUMBER('Refsz-Verbräuche'!R219), 'Refsz-Verbräuche'!R219*Emissionsfaktoren!R219/1000, 0)</f>
        <v>0</v>
      </c>
      <c r="S384" s="15">
        <f>IF(ISNUMBER('Refsz-Verbräuche'!S219), 'Refsz-Verbräuche'!S219*Emissionsfaktoren!S219/1000, 0)</f>
        <v>0</v>
      </c>
      <c r="T384" s="15">
        <f>IF(ISNUMBER('Refsz-Verbräuche'!T219), 'Refsz-Verbräuche'!T219*Emissionsfaktoren!T219/1000, 0)</f>
        <v>0</v>
      </c>
      <c r="U384" s="15">
        <f>IF(ISNUMBER('Refsz-Verbräuche'!U219), 'Refsz-Verbräuche'!U219*Emissionsfaktoren!U219/1000, 0)</f>
        <v>0</v>
      </c>
      <c r="V384" s="15">
        <f>IF(ISNUMBER('Refsz-Verbräuche'!V219), 'Refsz-Verbräuche'!V219*Emissionsfaktoren!V219/1000, 0)</f>
        <v>0</v>
      </c>
      <c r="W384" s="15">
        <f>IF(ISNUMBER('Refsz-Verbräuche'!W219), 'Refsz-Verbräuche'!W219*Emissionsfaktoren!W219/1000, 0)</f>
        <v>0</v>
      </c>
      <c r="X384" s="15">
        <f>IF(ISNUMBER('Refsz-Verbräuche'!X219), 'Refsz-Verbräuche'!X219*Emissionsfaktoren!X219/1000, 0)</f>
        <v>0</v>
      </c>
    </row>
    <row r="385" spans="2:24" ht="16.5" hidden="1" x14ac:dyDescent="0.45">
      <c r="B385" s="15">
        <v>160</v>
      </c>
      <c r="C385" s="20">
        <f>'Refsz-Verbräuche'!C220</f>
        <v>0</v>
      </c>
      <c r="D385" t="s">
        <v>208</v>
      </c>
      <c r="E385" s="15">
        <f>IF(ISNUMBER('Refsz-Verbräuche'!E220), 'Refsz-Verbräuche'!E220*Emissionsfaktoren!E220/1000, 0)</f>
        <v>0</v>
      </c>
      <c r="F385" s="15">
        <f>IF(ISNUMBER('Refsz-Verbräuche'!F220), 'Refsz-Verbräuche'!F220*Emissionsfaktoren!F220/1000, 0)</f>
        <v>0</v>
      </c>
      <c r="G385" s="15">
        <f>IF(ISNUMBER('Refsz-Verbräuche'!G220), 'Refsz-Verbräuche'!G220*Emissionsfaktoren!G220/1000, 0)</f>
        <v>0</v>
      </c>
      <c r="H385" s="15">
        <f>IF(ISNUMBER('Refsz-Verbräuche'!H220), 'Refsz-Verbräuche'!H220*Emissionsfaktoren!H220/1000, 0)</f>
        <v>0</v>
      </c>
      <c r="I385" s="15">
        <f>IF(ISNUMBER('Refsz-Verbräuche'!I220), 'Refsz-Verbräuche'!I220*Emissionsfaktoren!I220/1000, 0)</f>
        <v>0</v>
      </c>
      <c r="J385" s="15">
        <f>IF(ISNUMBER('Refsz-Verbräuche'!J220), 'Refsz-Verbräuche'!J220*Emissionsfaktoren!J220/1000, 0)</f>
        <v>0</v>
      </c>
      <c r="K385" s="15">
        <f>IF(ISNUMBER('Refsz-Verbräuche'!K220), 'Refsz-Verbräuche'!K220*Emissionsfaktoren!K220/1000, 0)</f>
        <v>0</v>
      </c>
      <c r="L385" s="15">
        <f>IF(ISNUMBER('Refsz-Verbräuche'!L220), 'Refsz-Verbräuche'!L220*Emissionsfaktoren!L220/1000, 0)</f>
        <v>0</v>
      </c>
      <c r="M385" s="15">
        <f>IF(ISNUMBER('Refsz-Verbräuche'!M220), 'Refsz-Verbräuche'!M220*Emissionsfaktoren!M220/1000, 0)</f>
        <v>0</v>
      </c>
      <c r="N385" s="15">
        <f>IF(ISNUMBER('Refsz-Verbräuche'!N220), 'Refsz-Verbräuche'!N220*Emissionsfaktoren!N220/1000, 0)</f>
        <v>0</v>
      </c>
      <c r="O385" s="15">
        <f>IF(ISNUMBER('Refsz-Verbräuche'!O220), 'Refsz-Verbräuche'!O220*Emissionsfaktoren!O220/1000, 0)</f>
        <v>0</v>
      </c>
      <c r="P385" s="15">
        <f>IF(ISNUMBER('Refsz-Verbräuche'!P220), 'Refsz-Verbräuche'!P220*Emissionsfaktoren!P220/1000, 0)</f>
        <v>0</v>
      </c>
      <c r="Q385" s="15">
        <f>IF(ISNUMBER('Refsz-Verbräuche'!Q220), 'Refsz-Verbräuche'!Q220*Emissionsfaktoren!Q220/1000, 0)</f>
        <v>0</v>
      </c>
      <c r="R385" s="15">
        <f>IF(ISNUMBER('Refsz-Verbräuche'!R220), 'Refsz-Verbräuche'!R220*Emissionsfaktoren!R220/1000, 0)</f>
        <v>0</v>
      </c>
      <c r="S385" s="15">
        <f>IF(ISNUMBER('Refsz-Verbräuche'!S220), 'Refsz-Verbräuche'!S220*Emissionsfaktoren!S220/1000, 0)</f>
        <v>0</v>
      </c>
      <c r="T385" s="15">
        <f>IF(ISNUMBER('Refsz-Verbräuche'!T220), 'Refsz-Verbräuche'!T220*Emissionsfaktoren!T220/1000, 0)</f>
        <v>0</v>
      </c>
      <c r="U385" s="15">
        <f>IF(ISNUMBER('Refsz-Verbräuche'!U220), 'Refsz-Verbräuche'!U220*Emissionsfaktoren!U220/1000, 0)</f>
        <v>0</v>
      </c>
      <c r="V385" s="15">
        <f>IF(ISNUMBER('Refsz-Verbräuche'!V220), 'Refsz-Verbräuche'!V220*Emissionsfaktoren!V220/1000, 0)</f>
        <v>0</v>
      </c>
      <c r="W385" s="15">
        <f>IF(ISNUMBER('Refsz-Verbräuche'!W220), 'Refsz-Verbräuche'!W220*Emissionsfaktoren!W220/1000, 0)</f>
        <v>0</v>
      </c>
      <c r="X385" s="15">
        <f>IF(ISNUMBER('Refsz-Verbräuche'!X220), 'Refsz-Verbräuche'!X220*Emissionsfaktoren!X220/1000, 0)</f>
        <v>0</v>
      </c>
    </row>
    <row r="386" spans="2:24" ht="16.5" hidden="1" x14ac:dyDescent="0.45">
      <c r="B386" s="15">
        <v>161</v>
      </c>
      <c r="C386" s="20">
        <f>'Refsz-Verbräuche'!C221</f>
        <v>0</v>
      </c>
      <c r="D386" t="s">
        <v>208</v>
      </c>
      <c r="E386" s="15">
        <f>IF(ISNUMBER('Refsz-Verbräuche'!E221), 'Refsz-Verbräuche'!E221*Emissionsfaktoren!E221/1000, 0)</f>
        <v>0</v>
      </c>
      <c r="F386" s="15">
        <f>IF(ISNUMBER('Refsz-Verbräuche'!F221), 'Refsz-Verbräuche'!F221*Emissionsfaktoren!F221/1000, 0)</f>
        <v>0</v>
      </c>
      <c r="G386" s="15">
        <f>IF(ISNUMBER('Refsz-Verbräuche'!G221), 'Refsz-Verbräuche'!G221*Emissionsfaktoren!G221/1000, 0)</f>
        <v>0</v>
      </c>
      <c r="H386" s="15">
        <f>IF(ISNUMBER('Refsz-Verbräuche'!H221), 'Refsz-Verbräuche'!H221*Emissionsfaktoren!H221/1000, 0)</f>
        <v>0</v>
      </c>
      <c r="I386" s="15">
        <f>IF(ISNUMBER('Refsz-Verbräuche'!I221), 'Refsz-Verbräuche'!I221*Emissionsfaktoren!I221/1000, 0)</f>
        <v>0</v>
      </c>
      <c r="J386" s="15">
        <f>IF(ISNUMBER('Refsz-Verbräuche'!J221), 'Refsz-Verbräuche'!J221*Emissionsfaktoren!J221/1000, 0)</f>
        <v>0</v>
      </c>
      <c r="K386" s="15">
        <f>IF(ISNUMBER('Refsz-Verbräuche'!K221), 'Refsz-Verbräuche'!K221*Emissionsfaktoren!K221/1000, 0)</f>
        <v>0</v>
      </c>
      <c r="L386" s="15">
        <f>IF(ISNUMBER('Refsz-Verbräuche'!L221), 'Refsz-Verbräuche'!L221*Emissionsfaktoren!L221/1000, 0)</f>
        <v>0</v>
      </c>
      <c r="M386" s="15">
        <f>IF(ISNUMBER('Refsz-Verbräuche'!M221), 'Refsz-Verbräuche'!M221*Emissionsfaktoren!M221/1000, 0)</f>
        <v>0</v>
      </c>
      <c r="N386" s="15">
        <f>IF(ISNUMBER('Refsz-Verbräuche'!N221), 'Refsz-Verbräuche'!N221*Emissionsfaktoren!N221/1000, 0)</f>
        <v>0</v>
      </c>
      <c r="O386" s="15">
        <f>IF(ISNUMBER('Refsz-Verbräuche'!O221), 'Refsz-Verbräuche'!O221*Emissionsfaktoren!O221/1000, 0)</f>
        <v>0</v>
      </c>
      <c r="P386" s="15">
        <f>IF(ISNUMBER('Refsz-Verbräuche'!P221), 'Refsz-Verbräuche'!P221*Emissionsfaktoren!P221/1000, 0)</f>
        <v>0</v>
      </c>
      <c r="Q386" s="15">
        <f>IF(ISNUMBER('Refsz-Verbräuche'!Q221), 'Refsz-Verbräuche'!Q221*Emissionsfaktoren!Q221/1000, 0)</f>
        <v>0</v>
      </c>
      <c r="R386" s="15">
        <f>IF(ISNUMBER('Refsz-Verbräuche'!R221), 'Refsz-Verbräuche'!R221*Emissionsfaktoren!R221/1000, 0)</f>
        <v>0</v>
      </c>
      <c r="S386" s="15">
        <f>IF(ISNUMBER('Refsz-Verbräuche'!S221), 'Refsz-Verbräuche'!S221*Emissionsfaktoren!S221/1000, 0)</f>
        <v>0</v>
      </c>
      <c r="T386" s="15">
        <f>IF(ISNUMBER('Refsz-Verbräuche'!T221), 'Refsz-Verbräuche'!T221*Emissionsfaktoren!T221/1000, 0)</f>
        <v>0</v>
      </c>
      <c r="U386" s="15">
        <f>IF(ISNUMBER('Refsz-Verbräuche'!U221), 'Refsz-Verbräuche'!U221*Emissionsfaktoren!U221/1000, 0)</f>
        <v>0</v>
      </c>
      <c r="V386" s="15">
        <f>IF(ISNUMBER('Refsz-Verbräuche'!V221), 'Refsz-Verbräuche'!V221*Emissionsfaktoren!V221/1000, 0)</f>
        <v>0</v>
      </c>
      <c r="W386" s="15">
        <f>IF(ISNUMBER('Refsz-Verbräuche'!W221), 'Refsz-Verbräuche'!W221*Emissionsfaktoren!W221/1000, 0)</f>
        <v>0</v>
      </c>
      <c r="X386" s="15">
        <f>IF(ISNUMBER('Refsz-Verbräuche'!X221), 'Refsz-Verbräuche'!X221*Emissionsfaktoren!X221/1000, 0)</f>
        <v>0</v>
      </c>
    </row>
    <row r="387" spans="2:24" hidden="1" x14ac:dyDescent="0.35"/>
    <row r="389" spans="2:24" ht="15.5" x14ac:dyDescent="0.35">
      <c r="B389" s="6" t="s">
        <v>453</v>
      </c>
    </row>
    <row r="391" spans="2:24" ht="55" customHeight="1" x14ac:dyDescent="0.35">
      <c r="C391" s="1"/>
    </row>
    <row r="392" spans="2:24" x14ac:dyDescent="0.35">
      <c r="C392" s="1"/>
    </row>
    <row r="393" spans="2:24" x14ac:dyDescent="0.35">
      <c r="C393" s="1"/>
    </row>
    <row r="394" spans="2:24" x14ac:dyDescent="0.35">
      <c r="C394" s="1"/>
    </row>
    <row r="395" spans="2:24" x14ac:dyDescent="0.35">
      <c r="C395" s="1"/>
    </row>
    <row r="396" spans="2:24" x14ac:dyDescent="0.35">
      <c r="C396" s="1"/>
    </row>
    <row r="397" spans="2:24" x14ac:dyDescent="0.35">
      <c r="C397" s="1"/>
    </row>
    <row r="398" spans="2:24" x14ac:dyDescent="0.35">
      <c r="C398" s="1"/>
    </row>
    <row r="399" spans="2:24" ht="15.5" x14ac:dyDescent="0.35">
      <c r="B399" s="6" t="s">
        <v>450</v>
      </c>
      <c r="C399" s="1"/>
    </row>
    <row r="400" spans="2:24" x14ac:dyDescent="0.35">
      <c r="C400" s="1"/>
    </row>
    <row r="401" spans="3:24" x14ac:dyDescent="0.35">
      <c r="C401" t="s">
        <v>28</v>
      </c>
      <c r="D401" t="s">
        <v>2</v>
      </c>
      <c r="E401" t="s">
        <v>3</v>
      </c>
      <c r="F401" t="s">
        <v>4</v>
      </c>
      <c r="G401" t="s">
        <v>5</v>
      </c>
      <c r="H401" t="s">
        <v>6</v>
      </c>
      <c r="I401" t="s">
        <v>7</v>
      </c>
      <c r="J401" t="s">
        <v>8</v>
      </c>
      <c r="K401" t="s">
        <v>9</v>
      </c>
      <c r="L401" t="s">
        <v>10</v>
      </c>
      <c r="M401" t="s">
        <v>11</v>
      </c>
      <c r="N401" t="s">
        <v>12</v>
      </c>
      <c r="O401" t="s">
        <v>13</v>
      </c>
      <c r="P401" t="s">
        <v>14</v>
      </c>
      <c r="Q401" t="s">
        <v>232</v>
      </c>
      <c r="R401" t="s">
        <v>233</v>
      </c>
      <c r="S401" t="s">
        <v>234</v>
      </c>
      <c r="T401" t="s">
        <v>15</v>
      </c>
      <c r="U401" t="s">
        <v>16</v>
      </c>
      <c r="V401" t="s">
        <v>17</v>
      </c>
      <c r="W401" t="s">
        <v>18</v>
      </c>
      <c r="X401" t="s">
        <v>19</v>
      </c>
    </row>
    <row r="402" spans="3:24" ht="16.5" x14ac:dyDescent="0.45">
      <c r="C402" t="s">
        <v>211</v>
      </c>
      <c r="D402" t="s">
        <v>208</v>
      </c>
      <c r="E402">
        <f>SUM('Refsz-Emissionen'!E61:E71)</f>
        <v>0</v>
      </c>
      <c r="F402">
        <f>SUM('Refsz-Emissionen'!F61:F71)</f>
        <v>0</v>
      </c>
      <c r="G402">
        <f>SUM('Refsz-Emissionen'!G61:G71)</f>
        <v>0</v>
      </c>
      <c r="H402">
        <f>SUM('Refsz-Emissionen'!H61:H71)</f>
        <v>0</v>
      </c>
      <c r="I402">
        <f>SUM('Refsz-Emissionen'!I61:I71)</f>
        <v>0</v>
      </c>
      <c r="J402">
        <f>SUM('Refsz-Emissionen'!J61:J71)</f>
        <v>0</v>
      </c>
      <c r="K402">
        <f>SUM('Refsz-Emissionen'!K61:K71)</f>
        <v>0</v>
      </c>
      <c r="L402">
        <f>SUM('Refsz-Emissionen'!L61:L71)</f>
        <v>0</v>
      </c>
      <c r="M402">
        <f>SUM('Refsz-Emissionen'!M61:M71)</f>
        <v>0</v>
      </c>
      <c r="N402">
        <f>SUM('Refsz-Emissionen'!N61:N71)</f>
        <v>0</v>
      </c>
      <c r="O402">
        <f>SUM('Refsz-Emissionen'!O61:O71)</f>
        <v>0</v>
      </c>
      <c r="P402">
        <f>SUM('Refsz-Emissionen'!P61:P71)</f>
        <v>0</v>
      </c>
      <c r="Q402">
        <f>SUM('Refsz-Emissionen'!Q61:Q71)</f>
        <v>0</v>
      </c>
      <c r="R402">
        <f>SUM('Refsz-Emissionen'!R61:R71)</f>
        <v>0</v>
      </c>
      <c r="S402">
        <f>SUM('Refsz-Emissionen'!S61:S71)</f>
        <v>0</v>
      </c>
      <c r="T402">
        <f>SUM('Refsz-Emissionen'!T61:T71)</f>
        <v>0</v>
      </c>
      <c r="U402">
        <f>SUM('Refsz-Emissionen'!U61:U71)</f>
        <v>0</v>
      </c>
      <c r="V402">
        <f>SUM('Refsz-Emissionen'!V61:V71)</f>
        <v>0</v>
      </c>
      <c r="W402">
        <f>SUM('Refsz-Emissionen'!W61:W71)</f>
        <v>0</v>
      </c>
      <c r="X402">
        <f>SUM('Refsz-Emissionen'!X61:X71)</f>
        <v>0</v>
      </c>
    </row>
    <row r="403" spans="3:24" ht="16.5" x14ac:dyDescent="0.45">
      <c r="C403" t="s">
        <v>212</v>
      </c>
      <c r="D403" t="s">
        <v>208</v>
      </c>
      <c r="E403">
        <f>SUM('Refsz-Emissionen'!E72:E85)</f>
        <v>0</v>
      </c>
      <c r="F403">
        <f>SUM('Refsz-Emissionen'!F72:F85)</f>
        <v>0</v>
      </c>
      <c r="G403">
        <f>SUM('Refsz-Emissionen'!G72:G85)</f>
        <v>0</v>
      </c>
      <c r="H403">
        <f>SUM('Refsz-Emissionen'!H72:H85)</f>
        <v>0</v>
      </c>
      <c r="I403">
        <f>SUM('Refsz-Emissionen'!I72:I85)</f>
        <v>0</v>
      </c>
      <c r="J403">
        <f>SUM('Refsz-Emissionen'!J72:J85)</f>
        <v>0</v>
      </c>
      <c r="K403">
        <f>SUM('Refsz-Emissionen'!K72:K85)</f>
        <v>0</v>
      </c>
      <c r="L403">
        <f>SUM('Refsz-Emissionen'!L72:L85)</f>
        <v>0</v>
      </c>
      <c r="M403">
        <f>SUM('Refsz-Emissionen'!M72:M85)</f>
        <v>0</v>
      </c>
      <c r="N403">
        <f>SUM('Refsz-Emissionen'!N72:N85)</f>
        <v>0</v>
      </c>
      <c r="O403">
        <f>SUM('Refsz-Emissionen'!O72:O85)</f>
        <v>0</v>
      </c>
      <c r="P403">
        <f>SUM('Refsz-Emissionen'!P72:P85)</f>
        <v>0</v>
      </c>
      <c r="Q403">
        <f>SUM('Refsz-Emissionen'!Q72:Q85)</f>
        <v>0</v>
      </c>
      <c r="R403">
        <f>SUM('Refsz-Emissionen'!R72:R85)</f>
        <v>0</v>
      </c>
      <c r="S403">
        <f>SUM('Refsz-Emissionen'!S72:S85)</f>
        <v>0</v>
      </c>
      <c r="T403">
        <f>SUM('Refsz-Emissionen'!T72:T85)</f>
        <v>0</v>
      </c>
      <c r="U403">
        <f>SUM('Refsz-Emissionen'!U72:U85)</f>
        <v>0</v>
      </c>
      <c r="V403">
        <f>SUM('Refsz-Emissionen'!V72:V85)</f>
        <v>0</v>
      </c>
      <c r="W403">
        <f>SUM('Refsz-Emissionen'!W72:W85)</f>
        <v>0</v>
      </c>
      <c r="X403">
        <f>SUM('Refsz-Emissionen'!X72:X85)</f>
        <v>0</v>
      </c>
    </row>
    <row r="404" spans="3:24" ht="16.5" x14ac:dyDescent="0.45">
      <c r="C404" t="s">
        <v>213</v>
      </c>
      <c r="D404" t="s">
        <v>208</v>
      </c>
      <c r="E404">
        <f>SUM('Refsz-Emissionen'!E86:E89)</f>
        <v>0</v>
      </c>
      <c r="F404">
        <f>SUM('Refsz-Emissionen'!F86:F89)</f>
        <v>0</v>
      </c>
      <c r="G404">
        <f>SUM('Refsz-Emissionen'!G86:G89)</f>
        <v>0</v>
      </c>
      <c r="H404">
        <f>SUM('Refsz-Emissionen'!H86:H89)</f>
        <v>0</v>
      </c>
      <c r="I404">
        <f>SUM('Refsz-Emissionen'!I86:I89)</f>
        <v>0</v>
      </c>
      <c r="J404">
        <f>SUM('Refsz-Emissionen'!J86:J89)</f>
        <v>0</v>
      </c>
      <c r="K404">
        <f>SUM('Refsz-Emissionen'!K86:K89)</f>
        <v>0</v>
      </c>
      <c r="L404">
        <f>SUM('Refsz-Emissionen'!L86:L89)</f>
        <v>0</v>
      </c>
      <c r="M404">
        <f>SUM('Refsz-Emissionen'!M86:M89)</f>
        <v>0</v>
      </c>
      <c r="N404">
        <f>SUM('Refsz-Emissionen'!N86:N89)</f>
        <v>0</v>
      </c>
      <c r="O404">
        <f>SUM('Refsz-Emissionen'!O86:O89)</f>
        <v>0</v>
      </c>
      <c r="P404">
        <f>SUM('Refsz-Emissionen'!P86:P89)</f>
        <v>0</v>
      </c>
      <c r="Q404">
        <f>SUM('Refsz-Emissionen'!Q86:Q89)</f>
        <v>0</v>
      </c>
      <c r="R404">
        <f>SUM('Refsz-Emissionen'!R86:R89)</f>
        <v>0</v>
      </c>
      <c r="S404">
        <f>SUM('Refsz-Emissionen'!S86:S89)</f>
        <v>0</v>
      </c>
      <c r="T404">
        <f>SUM('Refsz-Emissionen'!T86:T89)</f>
        <v>0</v>
      </c>
      <c r="U404">
        <f>SUM('Refsz-Emissionen'!U86:U89)</f>
        <v>0</v>
      </c>
      <c r="V404">
        <f>SUM('Refsz-Emissionen'!V86:V89)</f>
        <v>0</v>
      </c>
      <c r="W404">
        <f>SUM('Refsz-Emissionen'!W86:W89)</f>
        <v>0</v>
      </c>
      <c r="X404">
        <f>SUM('Refsz-Emissionen'!X86:X89)</f>
        <v>0</v>
      </c>
    </row>
    <row r="405" spans="3:24" ht="16.5" x14ac:dyDescent="0.45">
      <c r="C405" t="str">
        <f>_xlfn.CONCAT("Mobilität der Institution (", 'Refsz-Verbräuche'!C46,", ", 'Refsz-Verbräuche'!C47,", ", 'Refsz-Verbräuche'!C48,", ", 'Refsz-Verbräuche'!C49,")")</f>
        <v>Mobilität der Institution (Fuhrpark, DR, Studierendenreisen (Outgoing), Exkursionen)</v>
      </c>
      <c r="D405" t="s">
        <v>208</v>
      </c>
      <c r="E405">
        <f>SUM('Refsz-Emissionen'!E91:E96)+SUM('Refsz-Emissionen'!E98:E113)+SUM('Refsz-Emissionen'!E115:E117)+SUM(('Refsz-Emissionen'!E119:E121))</f>
        <v>0</v>
      </c>
      <c r="F405">
        <f>SUM('Refsz-Emissionen'!F91:F96)+SUM('Refsz-Emissionen'!F98:F113)+SUM('Refsz-Emissionen'!F115:F117)+SUM(('Refsz-Emissionen'!F119:F121))</f>
        <v>0</v>
      </c>
      <c r="G405">
        <f>SUM('Refsz-Emissionen'!G91:G96)+SUM('Refsz-Emissionen'!G98:G113)+SUM('Refsz-Emissionen'!G115:G117)+SUM(('Refsz-Emissionen'!G119:G121))</f>
        <v>0</v>
      </c>
      <c r="H405">
        <f>SUM('Refsz-Emissionen'!H91:H96)+SUM('Refsz-Emissionen'!H98:H113)+SUM('Refsz-Emissionen'!H115:H117)+SUM(('Refsz-Emissionen'!H119:H121))</f>
        <v>0</v>
      </c>
      <c r="I405">
        <f>SUM('Refsz-Emissionen'!I91:I96)+SUM('Refsz-Emissionen'!I98:I113)+SUM('Refsz-Emissionen'!I115:I117)+SUM(('Refsz-Emissionen'!I119:I121))</f>
        <v>0</v>
      </c>
      <c r="J405">
        <f>SUM('Refsz-Emissionen'!J91:J96)+SUM('Refsz-Emissionen'!J98:J113)+SUM('Refsz-Emissionen'!J115:J117)+SUM(('Refsz-Emissionen'!J119:J121))</f>
        <v>0</v>
      </c>
      <c r="K405">
        <f>SUM('Refsz-Emissionen'!K91:K96)+SUM('Refsz-Emissionen'!K98:K113)+SUM('Refsz-Emissionen'!K115:K117)+SUM(('Refsz-Emissionen'!K119:K121))</f>
        <v>0</v>
      </c>
      <c r="L405">
        <f>SUM('Refsz-Emissionen'!L91:L96)+SUM('Refsz-Emissionen'!L98:L113)+SUM('Refsz-Emissionen'!L115:L117)+SUM(('Refsz-Emissionen'!L119:L121))</f>
        <v>0</v>
      </c>
      <c r="M405">
        <f>SUM('Refsz-Emissionen'!M91:M96)+SUM('Refsz-Emissionen'!M98:M113)+SUM('Refsz-Emissionen'!M115:M117)+SUM(('Refsz-Emissionen'!M119:M121))</f>
        <v>0</v>
      </c>
      <c r="N405">
        <f>SUM('Refsz-Emissionen'!N91:N96)+SUM('Refsz-Emissionen'!N98:N113)+SUM('Refsz-Emissionen'!N115:N117)+SUM(('Refsz-Emissionen'!N119:N121))</f>
        <v>0</v>
      </c>
      <c r="O405">
        <f>SUM('Refsz-Emissionen'!O91:O96)+SUM('Refsz-Emissionen'!O98:O113)+SUM('Refsz-Emissionen'!O115:O117)+SUM(('Refsz-Emissionen'!O119:O121))</f>
        <v>0</v>
      </c>
      <c r="P405">
        <f>SUM('Refsz-Emissionen'!P91:P96)+SUM('Refsz-Emissionen'!P98:P113)+SUM('Refsz-Emissionen'!P115:P117)+SUM(('Refsz-Emissionen'!P119:P121))</f>
        <v>0</v>
      </c>
      <c r="Q405">
        <f>SUM('Refsz-Emissionen'!Q91:Q96)+SUM('Refsz-Emissionen'!Q98:Q113)+SUM('Refsz-Emissionen'!Q115:Q117)+SUM(('Refsz-Emissionen'!Q119:Q121))</f>
        <v>0</v>
      </c>
      <c r="R405">
        <f>SUM('Refsz-Emissionen'!R91:R96)+SUM('Refsz-Emissionen'!R98:R113)+SUM('Refsz-Emissionen'!R115:R117)+SUM(('Refsz-Emissionen'!R119:R121))</f>
        <v>0</v>
      </c>
      <c r="S405">
        <f>SUM('Refsz-Emissionen'!S91:S96)+SUM('Refsz-Emissionen'!S98:S113)+SUM('Refsz-Emissionen'!S115:S117)+SUM(('Refsz-Emissionen'!S119:S121))</f>
        <v>0</v>
      </c>
      <c r="T405">
        <f>SUM('Refsz-Emissionen'!T91:T96)+SUM('Refsz-Emissionen'!T98:T113)+SUM('Refsz-Emissionen'!T115:T117)+SUM(('Refsz-Emissionen'!T119:T121))</f>
        <v>0</v>
      </c>
      <c r="U405">
        <f>SUM('Refsz-Emissionen'!U91:U96)+SUM('Refsz-Emissionen'!U98:U113)+SUM('Refsz-Emissionen'!U115:U117)+SUM(('Refsz-Emissionen'!U119:U121))</f>
        <v>0</v>
      </c>
      <c r="V405">
        <f>SUM('Refsz-Emissionen'!V91:V96)+SUM('Refsz-Emissionen'!V98:V113)+SUM('Refsz-Emissionen'!V115:V117)+SUM(('Refsz-Emissionen'!V119:V121))</f>
        <v>0</v>
      </c>
      <c r="W405">
        <f>SUM('Refsz-Emissionen'!W91:W96)+SUM('Refsz-Emissionen'!W98:W113)+SUM('Refsz-Emissionen'!W115:W117)+SUM(('Refsz-Emissionen'!W119:W121))</f>
        <v>0</v>
      </c>
      <c r="X405">
        <f>SUM('Refsz-Emissionen'!X91:X96)+SUM('Refsz-Emissionen'!X98:X113)+SUM('Refsz-Emissionen'!X115:X117)+SUM(('Refsz-Emissionen'!X119:X121))</f>
        <v>0</v>
      </c>
    </row>
    <row r="406" spans="3:24" ht="16.5" x14ac:dyDescent="0.45">
      <c r="C406" t="str">
        <f>_xlfn.CONCAT("Mobilität außerhalb des Betriebs (", 'Refsz-Verbräuche'!C50,", ", 'Refsz-Verbräuche'!C51,", ", 'Refsz-Verbräuche'!C52,")")</f>
        <v>Mobilität außerhalb des Betriebs (Pendeln, Studierendenreisen (Incoming), An- und Abreise von Gästen)</v>
      </c>
      <c r="D406" t="s">
        <v>208</v>
      </c>
      <c r="E406">
        <f>SUM('Refsz-Emissionen'!E123:E136)+SUM('Refsz-Emissionen'!E138:E140)+SUM('Refsz-Emissionen'!E142:E144)</f>
        <v>0</v>
      </c>
      <c r="F406">
        <f>SUM('Refsz-Emissionen'!F123:F136)+SUM('Refsz-Emissionen'!F138:F140)+SUM('Refsz-Emissionen'!F142:F144)</f>
        <v>0</v>
      </c>
      <c r="G406">
        <f>SUM('Refsz-Emissionen'!G123:G136)+SUM('Refsz-Emissionen'!G138:G140)+SUM('Refsz-Emissionen'!G142:G144)</f>
        <v>0</v>
      </c>
      <c r="H406">
        <f>SUM('Refsz-Emissionen'!H123:H136)+SUM('Refsz-Emissionen'!H138:H140)+SUM('Refsz-Emissionen'!H142:H144)</f>
        <v>0</v>
      </c>
      <c r="I406">
        <f>SUM('Refsz-Emissionen'!I123:I136)+SUM('Refsz-Emissionen'!I138:I140)+SUM('Refsz-Emissionen'!I142:I144)</f>
        <v>0</v>
      </c>
      <c r="J406">
        <f>SUM('Refsz-Emissionen'!J123:J136)+SUM('Refsz-Emissionen'!J138:J140)+SUM('Refsz-Emissionen'!J142:J144)</f>
        <v>0</v>
      </c>
      <c r="K406">
        <f>SUM('Refsz-Emissionen'!K123:K136)+SUM('Refsz-Emissionen'!K138:K140)+SUM('Refsz-Emissionen'!K142:K144)</f>
        <v>0</v>
      </c>
      <c r="L406">
        <f>SUM('Refsz-Emissionen'!L123:L136)+SUM('Refsz-Emissionen'!L138:L140)+SUM('Refsz-Emissionen'!L142:L144)</f>
        <v>0</v>
      </c>
      <c r="M406">
        <f>SUM('Refsz-Emissionen'!M123:M136)+SUM('Refsz-Emissionen'!M138:M140)+SUM('Refsz-Emissionen'!M142:M144)</f>
        <v>0</v>
      </c>
      <c r="N406">
        <f>SUM('Refsz-Emissionen'!N123:N136)+SUM('Refsz-Emissionen'!N138:N140)+SUM('Refsz-Emissionen'!N142:N144)</f>
        <v>0</v>
      </c>
      <c r="O406">
        <f>SUM('Refsz-Emissionen'!O123:O136)+SUM('Refsz-Emissionen'!O138:O140)+SUM('Refsz-Emissionen'!O142:O144)</f>
        <v>0</v>
      </c>
      <c r="P406">
        <f>SUM('Refsz-Emissionen'!P123:P136)+SUM('Refsz-Emissionen'!P138:P140)+SUM('Refsz-Emissionen'!P142:P144)</f>
        <v>0</v>
      </c>
      <c r="Q406">
        <f>SUM('Refsz-Emissionen'!Q123:Q136)+SUM('Refsz-Emissionen'!Q138:Q140)+SUM('Refsz-Emissionen'!Q142:Q144)</f>
        <v>0</v>
      </c>
      <c r="R406">
        <f>SUM('Refsz-Emissionen'!R123:R136)+SUM('Refsz-Emissionen'!R138:R140)+SUM('Refsz-Emissionen'!R142:R144)</f>
        <v>0</v>
      </c>
      <c r="S406">
        <f>SUM('Refsz-Emissionen'!S123:S136)+SUM('Refsz-Emissionen'!S138:S140)+SUM('Refsz-Emissionen'!S142:S144)</f>
        <v>0</v>
      </c>
      <c r="T406">
        <f>SUM('Refsz-Emissionen'!T123:T136)+SUM('Refsz-Emissionen'!T138:T140)+SUM('Refsz-Emissionen'!T142:T144)</f>
        <v>0</v>
      </c>
      <c r="U406">
        <f>SUM('Refsz-Emissionen'!U123:U136)+SUM('Refsz-Emissionen'!U138:U140)+SUM('Refsz-Emissionen'!U142:U144)</f>
        <v>0</v>
      </c>
      <c r="V406">
        <f>SUM('Refsz-Emissionen'!V123:V136)+SUM('Refsz-Emissionen'!V138:V140)+SUM('Refsz-Emissionen'!V142:V144)</f>
        <v>0</v>
      </c>
      <c r="W406">
        <f>SUM('Refsz-Emissionen'!W123:W136)+SUM('Refsz-Emissionen'!W138:W140)+SUM('Refsz-Emissionen'!W142:W144)</f>
        <v>0</v>
      </c>
      <c r="X406">
        <f>SUM('Refsz-Emissionen'!X123:X136)+SUM('Refsz-Emissionen'!X138:X140)+SUM('Refsz-Emissionen'!X142:X144)</f>
        <v>0</v>
      </c>
    </row>
    <row r="407" spans="3:24" ht="16.5" x14ac:dyDescent="0.45">
      <c r="C407" t="s">
        <v>217</v>
      </c>
      <c r="D407" t="s">
        <v>208</v>
      </c>
      <c r="E407">
        <f>SUM('Refsz-Emissionen'!E146:E147)</f>
        <v>0</v>
      </c>
      <c r="F407">
        <f>SUM('Refsz-Emissionen'!F146:F147)</f>
        <v>0</v>
      </c>
      <c r="G407">
        <f>SUM('Refsz-Emissionen'!G146:G147)</f>
        <v>0</v>
      </c>
      <c r="H407">
        <f>SUM('Refsz-Emissionen'!H146:H147)</f>
        <v>0</v>
      </c>
      <c r="I407">
        <f>SUM('Refsz-Emissionen'!I146:I147)</f>
        <v>0</v>
      </c>
      <c r="J407">
        <f>SUM('Refsz-Emissionen'!J146:J147)</f>
        <v>0</v>
      </c>
      <c r="K407">
        <f>SUM('Refsz-Emissionen'!K146:K147)</f>
        <v>0</v>
      </c>
      <c r="L407">
        <f>SUM('Refsz-Emissionen'!L146:L147)</f>
        <v>0</v>
      </c>
      <c r="M407">
        <f>SUM('Refsz-Emissionen'!M146:M147)</f>
        <v>0</v>
      </c>
      <c r="N407">
        <f>SUM('Refsz-Emissionen'!N146:N147)</f>
        <v>0</v>
      </c>
      <c r="O407">
        <f>SUM('Refsz-Emissionen'!O146:O147)</f>
        <v>0</v>
      </c>
      <c r="P407">
        <f>SUM('Refsz-Emissionen'!P146:P147)</f>
        <v>0</v>
      </c>
      <c r="Q407">
        <f>SUM('Refsz-Emissionen'!Q146:Q147)</f>
        <v>0</v>
      </c>
      <c r="R407">
        <f>SUM('Refsz-Emissionen'!R146:R147)</f>
        <v>0</v>
      </c>
      <c r="S407">
        <f>SUM('Refsz-Emissionen'!S146:S147)</f>
        <v>0</v>
      </c>
      <c r="T407">
        <f>SUM('Refsz-Emissionen'!T146:T147)</f>
        <v>0</v>
      </c>
      <c r="U407">
        <f>SUM('Refsz-Emissionen'!U146:U147)</f>
        <v>0</v>
      </c>
      <c r="V407">
        <f>SUM('Refsz-Emissionen'!V146:V147)</f>
        <v>0</v>
      </c>
      <c r="W407">
        <f>SUM('Refsz-Emissionen'!W146:W147)</f>
        <v>0</v>
      </c>
      <c r="X407">
        <f>SUM('Refsz-Emissionen'!X146:X147)</f>
        <v>0</v>
      </c>
    </row>
    <row r="408" spans="3:24" ht="16.5" x14ac:dyDescent="0.45">
      <c r="C408" t="s">
        <v>214</v>
      </c>
      <c r="D408" t="s">
        <v>208</v>
      </c>
      <c r="E408">
        <f>SUM('Refsz-Emissionen'!E165:E175)</f>
        <v>0</v>
      </c>
      <c r="F408">
        <f>SUM('Refsz-Emissionen'!F165:F175)</f>
        <v>0</v>
      </c>
      <c r="G408">
        <f>SUM('Refsz-Emissionen'!G165:G175)</f>
        <v>0</v>
      </c>
      <c r="H408">
        <f>SUM('Refsz-Emissionen'!H165:H175)</f>
        <v>0</v>
      </c>
      <c r="I408">
        <f>SUM('Refsz-Emissionen'!I165:I175)</f>
        <v>0</v>
      </c>
      <c r="J408">
        <f>SUM('Refsz-Emissionen'!J165:J175)</f>
        <v>0</v>
      </c>
      <c r="K408">
        <f>SUM('Refsz-Emissionen'!K165:K175)</f>
        <v>0</v>
      </c>
      <c r="L408">
        <f>SUM('Refsz-Emissionen'!L165:L175)</f>
        <v>0</v>
      </c>
      <c r="M408">
        <f>SUM('Refsz-Emissionen'!M165:M175)</f>
        <v>0</v>
      </c>
      <c r="N408">
        <f>SUM('Refsz-Emissionen'!N165:N175)</f>
        <v>0</v>
      </c>
      <c r="O408">
        <f>SUM('Refsz-Emissionen'!O165:O175)</f>
        <v>0</v>
      </c>
      <c r="P408">
        <f>SUM('Refsz-Emissionen'!P165:P175)</f>
        <v>0</v>
      </c>
      <c r="Q408">
        <f>SUM('Refsz-Emissionen'!Q165:Q175)</f>
        <v>0</v>
      </c>
      <c r="R408">
        <f>SUM('Refsz-Emissionen'!R165:R175)</f>
        <v>0</v>
      </c>
      <c r="S408">
        <f>SUM('Refsz-Emissionen'!S165:S175)</f>
        <v>0</v>
      </c>
      <c r="T408">
        <f>SUM('Refsz-Emissionen'!T165:T175)</f>
        <v>0</v>
      </c>
      <c r="U408">
        <f>SUM('Refsz-Emissionen'!U165:U175)</f>
        <v>0</v>
      </c>
      <c r="V408">
        <f>SUM('Refsz-Emissionen'!V165:V175)</f>
        <v>0</v>
      </c>
      <c r="W408">
        <f>SUM('Refsz-Emissionen'!W165:W175)</f>
        <v>0</v>
      </c>
      <c r="X408">
        <f>SUM('Refsz-Emissionen'!X165:X175)</f>
        <v>0</v>
      </c>
    </row>
    <row r="409" spans="3:24" ht="16.5" x14ac:dyDescent="0.45">
      <c r="C409" t="s">
        <v>215</v>
      </c>
      <c r="D409" t="s">
        <v>208</v>
      </c>
      <c r="E409">
        <f>SUM('Refsz-Emissionen'!E149:E152)+SUM('Refsz-Emissionen'!E154:E163)</f>
        <v>0</v>
      </c>
      <c r="F409">
        <f>SUM('Refsz-Emissionen'!F149:F152)+SUM('Refsz-Emissionen'!F154:F163)</f>
        <v>0</v>
      </c>
      <c r="G409">
        <f>SUM('Refsz-Emissionen'!G149:G152)+SUM('Refsz-Emissionen'!G154:G163)</f>
        <v>0</v>
      </c>
      <c r="H409">
        <f>SUM('Refsz-Emissionen'!H149:H152)+SUM('Refsz-Emissionen'!H154:H163)</f>
        <v>0</v>
      </c>
      <c r="I409">
        <f>SUM('Refsz-Emissionen'!I149:I152)+SUM('Refsz-Emissionen'!I154:I163)</f>
        <v>0</v>
      </c>
      <c r="J409">
        <f>SUM('Refsz-Emissionen'!J149:J152)+SUM('Refsz-Emissionen'!J154:J163)</f>
        <v>0</v>
      </c>
      <c r="K409">
        <f>SUM('Refsz-Emissionen'!K149:K152)+SUM('Refsz-Emissionen'!K154:K163)</f>
        <v>0</v>
      </c>
      <c r="L409">
        <f>SUM('Refsz-Emissionen'!L149:L152)+SUM('Refsz-Emissionen'!L154:L163)</f>
        <v>0</v>
      </c>
      <c r="M409">
        <f>SUM('Refsz-Emissionen'!M149:M152)+SUM('Refsz-Emissionen'!M154:M163)</f>
        <v>0</v>
      </c>
      <c r="N409">
        <f>SUM('Refsz-Emissionen'!N149:N152)+SUM('Refsz-Emissionen'!N154:N163)</f>
        <v>0</v>
      </c>
      <c r="O409">
        <f>SUM('Refsz-Emissionen'!O149:O152)+SUM('Refsz-Emissionen'!O154:O163)</f>
        <v>0</v>
      </c>
      <c r="P409">
        <f>SUM('Refsz-Emissionen'!P149:P152)+SUM('Refsz-Emissionen'!P154:P163)</f>
        <v>0</v>
      </c>
      <c r="Q409">
        <f>SUM('Refsz-Emissionen'!Q149:Q152)+SUM('Refsz-Emissionen'!Q154:Q163)</f>
        <v>0</v>
      </c>
      <c r="R409">
        <f>SUM('Refsz-Emissionen'!R149:R152)+SUM('Refsz-Emissionen'!R154:R163)</f>
        <v>0</v>
      </c>
      <c r="S409">
        <f>SUM('Refsz-Emissionen'!S149:S152)+SUM('Refsz-Emissionen'!S154:S163)</f>
        <v>0</v>
      </c>
      <c r="T409">
        <f>SUM('Refsz-Emissionen'!T149:T152)+SUM('Refsz-Emissionen'!T154:T163)</f>
        <v>0</v>
      </c>
      <c r="U409">
        <f>SUM('Refsz-Emissionen'!U149:U152)+SUM('Refsz-Emissionen'!U154:U163)</f>
        <v>0</v>
      </c>
      <c r="V409">
        <f>SUM('Refsz-Emissionen'!V149:V152)+SUM('Refsz-Emissionen'!V154:V163)</f>
        <v>0</v>
      </c>
      <c r="W409">
        <f>SUM('Refsz-Emissionen'!W149:W152)+SUM('Refsz-Emissionen'!W154:W163)</f>
        <v>0</v>
      </c>
      <c r="X409">
        <f>SUM('Refsz-Emissionen'!X149:X152)+SUM('Refsz-Emissionen'!X154:X163)</f>
        <v>0</v>
      </c>
    </row>
    <row r="410" spans="3:24" ht="16.5" x14ac:dyDescent="0.45">
      <c r="C410" t="s">
        <v>216</v>
      </c>
      <c r="D410" t="s">
        <v>208</v>
      </c>
      <c r="E410">
        <f>SUM('Refsz-Emissionen'!E177:E204)</f>
        <v>0</v>
      </c>
      <c r="F410">
        <f>SUM('Refsz-Emissionen'!F177:F204)</f>
        <v>0</v>
      </c>
      <c r="G410">
        <f>SUM('Refsz-Emissionen'!G177:G204)</f>
        <v>0</v>
      </c>
      <c r="H410">
        <f>SUM('Refsz-Emissionen'!H177:H204)</f>
        <v>0</v>
      </c>
      <c r="I410">
        <f>SUM('Refsz-Emissionen'!I177:I204)</f>
        <v>0</v>
      </c>
      <c r="J410">
        <f>SUM('Refsz-Emissionen'!J177:J204)</f>
        <v>0</v>
      </c>
      <c r="K410">
        <f>SUM('Refsz-Emissionen'!K177:K204)</f>
        <v>0</v>
      </c>
      <c r="L410">
        <f>SUM('Refsz-Emissionen'!L177:L204)</f>
        <v>0</v>
      </c>
      <c r="M410">
        <f>SUM('Refsz-Emissionen'!M177:M204)</f>
        <v>0</v>
      </c>
      <c r="N410">
        <f>SUM('Refsz-Emissionen'!N177:N204)</f>
        <v>0</v>
      </c>
      <c r="O410">
        <f>SUM('Refsz-Emissionen'!O177:O204)</f>
        <v>0</v>
      </c>
      <c r="P410">
        <f>SUM('Refsz-Emissionen'!P177:P204)</f>
        <v>0</v>
      </c>
      <c r="Q410">
        <f>SUM('Refsz-Emissionen'!Q177:Q204)</f>
        <v>0</v>
      </c>
      <c r="R410">
        <f>SUM('Refsz-Emissionen'!R177:R204)</f>
        <v>0</v>
      </c>
      <c r="S410">
        <f>SUM('Refsz-Emissionen'!S177:S204)</f>
        <v>0</v>
      </c>
      <c r="T410">
        <f>SUM('Refsz-Emissionen'!T177:T204)</f>
        <v>0</v>
      </c>
      <c r="U410">
        <f>SUM('Refsz-Emissionen'!U177:U204)</f>
        <v>0</v>
      </c>
      <c r="V410">
        <f>SUM('Refsz-Emissionen'!V177:V204)</f>
        <v>0</v>
      </c>
      <c r="W410">
        <f>SUM('Refsz-Emissionen'!W177:W204)</f>
        <v>0</v>
      </c>
      <c r="X410">
        <f>SUM('Refsz-Emissionen'!X177:X204)</f>
        <v>0</v>
      </c>
    </row>
    <row r="411" spans="3:24" ht="16.5" x14ac:dyDescent="0.45">
      <c r="C411" t="s">
        <v>273</v>
      </c>
      <c r="D411" t="s">
        <v>208</v>
      </c>
      <c r="E411">
        <f>'Refsz-Emissionen'!E206</f>
        <v>0</v>
      </c>
      <c r="F411">
        <f>'Refsz-Emissionen'!F206</f>
        <v>0</v>
      </c>
      <c r="G411">
        <f>'Refsz-Emissionen'!G206</f>
        <v>0</v>
      </c>
      <c r="H411">
        <f>'Refsz-Emissionen'!H206</f>
        <v>0</v>
      </c>
      <c r="I411">
        <f>'Refsz-Emissionen'!I206</f>
        <v>0</v>
      </c>
      <c r="J411">
        <f>'Refsz-Emissionen'!J206</f>
        <v>0</v>
      </c>
      <c r="K411">
        <f>'Refsz-Emissionen'!K206</f>
        <v>0</v>
      </c>
      <c r="L411">
        <f>'Refsz-Emissionen'!L206</f>
        <v>0</v>
      </c>
      <c r="M411">
        <f>'Refsz-Emissionen'!M206</f>
        <v>0</v>
      </c>
      <c r="N411">
        <f>'Refsz-Emissionen'!N206</f>
        <v>0</v>
      </c>
      <c r="O411">
        <f>'Refsz-Emissionen'!O206</f>
        <v>0</v>
      </c>
      <c r="P411">
        <f>'Refsz-Emissionen'!P206</f>
        <v>0</v>
      </c>
      <c r="Q411">
        <f>'Refsz-Emissionen'!Q206</f>
        <v>0</v>
      </c>
      <c r="R411">
        <f>'Refsz-Emissionen'!R206</f>
        <v>0</v>
      </c>
      <c r="S411">
        <f>'Refsz-Emissionen'!S206</f>
        <v>0</v>
      </c>
      <c r="T411">
        <f>'Refsz-Emissionen'!T206</f>
        <v>0</v>
      </c>
      <c r="U411">
        <f>'Refsz-Emissionen'!U206</f>
        <v>0</v>
      </c>
      <c r="V411">
        <f>'Refsz-Emissionen'!V206</f>
        <v>0</v>
      </c>
      <c r="W411">
        <f>'Refsz-Emissionen'!W206</f>
        <v>0</v>
      </c>
      <c r="X411">
        <f>'Refsz-Emissionen'!X206</f>
        <v>0</v>
      </c>
    </row>
    <row r="412" spans="3:24" ht="16.5" x14ac:dyDescent="0.45">
      <c r="C412" t="s">
        <v>72</v>
      </c>
      <c r="D412" t="s">
        <v>208</v>
      </c>
      <c r="E412">
        <f>'Refsz-Emissionen'!E208</f>
        <v>0</v>
      </c>
      <c r="F412">
        <f>'Refsz-Emissionen'!F208</f>
        <v>0</v>
      </c>
      <c r="G412">
        <f>'Refsz-Emissionen'!G208</f>
        <v>0</v>
      </c>
      <c r="H412">
        <f>'Refsz-Emissionen'!H208</f>
        <v>0</v>
      </c>
      <c r="I412">
        <f>'Refsz-Emissionen'!I208</f>
        <v>0</v>
      </c>
      <c r="J412">
        <f>'Refsz-Emissionen'!J208</f>
        <v>0</v>
      </c>
      <c r="K412">
        <f>'Refsz-Emissionen'!K208</f>
        <v>0</v>
      </c>
      <c r="L412">
        <f>'Refsz-Emissionen'!L208</f>
        <v>0</v>
      </c>
      <c r="M412">
        <f>'Refsz-Emissionen'!M208</f>
        <v>0</v>
      </c>
      <c r="N412">
        <f>'Refsz-Emissionen'!N208</f>
        <v>0</v>
      </c>
      <c r="O412">
        <f>'Refsz-Emissionen'!O208</f>
        <v>0</v>
      </c>
      <c r="P412">
        <f>'Refsz-Emissionen'!P208</f>
        <v>0</v>
      </c>
      <c r="Q412">
        <f>'Refsz-Emissionen'!Q208</f>
        <v>0</v>
      </c>
      <c r="R412">
        <f>'Refsz-Emissionen'!R208</f>
        <v>0</v>
      </c>
      <c r="S412">
        <f>'Refsz-Emissionen'!S208</f>
        <v>0</v>
      </c>
      <c r="T412">
        <f>'Refsz-Emissionen'!T208</f>
        <v>0</v>
      </c>
      <c r="U412">
        <f>'Refsz-Emissionen'!U208</f>
        <v>0</v>
      </c>
      <c r="V412">
        <f>'Refsz-Emissionen'!V208</f>
        <v>0</v>
      </c>
      <c r="W412">
        <f>'Refsz-Emissionen'!W208</f>
        <v>0</v>
      </c>
      <c r="X412">
        <f>'Refsz-Emissionen'!X208</f>
        <v>0</v>
      </c>
    </row>
    <row r="413" spans="3:24" ht="16.5" x14ac:dyDescent="0.45">
      <c r="C413" s="25" t="s">
        <v>43</v>
      </c>
      <c r="D413" s="25" t="s">
        <v>208</v>
      </c>
      <c r="E413" s="168">
        <f>SUBTOTAL(109,Refsz_Bundesmix_Handlungsfelder[2015])</f>
        <v>0</v>
      </c>
      <c r="F413" s="168">
        <f>SUBTOTAL(109,Refsz_Bundesmix_Handlungsfelder[2016])</f>
        <v>0</v>
      </c>
      <c r="G413" s="168">
        <f>SUBTOTAL(109,Refsz_Bundesmix_Handlungsfelder[2017])</f>
        <v>0</v>
      </c>
      <c r="H413" s="168">
        <f>SUBTOTAL(109,Refsz_Bundesmix_Handlungsfelder[2018])</f>
        <v>0</v>
      </c>
      <c r="I413" s="168">
        <f>SUBTOTAL(109,Refsz_Bundesmix_Handlungsfelder[2019])</f>
        <v>0</v>
      </c>
      <c r="J413" s="168">
        <f>SUBTOTAL(109,Refsz_Bundesmix_Handlungsfelder[2020])</f>
        <v>0</v>
      </c>
      <c r="K413" s="168">
        <f>SUBTOTAL(109,Refsz_Bundesmix_Handlungsfelder[2021])</f>
        <v>0</v>
      </c>
      <c r="L413" s="168">
        <f>SUBTOTAL(109,Refsz_Bundesmix_Handlungsfelder[2022])</f>
        <v>0</v>
      </c>
      <c r="M413" s="168">
        <f>SUBTOTAL(109,Refsz_Bundesmix_Handlungsfelder[2023])</f>
        <v>0</v>
      </c>
      <c r="N413" s="168">
        <f>SUBTOTAL(109,Refsz_Bundesmix_Handlungsfelder[2024])</f>
        <v>0</v>
      </c>
      <c r="O413" s="168">
        <f>SUBTOTAL(109,Refsz_Bundesmix_Handlungsfelder[2025])</f>
        <v>0</v>
      </c>
      <c r="P413" s="168">
        <f>SUBTOTAL(109,Refsz_Bundesmix_Handlungsfelder[2026])</f>
        <v>0</v>
      </c>
      <c r="Q413" s="168">
        <f>SUBTOTAL(109,Refsz_Bundesmix_Handlungsfelder[2027])</f>
        <v>0</v>
      </c>
      <c r="R413" s="168">
        <f>SUBTOTAL(109,Refsz_Bundesmix_Handlungsfelder[2028])</f>
        <v>0</v>
      </c>
      <c r="S413" s="168">
        <f>SUBTOTAL(109,Refsz_Bundesmix_Handlungsfelder[2029])</f>
        <v>0</v>
      </c>
      <c r="T413" s="168">
        <f>SUBTOTAL(109,Refsz_Bundesmix_Handlungsfelder[2030])</f>
        <v>0</v>
      </c>
      <c r="U413" s="168">
        <f>SUBTOTAL(109,Refsz_Bundesmix_Handlungsfelder[2035])</f>
        <v>0</v>
      </c>
      <c r="V413" s="168">
        <f>SUBTOTAL(109,Refsz_Bundesmix_Handlungsfelder[2040])</f>
        <v>0</v>
      </c>
      <c r="W413" s="168">
        <f>SUBTOTAL(109,Refsz_Bundesmix_Handlungsfelder[2045])</f>
        <v>0</v>
      </c>
      <c r="X413" s="168">
        <f>SUBTOTAL(109,Refsz_Bundesmix_Handlungsfelder[2050])</f>
        <v>0</v>
      </c>
    </row>
    <row r="415" spans="3:24" x14ac:dyDescent="0.35">
      <c r="C415" t="s">
        <v>411</v>
      </c>
      <c r="D415" t="s">
        <v>2</v>
      </c>
      <c r="E415" t="s">
        <v>3</v>
      </c>
      <c r="F415" t="s">
        <v>4</v>
      </c>
      <c r="G415" t="s">
        <v>5</v>
      </c>
      <c r="H415" t="s">
        <v>6</v>
      </c>
      <c r="I415" t="s">
        <v>7</v>
      </c>
      <c r="J415" t="s">
        <v>8</v>
      </c>
      <c r="K415" t="s">
        <v>9</v>
      </c>
      <c r="L415" t="s">
        <v>10</v>
      </c>
      <c r="M415" t="s">
        <v>11</v>
      </c>
      <c r="N415" t="s">
        <v>12</v>
      </c>
      <c r="O415" t="s">
        <v>13</v>
      </c>
      <c r="P415" t="s">
        <v>14</v>
      </c>
      <c r="Q415" t="s">
        <v>232</v>
      </c>
      <c r="R415" t="s">
        <v>233</v>
      </c>
      <c r="S415" t="s">
        <v>234</v>
      </c>
      <c r="T415" t="s">
        <v>15</v>
      </c>
      <c r="U415" t="s">
        <v>16</v>
      </c>
      <c r="V415" t="s">
        <v>17</v>
      </c>
      <c r="W415" t="s">
        <v>18</v>
      </c>
      <c r="X415" t="s">
        <v>19</v>
      </c>
    </row>
    <row r="416" spans="3:24" ht="16.5" x14ac:dyDescent="0.45">
      <c r="C416" t="s">
        <v>222</v>
      </c>
      <c r="D416" t="s">
        <v>224</v>
      </c>
      <c r="E416" t="str">
        <f>IF(ISERROR('KliMax-Auswertung'!D$19+'KliMax-Auswertung'!D$18), "Personenanzahl fehlt", IF('KliMax-Auswertung'!D$18+'KliMax-Auswertung'!D$19=0, "Personenanzahl fehlt", Refsz_Bundesmix_Handlungsfelder[[#Totals],[2015]]/('KliMax-Auswertung'!D$18+'KliMax-Auswertung'!D$19)))</f>
        <v>Personenanzahl fehlt</v>
      </c>
      <c r="F416" t="str">
        <f>IF(ISERROR('KliMax-Auswertung'!E$19+'KliMax-Auswertung'!E$18), "Personenanzahl fehlt", IF('KliMax-Auswertung'!E$18+'KliMax-Auswertung'!E$19=0, "Personenanzahl fehlt", Refsz_Bundesmix_Handlungsfelder[[#Totals],[2016]]/('KliMax-Auswertung'!E$18+'KliMax-Auswertung'!E$19)))</f>
        <v>Personenanzahl fehlt</v>
      </c>
      <c r="G416" t="str">
        <f>IF(ISERROR('KliMax-Auswertung'!F$19+'KliMax-Auswertung'!F$18), "Personenanzahl fehlt", IF('KliMax-Auswertung'!F$18+'KliMax-Auswertung'!F$19=0, "Personenanzahl fehlt", Refsz_Bundesmix_Handlungsfelder[[#Totals],[2017]]/('KliMax-Auswertung'!F$18+'KliMax-Auswertung'!F$19)))</f>
        <v>Personenanzahl fehlt</v>
      </c>
      <c r="H416" t="str">
        <f>IF(ISERROR('KliMax-Auswertung'!G$19+'KliMax-Auswertung'!G$18), "Personenanzahl fehlt", IF('KliMax-Auswertung'!G$18+'KliMax-Auswertung'!G$19=0, "Personenanzahl fehlt", Refsz_Bundesmix_Handlungsfelder[[#Totals],[2018]]/('KliMax-Auswertung'!G$18+'KliMax-Auswertung'!G$19)))</f>
        <v>Personenanzahl fehlt</v>
      </c>
      <c r="I416" t="str">
        <f>IF(ISERROR('KliMax-Auswertung'!H$19+'KliMax-Auswertung'!H$18), "Personenanzahl fehlt", IF('KliMax-Auswertung'!H$18+'KliMax-Auswertung'!H$19=0, "Personenanzahl fehlt", Refsz_Bundesmix_Handlungsfelder[[#Totals],[2019]]/('KliMax-Auswertung'!H$18+'KliMax-Auswertung'!H$19)))</f>
        <v>Personenanzahl fehlt</v>
      </c>
      <c r="J416" t="str">
        <f>IF(ISERROR('KliMax-Auswertung'!I$19+'KliMax-Auswertung'!I$18), "Personenanzahl fehlt", IF('KliMax-Auswertung'!I$18+'KliMax-Auswertung'!I$19=0, "Personenanzahl fehlt", Refsz_Bundesmix_Handlungsfelder[[#Totals],[2020]]/('KliMax-Auswertung'!I$18+'KliMax-Auswertung'!I$19)))</f>
        <v>Personenanzahl fehlt</v>
      </c>
      <c r="K416" t="str">
        <f>IF(ISERROR('KliMax-Auswertung'!J$19+'KliMax-Auswertung'!J$18), "Personenanzahl fehlt", IF('KliMax-Auswertung'!J$18+'KliMax-Auswertung'!J$19=0, "Personenanzahl fehlt", Refsz_Bundesmix_Handlungsfelder[[#Totals],[2021]]/('KliMax-Auswertung'!J$18+'KliMax-Auswertung'!J$19)))</f>
        <v>Personenanzahl fehlt</v>
      </c>
      <c r="L416" t="str">
        <f>IF(ISERROR('KliMax-Auswertung'!K$19+'KliMax-Auswertung'!K$18), "Personenanzahl fehlt", IF('KliMax-Auswertung'!K$18+'KliMax-Auswertung'!K$19=0, "Personenanzahl fehlt", Refsz_Bundesmix_Handlungsfelder[[#Totals],[2022]]/('KliMax-Auswertung'!K$18+'KliMax-Auswertung'!K$19)))</f>
        <v>Personenanzahl fehlt</v>
      </c>
      <c r="M416" t="str">
        <f>IF(ISERROR('KliMax-Auswertung'!L$19+'KliMax-Auswertung'!L$18), "Personenanzahl fehlt", IF('KliMax-Auswertung'!L$18+'KliMax-Auswertung'!L$19=0, "Personenanzahl fehlt", Refsz_Bundesmix_Handlungsfelder[[#Totals],[2023]]/('KliMax-Auswertung'!L$18+'KliMax-Auswertung'!L$19)))</f>
        <v>Personenanzahl fehlt</v>
      </c>
      <c r="N416" t="str">
        <f>IF(ISERROR('KliMax-Auswertung'!M$19+'KliMax-Auswertung'!M$18), "Personenanzahl fehlt", IF('KliMax-Auswertung'!M$18+'KliMax-Auswertung'!M$19=0, "Personenanzahl fehlt", Refsz_Bundesmix_Handlungsfelder[[#Totals],[2024]]/('KliMax-Auswertung'!M$18+'KliMax-Auswertung'!M$19)))</f>
        <v>Personenanzahl fehlt</v>
      </c>
      <c r="O416" t="str">
        <f>IF(ISERROR('KliMax-Auswertung'!N$19+'KliMax-Auswertung'!N$18), "Personenanzahl fehlt", IF('KliMax-Auswertung'!N$18+'KliMax-Auswertung'!N$19=0, "Personenanzahl fehlt", Refsz_Bundesmix_Handlungsfelder[[#Totals],[2025]]/('KliMax-Auswertung'!N$18+'KliMax-Auswertung'!N$19)))</f>
        <v>Personenanzahl fehlt</v>
      </c>
      <c r="P416" t="str">
        <f>IF(ISERROR('KliMax-Auswertung'!O$19+'KliMax-Auswertung'!O$18), "Personenanzahl fehlt", IF('KliMax-Auswertung'!O$18+'KliMax-Auswertung'!O$19=0, "Personenanzahl fehlt", Refsz_Bundesmix_Handlungsfelder[[#Totals],[2026]]/('KliMax-Auswertung'!O$18+'KliMax-Auswertung'!O$19)))</f>
        <v>Personenanzahl fehlt</v>
      </c>
      <c r="Q416" t="str">
        <f>IF(ISERROR('KliMax-Auswertung'!P$19+'KliMax-Auswertung'!P$18), "Personenanzahl fehlt", IF('KliMax-Auswertung'!P$18+'KliMax-Auswertung'!P$19=0, "Personenanzahl fehlt", Refsz_Bundesmix_Handlungsfelder[[#Totals],[2027]]/('KliMax-Auswertung'!P$18+'KliMax-Auswertung'!P$19)))</f>
        <v>Personenanzahl fehlt</v>
      </c>
      <c r="R416" t="str">
        <f>IF(ISERROR('KliMax-Auswertung'!Q$19+'KliMax-Auswertung'!Q$18), "Personenanzahl fehlt", IF('KliMax-Auswertung'!Q$18+'KliMax-Auswertung'!Q$19=0, "Personenanzahl fehlt", Refsz_Bundesmix_Handlungsfelder[[#Totals],[2028]]/('KliMax-Auswertung'!Q$18+'KliMax-Auswertung'!Q$19)))</f>
        <v>Personenanzahl fehlt</v>
      </c>
      <c r="S416" t="str">
        <f>IF(ISERROR('KliMax-Auswertung'!R$19+'KliMax-Auswertung'!R$18), "Personenanzahl fehlt", IF('KliMax-Auswertung'!R$18+'KliMax-Auswertung'!R$19=0, "Personenanzahl fehlt", Refsz_Bundesmix_Handlungsfelder[[#Totals],[2029]]/('KliMax-Auswertung'!R$18+'KliMax-Auswertung'!R$19)))</f>
        <v>Personenanzahl fehlt</v>
      </c>
      <c r="T416" t="str">
        <f>IF(ISERROR('KliMax-Auswertung'!S$19+'KliMax-Auswertung'!S$18), "Personenanzahl fehlt", IF('KliMax-Auswertung'!S$18+'KliMax-Auswertung'!S$19=0, "Personenanzahl fehlt", Refsz_Bundesmix_Handlungsfelder[[#Totals],[2030]]/('KliMax-Auswertung'!S$18+'KliMax-Auswertung'!S$19)))</f>
        <v>Personenanzahl fehlt</v>
      </c>
      <c r="U416" t="str">
        <f>IF(ISERROR('KliMax-Auswertung'!T$19+'KliMax-Auswertung'!T$18), "Personenanzahl fehlt", IF('KliMax-Auswertung'!T$18+'KliMax-Auswertung'!T$19=0, "Personenanzahl fehlt", Refsz_Bundesmix_Handlungsfelder[[#Totals],[2035]]/('KliMax-Auswertung'!T$18+'KliMax-Auswertung'!T$19)))</f>
        <v>Personenanzahl fehlt</v>
      </c>
      <c r="V416" t="str">
        <f>IF(ISERROR('KliMax-Auswertung'!U$19+'KliMax-Auswertung'!U$18), "Personenanzahl fehlt", IF('KliMax-Auswertung'!U$18+'KliMax-Auswertung'!U$19=0, "Personenanzahl fehlt", Refsz_Bundesmix_Handlungsfelder[[#Totals],[2040]]/('KliMax-Auswertung'!U$18+'KliMax-Auswertung'!U$19)))</f>
        <v>Personenanzahl fehlt</v>
      </c>
      <c r="W416" t="str">
        <f>IF(ISERROR('KliMax-Auswertung'!V$19+'KliMax-Auswertung'!V$18), "Personenanzahl fehlt", IF('KliMax-Auswertung'!V$18+'KliMax-Auswertung'!V$19=0, "Personenanzahl fehlt", Refsz_Bundesmix_Handlungsfelder[[#Totals],[2045]]/('KliMax-Auswertung'!V$18+'KliMax-Auswertung'!V$19)))</f>
        <v>Personenanzahl fehlt</v>
      </c>
      <c r="X416" t="str">
        <f>IF(ISERROR('KliMax-Auswertung'!W$19+'KliMax-Auswertung'!W$18), "Personenanzahl fehlt", IF('KliMax-Auswertung'!W$18+'KliMax-Auswertung'!W$19=0, "Personenanzahl fehlt", Refsz_Bundesmix_Handlungsfelder[[#Totals],[2050]]/('KliMax-Auswertung'!W$18+'KliMax-Auswertung'!W$19)))</f>
        <v>Personenanzahl fehlt</v>
      </c>
    </row>
    <row r="417" spans="2:24" ht="16.5" x14ac:dyDescent="0.45">
      <c r="C417" t="s">
        <v>223</v>
      </c>
      <c r="D417" t="s">
        <v>225</v>
      </c>
      <c r="E417" t="str">
        <f>IF(ISERROR(Refsz_Bundesmix_Handlungsfelder[[#Totals],[2015]]/'KliMax-Auswertung'!D$17), "Fläche fehlt", IF('KliMax-Auswertung'!D$17&lt;&gt;0, Refsz_Bundesmix_Handlungsfelder[[#Totals],[2015]]/'KliMax-Auswertung'!D$17, "Fläche fehlt"))</f>
        <v>Fläche fehlt</v>
      </c>
      <c r="F417" t="str">
        <f>IF(ISERROR(Refsz_Bundesmix_Handlungsfelder[[#Totals],[2016]]/'KliMax-Auswertung'!E$17), "Fläche fehlt", IF('KliMax-Auswertung'!E$17&lt;&gt;0, Refsz_Bundesmix_Handlungsfelder[[#Totals],[2016]]/'KliMax-Auswertung'!E$17, "Fläche fehlt"))</f>
        <v>Fläche fehlt</v>
      </c>
      <c r="G417" t="str">
        <f>IF(ISERROR(Refsz_Bundesmix_Handlungsfelder[[#Totals],[2017]]/'KliMax-Auswertung'!F$17), "Fläche fehlt", IF('KliMax-Auswertung'!F$17&lt;&gt;0, Refsz_Bundesmix_Handlungsfelder[[#Totals],[2017]]/'KliMax-Auswertung'!F$17, "Fläche fehlt"))</f>
        <v>Fläche fehlt</v>
      </c>
      <c r="H417" t="str">
        <f>IF(ISERROR(Refsz_Bundesmix_Handlungsfelder[[#Totals],[2018]]/'KliMax-Auswertung'!G$17), "Fläche fehlt", IF('KliMax-Auswertung'!G$17&lt;&gt;0, Refsz_Bundesmix_Handlungsfelder[[#Totals],[2018]]/'KliMax-Auswertung'!G$17, "Fläche fehlt"))</f>
        <v>Fläche fehlt</v>
      </c>
      <c r="I417" t="str">
        <f>IF(ISERROR(Refsz_Bundesmix_Handlungsfelder[[#Totals],[2019]]/'KliMax-Auswertung'!H$17), "Fläche fehlt", IF('KliMax-Auswertung'!H$17&lt;&gt;0, Refsz_Bundesmix_Handlungsfelder[[#Totals],[2019]]/'KliMax-Auswertung'!H$17, "Fläche fehlt"))</f>
        <v>Fläche fehlt</v>
      </c>
      <c r="J417" t="str">
        <f>IF(ISERROR(Refsz_Bundesmix_Handlungsfelder[[#Totals],[2020]]/'KliMax-Auswertung'!I$17), "Fläche fehlt", IF('KliMax-Auswertung'!I$17&lt;&gt;0, Refsz_Bundesmix_Handlungsfelder[[#Totals],[2020]]/'KliMax-Auswertung'!I$17, "Fläche fehlt"))</f>
        <v>Fläche fehlt</v>
      </c>
      <c r="K417" t="str">
        <f>IF(ISERROR(Refsz_Bundesmix_Handlungsfelder[[#Totals],[2021]]/'KliMax-Auswertung'!J$17), "Fläche fehlt", IF('KliMax-Auswertung'!J$17&lt;&gt;0, Refsz_Bundesmix_Handlungsfelder[[#Totals],[2021]]/'KliMax-Auswertung'!J$17, "Fläche fehlt"))</f>
        <v>Fläche fehlt</v>
      </c>
      <c r="L417" t="str">
        <f>IF(ISERROR(Refsz_Bundesmix_Handlungsfelder[[#Totals],[2022]]/'KliMax-Auswertung'!K$17), "Fläche fehlt", IF('KliMax-Auswertung'!K$17&lt;&gt;0, Refsz_Bundesmix_Handlungsfelder[[#Totals],[2022]]/'KliMax-Auswertung'!K$17, "Fläche fehlt"))</f>
        <v>Fläche fehlt</v>
      </c>
      <c r="M417" t="str">
        <f>IF(ISERROR(Refsz_Bundesmix_Handlungsfelder[[#Totals],[2023]]/'KliMax-Auswertung'!L$17), "Fläche fehlt", IF('KliMax-Auswertung'!L$17&lt;&gt;0, Refsz_Bundesmix_Handlungsfelder[[#Totals],[2023]]/'KliMax-Auswertung'!L$17, "Fläche fehlt"))</f>
        <v>Fläche fehlt</v>
      </c>
      <c r="N417" t="str">
        <f>IF(ISERROR(Refsz_Bundesmix_Handlungsfelder[[#Totals],[2024]]/'KliMax-Auswertung'!M$17), "Fläche fehlt", IF('KliMax-Auswertung'!M$17&lt;&gt;0, Refsz_Bundesmix_Handlungsfelder[[#Totals],[2024]]/'KliMax-Auswertung'!M$17, "Fläche fehlt"))</f>
        <v>Fläche fehlt</v>
      </c>
      <c r="O417" t="str">
        <f>IF(ISERROR(Refsz_Bundesmix_Handlungsfelder[[#Totals],[2025]]/'KliMax-Auswertung'!N$17), "Fläche fehlt", IF('KliMax-Auswertung'!N$17&lt;&gt;0, Refsz_Bundesmix_Handlungsfelder[[#Totals],[2025]]/'KliMax-Auswertung'!N$17, "Fläche fehlt"))</f>
        <v>Fläche fehlt</v>
      </c>
      <c r="P417" t="str">
        <f>IF(ISERROR(Refsz_Bundesmix_Handlungsfelder[[#Totals],[2026]]/'KliMax-Auswertung'!O$17), "Fläche fehlt", IF('KliMax-Auswertung'!O$17&lt;&gt;0, Refsz_Bundesmix_Handlungsfelder[[#Totals],[2026]]/'KliMax-Auswertung'!O$17, "Fläche fehlt"))</f>
        <v>Fläche fehlt</v>
      </c>
      <c r="Q417" t="str">
        <f>IF(ISERROR(Refsz_Bundesmix_Handlungsfelder[[#Totals],[2027]]/'KliMax-Auswertung'!P$17), "Fläche fehlt", IF('KliMax-Auswertung'!P$17&lt;&gt;0, Refsz_Bundesmix_Handlungsfelder[[#Totals],[2027]]/'KliMax-Auswertung'!P$17, "Fläche fehlt"))</f>
        <v>Fläche fehlt</v>
      </c>
      <c r="R417" t="str">
        <f>IF(ISERROR(Refsz_Bundesmix_Handlungsfelder[[#Totals],[2028]]/'KliMax-Auswertung'!Q$17), "Fläche fehlt", IF('KliMax-Auswertung'!Q$17&lt;&gt;0, Refsz_Bundesmix_Handlungsfelder[[#Totals],[2028]]/'KliMax-Auswertung'!Q$17, "Fläche fehlt"))</f>
        <v>Fläche fehlt</v>
      </c>
      <c r="S417" t="str">
        <f>IF(ISERROR(Refsz_Bundesmix_Handlungsfelder[[#Totals],[2029]]/'KliMax-Auswertung'!R$17), "Fläche fehlt", IF('KliMax-Auswertung'!R$17&lt;&gt;0, Refsz_Bundesmix_Handlungsfelder[[#Totals],[2029]]/'KliMax-Auswertung'!R$17, "Fläche fehlt"))</f>
        <v>Fläche fehlt</v>
      </c>
      <c r="T417" t="str">
        <f>IF(ISERROR(Refsz_Bundesmix_Handlungsfelder[[#Totals],[2030]]/'KliMax-Auswertung'!S$17), "Fläche fehlt", IF('KliMax-Auswertung'!S$17&lt;&gt;0, Refsz_Bundesmix_Handlungsfelder[[#Totals],[2030]]/'KliMax-Auswertung'!S$17, "Fläche fehlt"))</f>
        <v>Fläche fehlt</v>
      </c>
      <c r="U417" t="str">
        <f>IF(ISERROR(Refsz_Bundesmix_Handlungsfelder[[#Totals],[2035]]/'KliMax-Auswertung'!T$17), "Fläche fehlt", IF('KliMax-Auswertung'!T$17&lt;&gt;0, Refsz_Bundesmix_Handlungsfelder[[#Totals],[2035]]/'KliMax-Auswertung'!T$17, "Fläche fehlt"))</f>
        <v>Fläche fehlt</v>
      </c>
      <c r="V417" t="str">
        <f>IF(ISERROR(Refsz_Bundesmix_Handlungsfelder[[#Totals],[2040]]/'KliMax-Auswertung'!U$17), "Fläche fehlt", IF('KliMax-Auswertung'!U$17&lt;&gt;0, Refsz_Bundesmix_Handlungsfelder[[#Totals],[2040]]/'KliMax-Auswertung'!U$17, "Fläche fehlt"))</f>
        <v>Fläche fehlt</v>
      </c>
      <c r="W417" t="str">
        <f>IF(ISERROR(Refsz_Bundesmix_Handlungsfelder[[#Totals],[2045]]/'KliMax-Auswertung'!V$17), "Fläche fehlt", IF('KliMax-Auswertung'!V$17&lt;&gt;0, Refsz_Bundesmix_Handlungsfelder[[#Totals],[2045]]/'KliMax-Auswertung'!V$17, "Fläche fehlt"))</f>
        <v>Fläche fehlt</v>
      </c>
      <c r="X417" t="str">
        <f>IF(ISERROR(Refsz_Bundesmix_Handlungsfelder[[#Totals],[2050]]/'KliMax-Auswertung'!W$17), "Fläche fehlt", IF('KliMax-Auswertung'!W$17&lt;&gt;0, Refsz_Bundesmix_Handlungsfelder[[#Totals],[2050]]/'KliMax-Auswertung'!W$17, "Fläche fehlt"))</f>
        <v>Fläche fehlt</v>
      </c>
    </row>
    <row r="420" spans="2:24" ht="15.5" x14ac:dyDescent="0.35">
      <c r="B420" s="6" t="s">
        <v>451</v>
      </c>
    </row>
    <row r="421" spans="2:24" x14ac:dyDescent="0.35">
      <c r="C421" s="1"/>
    </row>
    <row r="422" spans="2:24" x14ac:dyDescent="0.35">
      <c r="C422" t="s">
        <v>28</v>
      </c>
      <c r="D422" t="s">
        <v>2</v>
      </c>
      <c r="E422" t="s">
        <v>3</v>
      </c>
      <c r="F422" t="s">
        <v>4</v>
      </c>
      <c r="G422" t="s">
        <v>5</v>
      </c>
      <c r="H422" t="s">
        <v>6</v>
      </c>
      <c r="I422" t="s">
        <v>7</v>
      </c>
      <c r="J422" t="s">
        <v>8</v>
      </c>
      <c r="K422" t="s">
        <v>9</v>
      </c>
      <c r="L422" t="s">
        <v>10</v>
      </c>
      <c r="M422" t="s">
        <v>11</v>
      </c>
      <c r="N422" t="s">
        <v>12</v>
      </c>
      <c r="O422" t="s">
        <v>13</v>
      </c>
      <c r="P422" t="s">
        <v>14</v>
      </c>
      <c r="Q422" t="s">
        <v>232</v>
      </c>
      <c r="R422" t="s">
        <v>233</v>
      </c>
      <c r="S422" t="s">
        <v>234</v>
      </c>
      <c r="T422" t="s">
        <v>15</v>
      </c>
      <c r="U422" t="s">
        <v>16</v>
      </c>
      <c r="V422" t="s">
        <v>17</v>
      </c>
      <c r="W422" t="s">
        <v>18</v>
      </c>
      <c r="X422" t="s">
        <v>19</v>
      </c>
    </row>
    <row r="423" spans="2:24" ht="16.5" x14ac:dyDescent="0.45">
      <c r="C423" t="s">
        <v>211</v>
      </c>
      <c r="D423" t="s">
        <v>208</v>
      </c>
      <c r="E423">
        <f>SUM('Refsz-Emissionen'!E226:E236)</f>
        <v>0</v>
      </c>
      <c r="F423">
        <f>SUM('Refsz-Emissionen'!F226:F236)</f>
        <v>0</v>
      </c>
      <c r="G423">
        <f>SUM('Refsz-Emissionen'!G226:G236)</f>
        <v>0</v>
      </c>
      <c r="H423">
        <f>SUM('Refsz-Emissionen'!H226:H236)</f>
        <v>0</v>
      </c>
      <c r="I423">
        <f>SUM('Refsz-Emissionen'!I226:I236)</f>
        <v>0</v>
      </c>
      <c r="J423">
        <f>SUM('Refsz-Emissionen'!J226:J236)</f>
        <v>0</v>
      </c>
      <c r="K423">
        <f>SUM('Refsz-Emissionen'!K226:K236)</f>
        <v>0</v>
      </c>
      <c r="L423">
        <f>SUM('Refsz-Emissionen'!L226:L236)</f>
        <v>0</v>
      </c>
      <c r="M423">
        <f>SUM('Refsz-Emissionen'!M226:M236)</f>
        <v>0</v>
      </c>
      <c r="N423">
        <f>SUM('Refsz-Emissionen'!N226:N236)</f>
        <v>0</v>
      </c>
      <c r="O423">
        <f>SUM('Refsz-Emissionen'!O226:O236)</f>
        <v>0</v>
      </c>
      <c r="P423">
        <f>SUM('Refsz-Emissionen'!P226:P236)</f>
        <v>0</v>
      </c>
      <c r="Q423">
        <f>SUM('Refsz-Emissionen'!Q226:Q236)</f>
        <v>0</v>
      </c>
      <c r="R423">
        <f>SUM('Refsz-Emissionen'!R226:R236)</f>
        <v>0</v>
      </c>
      <c r="S423">
        <f>SUM('Refsz-Emissionen'!S226:S236)</f>
        <v>0</v>
      </c>
      <c r="T423">
        <f>SUM('Refsz-Emissionen'!T226:T236)</f>
        <v>0</v>
      </c>
      <c r="U423">
        <f>SUM('Refsz-Emissionen'!U226:U236)</f>
        <v>0</v>
      </c>
      <c r="V423">
        <f>SUM('Refsz-Emissionen'!V226:V236)</f>
        <v>0</v>
      </c>
      <c r="W423">
        <f>SUM('Refsz-Emissionen'!W226:W236)</f>
        <v>0</v>
      </c>
      <c r="X423">
        <f>SUM('Refsz-Emissionen'!X226:X236)</f>
        <v>0</v>
      </c>
    </row>
    <row r="424" spans="2:24" ht="16.5" x14ac:dyDescent="0.45">
      <c r="C424" t="s">
        <v>212</v>
      </c>
      <c r="D424" t="s">
        <v>208</v>
      </c>
      <c r="E424">
        <f>SUM('Refsz-Emissionen'!E237:E250)</f>
        <v>0</v>
      </c>
      <c r="F424">
        <f>SUM('Refsz-Emissionen'!F237:F250)</f>
        <v>0</v>
      </c>
      <c r="G424">
        <f>SUM('Refsz-Emissionen'!G237:G250)</f>
        <v>0</v>
      </c>
      <c r="H424">
        <f>SUM('Refsz-Emissionen'!H237:H250)</f>
        <v>0</v>
      </c>
      <c r="I424">
        <f>SUM('Refsz-Emissionen'!I237:I250)</f>
        <v>0</v>
      </c>
      <c r="J424">
        <f>SUM('Refsz-Emissionen'!J237:J250)</f>
        <v>0</v>
      </c>
      <c r="K424">
        <f>SUM('Refsz-Emissionen'!K237:K250)</f>
        <v>0</v>
      </c>
      <c r="L424">
        <f>SUM('Refsz-Emissionen'!L237:L250)</f>
        <v>0</v>
      </c>
      <c r="M424">
        <f>SUM('Refsz-Emissionen'!M237:M250)</f>
        <v>0</v>
      </c>
      <c r="N424">
        <f>SUM('Refsz-Emissionen'!N237:N250)</f>
        <v>0</v>
      </c>
      <c r="O424">
        <f>SUM('Refsz-Emissionen'!O237:O250)</f>
        <v>0</v>
      </c>
      <c r="P424">
        <f>SUM('Refsz-Emissionen'!P237:P250)</f>
        <v>0</v>
      </c>
      <c r="Q424">
        <f>SUM('Refsz-Emissionen'!Q237:Q250)</f>
        <v>0</v>
      </c>
      <c r="R424">
        <f>SUM('Refsz-Emissionen'!R237:R250)</f>
        <v>0</v>
      </c>
      <c r="S424">
        <f>SUM('Refsz-Emissionen'!S237:S250)</f>
        <v>0</v>
      </c>
      <c r="T424">
        <f>SUM('Refsz-Emissionen'!T237:T250)</f>
        <v>0</v>
      </c>
      <c r="U424">
        <f>SUM('Refsz-Emissionen'!U237:U250)</f>
        <v>0</v>
      </c>
      <c r="V424">
        <f>SUM('Refsz-Emissionen'!V237:V250)</f>
        <v>0</v>
      </c>
      <c r="W424">
        <f>SUM('Refsz-Emissionen'!W237:W250)</f>
        <v>0</v>
      </c>
      <c r="X424">
        <f>SUM('Refsz-Emissionen'!X237:X250)</f>
        <v>0</v>
      </c>
    </row>
    <row r="425" spans="2:24" ht="16.5" x14ac:dyDescent="0.45">
      <c r="C425" t="s">
        <v>213</v>
      </c>
      <c r="D425" t="s">
        <v>208</v>
      </c>
      <c r="E425">
        <f>SUM('Refsz-Emissionen'!E251:E254)</f>
        <v>0</v>
      </c>
      <c r="F425">
        <f>SUM('Refsz-Emissionen'!F251:F254)</f>
        <v>0</v>
      </c>
      <c r="G425">
        <f>SUM('Refsz-Emissionen'!G251:G254)</f>
        <v>0</v>
      </c>
      <c r="H425">
        <f>SUM('Refsz-Emissionen'!H251:H254)</f>
        <v>0</v>
      </c>
      <c r="I425">
        <f>SUM('Refsz-Emissionen'!I251:I254)</f>
        <v>0</v>
      </c>
      <c r="J425">
        <f>SUM('Refsz-Emissionen'!J251:J254)</f>
        <v>0</v>
      </c>
      <c r="K425">
        <f>SUM('Refsz-Emissionen'!K251:K254)</f>
        <v>0</v>
      </c>
      <c r="L425">
        <f>SUM('Refsz-Emissionen'!L251:L254)</f>
        <v>0</v>
      </c>
      <c r="M425">
        <f>SUM('Refsz-Emissionen'!M251:M254)</f>
        <v>0</v>
      </c>
      <c r="N425">
        <f>SUM('Refsz-Emissionen'!N251:N254)</f>
        <v>0</v>
      </c>
      <c r="O425">
        <f>SUM('Refsz-Emissionen'!O251:O254)</f>
        <v>0</v>
      </c>
      <c r="P425">
        <f>SUM('Refsz-Emissionen'!P251:P254)</f>
        <v>0</v>
      </c>
      <c r="Q425">
        <f>SUM('Refsz-Emissionen'!Q251:Q254)</f>
        <v>0</v>
      </c>
      <c r="R425">
        <f>SUM('Refsz-Emissionen'!R251:R254)</f>
        <v>0</v>
      </c>
      <c r="S425">
        <f>SUM('Refsz-Emissionen'!S251:S254)</f>
        <v>0</v>
      </c>
      <c r="T425">
        <f>SUM('Refsz-Emissionen'!T251:T254)</f>
        <v>0</v>
      </c>
      <c r="U425">
        <f>SUM('Refsz-Emissionen'!U251:U254)</f>
        <v>0</v>
      </c>
      <c r="V425">
        <f>SUM('Refsz-Emissionen'!V251:V254)</f>
        <v>0</v>
      </c>
      <c r="W425">
        <f>SUM('Refsz-Emissionen'!W251:W254)</f>
        <v>0</v>
      </c>
      <c r="X425">
        <f>SUM('Refsz-Emissionen'!X251:X254)</f>
        <v>0</v>
      </c>
    </row>
    <row r="426" spans="2:24" ht="16.5" x14ac:dyDescent="0.45">
      <c r="C426" t="str">
        <f>_xlfn.CONCAT("Mobilität der Institution (", 'Refsz-Verbräuche'!C46,", ", 'Refsz-Verbräuche'!C47,", ", 'Refsz-Verbräuche'!C48,", ", 'Refsz-Verbräuche'!C49,")")</f>
        <v>Mobilität der Institution (Fuhrpark, DR, Studierendenreisen (Outgoing), Exkursionen)</v>
      </c>
      <c r="D426" t="s">
        <v>208</v>
      </c>
      <c r="E426">
        <f>SUM('Refsz-Emissionen'!E256:E261)+SUM('Refsz-Emissionen'!E263:E278)+SUM('Refsz-Emissionen'!E280:E282)+SUM('Refsz-Emissionen'!E284:E286)</f>
        <v>0</v>
      </c>
      <c r="F426">
        <f>SUM('Refsz-Emissionen'!F256:F261)+SUM('Refsz-Emissionen'!F263:F278)+SUM('Refsz-Emissionen'!F280:F282)+SUM('Refsz-Emissionen'!F284:F286)</f>
        <v>0</v>
      </c>
      <c r="G426">
        <f>SUM('Refsz-Emissionen'!G256:G261)+SUM('Refsz-Emissionen'!G263:G278)+SUM('Refsz-Emissionen'!G280:G282)+SUM('Refsz-Emissionen'!G284:G286)</f>
        <v>0</v>
      </c>
      <c r="H426">
        <f>SUM('Refsz-Emissionen'!H256:H261)+SUM('Refsz-Emissionen'!H263:H278)+SUM('Refsz-Emissionen'!H280:H282)+SUM('Refsz-Emissionen'!H284:H286)</f>
        <v>0</v>
      </c>
      <c r="I426">
        <f>SUM('Refsz-Emissionen'!I256:I261)+SUM('Refsz-Emissionen'!I263:I278)+SUM('Refsz-Emissionen'!I280:I282)+SUM('Refsz-Emissionen'!I284:I286)</f>
        <v>0</v>
      </c>
      <c r="J426">
        <f>SUM('Refsz-Emissionen'!J256:J261)+SUM('Refsz-Emissionen'!J263:J278)+SUM('Refsz-Emissionen'!J280:J282)+SUM('Refsz-Emissionen'!J284:J286)</f>
        <v>0</v>
      </c>
      <c r="K426">
        <f>SUM('Refsz-Emissionen'!K256:K261)+SUM('Refsz-Emissionen'!K263:K278)+SUM('Refsz-Emissionen'!K280:K282)+SUM('Refsz-Emissionen'!K284:K286)</f>
        <v>0</v>
      </c>
      <c r="L426">
        <f>SUM('Refsz-Emissionen'!L256:L261)+SUM('Refsz-Emissionen'!L263:L278)+SUM('Refsz-Emissionen'!L280:L282)+SUM('Refsz-Emissionen'!L284:L286)</f>
        <v>0</v>
      </c>
      <c r="M426">
        <f>SUM('Refsz-Emissionen'!M256:M261)+SUM('Refsz-Emissionen'!M263:M278)+SUM('Refsz-Emissionen'!M280:M282)+SUM('Refsz-Emissionen'!M284:M286)</f>
        <v>0</v>
      </c>
      <c r="N426">
        <f>SUM('Refsz-Emissionen'!N256:N261)+SUM('Refsz-Emissionen'!N263:N278)+SUM('Refsz-Emissionen'!N280:N282)+SUM('Refsz-Emissionen'!N284:N286)</f>
        <v>0</v>
      </c>
      <c r="O426">
        <f>SUM('Refsz-Emissionen'!O256:O261)+SUM('Refsz-Emissionen'!O263:O278)+SUM('Refsz-Emissionen'!O280:O282)+SUM('Refsz-Emissionen'!O284:O286)</f>
        <v>0</v>
      </c>
      <c r="P426">
        <f>SUM('Refsz-Emissionen'!P256:P261)+SUM('Refsz-Emissionen'!P263:P278)+SUM('Refsz-Emissionen'!P280:P282)+SUM('Refsz-Emissionen'!P284:P286)</f>
        <v>0</v>
      </c>
      <c r="Q426">
        <f>SUM('Refsz-Emissionen'!Q256:Q261)+SUM('Refsz-Emissionen'!Q263:Q278)+SUM('Refsz-Emissionen'!Q280:Q282)+SUM('Refsz-Emissionen'!Q284:Q286)</f>
        <v>0</v>
      </c>
      <c r="R426">
        <f>SUM('Refsz-Emissionen'!R256:R261)+SUM('Refsz-Emissionen'!R263:R278)+SUM('Refsz-Emissionen'!R280:R282)+SUM('Refsz-Emissionen'!R284:R286)</f>
        <v>0</v>
      </c>
      <c r="S426">
        <f>SUM('Refsz-Emissionen'!S256:S261)+SUM('Refsz-Emissionen'!S263:S278)+SUM('Refsz-Emissionen'!S280:S282)+SUM('Refsz-Emissionen'!S284:S286)</f>
        <v>0</v>
      </c>
      <c r="T426">
        <f>SUM('Refsz-Emissionen'!T256:T261)+SUM('Refsz-Emissionen'!T263:T278)+SUM('Refsz-Emissionen'!T280:T282)+SUM('Refsz-Emissionen'!T284:T286)</f>
        <v>0</v>
      </c>
      <c r="U426">
        <f>SUM('Refsz-Emissionen'!U256:U261)+SUM('Refsz-Emissionen'!U263:U278)+SUM('Refsz-Emissionen'!U280:U282)+SUM('Refsz-Emissionen'!U284:U286)</f>
        <v>0</v>
      </c>
      <c r="V426">
        <f>SUM('Refsz-Emissionen'!V256:V261)+SUM('Refsz-Emissionen'!V263:V278)+SUM('Refsz-Emissionen'!V280:V282)+SUM('Refsz-Emissionen'!V284:V286)</f>
        <v>0</v>
      </c>
      <c r="W426">
        <f>SUM('Refsz-Emissionen'!W256:W261)+SUM('Refsz-Emissionen'!W263:W278)+SUM('Refsz-Emissionen'!W280:W282)+SUM('Refsz-Emissionen'!W284:W286)</f>
        <v>0</v>
      </c>
      <c r="X426">
        <f>SUM('Refsz-Emissionen'!X256:X261)+SUM('Refsz-Emissionen'!X263:X278)+SUM('Refsz-Emissionen'!X280:X282)+SUM('Refsz-Emissionen'!X284:X286)</f>
        <v>0</v>
      </c>
    </row>
    <row r="427" spans="2:24" ht="16.5" x14ac:dyDescent="0.45">
      <c r="C427" t="str">
        <f>_xlfn.CONCAT("Mobilität außerhalb des Betriebs (", 'Refsz-Verbräuche'!C50,", ", 'Refsz-Verbräuche'!C51,", ", 'Refsz-Verbräuche'!C52,")")</f>
        <v>Mobilität außerhalb des Betriebs (Pendeln, Studierendenreisen (Incoming), An- und Abreise von Gästen)</v>
      </c>
      <c r="D427" t="s">
        <v>208</v>
      </c>
      <c r="E427">
        <f>SUM('Refsz-Emissionen'!E288:E301)+SUM('Refsz-Emissionen'!E303:E305)+SUM('Refsz-Emissionen'!E307:E309)</f>
        <v>0</v>
      </c>
      <c r="F427">
        <f>SUM('Refsz-Emissionen'!F288:F301)+SUM('Refsz-Emissionen'!F303:F305)+SUM('Refsz-Emissionen'!F307:F309)</f>
        <v>0</v>
      </c>
      <c r="G427">
        <f>SUM('Refsz-Emissionen'!G288:G301)+SUM('Refsz-Emissionen'!G303:G305)+SUM('Refsz-Emissionen'!G307:G309)</f>
        <v>0</v>
      </c>
      <c r="H427">
        <f>SUM('Refsz-Emissionen'!H288:H301)+SUM('Refsz-Emissionen'!H303:H305)+SUM('Refsz-Emissionen'!H307:H309)</f>
        <v>0</v>
      </c>
      <c r="I427">
        <f>SUM('Refsz-Emissionen'!I288:I301)+SUM('Refsz-Emissionen'!I303:I305)+SUM('Refsz-Emissionen'!I307:I309)</f>
        <v>0</v>
      </c>
      <c r="J427">
        <f>SUM('Refsz-Emissionen'!J288:J301)+SUM('Refsz-Emissionen'!J303:J305)+SUM('Refsz-Emissionen'!J307:J309)</f>
        <v>0</v>
      </c>
      <c r="K427">
        <f>SUM('Refsz-Emissionen'!K288:K301)+SUM('Refsz-Emissionen'!K303:K305)+SUM('Refsz-Emissionen'!K307:K309)</f>
        <v>0</v>
      </c>
      <c r="L427">
        <f>SUM('Refsz-Emissionen'!L288:L301)+SUM('Refsz-Emissionen'!L303:L305)+SUM('Refsz-Emissionen'!L307:L309)</f>
        <v>0</v>
      </c>
      <c r="M427">
        <f>SUM('Refsz-Emissionen'!M288:M301)+SUM('Refsz-Emissionen'!M303:M305)+SUM('Refsz-Emissionen'!M307:M309)</f>
        <v>0</v>
      </c>
      <c r="N427">
        <f>SUM('Refsz-Emissionen'!N288:N301)+SUM('Refsz-Emissionen'!N303:N305)+SUM('Refsz-Emissionen'!N307:N309)</f>
        <v>0</v>
      </c>
      <c r="O427">
        <f>SUM('Refsz-Emissionen'!O288:O301)+SUM('Refsz-Emissionen'!O303:O305)+SUM('Refsz-Emissionen'!O307:O309)</f>
        <v>0</v>
      </c>
      <c r="P427">
        <f>SUM('Refsz-Emissionen'!P288:P301)+SUM('Refsz-Emissionen'!P303:P305)+SUM('Refsz-Emissionen'!P307:P309)</f>
        <v>0</v>
      </c>
      <c r="Q427">
        <f>SUM('Refsz-Emissionen'!Q288:Q301)+SUM('Refsz-Emissionen'!Q303:Q305)+SUM('Refsz-Emissionen'!Q307:Q309)</f>
        <v>0</v>
      </c>
      <c r="R427">
        <f>SUM('Refsz-Emissionen'!R288:R301)+SUM('Refsz-Emissionen'!R303:R305)+SUM('Refsz-Emissionen'!R307:R309)</f>
        <v>0</v>
      </c>
      <c r="S427">
        <f>SUM('Refsz-Emissionen'!S288:S301)+SUM('Refsz-Emissionen'!S303:S305)+SUM('Refsz-Emissionen'!S307:S309)</f>
        <v>0</v>
      </c>
      <c r="T427">
        <f>SUM('Refsz-Emissionen'!T288:T301)+SUM('Refsz-Emissionen'!T303:T305)+SUM('Refsz-Emissionen'!T307:T309)</f>
        <v>0</v>
      </c>
      <c r="U427">
        <f>SUM('Refsz-Emissionen'!U288:U301)+SUM('Refsz-Emissionen'!U303:U305)+SUM('Refsz-Emissionen'!U307:U309)</f>
        <v>0</v>
      </c>
      <c r="V427">
        <f>SUM('Refsz-Emissionen'!V288:V301)+SUM('Refsz-Emissionen'!V303:V305)+SUM('Refsz-Emissionen'!V307:V309)</f>
        <v>0</v>
      </c>
      <c r="W427">
        <f>SUM('Refsz-Emissionen'!W288:W301)+SUM('Refsz-Emissionen'!W303:W305)+SUM('Refsz-Emissionen'!W307:W309)</f>
        <v>0</v>
      </c>
      <c r="X427">
        <f>SUM('Refsz-Emissionen'!X288:X301)+SUM('Refsz-Emissionen'!X303:X305)+SUM('Refsz-Emissionen'!X307:X309)</f>
        <v>0</v>
      </c>
    </row>
    <row r="428" spans="2:24" ht="16.5" x14ac:dyDescent="0.45">
      <c r="C428" t="s">
        <v>217</v>
      </c>
      <c r="D428" t="s">
        <v>208</v>
      </c>
      <c r="E428">
        <f>SUM('Refsz-Emissionen'!E311:E312)</f>
        <v>0</v>
      </c>
      <c r="F428">
        <f>SUM('Refsz-Emissionen'!F311:F312)</f>
        <v>0</v>
      </c>
      <c r="G428">
        <f>SUM('Refsz-Emissionen'!G311:G312)</f>
        <v>0</v>
      </c>
      <c r="H428">
        <f>SUM('Refsz-Emissionen'!H311:H312)</f>
        <v>0</v>
      </c>
      <c r="I428">
        <f>SUM('Refsz-Emissionen'!I311:I312)</f>
        <v>0</v>
      </c>
      <c r="J428">
        <f>SUM('Refsz-Emissionen'!J311:J312)</f>
        <v>0</v>
      </c>
      <c r="K428">
        <f>SUM('Refsz-Emissionen'!K311:K312)</f>
        <v>0</v>
      </c>
      <c r="L428">
        <f>SUM('Refsz-Emissionen'!L311:L312)</f>
        <v>0</v>
      </c>
      <c r="M428">
        <f>SUM('Refsz-Emissionen'!M311:M312)</f>
        <v>0</v>
      </c>
      <c r="N428">
        <f>SUM('Refsz-Emissionen'!N311:N312)</f>
        <v>0</v>
      </c>
      <c r="O428">
        <f>SUM('Refsz-Emissionen'!O311:O312)</f>
        <v>0</v>
      </c>
      <c r="P428">
        <f>SUM('Refsz-Emissionen'!P311:P312)</f>
        <v>0</v>
      </c>
      <c r="Q428">
        <f>SUM('Refsz-Emissionen'!Q311:Q312)</f>
        <v>0</v>
      </c>
      <c r="R428">
        <f>SUM('Refsz-Emissionen'!R311:R312)</f>
        <v>0</v>
      </c>
      <c r="S428">
        <f>SUM('Refsz-Emissionen'!S311:S312)</f>
        <v>0</v>
      </c>
      <c r="T428">
        <f>SUM('Refsz-Emissionen'!T311:T312)</f>
        <v>0</v>
      </c>
      <c r="U428">
        <f>SUM('Refsz-Emissionen'!U311:U312)</f>
        <v>0</v>
      </c>
      <c r="V428">
        <f>SUM('Refsz-Emissionen'!V311:V312)</f>
        <v>0</v>
      </c>
      <c r="W428">
        <f>SUM('Refsz-Emissionen'!W311:W312)</f>
        <v>0</v>
      </c>
      <c r="X428">
        <f>SUM('Refsz-Emissionen'!X311:X312)</f>
        <v>0</v>
      </c>
    </row>
    <row r="429" spans="2:24" ht="16.5" x14ac:dyDescent="0.45">
      <c r="C429" t="s">
        <v>214</v>
      </c>
      <c r="D429" t="s">
        <v>208</v>
      </c>
      <c r="E429">
        <f>SUM('Refsz-Emissionen'!E330:E340)</f>
        <v>0</v>
      </c>
      <c r="F429">
        <f>SUM('Refsz-Emissionen'!F330:F340)</f>
        <v>0</v>
      </c>
      <c r="G429">
        <f>SUM('Refsz-Emissionen'!G330:G340)</f>
        <v>0</v>
      </c>
      <c r="H429">
        <f>SUM('Refsz-Emissionen'!H330:H340)</f>
        <v>0</v>
      </c>
      <c r="I429">
        <f>SUM('Refsz-Emissionen'!I330:I340)</f>
        <v>0</v>
      </c>
      <c r="J429">
        <f>SUM('Refsz-Emissionen'!J330:J340)</f>
        <v>0</v>
      </c>
      <c r="K429">
        <f>SUM('Refsz-Emissionen'!K330:K340)</f>
        <v>0</v>
      </c>
      <c r="L429">
        <f>SUM('Refsz-Emissionen'!L330:L340)</f>
        <v>0</v>
      </c>
      <c r="M429">
        <f>SUM('Refsz-Emissionen'!M330:M340)</f>
        <v>0</v>
      </c>
      <c r="N429">
        <f>SUM('Refsz-Emissionen'!N330:N340)</f>
        <v>0</v>
      </c>
      <c r="O429">
        <f>SUM('Refsz-Emissionen'!O330:O340)</f>
        <v>0</v>
      </c>
      <c r="P429">
        <f>SUM('Refsz-Emissionen'!P330:P340)</f>
        <v>0</v>
      </c>
      <c r="Q429">
        <f>SUM('Refsz-Emissionen'!Q330:Q340)</f>
        <v>0</v>
      </c>
      <c r="R429">
        <f>SUM('Refsz-Emissionen'!R330:R340)</f>
        <v>0</v>
      </c>
      <c r="S429">
        <f>SUM('Refsz-Emissionen'!S330:S340)</f>
        <v>0</v>
      </c>
      <c r="T429">
        <f>SUM('Refsz-Emissionen'!T330:T340)</f>
        <v>0</v>
      </c>
      <c r="U429">
        <f>SUM('Refsz-Emissionen'!U330:U340)</f>
        <v>0</v>
      </c>
      <c r="V429">
        <f>SUM('Refsz-Emissionen'!V330:V340)</f>
        <v>0</v>
      </c>
      <c r="W429">
        <f>SUM('Refsz-Emissionen'!W330:W340)</f>
        <v>0</v>
      </c>
      <c r="X429">
        <f>SUM('Refsz-Emissionen'!X330:X340)</f>
        <v>0</v>
      </c>
    </row>
    <row r="430" spans="2:24" ht="16.5" x14ac:dyDescent="0.45">
      <c r="C430" t="s">
        <v>215</v>
      </c>
      <c r="D430" t="s">
        <v>208</v>
      </c>
      <c r="E430">
        <f>SUM('Refsz-Emissionen'!E313:E317)+SUM('Refsz-Emissionen'!E319:E327)</f>
        <v>0</v>
      </c>
      <c r="F430">
        <f>SUM('Refsz-Emissionen'!F313:F317)+SUM('Refsz-Emissionen'!F319:F327)</f>
        <v>0</v>
      </c>
      <c r="G430">
        <f>SUM('Refsz-Emissionen'!G313:G317)+SUM('Refsz-Emissionen'!G319:G327)</f>
        <v>0</v>
      </c>
      <c r="H430">
        <f>SUM('Refsz-Emissionen'!H313:H317)+SUM('Refsz-Emissionen'!H319:H327)</f>
        <v>0</v>
      </c>
      <c r="I430">
        <f>SUM('Refsz-Emissionen'!I313:I317)+SUM('Refsz-Emissionen'!I319:I327)</f>
        <v>0</v>
      </c>
      <c r="J430">
        <f>SUM('Refsz-Emissionen'!J313:J317)+SUM('Refsz-Emissionen'!J319:J327)</f>
        <v>0</v>
      </c>
      <c r="K430">
        <f>SUM('Refsz-Emissionen'!K313:K317)+SUM('Refsz-Emissionen'!K319:K327)</f>
        <v>0</v>
      </c>
      <c r="L430">
        <f>SUM('Refsz-Emissionen'!L313:L317)+SUM('Refsz-Emissionen'!L319:L327)</f>
        <v>0</v>
      </c>
      <c r="M430">
        <f>SUM('Refsz-Emissionen'!M313:M317)+SUM('Refsz-Emissionen'!M319:M327)</f>
        <v>0</v>
      </c>
      <c r="N430">
        <f>SUM('Refsz-Emissionen'!N313:N317)+SUM('Refsz-Emissionen'!N319:N327)</f>
        <v>0</v>
      </c>
      <c r="O430">
        <f>SUM('Refsz-Emissionen'!O313:O317)+SUM('Refsz-Emissionen'!O319:O327)</f>
        <v>0</v>
      </c>
      <c r="P430">
        <f>SUM('Refsz-Emissionen'!P313:P317)+SUM('Refsz-Emissionen'!P319:P327)</f>
        <v>0</v>
      </c>
      <c r="Q430">
        <f>SUM('Refsz-Emissionen'!Q313:Q317)+SUM('Refsz-Emissionen'!Q319:Q327)</f>
        <v>0</v>
      </c>
      <c r="R430">
        <f>SUM('Refsz-Emissionen'!R313:R317)+SUM('Refsz-Emissionen'!R319:R327)</f>
        <v>0</v>
      </c>
      <c r="S430">
        <f>SUM('Refsz-Emissionen'!S313:S317)+SUM('Refsz-Emissionen'!S319:S327)</f>
        <v>0</v>
      </c>
      <c r="T430">
        <f>SUM('Refsz-Emissionen'!T313:T317)+SUM('Refsz-Emissionen'!T319:T327)</f>
        <v>0</v>
      </c>
      <c r="U430">
        <f>SUM('Refsz-Emissionen'!U313:U317)+SUM('Refsz-Emissionen'!U319:U327)</f>
        <v>0</v>
      </c>
      <c r="V430">
        <f>SUM('Refsz-Emissionen'!V313:V317)+SUM('Refsz-Emissionen'!V319:V327)</f>
        <v>0</v>
      </c>
      <c r="W430">
        <f>SUM('Refsz-Emissionen'!W313:W317)+SUM('Refsz-Emissionen'!W319:W327)</f>
        <v>0</v>
      </c>
      <c r="X430">
        <f>SUM('Refsz-Emissionen'!X313:X317)+SUM('Refsz-Emissionen'!X319:X327)</f>
        <v>0</v>
      </c>
    </row>
    <row r="431" spans="2:24" ht="16.5" x14ac:dyDescent="0.45">
      <c r="C431" t="s">
        <v>216</v>
      </c>
      <c r="D431" t="s">
        <v>208</v>
      </c>
      <c r="E431">
        <f>SUM('Refsz-Emissionen'!E342:E369)</f>
        <v>0</v>
      </c>
      <c r="F431">
        <f>SUM('Refsz-Emissionen'!F342:F369)</f>
        <v>0</v>
      </c>
      <c r="G431">
        <f>SUM('Refsz-Emissionen'!G342:G369)</f>
        <v>0</v>
      </c>
      <c r="H431">
        <f>SUM('Refsz-Emissionen'!H342:H369)</f>
        <v>0</v>
      </c>
      <c r="I431">
        <f>SUM('Refsz-Emissionen'!I342:I369)</f>
        <v>0</v>
      </c>
      <c r="J431">
        <f>SUM('Refsz-Emissionen'!J342:J369)</f>
        <v>0</v>
      </c>
      <c r="K431">
        <f>SUM('Refsz-Emissionen'!K342:K369)</f>
        <v>0</v>
      </c>
      <c r="L431">
        <f>SUM('Refsz-Emissionen'!L342:L369)</f>
        <v>0</v>
      </c>
      <c r="M431">
        <f>SUM('Refsz-Emissionen'!M342:M369)</f>
        <v>0</v>
      </c>
      <c r="N431">
        <f>SUM('Refsz-Emissionen'!N342:N369)</f>
        <v>0</v>
      </c>
      <c r="O431">
        <f>SUM('Refsz-Emissionen'!O342:O369)</f>
        <v>0</v>
      </c>
      <c r="P431">
        <f>SUM('Refsz-Emissionen'!P342:P369)</f>
        <v>0</v>
      </c>
      <c r="Q431">
        <f>SUM('Refsz-Emissionen'!Q342:Q369)</f>
        <v>0</v>
      </c>
      <c r="R431">
        <f>SUM('Refsz-Emissionen'!R342:R369)</f>
        <v>0</v>
      </c>
      <c r="S431">
        <f>SUM('Refsz-Emissionen'!S342:S369)</f>
        <v>0</v>
      </c>
      <c r="T431">
        <f>SUM('Refsz-Emissionen'!T342:T369)</f>
        <v>0</v>
      </c>
      <c r="U431">
        <f>SUM('Refsz-Emissionen'!U342:U369)</f>
        <v>0</v>
      </c>
      <c r="V431">
        <f>SUM('Refsz-Emissionen'!V342:V369)</f>
        <v>0</v>
      </c>
      <c r="W431">
        <f>SUM('Refsz-Emissionen'!W342:W369)</f>
        <v>0</v>
      </c>
      <c r="X431">
        <f>SUM('Refsz-Emissionen'!X342:X369)</f>
        <v>0</v>
      </c>
    </row>
    <row r="432" spans="2:24" ht="16.5" x14ac:dyDescent="0.45">
      <c r="C432" t="s">
        <v>273</v>
      </c>
      <c r="D432" t="s">
        <v>208</v>
      </c>
      <c r="E432">
        <f>'Refsz-Emissionen'!E371</f>
        <v>0</v>
      </c>
      <c r="F432">
        <f>'Refsz-Emissionen'!F371</f>
        <v>0</v>
      </c>
      <c r="G432">
        <f>'Refsz-Emissionen'!G371</f>
        <v>0</v>
      </c>
      <c r="H432">
        <f>'Refsz-Emissionen'!H371</f>
        <v>0</v>
      </c>
      <c r="I432">
        <f>'Refsz-Emissionen'!I371</f>
        <v>0</v>
      </c>
      <c r="J432">
        <f>'Refsz-Emissionen'!J371</f>
        <v>0</v>
      </c>
      <c r="K432">
        <f>'Refsz-Emissionen'!K371</f>
        <v>0</v>
      </c>
      <c r="L432">
        <f>'Refsz-Emissionen'!L371</f>
        <v>0</v>
      </c>
      <c r="M432">
        <f>'Refsz-Emissionen'!M371</f>
        <v>0</v>
      </c>
      <c r="N432">
        <f>'Refsz-Emissionen'!N371</f>
        <v>0</v>
      </c>
      <c r="O432">
        <f>'Refsz-Emissionen'!O371</f>
        <v>0</v>
      </c>
      <c r="P432">
        <f>'Refsz-Emissionen'!P371</f>
        <v>0</v>
      </c>
      <c r="Q432">
        <f>'Refsz-Emissionen'!Q371</f>
        <v>0</v>
      </c>
      <c r="R432">
        <f>'Refsz-Emissionen'!R371</f>
        <v>0</v>
      </c>
      <c r="S432">
        <f>'Refsz-Emissionen'!S371</f>
        <v>0</v>
      </c>
      <c r="T432">
        <f>'Refsz-Emissionen'!T371</f>
        <v>0</v>
      </c>
      <c r="U432">
        <f>'Refsz-Emissionen'!U371</f>
        <v>0</v>
      </c>
      <c r="V432">
        <f>'Refsz-Emissionen'!V371</f>
        <v>0</v>
      </c>
      <c r="W432">
        <f>'Refsz-Emissionen'!W371</f>
        <v>0</v>
      </c>
      <c r="X432">
        <f>'Refsz-Emissionen'!X371</f>
        <v>0</v>
      </c>
    </row>
    <row r="433" spans="3:24" ht="16.5" x14ac:dyDescent="0.45">
      <c r="C433" t="s">
        <v>72</v>
      </c>
      <c r="D433" t="s">
        <v>208</v>
      </c>
      <c r="E433">
        <f>'Refsz-Emissionen'!E373</f>
        <v>0</v>
      </c>
      <c r="F433">
        <f>'Refsz-Emissionen'!F373</f>
        <v>0</v>
      </c>
      <c r="G433">
        <f>'Refsz-Emissionen'!G373</f>
        <v>0</v>
      </c>
      <c r="H433">
        <f>'Refsz-Emissionen'!H373</f>
        <v>0</v>
      </c>
      <c r="I433">
        <f>'Refsz-Emissionen'!I373</f>
        <v>0</v>
      </c>
      <c r="J433">
        <f>'Refsz-Emissionen'!J373</f>
        <v>0</v>
      </c>
      <c r="K433">
        <f>'Refsz-Emissionen'!K373</f>
        <v>0</v>
      </c>
      <c r="L433">
        <f>'Refsz-Emissionen'!L373</f>
        <v>0</v>
      </c>
      <c r="M433">
        <f>'Refsz-Emissionen'!M373</f>
        <v>0</v>
      </c>
      <c r="N433">
        <f>'Refsz-Emissionen'!N373</f>
        <v>0</v>
      </c>
      <c r="O433">
        <f>'Refsz-Emissionen'!O373</f>
        <v>0</v>
      </c>
      <c r="P433">
        <f>'Refsz-Emissionen'!P373</f>
        <v>0</v>
      </c>
      <c r="Q433">
        <f>'Refsz-Emissionen'!Q373</f>
        <v>0</v>
      </c>
      <c r="R433">
        <f>'Refsz-Emissionen'!R373</f>
        <v>0</v>
      </c>
      <c r="S433">
        <f>'Refsz-Emissionen'!S373</f>
        <v>0</v>
      </c>
      <c r="T433">
        <f>'Refsz-Emissionen'!T373</f>
        <v>0</v>
      </c>
      <c r="U433">
        <f>'Refsz-Emissionen'!U373</f>
        <v>0</v>
      </c>
      <c r="V433">
        <f>'Refsz-Emissionen'!V373</f>
        <v>0</v>
      </c>
      <c r="W433">
        <f>'Refsz-Emissionen'!W373</f>
        <v>0</v>
      </c>
      <c r="X433">
        <f>'Refsz-Emissionen'!X373</f>
        <v>0</v>
      </c>
    </row>
    <row r="434" spans="3:24" ht="16.5" x14ac:dyDescent="0.45">
      <c r="C434" s="25" t="s">
        <v>43</v>
      </c>
      <c r="D434" s="25" t="s">
        <v>208</v>
      </c>
      <c r="E434" s="168">
        <f>SUBTOTAL(109,Refsz_Regiomix_Handlungsfelder[2015])</f>
        <v>0</v>
      </c>
      <c r="F434" s="168">
        <f>SUBTOTAL(109,Refsz_Regiomix_Handlungsfelder[2016])</f>
        <v>0</v>
      </c>
      <c r="G434" s="168">
        <f>SUBTOTAL(109,Refsz_Regiomix_Handlungsfelder[2017])</f>
        <v>0</v>
      </c>
      <c r="H434" s="168">
        <f>SUBTOTAL(109,Refsz_Regiomix_Handlungsfelder[2018])</f>
        <v>0</v>
      </c>
      <c r="I434" s="168">
        <f>SUBTOTAL(109,Refsz_Regiomix_Handlungsfelder[2019])</f>
        <v>0</v>
      </c>
      <c r="J434" s="168">
        <f>SUBTOTAL(109,Refsz_Regiomix_Handlungsfelder[2020])</f>
        <v>0</v>
      </c>
      <c r="K434" s="168">
        <f>SUBTOTAL(109,Refsz_Regiomix_Handlungsfelder[2021])</f>
        <v>0</v>
      </c>
      <c r="L434" s="168">
        <f>SUBTOTAL(109,Refsz_Regiomix_Handlungsfelder[2022])</f>
        <v>0</v>
      </c>
      <c r="M434" s="168">
        <f>SUBTOTAL(109,Refsz_Regiomix_Handlungsfelder[2023])</f>
        <v>0</v>
      </c>
      <c r="N434" s="168">
        <f>SUBTOTAL(109,Refsz_Regiomix_Handlungsfelder[2024])</f>
        <v>0</v>
      </c>
      <c r="O434" s="168">
        <f>SUBTOTAL(109,Refsz_Regiomix_Handlungsfelder[2025])</f>
        <v>0</v>
      </c>
      <c r="P434" s="168">
        <f>SUBTOTAL(109,Refsz_Regiomix_Handlungsfelder[2026])</f>
        <v>0</v>
      </c>
      <c r="Q434" s="168">
        <f>SUBTOTAL(109,Refsz_Regiomix_Handlungsfelder[2027])</f>
        <v>0</v>
      </c>
      <c r="R434" s="168">
        <f>SUBTOTAL(109,Refsz_Regiomix_Handlungsfelder[2028])</f>
        <v>0</v>
      </c>
      <c r="S434" s="168">
        <f>SUBTOTAL(109,Refsz_Regiomix_Handlungsfelder[2029])</f>
        <v>0</v>
      </c>
      <c r="T434" s="168">
        <f>SUBTOTAL(109,Refsz_Regiomix_Handlungsfelder[2030])</f>
        <v>0</v>
      </c>
      <c r="U434" s="168">
        <f>SUBTOTAL(109,Refsz_Regiomix_Handlungsfelder[2035])</f>
        <v>0</v>
      </c>
      <c r="V434" s="168">
        <f>SUBTOTAL(109,Refsz_Regiomix_Handlungsfelder[2040])</f>
        <v>0</v>
      </c>
      <c r="W434" s="168">
        <f>SUBTOTAL(109,Refsz_Regiomix_Handlungsfelder[2045])</f>
        <v>0</v>
      </c>
      <c r="X434" s="168">
        <f>SUBTOTAL(109,Refsz_Regiomix_Handlungsfelder[2050])</f>
        <v>0</v>
      </c>
    </row>
    <row r="436" spans="3:24" x14ac:dyDescent="0.35">
      <c r="C436" t="s">
        <v>411</v>
      </c>
      <c r="D436" t="s">
        <v>2</v>
      </c>
      <c r="E436" t="s">
        <v>3</v>
      </c>
      <c r="F436" t="s">
        <v>4</v>
      </c>
      <c r="G436" t="s">
        <v>5</v>
      </c>
      <c r="H436" t="s">
        <v>6</v>
      </c>
      <c r="I436" t="s">
        <v>7</v>
      </c>
      <c r="J436" t="s">
        <v>8</v>
      </c>
      <c r="K436" t="s">
        <v>9</v>
      </c>
      <c r="L436" t="s">
        <v>10</v>
      </c>
      <c r="M436" t="s">
        <v>11</v>
      </c>
      <c r="N436" t="s">
        <v>12</v>
      </c>
      <c r="O436" t="s">
        <v>13</v>
      </c>
      <c r="P436" t="s">
        <v>14</v>
      </c>
      <c r="Q436" t="s">
        <v>232</v>
      </c>
      <c r="R436" t="s">
        <v>233</v>
      </c>
      <c r="S436" t="s">
        <v>234</v>
      </c>
      <c r="T436" t="s">
        <v>15</v>
      </c>
      <c r="U436" t="s">
        <v>16</v>
      </c>
      <c r="V436" t="s">
        <v>17</v>
      </c>
      <c r="W436" t="s">
        <v>18</v>
      </c>
      <c r="X436" t="s">
        <v>19</v>
      </c>
    </row>
    <row r="437" spans="3:24" ht="16.5" x14ac:dyDescent="0.45">
      <c r="C437" t="s">
        <v>222</v>
      </c>
      <c r="D437" t="s">
        <v>224</v>
      </c>
      <c r="E437" t="str">
        <f>IF(ISERROR('KliMax-Auswertung'!D$19+'KliMax-Auswertung'!D$18), "Personenanzahl fehlt", IF('KliMax-Auswertung'!D$18+'KliMax-Auswertung'!D$19=0, "Personenanzahl fehlt", Refsz_Regiomix_Handlungsfelder[[#Totals],[2015]]/('KliMax-Auswertung'!D$18+'KliMax-Auswertung'!D$19)))</f>
        <v>Personenanzahl fehlt</v>
      </c>
      <c r="F437" t="str">
        <f>IF(ISERROR('KliMax-Auswertung'!E$19+'KliMax-Auswertung'!E$18), "Personenanzahl fehlt", IF('KliMax-Auswertung'!E$18+'KliMax-Auswertung'!E$19=0, "Personenanzahl fehlt", Refsz_Regiomix_Handlungsfelder[[#Totals],[2016]]/('KliMax-Auswertung'!E$18+'KliMax-Auswertung'!E$19)))</f>
        <v>Personenanzahl fehlt</v>
      </c>
      <c r="G437" t="str">
        <f>IF(ISERROR('KliMax-Auswertung'!F$19+'KliMax-Auswertung'!F$18), "Personenanzahl fehlt", IF('KliMax-Auswertung'!F$18+'KliMax-Auswertung'!F$19=0, "Personenanzahl fehlt", Refsz_Regiomix_Handlungsfelder[[#Totals],[2017]]/('KliMax-Auswertung'!F$18+'KliMax-Auswertung'!F$19)))</f>
        <v>Personenanzahl fehlt</v>
      </c>
      <c r="H437" t="str">
        <f>IF(ISERROR('KliMax-Auswertung'!G$19+'KliMax-Auswertung'!G$18), "Personenanzahl fehlt", IF('KliMax-Auswertung'!G$18+'KliMax-Auswertung'!G$19=0, "Personenanzahl fehlt", Refsz_Regiomix_Handlungsfelder[[#Totals],[2018]]/('KliMax-Auswertung'!G$18+'KliMax-Auswertung'!G$19)))</f>
        <v>Personenanzahl fehlt</v>
      </c>
      <c r="I437" t="str">
        <f>IF(ISERROR('KliMax-Auswertung'!H$19+'KliMax-Auswertung'!H$18), "Personenanzahl fehlt", IF('KliMax-Auswertung'!H$18+'KliMax-Auswertung'!H$19=0, "Personenanzahl fehlt", Refsz_Regiomix_Handlungsfelder[[#Totals],[2019]]/('KliMax-Auswertung'!H$18+'KliMax-Auswertung'!H$19)))</f>
        <v>Personenanzahl fehlt</v>
      </c>
      <c r="J437" t="str">
        <f>IF(ISERROR('KliMax-Auswertung'!I$19+'KliMax-Auswertung'!I$18), "Personenanzahl fehlt", IF('KliMax-Auswertung'!I$18+'KliMax-Auswertung'!I$19=0, "Personenanzahl fehlt", Refsz_Regiomix_Handlungsfelder[[#Totals],[2020]]/('KliMax-Auswertung'!I$18+'KliMax-Auswertung'!I$19)))</f>
        <v>Personenanzahl fehlt</v>
      </c>
      <c r="K437" t="str">
        <f>IF(ISERROR('KliMax-Auswertung'!J$19+'KliMax-Auswertung'!J$18), "Personenanzahl fehlt", IF('KliMax-Auswertung'!J$18+'KliMax-Auswertung'!J$19=0, "Personenanzahl fehlt", Refsz_Regiomix_Handlungsfelder[[#Totals],[2021]]/('KliMax-Auswertung'!J$18+'KliMax-Auswertung'!J$19)))</f>
        <v>Personenanzahl fehlt</v>
      </c>
      <c r="L437" t="str">
        <f>IF(ISERROR('KliMax-Auswertung'!K$19+'KliMax-Auswertung'!K$18), "Personenanzahl fehlt", IF('KliMax-Auswertung'!K$18+'KliMax-Auswertung'!K$19=0, "Personenanzahl fehlt", Refsz_Regiomix_Handlungsfelder[[#Totals],[2022]]/('KliMax-Auswertung'!K$18+'KliMax-Auswertung'!K$19)))</f>
        <v>Personenanzahl fehlt</v>
      </c>
      <c r="M437" t="str">
        <f>IF(ISERROR('KliMax-Auswertung'!L$19+'KliMax-Auswertung'!L$18), "Personenanzahl fehlt", IF('KliMax-Auswertung'!L$18+'KliMax-Auswertung'!L$19=0, "Personenanzahl fehlt", Refsz_Regiomix_Handlungsfelder[[#Totals],[2023]]/('KliMax-Auswertung'!L$18+'KliMax-Auswertung'!L$19)))</f>
        <v>Personenanzahl fehlt</v>
      </c>
      <c r="N437" t="str">
        <f>IF(ISERROR('KliMax-Auswertung'!M$19+'KliMax-Auswertung'!M$18), "Personenanzahl fehlt", IF('KliMax-Auswertung'!M$18+'KliMax-Auswertung'!M$19=0, "Personenanzahl fehlt", Refsz_Regiomix_Handlungsfelder[[#Totals],[2024]]/('KliMax-Auswertung'!M$18+'KliMax-Auswertung'!M$19)))</f>
        <v>Personenanzahl fehlt</v>
      </c>
      <c r="O437" t="str">
        <f>IF(ISERROR('KliMax-Auswertung'!N$19+'KliMax-Auswertung'!N$18), "Personenanzahl fehlt", IF('KliMax-Auswertung'!N$18+'KliMax-Auswertung'!N$19=0, "Personenanzahl fehlt", Refsz_Regiomix_Handlungsfelder[[#Totals],[2025]]/('KliMax-Auswertung'!N$18+'KliMax-Auswertung'!N$19)))</f>
        <v>Personenanzahl fehlt</v>
      </c>
      <c r="P437" t="str">
        <f>IF(ISERROR('KliMax-Auswertung'!O$19+'KliMax-Auswertung'!O$18), "Personenanzahl fehlt", IF('KliMax-Auswertung'!O$18+'KliMax-Auswertung'!O$19=0, "Personenanzahl fehlt", Refsz_Regiomix_Handlungsfelder[[#Totals],[2026]]/('KliMax-Auswertung'!O$18+'KliMax-Auswertung'!O$19)))</f>
        <v>Personenanzahl fehlt</v>
      </c>
      <c r="Q437" t="str">
        <f>IF(ISERROR('KliMax-Auswertung'!P$19+'KliMax-Auswertung'!P$18), "Personenanzahl fehlt", IF('KliMax-Auswertung'!P$18+'KliMax-Auswertung'!P$19=0, "Personenanzahl fehlt", Refsz_Regiomix_Handlungsfelder[[#Totals],[2027]]/('KliMax-Auswertung'!P$18+'KliMax-Auswertung'!P$19)))</f>
        <v>Personenanzahl fehlt</v>
      </c>
      <c r="R437" t="str">
        <f>IF(ISERROR('KliMax-Auswertung'!Q$19+'KliMax-Auswertung'!Q$18), "Personenanzahl fehlt", IF('KliMax-Auswertung'!Q$18+'KliMax-Auswertung'!Q$19=0, "Personenanzahl fehlt", Refsz_Regiomix_Handlungsfelder[[#Totals],[2028]]/('KliMax-Auswertung'!Q$18+'KliMax-Auswertung'!Q$19)))</f>
        <v>Personenanzahl fehlt</v>
      </c>
      <c r="S437" t="str">
        <f>IF(ISERROR('KliMax-Auswertung'!R$19+'KliMax-Auswertung'!R$18), "Personenanzahl fehlt", IF('KliMax-Auswertung'!R$18+'KliMax-Auswertung'!R$19=0, "Personenanzahl fehlt", Refsz_Regiomix_Handlungsfelder[[#Totals],[2029]]/('KliMax-Auswertung'!R$18+'KliMax-Auswertung'!R$19)))</f>
        <v>Personenanzahl fehlt</v>
      </c>
      <c r="T437" t="str">
        <f>IF(ISERROR('KliMax-Auswertung'!S$19+'KliMax-Auswertung'!S$18), "Personenanzahl fehlt", IF('KliMax-Auswertung'!S$18+'KliMax-Auswertung'!S$19=0, "Personenanzahl fehlt", Refsz_Regiomix_Handlungsfelder[[#Totals],[2030]]/('KliMax-Auswertung'!S$18+'KliMax-Auswertung'!S$19)))</f>
        <v>Personenanzahl fehlt</v>
      </c>
      <c r="U437" t="str">
        <f>IF(ISERROR('KliMax-Auswertung'!T$19+'KliMax-Auswertung'!T$18), "Personenanzahl fehlt", IF('KliMax-Auswertung'!T$18+'KliMax-Auswertung'!T$19=0, "Personenanzahl fehlt", Refsz_Regiomix_Handlungsfelder[[#Totals],[2035]]/('KliMax-Auswertung'!T$18+'KliMax-Auswertung'!T$19)))</f>
        <v>Personenanzahl fehlt</v>
      </c>
      <c r="V437" t="str">
        <f>IF(ISERROR('KliMax-Auswertung'!U$19+'KliMax-Auswertung'!U$18), "Personenanzahl fehlt", IF('KliMax-Auswertung'!U$18+'KliMax-Auswertung'!U$19=0, "Personenanzahl fehlt", Refsz_Regiomix_Handlungsfelder[[#Totals],[2040]]/('KliMax-Auswertung'!U$18+'KliMax-Auswertung'!U$19)))</f>
        <v>Personenanzahl fehlt</v>
      </c>
      <c r="W437" t="str">
        <f>IF(ISERROR('KliMax-Auswertung'!V$19+'KliMax-Auswertung'!V$18), "Personenanzahl fehlt", IF('KliMax-Auswertung'!V$18+'KliMax-Auswertung'!V$19=0, "Personenanzahl fehlt", Refsz_Regiomix_Handlungsfelder[[#Totals],[2045]]/('KliMax-Auswertung'!V$18+'KliMax-Auswertung'!V$19)))</f>
        <v>Personenanzahl fehlt</v>
      </c>
      <c r="X437" t="str">
        <f>IF(ISERROR('KliMax-Auswertung'!W$19+'KliMax-Auswertung'!W$18), "Personenanzahl fehlt", IF('KliMax-Auswertung'!W$18+'KliMax-Auswertung'!W$19=0, "Personenanzahl fehlt", Refsz_Regiomix_Handlungsfelder[[#Totals],[2050]]/('KliMax-Auswertung'!W$18+'KliMax-Auswertung'!W$19)))</f>
        <v>Personenanzahl fehlt</v>
      </c>
    </row>
    <row r="438" spans="3:24" ht="16.5" x14ac:dyDescent="0.45">
      <c r="C438" t="s">
        <v>223</v>
      </c>
      <c r="D438" t="s">
        <v>225</v>
      </c>
      <c r="E438" t="str">
        <f>IF(ISERROR(Refsz_Regiomix_Handlungsfelder[[#Totals],[2015]]/'KliMax-Auswertung'!D$17), "Fläche fehlt", IF('KliMax-Auswertung'!D$17&lt;&gt;0, Refsz_Regiomix_Handlungsfelder[[#Totals],[2015]]/'KliMax-Auswertung'!D$17, "Fläche fehlt"))</f>
        <v>Fläche fehlt</v>
      </c>
      <c r="F438" t="str">
        <f>IF(ISERROR(Refsz_Regiomix_Handlungsfelder[[#Totals],[2016]]/'KliMax-Auswertung'!E$17), "Fläche fehlt", IF('KliMax-Auswertung'!E$17&lt;&gt;0, Refsz_Regiomix_Handlungsfelder[[#Totals],[2016]]/'KliMax-Auswertung'!E$17, "Fläche fehlt"))</f>
        <v>Fläche fehlt</v>
      </c>
      <c r="G438" t="str">
        <f>IF(ISERROR(Refsz_Regiomix_Handlungsfelder[[#Totals],[2017]]/'KliMax-Auswertung'!F$17), "Fläche fehlt", IF('KliMax-Auswertung'!F$17&lt;&gt;0, Refsz_Regiomix_Handlungsfelder[[#Totals],[2017]]/'KliMax-Auswertung'!F$17, "Fläche fehlt"))</f>
        <v>Fläche fehlt</v>
      </c>
      <c r="H438" t="str">
        <f>IF(ISERROR(Refsz_Regiomix_Handlungsfelder[[#Totals],[2018]]/'KliMax-Auswertung'!G$17), "Fläche fehlt", IF('KliMax-Auswertung'!G$17&lt;&gt;0, Refsz_Regiomix_Handlungsfelder[[#Totals],[2018]]/'KliMax-Auswertung'!G$17, "Fläche fehlt"))</f>
        <v>Fläche fehlt</v>
      </c>
      <c r="I438" t="str">
        <f>IF(ISERROR(Refsz_Regiomix_Handlungsfelder[[#Totals],[2019]]/'KliMax-Auswertung'!H$17), "Fläche fehlt", IF('KliMax-Auswertung'!H$17&lt;&gt;0, Refsz_Regiomix_Handlungsfelder[[#Totals],[2019]]/'KliMax-Auswertung'!H$17, "Fläche fehlt"))</f>
        <v>Fläche fehlt</v>
      </c>
      <c r="J438" t="str">
        <f>IF(ISERROR(Refsz_Regiomix_Handlungsfelder[[#Totals],[2020]]/'KliMax-Auswertung'!I$17), "Fläche fehlt", IF('KliMax-Auswertung'!I$17&lt;&gt;0, Refsz_Regiomix_Handlungsfelder[[#Totals],[2020]]/'KliMax-Auswertung'!I$17, "Fläche fehlt"))</f>
        <v>Fläche fehlt</v>
      </c>
      <c r="K438" t="str">
        <f>IF(ISERROR(Refsz_Regiomix_Handlungsfelder[[#Totals],[2021]]/'KliMax-Auswertung'!J$17), "Fläche fehlt", IF('KliMax-Auswertung'!J$17&lt;&gt;0, Refsz_Regiomix_Handlungsfelder[[#Totals],[2021]]/'KliMax-Auswertung'!J$17, "Fläche fehlt"))</f>
        <v>Fläche fehlt</v>
      </c>
      <c r="L438" t="str">
        <f>IF(ISERROR(Refsz_Regiomix_Handlungsfelder[[#Totals],[2022]]/'KliMax-Auswertung'!K$17), "Fläche fehlt", IF('KliMax-Auswertung'!K$17&lt;&gt;0, Refsz_Regiomix_Handlungsfelder[[#Totals],[2022]]/'KliMax-Auswertung'!K$17, "Fläche fehlt"))</f>
        <v>Fläche fehlt</v>
      </c>
      <c r="M438" t="str">
        <f>IF(ISERROR(Refsz_Regiomix_Handlungsfelder[[#Totals],[2023]]/'KliMax-Auswertung'!L$17), "Fläche fehlt", IF('KliMax-Auswertung'!L$17&lt;&gt;0, Refsz_Regiomix_Handlungsfelder[[#Totals],[2023]]/'KliMax-Auswertung'!L$17, "Fläche fehlt"))</f>
        <v>Fläche fehlt</v>
      </c>
      <c r="N438" t="str">
        <f>IF(ISERROR(Refsz_Regiomix_Handlungsfelder[[#Totals],[2024]]/'KliMax-Auswertung'!M$17), "Fläche fehlt", IF('KliMax-Auswertung'!M$17&lt;&gt;0, Refsz_Regiomix_Handlungsfelder[[#Totals],[2024]]/'KliMax-Auswertung'!M$17, "Fläche fehlt"))</f>
        <v>Fläche fehlt</v>
      </c>
      <c r="O438" t="str">
        <f>IF(ISERROR(Refsz_Regiomix_Handlungsfelder[[#Totals],[2025]]/'KliMax-Auswertung'!N$17), "Fläche fehlt", IF('KliMax-Auswertung'!N$17&lt;&gt;0, Refsz_Regiomix_Handlungsfelder[[#Totals],[2025]]/'KliMax-Auswertung'!N$17, "Fläche fehlt"))</f>
        <v>Fläche fehlt</v>
      </c>
      <c r="P438" t="str">
        <f>IF(ISERROR(Refsz_Regiomix_Handlungsfelder[[#Totals],[2026]]/'KliMax-Auswertung'!O$17), "Fläche fehlt", IF('KliMax-Auswertung'!O$17&lt;&gt;0, Refsz_Regiomix_Handlungsfelder[[#Totals],[2026]]/'KliMax-Auswertung'!O$17, "Fläche fehlt"))</f>
        <v>Fläche fehlt</v>
      </c>
      <c r="Q438" t="str">
        <f>IF(ISERROR(Refsz_Regiomix_Handlungsfelder[[#Totals],[2027]]/'KliMax-Auswertung'!P$17), "Fläche fehlt", IF('KliMax-Auswertung'!P$17&lt;&gt;0, Refsz_Regiomix_Handlungsfelder[[#Totals],[2027]]/'KliMax-Auswertung'!P$17, "Fläche fehlt"))</f>
        <v>Fläche fehlt</v>
      </c>
      <c r="R438" t="str">
        <f>IF(ISERROR(Refsz_Regiomix_Handlungsfelder[[#Totals],[2028]]/'KliMax-Auswertung'!Q$17), "Fläche fehlt", IF('KliMax-Auswertung'!Q$17&lt;&gt;0, Refsz_Regiomix_Handlungsfelder[[#Totals],[2028]]/'KliMax-Auswertung'!Q$17, "Fläche fehlt"))</f>
        <v>Fläche fehlt</v>
      </c>
      <c r="S438" t="str">
        <f>IF(ISERROR(Refsz_Regiomix_Handlungsfelder[[#Totals],[2029]]/'KliMax-Auswertung'!R$17), "Fläche fehlt", IF('KliMax-Auswertung'!R$17&lt;&gt;0, Refsz_Regiomix_Handlungsfelder[[#Totals],[2029]]/'KliMax-Auswertung'!R$17, "Fläche fehlt"))</f>
        <v>Fläche fehlt</v>
      </c>
      <c r="T438" t="str">
        <f>IF(ISERROR(Refsz_Regiomix_Handlungsfelder[[#Totals],[2030]]/'KliMax-Auswertung'!S$17), "Fläche fehlt", IF('KliMax-Auswertung'!S$17&lt;&gt;0, Refsz_Regiomix_Handlungsfelder[[#Totals],[2030]]/'KliMax-Auswertung'!S$17, "Fläche fehlt"))</f>
        <v>Fläche fehlt</v>
      </c>
      <c r="U438" t="str">
        <f>IF(ISERROR(Refsz_Regiomix_Handlungsfelder[[#Totals],[2035]]/'KliMax-Auswertung'!T$17), "Fläche fehlt", IF('KliMax-Auswertung'!T$17&lt;&gt;0, Refsz_Regiomix_Handlungsfelder[[#Totals],[2035]]/'KliMax-Auswertung'!T$17, "Fläche fehlt"))</f>
        <v>Fläche fehlt</v>
      </c>
      <c r="V438" t="str">
        <f>IF(ISERROR(Refsz_Regiomix_Handlungsfelder[[#Totals],[2040]]/'KliMax-Auswertung'!U$17), "Fläche fehlt", IF('KliMax-Auswertung'!U$17&lt;&gt;0, Refsz_Regiomix_Handlungsfelder[[#Totals],[2040]]/'KliMax-Auswertung'!U$17, "Fläche fehlt"))</f>
        <v>Fläche fehlt</v>
      </c>
      <c r="W438" t="str">
        <f>IF(ISERROR(Refsz_Regiomix_Handlungsfelder[[#Totals],[2045]]/'KliMax-Auswertung'!V$17), "Fläche fehlt", IF('KliMax-Auswertung'!V$17&lt;&gt;0, Refsz_Regiomix_Handlungsfelder[[#Totals],[2045]]/'KliMax-Auswertung'!V$17, "Fläche fehlt"))</f>
        <v>Fläche fehlt</v>
      </c>
      <c r="X438" t="str">
        <f>IF(ISERROR(Refsz_Regiomix_Handlungsfelder[[#Totals],[2050]]/'KliMax-Auswertung'!W$17), "Fläche fehlt", IF('KliMax-Auswertung'!W$17&lt;&gt;0, Refsz_Regiomix_Handlungsfelder[[#Totals],[2050]]/'KliMax-Auswertung'!W$17, "Fläche fehlt"))</f>
        <v>Fläche fehlt</v>
      </c>
    </row>
  </sheetData>
  <phoneticPr fontId="8" type="noConversion"/>
  <conditionalFormatting sqref="B56:C56">
    <cfRule type="cellIs" dxfId="854" priority="1" operator="equal">
      <formula>0</formula>
    </cfRule>
  </conditionalFormatting>
  <conditionalFormatting sqref="E61:X221 E226:X386">
    <cfRule type="cellIs" dxfId="853" priority="11" operator="equal">
      <formula>0</formula>
    </cfRule>
  </conditionalFormatting>
  <hyperlinks>
    <hyperlink ref="B7" location="'Refsz-Emissionen'!B59" display="      1.1 Referenzszenario Bundesmix" xr:uid="{7FA45CD9-F572-4A54-AB92-CB0B047BF9BA}"/>
    <hyperlink ref="B8" location="'Refsz-Emissionen'!B224" display="      1.2 Referenzszenario Regiomix" xr:uid="{1ABD6B5C-17B8-4F6D-A5D2-1CBCEB4CC9F6}"/>
    <hyperlink ref="B10" location="'Refsz-Emissionen'!B309" display="      2.1 Referenzszenario Bundesmix" xr:uid="{70A801AA-FE65-43A9-A128-39E1F609AD66}"/>
    <hyperlink ref="B11" location="'Refsz-Emissionen'!B420" display="      2.2 Referenzszenario Regiomix" xr:uid="{8AEA07F5-68D8-4D50-B8B9-867303576C24}"/>
    <hyperlink ref="B1" location="Startseite!B1" tooltip="Zurück zur Einleitung" display="Zur Startseite" xr:uid="{C42F86AB-11F1-4B42-9E5C-8D7E344FC8E9}"/>
    <hyperlink ref="E1" r:id="rId1" tooltip="Kontakt zur Autorin" display="Kontakt zur Autorin" xr:uid="{B3D3D55D-E7AC-4FC1-A838-F01CDA58708E}"/>
  </hyperlinks>
  <pageMargins left="0.7" right="0.7" top="0.78740157499999996" bottom="0.78740157499999996" header="0.3" footer="0.3"/>
  <drawing r:id="rId2"/>
  <legacyDrawing r:id="rId3"/>
  <tableParts count="6">
    <tablePart r:id="rId4"/>
    <tablePart r:id="rId5"/>
    <tablePart r:id="rId6"/>
    <tablePart r:id="rId7"/>
    <tablePart r:id="rId8"/>
    <tablePart r:id="rId9"/>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784D0-C809-4764-9D5D-CE3C75C77D5E}">
  <sheetPr>
    <tabColor rgb="FFFFC000"/>
  </sheetPr>
  <dimension ref="B1:Z827"/>
  <sheetViews>
    <sheetView showGridLines="0" zoomScale="91" zoomScaleNormal="130" workbookViewId="0">
      <pane xSplit="3" ySplit="1" topLeftCell="D2" activePane="bottomRight" state="frozen"/>
      <selection pane="topRight" activeCell="D1" sqref="D1"/>
      <selection pane="bottomLeft" activeCell="A2" sqref="A2"/>
      <selection pane="bottomRight" activeCell="B1" sqref="B1"/>
    </sheetView>
  </sheetViews>
  <sheetFormatPr baseColWidth="10" defaultRowHeight="14.5" x14ac:dyDescent="0.35"/>
  <cols>
    <col min="1" max="1" width="3" customWidth="1"/>
    <col min="3" max="3" width="51.26953125" customWidth="1"/>
    <col min="4" max="4" width="16.81640625" customWidth="1"/>
    <col min="25" max="25" width="16.26953125" customWidth="1"/>
    <col min="26" max="26" width="22.54296875" customWidth="1"/>
  </cols>
  <sheetData>
    <row r="1" spans="2:10" x14ac:dyDescent="0.35">
      <c r="B1" s="4" t="s">
        <v>553</v>
      </c>
      <c r="E1" s="3" t="s">
        <v>590</v>
      </c>
      <c r="J1" s="28"/>
    </row>
    <row r="3" spans="2:10" ht="18.5" x14ac:dyDescent="0.45">
      <c r="B3" s="26" t="s">
        <v>546</v>
      </c>
    </row>
    <row r="5" spans="2:10" ht="15.5" x14ac:dyDescent="0.35">
      <c r="B5" s="6" t="s">
        <v>0</v>
      </c>
    </row>
    <row r="6" spans="2:10" x14ac:dyDescent="0.35">
      <c r="B6" t="s">
        <v>520</v>
      </c>
    </row>
    <row r="7" spans="2:10" x14ac:dyDescent="0.35">
      <c r="B7" s="28" t="s">
        <v>521</v>
      </c>
    </row>
    <row r="8" spans="2:10" x14ac:dyDescent="0.35">
      <c r="B8" s="28" t="s">
        <v>522</v>
      </c>
    </row>
    <row r="9" spans="2:10" x14ac:dyDescent="0.35">
      <c r="B9" s="28" t="s">
        <v>523</v>
      </c>
    </row>
    <row r="10" spans="2:10" x14ac:dyDescent="0.35">
      <c r="B10" s="28" t="s">
        <v>524</v>
      </c>
    </row>
    <row r="11" spans="2:10" x14ac:dyDescent="0.35">
      <c r="B11" t="s">
        <v>514</v>
      </c>
    </row>
    <row r="12" spans="2:10" x14ac:dyDescent="0.35">
      <c r="B12" s="28" t="s">
        <v>525</v>
      </c>
    </row>
    <row r="13" spans="2:10" x14ac:dyDescent="0.35">
      <c r="B13" s="28" t="s">
        <v>526</v>
      </c>
    </row>
    <row r="14" spans="2:10" x14ac:dyDescent="0.35">
      <c r="B14" s="28" t="s">
        <v>527</v>
      </c>
    </row>
    <row r="15" spans="2:10" x14ac:dyDescent="0.35">
      <c r="B15" s="28" t="s">
        <v>528</v>
      </c>
    </row>
    <row r="16" spans="2:10" hidden="1" x14ac:dyDescent="0.35"/>
    <row r="17" spans="2:2" hidden="1" x14ac:dyDescent="0.35"/>
    <row r="18" spans="2:2" hidden="1" x14ac:dyDescent="0.35"/>
    <row r="19" spans="2:2" hidden="1" x14ac:dyDescent="0.35"/>
    <row r="20" spans="2:2" hidden="1" x14ac:dyDescent="0.35"/>
    <row r="21" spans="2:2" hidden="1" x14ac:dyDescent="0.35"/>
    <row r="22" spans="2:2" hidden="1" x14ac:dyDescent="0.35"/>
    <row r="23" spans="2:2" hidden="1" x14ac:dyDescent="0.35"/>
    <row r="24" spans="2:2" hidden="1" x14ac:dyDescent="0.35"/>
    <row r="25" spans="2:2" hidden="1" x14ac:dyDescent="0.35"/>
    <row r="26" spans="2:2" hidden="1" x14ac:dyDescent="0.35"/>
    <row r="27" spans="2:2" hidden="1" x14ac:dyDescent="0.35">
      <c r="B27" s="1"/>
    </row>
    <row r="28" spans="2:2" hidden="1" x14ac:dyDescent="0.35">
      <c r="B28" s="1"/>
    </row>
    <row r="29" spans="2:2" hidden="1" x14ac:dyDescent="0.35">
      <c r="B29" s="1"/>
    </row>
    <row r="30" spans="2:2" hidden="1" x14ac:dyDescent="0.35">
      <c r="B30" s="1"/>
    </row>
    <row r="31" spans="2:2" hidden="1" x14ac:dyDescent="0.35">
      <c r="B31" s="1"/>
    </row>
    <row r="32" spans="2:2" hidden="1" x14ac:dyDescent="0.35">
      <c r="B32" s="1"/>
    </row>
    <row r="33" spans="2:2" hidden="1" x14ac:dyDescent="0.35">
      <c r="B33" s="1"/>
    </row>
    <row r="34" spans="2:2" hidden="1" x14ac:dyDescent="0.35">
      <c r="B34" s="1"/>
    </row>
    <row r="35" spans="2:2" hidden="1" x14ac:dyDescent="0.35">
      <c r="B35" s="1"/>
    </row>
    <row r="36" spans="2:2" hidden="1" x14ac:dyDescent="0.35">
      <c r="B36" s="1"/>
    </row>
    <row r="37" spans="2:2" hidden="1" x14ac:dyDescent="0.35">
      <c r="B37" s="1"/>
    </row>
    <row r="38" spans="2:2" hidden="1" x14ac:dyDescent="0.35">
      <c r="B38" s="1"/>
    </row>
    <row r="39" spans="2:2" hidden="1" x14ac:dyDescent="0.35">
      <c r="B39" s="1"/>
    </row>
    <row r="40" spans="2:2" hidden="1" x14ac:dyDescent="0.35">
      <c r="B40" s="1"/>
    </row>
    <row r="41" spans="2:2" hidden="1" x14ac:dyDescent="0.35">
      <c r="B41" s="1"/>
    </row>
    <row r="42" spans="2:2" hidden="1" x14ac:dyDescent="0.35">
      <c r="B42" s="1"/>
    </row>
    <row r="43" spans="2:2" hidden="1" x14ac:dyDescent="0.35">
      <c r="B43" s="1"/>
    </row>
    <row r="44" spans="2:2" hidden="1" x14ac:dyDescent="0.35">
      <c r="B44" s="1"/>
    </row>
    <row r="45" spans="2:2" hidden="1" x14ac:dyDescent="0.35"/>
    <row r="46" spans="2:2" hidden="1" x14ac:dyDescent="0.35"/>
    <row r="47" spans="2:2" hidden="1" x14ac:dyDescent="0.35"/>
    <row r="48" spans="2:2" hidden="1" x14ac:dyDescent="0.35"/>
    <row r="50" spans="2:25" ht="15.5" x14ac:dyDescent="0.35">
      <c r="B50" s="6" t="s">
        <v>474</v>
      </c>
    </row>
    <row r="54" spans="2:25" hidden="1" x14ac:dyDescent="0.35"/>
    <row r="55" spans="2:25" hidden="1" x14ac:dyDescent="0.35">
      <c r="B55" s="1" t="s">
        <v>27</v>
      </c>
    </row>
    <row r="56" spans="2:25" hidden="1" x14ac:dyDescent="0.35">
      <c r="B56" s="46" t="s">
        <v>266</v>
      </c>
      <c r="C56" s="46"/>
    </row>
    <row r="57" spans="2:25" hidden="1" x14ac:dyDescent="0.35"/>
    <row r="58" spans="2:25" hidden="1" x14ac:dyDescent="0.35">
      <c r="B58" s="1" t="s">
        <v>478</v>
      </c>
    </row>
    <row r="59" spans="2:25" hidden="1" x14ac:dyDescent="0.35"/>
    <row r="60" spans="2:25" hidden="1" x14ac:dyDescent="0.35">
      <c r="B60" t="s">
        <v>42</v>
      </c>
      <c r="C60" s="15" t="s">
        <v>28</v>
      </c>
      <c r="D60" t="s">
        <v>2</v>
      </c>
      <c r="E60" t="s">
        <v>3</v>
      </c>
      <c r="F60" t="s">
        <v>4</v>
      </c>
      <c r="G60" t="s">
        <v>5</v>
      </c>
      <c r="H60" t="s">
        <v>6</v>
      </c>
      <c r="I60" t="s">
        <v>7</v>
      </c>
      <c r="J60" t="s">
        <v>8</v>
      </c>
      <c r="K60" t="s">
        <v>9</v>
      </c>
      <c r="L60" t="s">
        <v>10</v>
      </c>
      <c r="M60" t="s">
        <v>11</v>
      </c>
      <c r="N60" t="s">
        <v>12</v>
      </c>
      <c r="O60" t="s">
        <v>13</v>
      </c>
      <c r="P60" t="s">
        <v>14</v>
      </c>
      <c r="Q60" t="s">
        <v>232</v>
      </c>
      <c r="R60" t="s">
        <v>233</v>
      </c>
      <c r="S60" t="s">
        <v>234</v>
      </c>
      <c r="T60" t="s">
        <v>15</v>
      </c>
      <c r="U60" t="s">
        <v>16</v>
      </c>
      <c r="V60" t="s">
        <v>17</v>
      </c>
      <c r="W60" t="s">
        <v>18</v>
      </c>
      <c r="X60" t="s">
        <v>19</v>
      </c>
      <c r="Y60" t="s">
        <v>49</v>
      </c>
    </row>
    <row r="61" spans="2:25" ht="16.5" hidden="1" x14ac:dyDescent="0.45">
      <c r="B61" s="15">
        <v>1</v>
      </c>
      <c r="C61" s="20" t="str">
        <f>Refsz_Verbräuche[[#This Row],[Datenpunkt]]</f>
        <v>Elektrischer Strom (Bundesmix)</v>
      </c>
      <c r="D61" t="s">
        <v>208</v>
      </c>
      <c r="E61" s="15">
        <f>IF((OR(ISNUMBER('Klisz-Verbräuche'!F61),ISNUMBER('Klisz-Verbräuche'!F62),ISNUMBER('Klisz-Verbräuche'!E63),ISNUMBER('Klisz-Verbräuche'!F64),ISNUMBER('Klisz-Verbräuche'!F65), ISNUMBER('Klisz-Verbräuche'!F66), ISNUMBER('Klisz-Verbräuche'!F67), ISNUMBER('Klisz-Verbräuche'!F68), ISNUMBER('Klisz-Verbräuche'!F69), ISNUMBER('Klisz-Verbräuche'!F70), ISNUMBER('Klisz-Verbräuche'!F71))), (SUM('Klisz-Verbräuche'!F61:F71)*Emissionsfaktoren[[#This Row],[2015]]/1000)+'Strommix &amp; BHKW'!D207+'Strommix &amp; BHKW'!D227+'Strommix &amp; BHKW'!D233+'Strommix &amp; BHKW'!D239, 0)</f>
        <v>0</v>
      </c>
      <c r="F61" s="15">
        <f>IF((OR(ISNUMBER('Klisz-Verbräuche'!G61),ISNUMBER('Klisz-Verbräuche'!G62),ISNUMBER('Klisz-Verbräuche'!F63),ISNUMBER('Klisz-Verbräuche'!G64),ISNUMBER('Klisz-Verbräuche'!G65), ISNUMBER('Klisz-Verbräuche'!G66), ISNUMBER('Klisz-Verbräuche'!G67), ISNUMBER('Klisz-Verbräuche'!G68), ISNUMBER('Klisz-Verbräuche'!G69), ISNUMBER('Klisz-Verbräuche'!G70), ISNUMBER('Klisz-Verbräuche'!G71))), (SUM('Klisz-Verbräuche'!G61:G71)*Emissionsfaktoren[[#This Row],[2016]]/1000)+'Strommix &amp; BHKW'!E207+'Strommix &amp; BHKW'!E227+'Strommix &amp; BHKW'!E233+'Strommix &amp; BHKW'!E239, 0)</f>
        <v>0</v>
      </c>
      <c r="G61" s="15">
        <f>IF((OR(ISNUMBER('Klisz-Verbräuche'!H61),ISNUMBER('Klisz-Verbräuche'!H62),ISNUMBER('Klisz-Verbräuche'!G63),ISNUMBER('Klisz-Verbräuche'!H64),ISNUMBER('Klisz-Verbräuche'!H65), ISNUMBER('Klisz-Verbräuche'!H66), ISNUMBER('Klisz-Verbräuche'!H67), ISNUMBER('Klisz-Verbräuche'!H68), ISNUMBER('Klisz-Verbräuche'!H69), ISNUMBER('Klisz-Verbräuche'!H70), ISNUMBER('Klisz-Verbräuche'!H71))), (SUM('Klisz-Verbräuche'!H61:H71)*Emissionsfaktoren[[#This Row],[2017]]/1000)+'Strommix &amp; BHKW'!F207+'Strommix &amp; BHKW'!F227+'Strommix &amp; BHKW'!F233+'Strommix &amp; BHKW'!F239, 0)</f>
        <v>0</v>
      </c>
      <c r="H61" s="15">
        <f>IF((OR(ISNUMBER('Klisz-Verbräuche'!I61),ISNUMBER('Klisz-Verbräuche'!I62),ISNUMBER('Klisz-Verbräuche'!H63),ISNUMBER('Klisz-Verbräuche'!I64),ISNUMBER('Klisz-Verbräuche'!I65), ISNUMBER('Klisz-Verbräuche'!I66), ISNUMBER('Klisz-Verbräuche'!I67), ISNUMBER('Klisz-Verbräuche'!I68), ISNUMBER('Klisz-Verbräuche'!I69), ISNUMBER('Klisz-Verbräuche'!I70), ISNUMBER('Klisz-Verbräuche'!I71))), (SUM('Klisz-Verbräuche'!I61:I71)*Emissionsfaktoren[[#This Row],[2018]]/1000)+'Strommix &amp; BHKW'!G207+'Strommix &amp; BHKW'!G227+'Strommix &amp; BHKW'!G233+'Strommix &amp; BHKW'!G239, 0)</f>
        <v>0</v>
      </c>
      <c r="I61" s="15">
        <f>IF((OR(ISNUMBER('Klisz-Verbräuche'!J61),ISNUMBER('Klisz-Verbräuche'!J62),ISNUMBER('Klisz-Verbräuche'!I63),ISNUMBER('Klisz-Verbräuche'!J64),ISNUMBER('Klisz-Verbräuche'!J65), ISNUMBER('Klisz-Verbräuche'!J66), ISNUMBER('Klisz-Verbräuche'!J67), ISNUMBER('Klisz-Verbräuche'!J68), ISNUMBER('Klisz-Verbräuche'!J69), ISNUMBER('Klisz-Verbräuche'!J70), ISNUMBER('Klisz-Verbräuche'!J71))), (SUM('Klisz-Verbräuche'!J61:J71)*Emissionsfaktoren[[#This Row],[2019]]/1000)+'Strommix &amp; BHKW'!H207+'Strommix &amp; BHKW'!H227+'Strommix &amp; BHKW'!H233+'Strommix &amp; BHKW'!H239, 0)</f>
        <v>0</v>
      </c>
      <c r="J61" s="15">
        <f>IF((OR(ISNUMBER('Klisz-Verbräuche'!K61),ISNUMBER('Klisz-Verbräuche'!K62),ISNUMBER('Klisz-Verbräuche'!J63),ISNUMBER('Klisz-Verbräuche'!K64),ISNUMBER('Klisz-Verbräuche'!K65), ISNUMBER('Klisz-Verbräuche'!K66), ISNUMBER('Klisz-Verbräuche'!K67), ISNUMBER('Klisz-Verbräuche'!K68), ISNUMBER('Klisz-Verbräuche'!K69), ISNUMBER('Klisz-Verbräuche'!K70), ISNUMBER('Klisz-Verbräuche'!K71))), (SUM('Klisz-Verbräuche'!K61:K71)*Emissionsfaktoren[[#This Row],[2020]]/1000)+'Strommix &amp; BHKW'!I207+'Strommix &amp; BHKW'!I227+'Strommix &amp; BHKW'!I233+'Strommix &amp; BHKW'!I239, 0)</f>
        <v>0</v>
      </c>
      <c r="K61" s="15">
        <f>IF((OR(ISNUMBER('Klisz-Verbräuche'!L61),ISNUMBER('Klisz-Verbräuche'!L62),ISNUMBER('Klisz-Verbräuche'!K63),ISNUMBER('Klisz-Verbräuche'!L64),ISNUMBER('Klisz-Verbräuche'!L65), ISNUMBER('Klisz-Verbräuche'!L66), ISNUMBER('Klisz-Verbräuche'!L67), ISNUMBER('Klisz-Verbräuche'!L68), ISNUMBER('Klisz-Verbräuche'!L69), ISNUMBER('Klisz-Verbräuche'!L70), ISNUMBER('Klisz-Verbräuche'!L71))), (SUM('Klisz-Verbräuche'!L61:L71)*Emissionsfaktoren[[#This Row],[2021]]/1000)+'Strommix &amp; BHKW'!J207+'Strommix &amp; BHKW'!J227+'Strommix &amp; BHKW'!J233+'Strommix &amp; BHKW'!J239, 0)</f>
        <v>0</v>
      </c>
      <c r="L61" s="15">
        <f>IF((OR(ISNUMBER('Klisz-Verbräuche'!M61),ISNUMBER('Klisz-Verbräuche'!M62),ISNUMBER('Klisz-Verbräuche'!L63),ISNUMBER('Klisz-Verbräuche'!M64),ISNUMBER('Klisz-Verbräuche'!M65), ISNUMBER('Klisz-Verbräuche'!M66), ISNUMBER('Klisz-Verbräuche'!M67), ISNUMBER('Klisz-Verbräuche'!M68), ISNUMBER('Klisz-Verbräuche'!M69), ISNUMBER('Klisz-Verbräuche'!M70), ISNUMBER('Klisz-Verbräuche'!M71))), (SUM('Klisz-Verbräuche'!M61:M71)*Emissionsfaktoren[[#This Row],[2022]]/1000)+'Strommix &amp; BHKW'!K207+'Strommix &amp; BHKW'!K227+'Strommix &amp; BHKW'!K233+'Strommix &amp; BHKW'!K239, 0)</f>
        <v>0</v>
      </c>
      <c r="M61" s="15">
        <f>IF((OR(ISNUMBER('Klisz-Verbräuche'!N61),ISNUMBER('Klisz-Verbräuche'!N62),ISNUMBER('Klisz-Verbräuche'!M63),ISNUMBER('Klisz-Verbräuche'!N64),ISNUMBER('Klisz-Verbräuche'!N65), ISNUMBER('Klisz-Verbräuche'!N66), ISNUMBER('Klisz-Verbräuche'!N67), ISNUMBER('Klisz-Verbräuche'!N68), ISNUMBER('Klisz-Verbräuche'!N69), ISNUMBER('Klisz-Verbräuche'!N70), ISNUMBER('Klisz-Verbräuche'!N71))), (SUM('Klisz-Verbräuche'!N61:N71)*Emissionsfaktoren[[#This Row],[2023]]/1000)+'Strommix &amp; BHKW'!L207+'Strommix &amp; BHKW'!L227+'Strommix &amp; BHKW'!L233+'Strommix &amp; BHKW'!L239, 0)</f>
        <v>0</v>
      </c>
      <c r="N61" s="15">
        <f>IF((OR(ISNUMBER('Klisz-Verbräuche'!O61),ISNUMBER('Klisz-Verbräuche'!O62),ISNUMBER('Klisz-Verbräuche'!N63),ISNUMBER('Klisz-Verbräuche'!O64),ISNUMBER('Klisz-Verbräuche'!O65), ISNUMBER('Klisz-Verbräuche'!O66), ISNUMBER('Klisz-Verbräuche'!O67), ISNUMBER('Klisz-Verbräuche'!O68), ISNUMBER('Klisz-Verbräuche'!O69), ISNUMBER('Klisz-Verbräuche'!O70), ISNUMBER('Klisz-Verbräuche'!O71))), (SUM('Klisz-Verbräuche'!O61:O71)*Emissionsfaktoren[[#This Row],[2024]]/1000)+'Strommix &amp; BHKW'!M207+'Strommix &amp; BHKW'!M227+'Strommix &amp; BHKW'!M233+'Strommix &amp; BHKW'!M239, 0)</f>
        <v>0</v>
      </c>
      <c r="O61" s="15">
        <f>IF((OR(ISNUMBER('Klisz-Verbräuche'!P61),ISNUMBER('Klisz-Verbräuche'!P62),ISNUMBER('Klisz-Verbräuche'!O63),ISNUMBER('Klisz-Verbräuche'!P64),ISNUMBER('Klisz-Verbräuche'!P65), ISNUMBER('Klisz-Verbräuche'!P66), ISNUMBER('Klisz-Verbräuche'!P67), ISNUMBER('Klisz-Verbräuche'!P68), ISNUMBER('Klisz-Verbräuche'!P69), ISNUMBER('Klisz-Verbräuche'!P70), ISNUMBER('Klisz-Verbräuche'!P71))), (SUM('Klisz-Verbräuche'!P61:P71)*Emissionsfaktoren[[#This Row],[2025]]/1000)+'Strommix &amp; BHKW'!N207+'Strommix &amp; BHKW'!N227+'Strommix &amp; BHKW'!N233+'Strommix &amp; BHKW'!N239, 0)</f>
        <v>0</v>
      </c>
      <c r="P61" s="15">
        <f>IF((OR(ISNUMBER('Klisz-Verbräuche'!Q61),ISNUMBER('Klisz-Verbräuche'!Q62),ISNUMBER('Klisz-Verbräuche'!P63),ISNUMBER('Klisz-Verbräuche'!Q64),ISNUMBER('Klisz-Verbräuche'!Q65), ISNUMBER('Klisz-Verbräuche'!Q66), ISNUMBER('Klisz-Verbräuche'!Q67), ISNUMBER('Klisz-Verbräuche'!Q68), ISNUMBER('Klisz-Verbräuche'!Q69), ISNUMBER('Klisz-Verbräuche'!Q70), ISNUMBER('Klisz-Verbräuche'!Q71))), (SUM('Klisz-Verbräuche'!Q61:Q71)*Emissionsfaktoren[[#This Row],[2026]]/1000)+'Strommix &amp; BHKW'!O207+'Strommix &amp; BHKW'!O227+'Strommix &amp; BHKW'!O233+'Strommix &amp; BHKW'!O239, 0)</f>
        <v>0</v>
      </c>
      <c r="Q61" s="15">
        <f>IF((OR(ISNUMBER('Klisz-Verbräuche'!R61),ISNUMBER('Klisz-Verbräuche'!R62),ISNUMBER('Klisz-Verbräuche'!Q63),ISNUMBER('Klisz-Verbräuche'!R64),ISNUMBER('Klisz-Verbräuche'!R65), ISNUMBER('Klisz-Verbräuche'!R66), ISNUMBER('Klisz-Verbräuche'!R67), ISNUMBER('Klisz-Verbräuche'!R68), ISNUMBER('Klisz-Verbräuche'!R69), ISNUMBER('Klisz-Verbräuche'!R70), ISNUMBER('Klisz-Verbräuche'!R71))), (SUM('Klisz-Verbräuche'!R61:R71)*Emissionsfaktoren[[#This Row],[2027]]/1000)+'Strommix &amp; BHKW'!P207+'Strommix &amp; BHKW'!P227+'Strommix &amp; BHKW'!P233+'Strommix &amp; BHKW'!P239, 0)</f>
        <v>0</v>
      </c>
      <c r="R61" s="15">
        <f>IF((OR(ISNUMBER('Klisz-Verbräuche'!S61),ISNUMBER('Klisz-Verbräuche'!S62),ISNUMBER('Klisz-Verbräuche'!R63),ISNUMBER('Klisz-Verbräuche'!S64),ISNUMBER('Klisz-Verbräuche'!S65), ISNUMBER('Klisz-Verbräuche'!S66), ISNUMBER('Klisz-Verbräuche'!S67), ISNUMBER('Klisz-Verbräuche'!S68), ISNUMBER('Klisz-Verbräuche'!S69), ISNUMBER('Klisz-Verbräuche'!S70), ISNUMBER('Klisz-Verbräuche'!S71))), (SUM('Klisz-Verbräuche'!S61:S71)*Emissionsfaktoren[[#This Row],[2028]]/1000)+'Strommix &amp; BHKW'!Q207+'Strommix &amp; BHKW'!Q227+'Strommix &amp; BHKW'!Q233+'Strommix &amp; BHKW'!Q239, 0)</f>
        <v>0</v>
      </c>
      <c r="S61" s="15">
        <f>IF((OR(ISNUMBER('Klisz-Verbräuche'!T61),ISNUMBER('Klisz-Verbräuche'!T62),ISNUMBER('Klisz-Verbräuche'!S63),ISNUMBER('Klisz-Verbräuche'!T64),ISNUMBER('Klisz-Verbräuche'!T65), ISNUMBER('Klisz-Verbräuche'!T66), ISNUMBER('Klisz-Verbräuche'!T67), ISNUMBER('Klisz-Verbräuche'!T68), ISNUMBER('Klisz-Verbräuche'!T69), ISNUMBER('Klisz-Verbräuche'!T70), ISNUMBER('Klisz-Verbräuche'!T71))), (SUM('Klisz-Verbräuche'!T61:T71)*Emissionsfaktoren[[#This Row],[2029]]/1000)+'Strommix &amp; BHKW'!R207+'Strommix &amp; BHKW'!R227+'Strommix &amp; BHKW'!R233+'Strommix &amp; BHKW'!R239, 0)</f>
        <v>0</v>
      </c>
      <c r="T61" s="15">
        <f>IF((OR(ISNUMBER('Klisz-Verbräuche'!U61),ISNUMBER('Klisz-Verbräuche'!U62),ISNUMBER('Klisz-Verbräuche'!T63),ISNUMBER('Klisz-Verbräuche'!U64),ISNUMBER('Klisz-Verbräuche'!U65), ISNUMBER('Klisz-Verbräuche'!U66), ISNUMBER('Klisz-Verbräuche'!U67), ISNUMBER('Klisz-Verbräuche'!U68), ISNUMBER('Klisz-Verbräuche'!U69), ISNUMBER('Klisz-Verbräuche'!U70), ISNUMBER('Klisz-Verbräuche'!U71))), (SUM('Klisz-Verbräuche'!U61:U71)*Emissionsfaktoren[[#This Row],[2030]]/1000)+'Strommix &amp; BHKW'!S207+'Strommix &amp; BHKW'!S227+'Strommix &amp; BHKW'!S233+'Strommix &amp; BHKW'!S239, 0)</f>
        <v>0</v>
      </c>
      <c r="U61" s="15">
        <f>IF((OR(ISNUMBER('Klisz-Verbräuche'!V61),ISNUMBER('Klisz-Verbräuche'!V62),ISNUMBER('Klisz-Verbräuche'!U63),ISNUMBER('Klisz-Verbräuche'!V64),ISNUMBER('Klisz-Verbräuche'!V65), ISNUMBER('Klisz-Verbräuche'!V66), ISNUMBER('Klisz-Verbräuche'!V67), ISNUMBER('Klisz-Verbräuche'!V68), ISNUMBER('Klisz-Verbräuche'!V69), ISNUMBER('Klisz-Verbräuche'!V70), ISNUMBER('Klisz-Verbräuche'!V71))), (SUM('Klisz-Verbräuche'!V61:V71)*Emissionsfaktoren[[#This Row],[2035]]/1000)+'Strommix &amp; BHKW'!T207+'Strommix &amp; BHKW'!T227+'Strommix &amp; BHKW'!T233+'Strommix &amp; BHKW'!T239, 0)</f>
        <v>0</v>
      </c>
      <c r="V61" s="15">
        <f>IF((OR(ISNUMBER('Klisz-Verbräuche'!W61),ISNUMBER('Klisz-Verbräuche'!W62),ISNUMBER('Klisz-Verbräuche'!V63),ISNUMBER('Klisz-Verbräuche'!W64),ISNUMBER('Klisz-Verbräuche'!W65), ISNUMBER('Klisz-Verbräuche'!W66), ISNUMBER('Klisz-Verbräuche'!W67), ISNUMBER('Klisz-Verbräuche'!W68), ISNUMBER('Klisz-Verbräuche'!W69), ISNUMBER('Klisz-Verbräuche'!W70), ISNUMBER('Klisz-Verbräuche'!W71))), (SUM('Klisz-Verbräuche'!W61:W71)*Emissionsfaktoren[[#This Row],[2040]]/1000)+'Strommix &amp; BHKW'!U207+'Strommix &amp; BHKW'!U227+'Strommix &amp; BHKW'!U233+'Strommix &amp; BHKW'!U239, 0)</f>
        <v>0</v>
      </c>
      <c r="W61" s="15">
        <f>IF((OR(ISNUMBER('Klisz-Verbräuche'!X61),ISNUMBER('Klisz-Verbräuche'!X62),ISNUMBER('Klisz-Verbräuche'!W63),ISNUMBER('Klisz-Verbräuche'!X64),ISNUMBER('Klisz-Verbräuche'!X65), ISNUMBER('Klisz-Verbräuche'!X66), ISNUMBER('Klisz-Verbräuche'!X67), ISNUMBER('Klisz-Verbräuche'!X68), ISNUMBER('Klisz-Verbräuche'!X69), ISNUMBER('Klisz-Verbräuche'!X70), ISNUMBER('Klisz-Verbräuche'!X71))), (SUM('Klisz-Verbräuche'!X61:X71)*Emissionsfaktoren[[#This Row],[2045]]/1000)+'Strommix &amp; BHKW'!V207+'Strommix &amp; BHKW'!V227+'Strommix &amp; BHKW'!V233+'Strommix &amp; BHKW'!V239, 0)</f>
        <v>0</v>
      </c>
      <c r="X61" s="15">
        <f>IF((OR(ISNUMBER('Klisz-Verbräuche'!Y61),ISNUMBER('Klisz-Verbräuche'!Y62),ISNUMBER('Klisz-Verbräuche'!X63),ISNUMBER('Klisz-Verbräuche'!Y64),ISNUMBER('Klisz-Verbräuche'!Y65), ISNUMBER('Klisz-Verbräuche'!Y66), ISNUMBER('Klisz-Verbräuche'!Y67), ISNUMBER('Klisz-Verbräuche'!Y68), ISNUMBER('Klisz-Verbräuche'!Y69), ISNUMBER('Klisz-Verbräuche'!Y70), ISNUMBER('Klisz-Verbräuche'!Y71))), (SUM('Klisz-Verbräuche'!Y61:Y71)*Emissionsfaktoren[[#This Row],[2050]]/1000)+'Strommix &amp; BHKW'!W207+'Strommix &amp; BHKW'!W227+'Strommix &amp; BHKW'!W233+'Strommix &amp; BHKW'!W239, 0)</f>
        <v>0</v>
      </c>
    </row>
    <row r="62" spans="2:25" ht="16.5" hidden="1" x14ac:dyDescent="0.45">
      <c r="B62" s="15">
        <v>2</v>
      </c>
      <c r="C62" s="20" t="str">
        <f>Refsz_Verbräuche[[#This Row],[Datenpunkt]]</f>
        <v>Elektrischer Strom (Bundesmix KS80)</v>
      </c>
      <c r="D62" t="s">
        <v>208</v>
      </c>
      <c r="E62" s="15"/>
      <c r="F62" s="15"/>
      <c r="G62" s="15"/>
      <c r="H62" s="15"/>
      <c r="I62" s="15"/>
      <c r="J62" s="15"/>
      <c r="K62" s="15"/>
      <c r="L62" s="15"/>
      <c r="M62" s="15"/>
      <c r="N62" s="15"/>
      <c r="O62" s="15"/>
      <c r="P62" s="15"/>
      <c r="Q62" s="15"/>
      <c r="R62" s="15"/>
      <c r="S62" s="15"/>
      <c r="T62" s="15"/>
      <c r="U62" s="15"/>
      <c r="V62" s="15"/>
      <c r="W62" s="15"/>
      <c r="X62" s="15"/>
    </row>
    <row r="63" spans="2:25" ht="16.5" hidden="1" x14ac:dyDescent="0.45">
      <c r="B63" s="15">
        <v>3</v>
      </c>
      <c r="C63" s="20" t="str">
        <f>Refsz_Verbräuche[[#This Row],[Datenpunkt]]</f>
        <v>Elektrischer Strom (individueller Strommix Einrichtung 1)</v>
      </c>
      <c r="D63" t="s">
        <v>208</v>
      </c>
      <c r="E63" s="15"/>
      <c r="F63" s="15"/>
      <c r="G63" s="15"/>
      <c r="H63" s="15"/>
      <c r="I63" s="15"/>
      <c r="J63" s="15"/>
      <c r="K63" s="15"/>
      <c r="L63" s="15"/>
      <c r="M63" s="15"/>
      <c r="N63" s="15"/>
      <c r="O63" s="15"/>
      <c r="P63" s="15"/>
      <c r="Q63" s="15"/>
      <c r="R63" s="15"/>
      <c r="S63" s="15"/>
      <c r="T63" s="15"/>
      <c r="U63" s="15"/>
      <c r="V63" s="15"/>
      <c r="W63" s="15"/>
      <c r="X63" s="15"/>
    </row>
    <row r="64" spans="2:25" ht="16.5" hidden="1" x14ac:dyDescent="0.45">
      <c r="B64" s="15">
        <v>4</v>
      </c>
      <c r="C64" s="20" t="str">
        <f>Refsz_Verbräuche[[#This Row],[Datenpunkt]]</f>
        <v>Elektrischer Strom (individueller Strommix Einrichtung 2)</v>
      </c>
      <c r="D64" t="s">
        <v>208</v>
      </c>
      <c r="E64" s="15"/>
      <c r="F64" s="15"/>
      <c r="G64" s="15"/>
      <c r="H64" s="15"/>
      <c r="I64" s="15"/>
      <c r="J64" s="15"/>
      <c r="K64" s="15"/>
      <c r="L64" s="15"/>
      <c r="M64" s="15"/>
      <c r="N64" s="15"/>
      <c r="O64" s="15"/>
      <c r="P64" s="15"/>
      <c r="Q64" s="15"/>
      <c r="R64" s="15"/>
      <c r="S64" s="15"/>
      <c r="T64" s="15"/>
      <c r="U64" s="15"/>
      <c r="V64" s="15"/>
      <c r="W64" s="15"/>
      <c r="X64" s="15"/>
    </row>
    <row r="65" spans="2:24" ht="16.5" hidden="1" x14ac:dyDescent="0.45">
      <c r="B65" s="15">
        <v>5</v>
      </c>
      <c r="C65" s="20" t="str">
        <f>Refsz_Verbräuche[[#This Row],[Datenpunkt]]</f>
        <v>Elektrischer Strom (individueller Strommix Einrichtung 3)</v>
      </c>
      <c r="D65" t="s">
        <v>208</v>
      </c>
      <c r="E65" s="15"/>
      <c r="F65" s="15"/>
      <c r="G65" s="15"/>
      <c r="H65" s="15"/>
      <c r="I65" s="15"/>
      <c r="J65" s="15"/>
      <c r="K65" s="15"/>
      <c r="L65" s="15"/>
      <c r="M65" s="15"/>
      <c r="N65" s="15"/>
      <c r="O65" s="15"/>
      <c r="P65" s="15"/>
      <c r="Q65" s="15"/>
      <c r="R65" s="15"/>
      <c r="S65" s="15"/>
      <c r="T65" s="15"/>
      <c r="U65" s="15"/>
      <c r="V65" s="15"/>
      <c r="W65" s="15"/>
      <c r="X65" s="15"/>
    </row>
    <row r="66" spans="2:24" ht="16.5" hidden="1" x14ac:dyDescent="0.45">
      <c r="B66" s="15">
        <v>6</v>
      </c>
      <c r="C66" s="20" t="str">
        <f>Refsz_Verbräuche[[#This Row],[Datenpunkt]]</f>
        <v>Elektrischer Strom (individueller Strommix Einrichtung 4)</v>
      </c>
      <c r="D66" t="s">
        <v>208</v>
      </c>
      <c r="E66" s="15"/>
      <c r="F66" s="15"/>
      <c r="G66" s="15"/>
      <c r="H66" s="15"/>
      <c r="I66" s="15"/>
      <c r="J66" s="15"/>
      <c r="K66" s="15"/>
      <c r="L66" s="15"/>
      <c r="M66" s="15"/>
      <c r="N66" s="15"/>
      <c r="O66" s="15"/>
      <c r="P66" s="15"/>
      <c r="Q66" s="15"/>
      <c r="R66" s="15"/>
      <c r="S66" s="15"/>
      <c r="T66" s="15"/>
      <c r="U66" s="15"/>
      <c r="V66" s="15"/>
      <c r="W66" s="15"/>
      <c r="X66" s="15"/>
    </row>
    <row r="67" spans="2:24" ht="16.5" hidden="1" x14ac:dyDescent="0.45">
      <c r="B67" s="15">
        <v>7</v>
      </c>
      <c r="C67" s="20" t="str">
        <f>Refsz_Verbräuche[[#This Row],[Datenpunkt]]</f>
        <v>Elektrischer Strom (individueller Strommix Einrichtung 5)</v>
      </c>
      <c r="D67" t="s">
        <v>208</v>
      </c>
      <c r="E67" s="15"/>
      <c r="F67" s="15"/>
      <c r="G67" s="15"/>
      <c r="H67" s="15"/>
      <c r="I67" s="15"/>
      <c r="J67" s="15"/>
      <c r="K67" s="15"/>
      <c r="L67" s="15"/>
      <c r="M67" s="15"/>
      <c r="N67" s="15"/>
      <c r="O67" s="15"/>
      <c r="P67" s="15"/>
      <c r="Q67" s="15"/>
      <c r="R67" s="15"/>
      <c r="S67" s="15"/>
      <c r="T67" s="15"/>
      <c r="U67" s="15"/>
      <c r="V67" s="15"/>
      <c r="W67" s="15"/>
      <c r="X67" s="15"/>
    </row>
    <row r="68" spans="2:24" ht="16.5" hidden="1" x14ac:dyDescent="0.45">
      <c r="B68" s="15">
        <v>8</v>
      </c>
      <c r="C68" s="20" t="str">
        <f>Refsz_Verbräuche[[#This Row],[Datenpunkt]]</f>
        <v>Elektrischer Strom (individueller Strommix Einrichtung 6)</v>
      </c>
      <c r="D68" t="s">
        <v>208</v>
      </c>
      <c r="E68" s="15"/>
      <c r="F68" s="15"/>
      <c r="G68" s="15"/>
      <c r="H68" s="15"/>
      <c r="I68" s="15"/>
      <c r="J68" s="15"/>
      <c r="K68" s="15"/>
      <c r="L68" s="15"/>
      <c r="M68" s="15"/>
      <c r="N68" s="15"/>
      <c r="O68" s="15"/>
      <c r="P68" s="15"/>
      <c r="Q68" s="15"/>
      <c r="R68" s="15"/>
      <c r="S68" s="15"/>
      <c r="T68" s="15"/>
      <c r="U68" s="15"/>
      <c r="V68" s="15"/>
      <c r="W68" s="15"/>
      <c r="X68" s="15"/>
    </row>
    <row r="69" spans="2:24" ht="16.5" hidden="1" x14ac:dyDescent="0.45">
      <c r="B69" s="15">
        <v>9</v>
      </c>
      <c r="C69" s="20" t="str">
        <f>Refsz_Verbräuche[[#This Row],[Datenpunkt]]</f>
        <v>Elektrischer Strom (BHKW)</v>
      </c>
      <c r="D69" t="s">
        <v>208</v>
      </c>
      <c r="E69" s="15"/>
      <c r="F69" s="15"/>
      <c r="G69" s="15"/>
      <c r="H69" s="15"/>
      <c r="I69" s="15"/>
      <c r="J69" s="15"/>
      <c r="K69" s="15"/>
      <c r="L69" s="15"/>
      <c r="M69" s="15"/>
      <c r="N69" s="15"/>
      <c r="O69" s="15"/>
      <c r="P69" s="15"/>
      <c r="Q69" s="15"/>
      <c r="R69" s="15"/>
      <c r="S69" s="15"/>
      <c r="T69" s="15"/>
      <c r="U69" s="15"/>
      <c r="V69" s="15"/>
      <c r="W69" s="15"/>
      <c r="X69" s="15"/>
    </row>
    <row r="70" spans="2:24" ht="16.5" hidden="1" x14ac:dyDescent="0.45">
      <c r="B70" s="15">
        <v>10</v>
      </c>
      <c r="C70" s="20" t="str">
        <f>Refsz_Verbräuche[[#This Row],[Datenpunkt]]</f>
        <v>Elektrischer Strom (Ökostrom)</v>
      </c>
      <c r="D70" t="s">
        <v>208</v>
      </c>
      <c r="E70" s="15"/>
      <c r="F70" s="15"/>
      <c r="G70" s="15"/>
      <c r="H70" s="15"/>
      <c r="I70" s="15"/>
      <c r="J70" s="15"/>
      <c r="K70" s="15"/>
      <c r="L70" s="15"/>
      <c r="M70" s="15"/>
      <c r="N70" s="15"/>
      <c r="O70" s="15"/>
      <c r="P70" s="15"/>
      <c r="Q70" s="15"/>
      <c r="R70" s="15"/>
      <c r="S70" s="15"/>
      <c r="T70" s="15"/>
      <c r="U70" s="15"/>
      <c r="V70" s="15"/>
      <c r="W70" s="15"/>
      <c r="X70" s="15"/>
    </row>
    <row r="71" spans="2:24" ht="16.5" hidden="1" x14ac:dyDescent="0.45">
      <c r="B71" s="15">
        <v>11</v>
      </c>
      <c r="C71" s="20" t="str">
        <f>Refsz_Verbräuche[[#This Row],[Datenpunkt]]</f>
        <v>Elektrischer Strom (PV-Eigennutzung)</v>
      </c>
      <c r="D71" t="s">
        <v>208</v>
      </c>
      <c r="E71" s="15"/>
      <c r="F71" s="15"/>
      <c r="G71" s="15"/>
      <c r="H71" s="15"/>
      <c r="I71" s="15"/>
      <c r="J71" s="15"/>
      <c r="K71" s="15"/>
      <c r="L71" s="15"/>
      <c r="M71" s="15"/>
      <c r="N71" s="15"/>
      <c r="O71" s="15"/>
      <c r="P71" s="15"/>
      <c r="Q71" s="15"/>
      <c r="R71" s="15"/>
      <c r="S71" s="15"/>
      <c r="T71" s="15"/>
      <c r="U71" s="15"/>
      <c r="V71" s="15"/>
      <c r="W71" s="15"/>
      <c r="X71" s="15"/>
    </row>
    <row r="72" spans="2:24" ht="16.5" hidden="1" x14ac:dyDescent="0.45">
      <c r="B72" s="15">
        <v>12</v>
      </c>
      <c r="C72" s="20" t="str">
        <f>Refsz_Verbräuche[[#This Row],[Datenpunkt]]</f>
        <v>Wärme (Erdgas)</v>
      </c>
      <c r="D72" t="s">
        <v>208</v>
      </c>
      <c r="E72" s="15">
        <f>IF(ISNUMBER(Klisz_Verbräuche[[#This Row],[2015]]), Klisz_Verbräuche[[#This Row],[2015]]*Emissionsfaktoren[[#This Row],[2015]]/1000, 0)</f>
        <v>0</v>
      </c>
      <c r="F72" s="15">
        <f>IF(ISNUMBER(Klisz_Verbräuche[[#This Row],[2016]]), Klisz_Verbräuche[[#This Row],[2016]]*Emissionsfaktoren[[#This Row],[2016]]/1000, 0)</f>
        <v>0</v>
      </c>
      <c r="G72" s="15">
        <f>IF(ISNUMBER(Klisz_Verbräuche[[#This Row],[2017]]), Klisz_Verbräuche[[#This Row],[2017]]*Emissionsfaktoren[[#This Row],[2017]]/1000, 0)</f>
        <v>0</v>
      </c>
      <c r="H72" s="15">
        <f>IF(ISNUMBER(Klisz_Verbräuche[[#This Row],[2018]]), Klisz_Verbräuche[[#This Row],[2018]]*Emissionsfaktoren[[#This Row],[2018]]/1000, 0)</f>
        <v>0</v>
      </c>
      <c r="I72" s="15">
        <f>IF(ISNUMBER(Klisz_Verbräuche[[#This Row],[2019]]), Klisz_Verbräuche[[#This Row],[2019]]*Emissionsfaktoren[[#This Row],[2019]]/1000, 0)</f>
        <v>0</v>
      </c>
      <c r="J72" s="15">
        <f>IF(ISNUMBER(Klisz_Verbräuche[[#This Row],[2020]]), Klisz_Verbräuche[[#This Row],[2020]]*Emissionsfaktoren[[#This Row],[2020]]/1000, 0)</f>
        <v>0</v>
      </c>
      <c r="K72" s="15">
        <f>IF(ISNUMBER(Klisz_Verbräuche[[#This Row],[2021]]), Klisz_Verbräuche[[#This Row],[2021]]*Emissionsfaktoren[[#This Row],[2021]]/1000, 0)</f>
        <v>0</v>
      </c>
      <c r="L72" s="15">
        <f>IF(ISNUMBER(Klisz_Verbräuche[[#This Row],[2022]]), Klisz_Verbräuche[[#This Row],[2022]]*Emissionsfaktoren[[#This Row],[2022]]/1000, 0)</f>
        <v>0</v>
      </c>
      <c r="M72" s="15">
        <f>IF(ISNUMBER(Klisz_Verbräuche[[#This Row],[2023]]), Klisz_Verbräuche[[#This Row],[2023]]*Emissionsfaktoren[[#This Row],[2023]]/1000, 0)</f>
        <v>0</v>
      </c>
      <c r="N72" s="15">
        <f>IF(ISNUMBER(Klisz_Verbräuche[[#This Row],[2024]]), Klisz_Verbräuche[[#This Row],[2024]]*Emissionsfaktoren[[#This Row],[2024]]/1000, 0)</f>
        <v>0</v>
      </c>
      <c r="O72" s="15">
        <f>IF(ISNUMBER(Klisz_Verbräuche[[#This Row],[2025]]), Klisz_Verbräuche[[#This Row],[2025]]*Emissionsfaktoren[[#This Row],[2025]]/1000, 0)</f>
        <v>0</v>
      </c>
      <c r="P72" s="15">
        <f>IF(ISNUMBER(Klisz_Verbräuche[[#This Row],[2026]]), Klisz_Verbräuche[[#This Row],[2026]]*Emissionsfaktoren[[#This Row],[2026]]/1000, 0)</f>
        <v>0</v>
      </c>
      <c r="Q72" s="15">
        <f>IF(ISNUMBER(Klisz_Verbräuche[[#This Row],[2027]]), Klisz_Verbräuche[[#This Row],[2027]]*Emissionsfaktoren[[#This Row],[2027]]/1000, 0)</f>
        <v>0</v>
      </c>
      <c r="R72" s="15">
        <f>IF(ISNUMBER(Klisz_Verbräuche[[#This Row],[2028]]), Klisz_Verbräuche[[#This Row],[2028]]*Emissionsfaktoren[[#This Row],[2028]]/1000, 0)</f>
        <v>0</v>
      </c>
      <c r="S72" s="15">
        <f>IF(ISNUMBER(Klisz_Verbräuche[[#This Row],[2029]]), Klisz_Verbräuche[[#This Row],[2029]]*Emissionsfaktoren[[#This Row],[2029]]/1000, 0)</f>
        <v>0</v>
      </c>
      <c r="T72" s="15">
        <f>IF(ISNUMBER(Klisz_Verbräuche[[#This Row],[2030]]), Klisz_Verbräuche[[#This Row],[2030]]*Emissionsfaktoren[[#This Row],[2030]]/1000, 0)</f>
        <v>0</v>
      </c>
      <c r="U72" s="15">
        <f>IF(ISNUMBER(Klisz_Verbräuche[[#This Row],[2035]]), Klisz_Verbräuche[[#This Row],[2035]]*Emissionsfaktoren[[#This Row],[2035]]/1000, 0)</f>
        <v>0</v>
      </c>
      <c r="V72" s="15">
        <f>IF(ISNUMBER(Klisz_Verbräuche[[#This Row],[2040]]), Klisz_Verbräuche[[#This Row],[2040]]*Emissionsfaktoren[[#This Row],[2040]]/1000, 0)</f>
        <v>0</v>
      </c>
      <c r="W72" s="15">
        <f>IF(ISNUMBER(Klisz_Verbräuche[[#This Row],[2045]]), Klisz_Verbräuche[[#This Row],[2045]]*Emissionsfaktoren[[#This Row],[2045]]/1000, 0)</f>
        <v>0</v>
      </c>
      <c r="X72" s="15">
        <f>IF(ISNUMBER(Klisz_Verbräuche[[#This Row],[2050]]), Klisz_Verbräuche[[#This Row],[2050]]*Emissionsfaktoren[[#This Row],[2050]]/1000, 0)</f>
        <v>0</v>
      </c>
    </row>
    <row r="73" spans="2:24" ht="16.5" hidden="1" x14ac:dyDescent="0.45">
      <c r="B73" s="15">
        <v>13</v>
      </c>
      <c r="C73" s="20" t="str">
        <f>Refsz_Verbräuche[[#This Row],[Datenpunkt]]</f>
        <v>Wärme (BHKW)</v>
      </c>
      <c r="D73" t="s">
        <v>208</v>
      </c>
      <c r="E73" s="15">
        <f>'Strommix &amp; BHKW'!D206+'Strommix &amp; BHKW'!D228+'Strommix &amp; BHKW'!D234+'Strommix &amp; BHKW'!D240</f>
        <v>0</v>
      </c>
      <c r="F73" s="15">
        <f>'Strommix &amp; BHKW'!E206+'Strommix &amp; BHKW'!E228+'Strommix &amp; BHKW'!E234+'Strommix &amp; BHKW'!E240</f>
        <v>0</v>
      </c>
      <c r="G73" s="15">
        <f>'Strommix &amp; BHKW'!F206+'Strommix &amp; BHKW'!F228+'Strommix &amp; BHKW'!F234+'Strommix &amp; BHKW'!F240</f>
        <v>0</v>
      </c>
      <c r="H73" s="15">
        <f>'Strommix &amp; BHKW'!G206+'Strommix &amp; BHKW'!G228+'Strommix &amp; BHKW'!G234+'Strommix &amp; BHKW'!G240</f>
        <v>0</v>
      </c>
      <c r="I73" s="15">
        <f>'Strommix &amp; BHKW'!H206+'Strommix &amp; BHKW'!H228+'Strommix &amp; BHKW'!H234+'Strommix &amp; BHKW'!H240</f>
        <v>0</v>
      </c>
      <c r="J73" s="15">
        <f>'Strommix &amp; BHKW'!I206+'Strommix &amp; BHKW'!I228+'Strommix &amp; BHKW'!I234+'Strommix &amp; BHKW'!I240</f>
        <v>0</v>
      </c>
      <c r="K73" s="15">
        <f>'Strommix &amp; BHKW'!J206+'Strommix &amp; BHKW'!J228+'Strommix &amp; BHKW'!J234+'Strommix &amp; BHKW'!J240</f>
        <v>0</v>
      </c>
      <c r="L73" s="15">
        <f>'Strommix &amp; BHKW'!K206+'Strommix &amp; BHKW'!K228+'Strommix &amp; BHKW'!K234+'Strommix &amp; BHKW'!K240</f>
        <v>0</v>
      </c>
      <c r="M73" s="15">
        <f>'Strommix &amp; BHKW'!L206+'Strommix &amp; BHKW'!L228+'Strommix &amp; BHKW'!L234+'Strommix &amp; BHKW'!L240</f>
        <v>0</v>
      </c>
      <c r="N73" s="15">
        <f>'Strommix &amp; BHKW'!M206+'Strommix &amp; BHKW'!M228+'Strommix &amp; BHKW'!M234+'Strommix &amp; BHKW'!M240</f>
        <v>0</v>
      </c>
      <c r="O73" s="15">
        <f>'Strommix &amp; BHKW'!N206+'Strommix &amp; BHKW'!N228+'Strommix &amp; BHKW'!N234+'Strommix &amp; BHKW'!N240</f>
        <v>0</v>
      </c>
      <c r="P73" s="15">
        <f>'Strommix &amp; BHKW'!O206+'Strommix &amp; BHKW'!O228+'Strommix &amp; BHKW'!O234+'Strommix &amp; BHKW'!O240</f>
        <v>0</v>
      </c>
      <c r="Q73" s="15">
        <f>'Strommix &amp; BHKW'!P206+'Strommix &amp; BHKW'!P228+'Strommix &amp; BHKW'!P234+'Strommix &amp; BHKW'!P240</f>
        <v>0</v>
      </c>
      <c r="R73" s="15">
        <f>'Strommix &amp; BHKW'!Q206+'Strommix &amp; BHKW'!Q228+'Strommix &amp; BHKW'!Q234+'Strommix &amp; BHKW'!Q240</f>
        <v>0</v>
      </c>
      <c r="S73" s="15">
        <f>'Strommix &amp; BHKW'!R206+'Strommix &amp; BHKW'!R228+'Strommix &amp; BHKW'!R234+'Strommix &amp; BHKW'!R240</f>
        <v>0</v>
      </c>
      <c r="T73" s="15">
        <f>'Strommix &amp; BHKW'!S206+'Strommix &amp; BHKW'!S228+'Strommix &amp; BHKW'!S234+'Strommix &amp; BHKW'!S240</f>
        <v>0</v>
      </c>
      <c r="U73" s="15">
        <f>'Strommix &amp; BHKW'!T206+'Strommix &amp; BHKW'!T228+'Strommix &amp; BHKW'!T234+'Strommix &amp; BHKW'!T240</f>
        <v>0</v>
      </c>
      <c r="V73" s="15">
        <f>'Strommix &amp; BHKW'!U206+'Strommix &amp; BHKW'!U228+'Strommix &amp; BHKW'!U234+'Strommix &amp; BHKW'!U240</f>
        <v>0</v>
      </c>
      <c r="W73" s="15">
        <f>'Strommix &amp; BHKW'!V206+'Strommix &amp; BHKW'!V228+'Strommix &amp; BHKW'!V234+'Strommix &amp; BHKW'!V240</f>
        <v>0</v>
      </c>
      <c r="X73" s="15">
        <f>'Strommix &amp; BHKW'!W206+'Strommix &amp; BHKW'!W228+'Strommix &amp; BHKW'!W234+'Strommix &amp; BHKW'!W240</f>
        <v>0</v>
      </c>
    </row>
    <row r="74" spans="2:24" ht="16.5" hidden="1" x14ac:dyDescent="0.45">
      <c r="B74" s="15">
        <v>14</v>
      </c>
      <c r="C74" s="20" t="str">
        <f>Refsz_Verbräuche[[#This Row],[Datenpunkt]]</f>
        <v>Wärme (Biogas)</v>
      </c>
      <c r="D74" t="s">
        <v>208</v>
      </c>
      <c r="E74" s="15">
        <f>IF(ISNUMBER(Klisz_Verbräuche[[#This Row],[2015]]), Klisz_Verbräuche[[#This Row],[2015]]*Emissionsfaktoren[[#This Row],[2015]]/1000, 0)</f>
        <v>0</v>
      </c>
      <c r="F74" s="15">
        <f>IF(ISNUMBER(Klisz_Verbräuche[[#This Row],[2016]]), Klisz_Verbräuche[[#This Row],[2016]]*Emissionsfaktoren[[#This Row],[2016]]/1000, 0)</f>
        <v>0</v>
      </c>
      <c r="G74" s="15">
        <f>IF(ISNUMBER(Klisz_Verbräuche[[#This Row],[2017]]), Klisz_Verbräuche[[#This Row],[2017]]*Emissionsfaktoren[[#This Row],[2017]]/1000, 0)</f>
        <v>0</v>
      </c>
      <c r="H74" s="15">
        <f>IF(ISNUMBER(Klisz_Verbräuche[[#This Row],[2018]]), Klisz_Verbräuche[[#This Row],[2018]]*Emissionsfaktoren[[#This Row],[2018]]/1000, 0)</f>
        <v>0</v>
      </c>
      <c r="I74" s="15">
        <f>IF(ISNUMBER(Klisz_Verbräuche[[#This Row],[2019]]), Klisz_Verbräuche[[#This Row],[2019]]*Emissionsfaktoren[[#This Row],[2019]]/1000, 0)</f>
        <v>0</v>
      </c>
      <c r="J74" s="15">
        <f>IF(ISNUMBER(Klisz_Verbräuche[[#This Row],[2020]]), Klisz_Verbräuche[[#This Row],[2020]]*Emissionsfaktoren[[#This Row],[2020]]/1000, 0)</f>
        <v>0</v>
      </c>
      <c r="K74" s="15">
        <f>IF(ISNUMBER(Klisz_Verbräuche[[#This Row],[2021]]), Klisz_Verbräuche[[#This Row],[2021]]*Emissionsfaktoren[[#This Row],[2021]]/1000, 0)</f>
        <v>0</v>
      </c>
      <c r="L74" s="15">
        <f>IF(ISNUMBER(Klisz_Verbräuche[[#This Row],[2022]]), Klisz_Verbräuche[[#This Row],[2022]]*Emissionsfaktoren[[#This Row],[2022]]/1000, 0)</f>
        <v>0</v>
      </c>
      <c r="M74" s="15">
        <f>IF(ISNUMBER(Klisz_Verbräuche[[#This Row],[2023]]), Klisz_Verbräuche[[#This Row],[2023]]*Emissionsfaktoren[[#This Row],[2023]]/1000, 0)</f>
        <v>0</v>
      </c>
      <c r="N74" s="15">
        <f>IF(ISNUMBER(Klisz_Verbräuche[[#This Row],[2024]]), Klisz_Verbräuche[[#This Row],[2024]]*Emissionsfaktoren[[#This Row],[2024]]/1000, 0)</f>
        <v>0</v>
      </c>
      <c r="O74" s="15">
        <f>IF(ISNUMBER(Klisz_Verbräuche[[#This Row],[2025]]), Klisz_Verbräuche[[#This Row],[2025]]*Emissionsfaktoren[[#This Row],[2025]]/1000, 0)</f>
        <v>0</v>
      </c>
      <c r="P74" s="15">
        <f>IF(ISNUMBER(Klisz_Verbräuche[[#This Row],[2026]]), Klisz_Verbräuche[[#This Row],[2026]]*Emissionsfaktoren[[#This Row],[2026]]/1000, 0)</f>
        <v>0</v>
      </c>
      <c r="Q74" s="15">
        <f>IF(ISNUMBER(Klisz_Verbräuche[[#This Row],[2027]]), Klisz_Verbräuche[[#This Row],[2027]]*Emissionsfaktoren[[#This Row],[2027]]/1000, 0)</f>
        <v>0</v>
      </c>
      <c r="R74" s="15">
        <f>IF(ISNUMBER(Klisz_Verbräuche[[#This Row],[2028]]), Klisz_Verbräuche[[#This Row],[2028]]*Emissionsfaktoren[[#This Row],[2028]]/1000, 0)</f>
        <v>0</v>
      </c>
      <c r="S74" s="15">
        <f>IF(ISNUMBER(Klisz_Verbräuche[[#This Row],[2029]]), Klisz_Verbräuche[[#This Row],[2029]]*Emissionsfaktoren[[#This Row],[2029]]/1000, 0)</f>
        <v>0</v>
      </c>
      <c r="T74" s="15">
        <f>IF(ISNUMBER(Klisz_Verbräuche[[#This Row],[2030]]), Klisz_Verbräuche[[#This Row],[2030]]*Emissionsfaktoren[[#This Row],[2030]]/1000, 0)</f>
        <v>0</v>
      </c>
      <c r="U74" s="15">
        <f>IF(ISNUMBER(Klisz_Verbräuche[[#This Row],[2035]]), Klisz_Verbräuche[[#This Row],[2035]]*Emissionsfaktoren[[#This Row],[2035]]/1000, 0)</f>
        <v>0</v>
      </c>
      <c r="V74" s="15">
        <f>IF(ISNUMBER(Klisz_Verbräuche[[#This Row],[2040]]), Klisz_Verbräuche[[#This Row],[2040]]*Emissionsfaktoren[[#This Row],[2040]]/1000, 0)</f>
        <v>0</v>
      </c>
      <c r="W74" s="15">
        <f>IF(ISNUMBER(Klisz_Verbräuche[[#This Row],[2045]]), Klisz_Verbräuche[[#This Row],[2045]]*Emissionsfaktoren[[#This Row],[2045]]/1000, 0)</f>
        <v>0</v>
      </c>
      <c r="X74" s="15">
        <f>IF(ISNUMBER(Klisz_Verbräuche[[#This Row],[2050]]), Klisz_Verbräuche[[#This Row],[2050]]*Emissionsfaktoren[[#This Row],[2050]]/1000, 0)</f>
        <v>0</v>
      </c>
    </row>
    <row r="75" spans="2:24" ht="16.5" hidden="1" x14ac:dyDescent="0.45">
      <c r="B75" s="15">
        <v>15</v>
      </c>
      <c r="C75" s="20" t="str">
        <f>Refsz_Verbräuche[[#This Row],[Datenpunkt]]</f>
        <v>Wärme (individueller Emissionsfaktor)</v>
      </c>
      <c r="D75" t="s">
        <v>208</v>
      </c>
      <c r="E75" s="15">
        <f>IF(ISNUMBER(Klisz_Verbräuche[[#This Row],[2015]]), Klisz_Verbräuche[[#This Row],[2015]]*Emissionsfaktoren[[#This Row],[2015]]/1000, 0)</f>
        <v>0</v>
      </c>
      <c r="F75" s="15">
        <f>IF(ISNUMBER(Klisz_Verbräuche[[#This Row],[2016]]), Klisz_Verbräuche[[#This Row],[2016]]*Emissionsfaktoren[[#This Row],[2016]]/1000, 0)</f>
        <v>0</v>
      </c>
      <c r="G75" s="15">
        <f>IF(ISNUMBER(Klisz_Verbräuche[[#This Row],[2017]]), Klisz_Verbräuche[[#This Row],[2017]]*Emissionsfaktoren[[#This Row],[2017]]/1000, 0)</f>
        <v>0</v>
      </c>
      <c r="H75" s="15">
        <f>IF(ISNUMBER(Klisz_Verbräuche[[#This Row],[2018]]), Klisz_Verbräuche[[#This Row],[2018]]*Emissionsfaktoren[[#This Row],[2018]]/1000, 0)</f>
        <v>0</v>
      </c>
      <c r="I75" s="15">
        <f>IF(ISNUMBER(Klisz_Verbräuche[[#This Row],[2019]]), Klisz_Verbräuche[[#This Row],[2019]]*Emissionsfaktoren[[#This Row],[2019]]/1000, 0)</f>
        <v>0</v>
      </c>
      <c r="J75" s="15">
        <f>IF(ISNUMBER(Klisz_Verbräuche[[#This Row],[2020]]), Klisz_Verbräuche[[#This Row],[2020]]*Emissionsfaktoren[[#This Row],[2020]]/1000, 0)</f>
        <v>0</v>
      </c>
      <c r="K75" s="15">
        <f>IF(ISNUMBER(Klisz_Verbräuche[[#This Row],[2021]]), Klisz_Verbräuche[[#This Row],[2021]]*Emissionsfaktoren[[#This Row],[2021]]/1000, 0)</f>
        <v>0</v>
      </c>
      <c r="L75" s="15">
        <f>IF(ISNUMBER(Klisz_Verbräuche[[#This Row],[2022]]), Klisz_Verbräuche[[#This Row],[2022]]*Emissionsfaktoren[[#This Row],[2022]]/1000, 0)</f>
        <v>0</v>
      </c>
      <c r="M75" s="15">
        <f>IF(ISNUMBER(Klisz_Verbräuche[[#This Row],[2023]]), Klisz_Verbräuche[[#This Row],[2023]]*Emissionsfaktoren[[#This Row],[2023]]/1000, 0)</f>
        <v>0</v>
      </c>
      <c r="N75" s="15">
        <f>IF(ISNUMBER(Klisz_Verbräuche[[#This Row],[2024]]), Klisz_Verbräuche[[#This Row],[2024]]*Emissionsfaktoren[[#This Row],[2024]]/1000, 0)</f>
        <v>0</v>
      </c>
      <c r="O75" s="15">
        <f>IF(ISNUMBER(Klisz_Verbräuche[[#This Row],[2025]]), Klisz_Verbräuche[[#This Row],[2025]]*Emissionsfaktoren[[#This Row],[2025]]/1000, 0)</f>
        <v>0</v>
      </c>
      <c r="P75" s="15">
        <f>IF(ISNUMBER(Klisz_Verbräuche[[#This Row],[2026]]), Klisz_Verbräuche[[#This Row],[2026]]*Emissionsfaktoren[[#This Row],[2026]]/1000, 0)</f>
        <v>0</v>
      </c>
      <c r="Q75" s="15">
        <f>IF(ISNUMBER(Klisz_Verbräuche[[#This Row],[2027]]), Klisz_Verbräuche[[#This Row],[2027]]*Emissionsfaktoren[[#This Row],[2027]]/1000, 0)</f>
        <v>0</v>
      </c>
      <c r="R75" s="15">
        <f>IF(ISNUMBER(Klisz_Verbräuche[[#This Row],[2028]]), Klisz_Verbräuche[[#This Row],[2028]]*Emissionsfaktoren[[#This Row],[2028]]/1000, 0)</f>
        <v>0</v>
      </c>
      <c r="S75" s="15">
        <f>IF(ISNUMBER(Klisz_Verbräuche[[#This Row],[2029]]), Klisz_Verbräuche[[#This Row],[2029]]*Emissionsfaktoren[[#This Row],[2029]]/1000, 0)</f>
        <v>0</v>
      </c>
      <c r="T75" s="15">
        <f>IF(ISNUMBER(Klisz_Verbräuche[[#This Row],[2030]]), Klisz_Verbräuche[[#This Row],[2030]]*Emissionsfaktoren[[#This Row],[2030]]/1000, 0)</f>
        <v>0</v>
      </c>
      <c r="U75" s="15">
        <f>IF(ISNUMBER(Klisz_Verbräuche[[#This Row],[2035]]), Klisz_Verbräuche[[#This Row],[2035]]*Emissionsfaktoren[[#This Row],[2035]]/1000, 0)</f>
        <v>0</v>
      </c>
      <c r="V75" s="15">
        <f>IF(ISNUMBER(Klisz_Verbräuche[[#This Row],[2040]]), Klisz_Verbräuche[[#This Row],[2040]]*Emissionsfaktoren[[#This Row],[2040]]/1000, 0)</f>
        <v>0</v>
      </c>
      <c r="W75" s="15">
        <f>IF(ISNUMBER(Klisz_Verbräuche[[#This Row],[2045]]), Klisz_Verbräuche[[#This Row],[2045]]*Emissionsfaktoren[[#This Row],[2045]]/1000, 0)</f>
        <v>0</v>
      </c>
      <c r="X75" s="15">
        <f>IF(ISNUMBER(Klisz_Verbräuche[[#This Row],[2050]]), Klisz_Verbräuche[[#This Row],[2050]]*Emissionsfaktoren[[#This Row],[2050]]/1000, 0)</f>
        <v>0</v>
      </c>
    </row>
    <row r="76" spans="2:24" ht="16.5" hidden="1" x14ac:dyDescent="0.45">
      <c r="B76" s="15">
        <v>16</v>
      </c>
      <c r="C76" s="20" t="str">
        <f>Refsz_Verbräuche[[#This Row],[Datenpunkt]]</f>
        <v>Wärme (Holzhackschnitzel)</v>
      </c>
      <c r="D76" t="s">
        <v>208</v>
      </c>
      <c r="E76" s="15">
        <f>IF(ISNUMBER(Klisz_Verbräuche[[#This Row],[2015]]), Klisz_Verbräuche[[#This Row],[2015]]*Emissionsfaktoren[[#This Row],[2015]]/1000, 0)</f>
        <v>0</v>
      </c>
      <c r="F76" s="15">
        <f>IF(ISNUMBER(Klisz_Verbräuche[[#This Row],[2016]]), Klisz_Verbräuche[[#This Row],[2016]]*Emissionsfaktoren[[#This Row],[2016]]/1000, 0)</f>
        <v>0</v>
      </c>
      <c r="G76" s="15">
        <f>IF(ISNUMBER(Klisz_Verbräuche[[#This Row],[2017]]), Klisz_Verbräuche[[#This Row],[2017]]*Emissionsfaktoren[[#This Row],[2017]]/1000, 0)</f>
        <v>0</v>
      </c>
      <c r="H76" s="15">
        <f>IF(ISNUMBER(Klisz_Verbräuche[[#This Row],[2018]]), Klisz_Verbräuche[[#This Row],[2018]]*Emissionsfaktoren[[#This Row],[2018]]/1000, 0)</f>
        <v>0</v>
      </c>
      <c r="I76" s="15">
        <f>IF(ISNUMBER(Klisz_Verbräuche[[#This Row],[2019]]), Klisz_Verbräuche[[#This Row],[2019]]*Emissionsfaktoren[[#This Row],[2019]]/1000, 0)</f>
        <v>0</v>
      </c>
      <c r="J76" s="15">
        <f>IF(ISNUMBER(Klisz_Verbräuche[[#This Row],[2020]]), Klisz_Verbräuche[[#This Row],[2020]]*Emissionsfaktoren[[#This Row],[2020]]/1000, 0)</f>
        <v>0</v>
      </c>
      <c r="K76" s="15">
        <f>IF(ISNUMBER(Klisz_Verbräuche[[#This Row],[2021]]), Klisz_Verbräuche[[#This Row],[2021]]*Emissionsfaktoren[[#This Row],[2021]]/1000, 0)</f>
        <v>0</v>
      </c>
      <c r="L76" s="15">
        <f>IF(ISNUMBER(Klisz_Verbräuche[[#This Row],[2022]]), Klisz_Verbräuche[[#This Row],[2022]]*Emissionsfaktoren[[#This Row],[2022]]/1000, 0)</f>
        <v>0</v>
      </c>
      <c r="M76" s="15">
        <f>IF(ISNUMBER(Klisz_Verbräuche[[#This Row],[2023]]), Klisz_Verbräuche[[#This Row],[2023]]*Emissionsfaktoren[[#This Row],[2023]]/1000, 0)</f>
        <v>0</v>
      </c>
      <c r="N76" s="15">
        <f>IF(ISNUMBER(Klisz_Verbräuche[[#This Row],[2024]]), Klisz_Verbräuche[[#This Row],[2024]]*Emissionsfaktoren[[#This Row],[2024]]/1000, 0)</f>
        <v>0</v>
      </c>
      <c r="O76" s="15">
        <f>IF(ISNUMBER(Klisz_Verbräuche[[#This Row],[2025]]), Klisz_Verbräuche[[#This Row],[2025]]*Emissionsfaktoren[[#This Row],[2025]]/1000, 0)</f>
        <v>0</v>
      </c>
      <c r="P76" s="15">
        <f>IF(ISNUMBER(Klisz_Verbräuche[[#This Row],[2026]]), Klisz_Verbräuche[[#This Row],[2026]]*Emissionsfaktoren[[#This Row],[2026]]/1000, 0)</f>
        <v>0</v>
      </c>
      <c r="Q76" s="15">
        <f>IF(ISNUMBER(Klisz_Verbräuche[[#This Row],[2027]]), Klisz_Verbräuche[[#This Row],[2027]]*Emissionsfaktoren[[#This Row],[2027]]/1000, 0)</f>
        <v>0</v>
      </c>
      <c r="R76" s="15">
        <f>IF(ISNUMBER(Klisz_Verbräuche[[#This Row],[2028]]), Klisz_Verbräuche[[#This Row],[2028]]*Emissionsfaktoren[[#This Row],[2028]]/1000, 0)</f>
        <v>0</v>
      </c>
      <c r="S76" s="15">
        <f>IF(ISNUMBER(Klisz_Verbräuche[[#This Row],[2029]]), Klisz_Verbräuche[[#This Row],[2029]]*Emissionsfaktoren[[#This Row],[2029]]/1000, 0)</f>
        <v>0</v>
      </c>
      <c r="T76" s="15">
        <f>IF(ISNUMBER(Klisz_Verbräuche[[#This Row],[2030]]), Klisz_Verbräuche[[#This Row],[2030]]*Emissionsfaktoren[[#This Row],[2030]]/1000, 0)</f>
        <v>0</v>
      </c>
      <c r="U76" s="15">
        <f>IF(ISNUMBER(Klisz_Verbräuche[[#This Row],[2035]]), Klisz_Verbräuche[[#This Row],[2035]]*Emissionsfaktoren[[#This Row],[2035]]/1000, 0)</f>
        <v>0</v>
      </c>
      <c r="V76" s="15">
        <f>IF(ISNUMBER(Klisz_Verbräuche[[#This Row],[2040]]), Klisz_Verbräuche[[#This Row],[2040]]*Emissionsfaktoren[[#This Row],[2040]]/1000, 0)</f>
        <v>0</v>
      </c>
      <c r="W76" s="15">
        <f>IF(ISNUMBER(Klisz_Verbräuche[[#This Row],[2045]]), Klisz_Verbräuche[[#This Row],[2045]]*Emissionsfaktoren[[#This Row],[2045]]/1000, 0)</f>
        <v>0</v>
      </c>
      <c r="X76" s="15">
        <f>IF(ISNUMBER(Klisz_Verbräuche[[#This Row],[2050]]), Klisz_Verbräuche[[#This Row],[2050]]*Emissionsfaktoren[[#This Row],[2050]]/1000, 0)</f>
        <v>0</v>
      </c>
    </row>
    <row r="77" spans="2:24" ht="16.5" hidden="1" x14ac:dyDescent="0.45">
      <c r="B77" s="15">
        <v>17</v>
      </c>
      <c r="C77" s="20" t="str">
        <f>Refsz_Verbräuche[[#This Row],[Datenpunkt]]</f>
        <v>Wärme (Holzpellets, 10kW/kleinere Zentralheizung)</v>
      </c>
      <c r="D77" t="s">
        <v>208</v>
      </c>
      <c r="E77" s="15">
        <f>IF(ISNUMBER(Klisz_Verbräuche[[#This Row],[2015]]), Klisz_Verbräuche[[#This Row],[2015]]*Emissionsfaktoren[[#This Row],[2015]]/1000, 0)</f>
        <v>0</v>
      </c>
      <c r="F77" s="15">
        <f>IF(ISNUMBER(Klisz_Verbräuche[[#This Row],[2016]]), Klisz_Verbräuche[[#This Row],[2016]]*Emissionsfaktoren[[#This Row],[2016]]/1000, 0)</f>
        <v>0</v>
      </c>
      <c r="G77" s="15">
        <f>IF(ISNUMBER(Klisz_Verbräuche[[#This Row],[2017]]), Klisz_Verbräuche[[#This Row],[2017]]*Emissionsfaktoren[[#This Row],[2017]]/1000, 0)</f>
        <v>0</v>
      </c>
      <c r="H77" s="15">
        <f>IF(ISNUMBER(Klisz_Verbräuche[[#This Row],[2018]]), Klisz_Verbräuche[[#This Row],[2018]]*Emissionsfaktoren[[#This Row],[2018]]/1000, 0)</f>
        <v>0</v>
      </c>
      <c r="I77" s="15">
        <f>IF(ISNUMBER(Klisz_Verbräuche[[#This Row],[2019]]), Klisz_Verbräuche[[#This Row],[2019]]*Emissionsfaktoren[[#This Row],[2019]]/1000, 0)</f>
        <v>0</v>
      </c>
      <c r="J77" s="15">
        <f>IF(ISNUMBER(Klisz_Verbräuche[[#This Row],[2020]]), Klisz_Verbräuche[[#This Row],[2020]]*Emissionsfaktoren[[#This Row],[2020]]/1000, 0)</f>
        <v>0</v>
      </c>
      <c r="K77" s="15">
        <f>IF(ISNUMBER(Klisz_Verbräuche[[#This Row],[2021]]), Klisz_Verbräuche[[#This Row],[2021]]*Emissionsfaktoren[[#This Row],[2021]]/1000, 0)</f>
        <v>0</v>
      </c>
      <c r="L77" s="15">
        <f>IF(ISNUMBER(Klisz_Verbräuche[[#This Row],[2022]]), Klisz_Verbräuche[[#This Row],[2022]]*Emissionsfaktoren[[#This Row],[2022]]/1000, 0)</f>
        <v>0</v>
      </c>
      <c r="M77" s="15">
        <f>IF(ISNUMBER(Klisz_Verbräuche[[#This Row],[2023]]), Klisz_Verbräuche[[#This Row],[2023]]*Emissionsfaktoren[[#This Row],[2023]]/1000, 0)</f>
        <v>0</v>
      </c>
      <c r="N77" s="15">
        <f>IF(ISNUMBER(Klisz_Verbräuche[[#This Row],[2024]]), Klisz_Verbräuche[[#This Row],[2024]]*Emissionsfaktoren[[#This Row],[2024]]/1000, 0)</f>
        <v>0</v>
      </c>
      <c r="O77" s="15">
        <f>IF(ISNUMBER(Klisz_Verbräuche[[#This Row],[2025]]), Klisz_Verbräuche[[#This Row],[2025]]*Emissionsfaktoren[[#This Row],[2025]]/1000, 0)</f>
        <v>0</v>
      </c>
      <c r="P77" s="15">
        <f>IF(ISNUMBER(Klisz_Verbräuche[[#This Row],[2026]]), Klisz_Verbräuche[[#This Row],[2026]]*Emissionsfaktoren[[#This Row],[2026]]/1000, 0)</f>
        <v>0</v>
      </c>
      <c r="Q77" s="15">
        <f>IF(ISNUMBER(Klisz_Verbräuche[[#This Row],[2027]]), Klisz_Verbräuche[[#This Row],[2027]]*Emissionsfaktoren[[#This Row],[2027]]/1000, 0)</f>
        <v>0</v>
      </c>
      <c r="R77" s="15">
        <f>IF(ISNUMBER(Klisz_Verbräuche[[#This Row],[2028]]), Klisz_Verbräuche[[#This Row],[2028]]*Emissionsfaktoren[[#This Row],[2028]]/1000, 0)</f>
        <v>0</v>
      </c>
      <c r="S77" s="15">
        <f>IF(ISNUMBER(Klisz_Verbräuche[[#This Row],[2029]]), Klisz_Verbräuche[[#This Row],[2029]]*Emissionsfaktoren[[#This Row],[2029]]/1000, 0)</f>
        <v>0</v>
      </c>
      <c r="T77" s="15">
        <f>IF(ISNUMBER(Klisz_Verbräuche[[#This Row],[2030]]), Klisz_Verbräuche[[#This Row],[2030]]*Emissionsfaktoren[[#This Row],[2030]]/1000, 0)</f>
        <v>0</v>
      </c>
      <c r="U77" s="15">
        <f>IF(ISNUMBER(Klisz_Verbräuche[[#This Row],[2035]]), Klisz_Verbräuche[[#This Row],[2035]]*Emissionsfaktoren[[#This Row],[2035]]/1000, 0)</f>
        <v>0</v>
      </c>
      <c r="V77" s="15">
        <f>IF(ISNUMBER(Klisz_Verbräuche[[#This Row],[2040]]), Klisz_Verbräuche[[#This Row],[2040]]*Emissionsfaktoren[[#This Row],[2040]]/1000, 0)</f>
        <v>0</v>
      </c>
      <c r="W77" s="15">
        <f>IF(ISNUMBER(Klisz_Verbräuche[[#This Row],[2045]]), Klisz_Verbräuche[[#This Row],[2045]]*Emissionsfaktoren[[#This Row],[2045]]/1000, 0)</f>
        <v>0</v>
      </c>
      <c r="X77" s="15">
        <f>IF(ISNUMBER(Klisz_Verbräuche[[#This Row],[2050]]), Klisz_Verbräuche[[#This Row],[2050]]*Emissionsfaktoren[[#This Row],[2050]]/1000, 0)</f>
        <v>0</v>
      </c>
    </row>
    <row r="78" spans="2:24" ht="16.5" hidden="1" x14ac:dyDescent="0.45">
      <c r="B78" s="15">
        <v>18</v>
      </c>
      <c r="C78" s="20" t="str">
        <f>Refsz_Verbräuche[[#This Row],[Datenpunkt]]</f>
        <v>Wärme (Holzpellets, 50kW/größere Zentralheizung)</v>
      </c>
      <c r="D78" t="s">
        <v>208</v>
      </c>
      <c r="E78" s="15">
        <f>IF(ISNUMBER(Klisz_Verbräuche[[#This Row],[2015]]), Klisz_Verbräuche[[#This Row],[2015]]*Emissionsfaktoren[[#This Row],[2015]]/1000, 0)</f>
        <v>0</v>
      </c>
      <c r="F78" s="15">
        <f>IF(ISNUMBER(Klisz_Verbräuche[[#This Row],[2016]]), Klisz_Verbräuche[[#This Row],[2016]]*Emissionsfaktoren[[#This Row],[2016]]/1000, 0)</f>
        <v>0</v>
      </c>
      <c r="G78" s="15">
        <f>IF(ISNUMBER(Klisz_Verbräuche[[#This Row],[2017]]), Klisz_Verbräuche[[#This Row],[2017]]*Emissionsfaktoren[[#This Row],[2017]]/1000, 0)</f>
        <v>0</v>
      </c>
      <c r="H78" s="15">
        <f>IF(ISNUMBER(Klisz_Verbräuche[[#This Row],[2018]]), Klisz_Verbräuche[[#This Row],[2018]]*Emissionsfaktoren[[#This Row],[2018]]/1000, 0)</f>
        <v>0</v>
      </c>
      <c r="I78" s="15">
        <f>IF(ISNUMBER(Klisz_Verbräuche[[#This Row],[2019]]), Klisz_Verbräuche[[#This Row],[2019]]*Emissionsfaktoren[[#This Row],[2019]]/1000, 0)</f>
        <v>0</v>
      </c>
      <c r="J78" s="15">
        <f>IF(ISNUMBER(Klisz_Verbräuche[[#This Row],[2020]]), Klisz_Verbräuche[[#This Row],[2020]]*Emissionsfaktoren[[#This Row],[2020]]/1000, 0)</f>
        <v>0</v>
      </c>
      <c r="K78" s="15">
        <f>IF(ISNUMBER(Klisz_Verbräuche[[#This Row],[2021]]), Klisz_Verbräuche[[#This Row],[2021]]*Emissionsfaktoren[[#This Row],[2021]]/1000, 0)</f>
        <v>0</v>
      </c>
      <c r="L78" s="15">
        <f>IF(ISNUMBER(Klisz_Verbräuche[[#This Row],[2022]]), Klisz_Verbräuche[[#This Row],[2022]]*Emissionsfaktoren[[#This Row],[2022]]/1000, 0)</f>
        <v>0</v>
      </c>
      <c r="M78" s="15">
        <f>IF(ISNUMBER(Klisz_Verbräuche[[#This Row],[2023]]), Klisz_Verbräuche[[#This Row],[2023]]*Emissionsfaktoren[[#This Row],[2023]]/1000, 0)</f>
        <v>0</v>
      </c>
      <c r="N78" s="15">
        <f>IF(ISNUMBER(Klisz_Verbräuche[[#This Row],[2024]]), Klisz_Verbräuche[[#This Row],[2024]]*Emissionsfaktoren[[#This Row],[2024]]/1000, 0)</f>
        <v>0</v>
      </c>
      <c r="O78" s="15">
        <f>IF(ISNUMBER(Klisz_Verbräuche[[#This Row],[2025]]), Klisz_Verbräuche[[#This Row],[2025]]*Emissionsfaktoren[[#This Row],[2025]]/1000, 0)</f>
        <v>0</v>
      </c>
      <c r="P78" s="15">
        <f>IF(ISNUMBER(Klisz_Verbräuche[[#This Row],[2026]]), Klisz_Verbräuche[[#This Row],[2026]]*Emissionsfaktoren[[#This Row],[2026]]/1000, 0)</f>
        <v>0</v>
      </c>
      <c r="Q78" s="15">
        <f>IF(ISNUMBER(Klisz_Verbräuche[[#This Row],[2027]]), Klisz_Verbräuche[[#This Row],[2027]]*Emissionsfaktoren[[#This Row],[2027]]/1000, 0)</f>
        <v>0</v>
      </c>
      <c r="R78" s="15">
        <f>IF(ISNUMBER(Klisz_Verbräuche[[#This Row],[2028]]), Klisz_Verbräuche[[#This Row],[2028]]*Emissionsfaktoren[[#This Row],[2028]]/1000, 0)</f>
        <v>0</v>
      </c>
      <c r="S78" s="15">
        <f>IF(ISNUMBER(Klisz_Verbräuche[[#This Row],[2029]]), Klisz_Verbräuche[[#This Row],[2029]]*Emissionsfaktoren[[#This Row],[2029]]/1000, 0)</f>
        <v>0</v>
      </c>
      <c r="T78" s="15">
        <f>IF(ISNUMBER(Klisz_Verbräuche[[#This Row],[2030]]), Klisz_Verbräuche[[#This Row],[2030]]*Emissionsfaktoren[[#This Row],[2030]]/1000, 0)</f>
        <v>0</v>
      </c>
      <c r="U78" s="15">
        <f>IF(ISNUMBER(Klisz_Verbräuche[[#This Row],[2035]]), Klisz_Verbräuche[[#This Row],[2035]]*Emissionsfaktoren[[#This Row],[2035]]/1000, 0)</f>
        <v>0</v>
      </c>
      <c r="V78" s="15">
        <f>IF(ISNUMBER(Klisz_Verbräuche[[#This Row],[2040]]), Klisz_Verbräuche[[#This Row],[2040]]*Emissionsfaktoren[[#This Row],[2040]]/1000, 0)</f>
        <v>0</v>
      </c>
      <c r="W78" s="15">
        <f>IF(ISNUMBER(Klisz_Verbräuche[[#This Row],[2045]]), Klisz_Verbräuche[[#This Row],[2045]]*Emissionsfaktoren[[#This Row],[2045]]/1000, 0)</f>
        <v>0</v>
      </c>
      <c r="X78" s="15">
        <f>IF(ISNUMBER(Klisz_Verbräuche[[#This Row],[2050]]), Klisz_Verbräuche[[#This Row],[2050]]*Emissionsfaktoren[[#This Row],[2050]]/1000, 0)</f>
        <v>0</v>
      </c>
    </row>
    <row r="79" spans="2:24" ht="16.5" hidden="1" x14ac:dyDescent="0.45">
      <c r="B79" s="15">
        <v>19</v>
      </c>
      <c r="C79" s="20" t="str">
        <f>Refsz_Verbräuche[[#This Row],[Datenpunkt]]</f>
        <v>Wärme (Fernwärme Mix)</v>
      </c>
      <c r="D79" t="s">
        <v>208</v>
      </c>
      <c r="E79" s="15">
        <f>IF(ISNUMBER(Klisz_Verbräuche[[#This Row],[2015]]), Klisz_Verbräuche[[#This Row],[2015]]*Emissionsfaktoren[[#This Row],[2015]]/1000, 0)</f>
        <v>0</v>
      </c>
      <c r="F79" s="15">
        <f>IF(ISNUMBER(Klisz_Verbräuche[[#This Row],[2016]]), Klisz_Verbräuche[[#This Row],[2016]]*Emissionsfaktoren[[#This Row],[2016]]/1000, 0)</f>
        <v>0</v>
      </c>
      <c r="G79" s="15">
        <f>IF(ISNUMBER(Klisz_Verbräuche[[#This Row],[2017]]), Klisz_Verbräuche[[#This Row],[2017]]*Emissionsfaktoren[[#This Row],[2017]]/1000, 0)</f>
        <v>0</v>
      </c>
      <c r="H79" s="15">
        <f>IF(ISNUMBER(Klisz_Verbräuche[[#This Row],[2018]]), Klisz_Verbräuche[[#This Row],[2018]]*Emissionsfaktoren[[#This Row],[2018]]/1000, 0)</f>
        <v>0</v>
      </c>
      <c r="I79" s="15">
        <f>IF(ISNUMBER(Klisz_Verbräuche[[#This Row],[2019]]), Klisz_Verbräuche[[#This Row],[2019]]*Emissionsfaktoren[[#This Row],[2019]]/1000, 0)</f>
        <v>0</v>
      </c>
      <c r="J79" s="15">
        <f>IF(ISNUMBER(Klisz_Verbräuche[[#This Row],[2020]]), Klisz_Verbräuche[[#This Row],[2020]]*Emissionsfaktoren[[#This Row],[2020]]/1000, 0)</f>
        <v>0</v>
      </c>
      <c r="K79" s="15">
        <f>IF(ISNUMBER(Klisz_Verbräuche[[#This Row],[2021]]), Klisz_Verbräuche[[#This Row],[2021]]*Emissionsfaktoren[[#This Row],[2021]]/1000, 0)</f>
        <v>0</v>
      </c>
      <c r="L79" s="15">
        <f>IF(ISNUMBER(Klisz_Verbräuche[[#This Row],[2022]]), Klisz_Verbräuche[[#This Row],[2022]]*Emissionsfaktoren[[#This Row],[2022]]/1000, 0)</f>
        <v>0</v>
      </c>
      <c r="M79" s="15">
        <f>IF(ISNUMBER(Klisz_Verbräuche[[#This Row],[2023]]), Klisz_Verbräuche[[#This Row],[2023]]*Emissionsfaktoren[[#This Row],[2023]]/1000, 0)</f>
        <v>0</v>
      </c>
      <c r="N79" s="15">
        <f>IF(ISNUMBER(Klisz_Verbräuche[[#This Row],[2024]]), Klisz_Verbräuche[[#This Row],[2024]]*Emissionsfaktoren[[#This Row],[2024]]/1000, 0)</f>
        <v>0</v>
      </c>
      <c r="O79" s="15">
        <f>IF(ISNUMBER(Klisz_Verbräuche[[#This Row],[2025]]), Klisz_Verbräuche[[#This Row],[2025]]*Emissionsfaktoren[[#This Row],[2025]]/1000, 0)</f>
        <v>0</v>
      </c>
      <c r="P79" s="15">
        <f>IF(ISNUMBER(Klisz_Verbräuche[[#This Row],[2026]]), Klisz_Verbräuche[[#This Row],[2026]]*Emissionsfaktoren[[#This Row],[2026]]/1000, 0)</f>
        <v>0</v>
      </c>
      <c r="Q79" s="15">
        <f>IF(ISNUMBER(Klisz_Verbräuche[[#This Row],[2027]]), Klisz_Verbräuche[[#This Row],[2027]]*Emissionsfaktoren[[#This Row],[2027]]/1000, 0)</f>
        <v>0</v>
      </c>
      <c r="R79" s="15">
        <f>IF(ISNUMBER(Klisz_Verbräuche[[#This Row],[2028]]), Klisz_Verbräuche[[#This Row],[2028]]*Emissionsfaktoren[[#This Row],[2028]]/1000, 0)</f>
        <v>0</v>
      </c>
      <c r="S79" s="15">
        <f>IF(ISNUMBER(Klisz_Verbräuche[[#This Row],[2029]]), Klisz_Verbräuche[[#This Row],[2029]]*Emissionsfaktoren[[#This Row],[2029]]/1000, 0)</f>
        <v>0</v>
      </c>
      <c r="T79" s="15">
        <f>IF(ISNUMBER(Klisz_Verbräuche[[#This Row],[2030]]), Klisz_Verbräuche[[#This Row],[2030]]*Emissionsfaktoren[[#This Row],[2030]]/1000, 0)</f>
        <v>0</v>
      </c>
      <c r="U79" s="15">
        <f>IF(ISNUMBER(Klisz_Verbräuche[[#This Row],[2035]]), Klisz_Verbräuche[[#This Row],[2035]]*Emissionsfaktoren[[#This Row],[2035]]/1000, 0)</f>
        <v>0</v>
      </c>
      <c r="V79" s="15">
        <f>IF(ISNUMBER(Klisz_Verbräuche[[#This Row],[2040]]), Klisz_Verbräuche[[#This Row],[2040]]*Emissionsfaktoren[[#This Row],[2040]]/1000, 0)</f>
        <v>0</v>
      </c>
      <c r="W79" s="15">
        <f>IF(ISNUMBER(Klisz_Verbräuche[[#This Row],[2045]]), Klisz_Verbräuche[[#This Row],[2045]]*Emissionsfaktoren[[#This Row],[2045]]/1000, 0)</f>
        <v>0</v>
      </c>
      <c r="X79" s="15">
        <f>IF(ISNUMBER(Klisz_Verbräuche[[#This Row],[2050]]), Klisz_Verbräuche[[#This Row],[2050]]*Emissionsfaktoren[[#This Row],[2050]]/1000, 0)</f>
        <v>0</v>
      </c>
    </row>
    <row r="80" spans="2:24" ht="16.5" hidden="1" x14ac:dyDescent="0.45">
      <c r="B80" s="15">
        <v>20</v>
      </c>
      <c r="C80" s="20" t="str">
        <f>Refsz_Verbräuche[[#This Row],[Datenpunkt]]</f>
        <v>Wärme (Fernwärme Abfall)</v>
      </c>
      <c r="D80" t="s">
        <v>208</v>
      </c>
      <c r="E80" s="15">
        <f>IF(ISNUMBER(Klisz_Verbräuche[[#This Row],[2015]]), Klisz_Verbräuche[[#This Row],[2015]]*Emissionsfaktoren[[#This Row],[2015]]/1000, 0)</f>
        <v>0</v>
      </c>
      <c r="F80" s="15">
        <f>IF(ISNUMBER(Klisz_Verbräuche[[#This Row],[2016]]), Klisz_Verbräuche[[#This Row],[2016]]*Emissionsfaktoren[[#This Row],[2016]]/1000, 0)</f>
        <v>0</v>
      </c>
      <c r="G80" s="15">
        <f>IF(ISNUMBER(Klisz_Verbräuche[[#This Row],[2017]]), Klisz_Verbräuche[[#This Row],[2017]]*Emissionsfaktoren[[#This Row],[2017]]/1000, 0)</f>
        <v>0</v>
      </c>
      <c r="H80" s="15">
        <f>IF(ISNUMBER(Klisz_Verbräuche[[#This Row],[2018]]), Klisz_Verbräuche[[#This Row],[2018]]*Emissionsfaktoren[[#This Row],[2018]]/1000, 0)</f>
        <v>0</v>
      </c>
      <c r="I80" s="15">
        <f>IF(ISNUMBER(Klisz_Verbräuche[[#This Row],[2019]]), Klisz_Verbräuche[[#This Row],[2019]]*Emissionsfaktoren[[#This Row],[2019]]/1000, 0)</f>
        <v>0</v>
      </c>
      <c r="J80" s="15">
        <f>IF(ISNUMBER(Klisz_Verbräuche[[#This Row],[2020]]), Klisz_Verbräuche[[#This Row],[2020]]*Emissionsfaktoren[[#This Row],[2020]]/1000, 0)</f>
        <v>0</v>
      </c>
      <c r="K80" s="15">
        <f>IF(ISNUMBER(Klisz_Verbräuche[[#This Row],[2021]]), Klisz_Verbräuche[[#This Row],[2021]]*Emissionsfaktoren[[#This Row],[2021]]/1000, 0)</f>
        <v>0</v>
      </c>
      <c r="L80" s="15">
        <f>IF(ISNUMBER(Klisz_Verbräuche[[#This Row],[2022]]), Klisz_Verbräuche[[#This Row],[2022]]*Emissionsfaktoren[[#This Row],[2022]]/1000, 0)</f>
        <v>0</v>
      </c>
      <c r="M80" s="15">
        <f>IF(ISNUMBER(Klisz_Verbräuche[[#This Row],[2023]]), Klisz_Verbräuche[[#This Row],[2023]]*Emissionsfaktoren[[#This Row],[2023]]/1000, 0)</f>
        <v>0</v>
      </c>
      <c r="N80" s="15">
        <f>IF(ISNUMBER(Klisz_Verbräuche[[#This Row],[2024]]), Klisz_Verbräuche[[#This Row],[2024]]*Emissionsfaktoren[[#This Row],[2024]]/1000, 0)</f>
        <v>0</v>
      </c>
      <c r="O80" s="15">
        <f>IF(ISNUMBER(Klisz_Verbräuche[[#This Row],[2025]]), Klisz_Verbräuche[[#This Row],[2025]]*Emissionsfaktoren[[#This Row],[2025]]/1000, 0)</f>
        <v>0</v>
      </c>
      <c r="P80" s="15">
        <f>IF(ISNUMBER(Klisz_Verbräuche[[#This Row],[2026]]), Klisz_Verbräuche[[#This Row],[2026]]*Emissionsfaktoren[[#This Row],[2026]]/1000, 0)</f>
        <v>0</v>
      </c>
      <c r="Q80" s="15">
        <f>IF(ISNUMBER(Klisz_Verbräuche[[#This Row],[2027]]), Klisz_Verbräuche[[#This Row],[2027]]*Emissionsfaktoren[[#This Row],[2027]]/1000, 0)</f>
        <v>0</v>
      </c>
      <c r="R80" s="15">
        <f>IF(ISNUMBER(Klisz_Verbräuche[[#This Row],[2028]]), Klisz_Verbräuche[[#This Row],[2028]]*Emissionsfaktoren[[#This Row],[2028]]/1000, 0)</f>
        <v>0</v>
      </c>
      <c r="S80" s="15">
        <f>IF(ISNUMBER(Klisz_Verbräuche[[#This Row],[2029]]), Klisz_Verbräuche[[#This Row],[2029]]*Emissionsfaktoren[[#This Row],[2029]]/1000, 0)</f>
        <v>0</v>
      </c>
      <c r="T80" s="15">
        <f>IF(ISNUMBER(Klisz_Verbräuche[[#This Row],[2030]]), Klisz_Verbräuche[[#This Row],[2030]]*Emissionsfaktoren[[#This Row],[2030]]/1000, 0)</f>
        <v>0</v>
      </c>
      <c r="U80" s="15">
        <f>IF(ISNUMBER(Klisz_Verbräuche[[#This Row],[2035]]), Klisz_Verbräuche[[#This Row],[2035]]*Emissionsfaktoren[[#This Row],[2035]]/1000, 0)</f>
        <v>0</v>
      </c>
      <c r="V80" s="15">
        <f>IF(ISNUMBER(Klisz_Verbräuche[[#This Row],[2040]]), Klisz_Verbräuche[[#This Row],[2040]]*Emissionsfaktoren[[#This Row],[2040]]/1000, 0)</f>
        <v>0</v>
      </c>
      <c r="W80" s="15">
        <f>IF(ISNUMBER(Klisz_Verbräuche[[#This Row],[2045]]), Klisz_Verbräuche[[#This Row],[2045]]*Emissionsfaktoren[[#This Row],[2045]]/1000, 0)</f>
        <v>0</v>
      </c>
      <c r="X80" s="15">
        <f>IF(ISNUMBER(Klisz_Verbräuche[[#This Row],[2050]]), Klisz_Verbräuche[[#This Row],[2050]]*Emissionsfaktoren[[#This Row],[2050]]/1000, 0)</f>
        <v>0</v>
      </c>
    </row>
    <row r="81" spans="2:24" ht="16.5" hidden="1" x14ac:dyDescent="0.45">
      <c r="B81" s="15">
        <v>21</v>
      </c>
      <c r="C81" s="20" t="str">
        <f>Refsz_Verbräuche[[#This Row],[Datenpunkt]]</f>
        <v>Wärme (Heizöl)</v>
      </c>
      <c r="D81" t="s">
        <v>208</v>
      </c>
      <c r="E81" s="15">
        <f>IF(ISNUMBER(Klisz_Verbräuche[[#This Row],[2015]]), Klisz_Verbräuche[[#This Row],[2015]]*Emissionsfaktoren[[#This Row],[2015]]/1000, 0)</f>
        <v>0</v>
      </c>
      <c r="F81" s="15">
        <f>IF(ISNUMBER(Klisz_Verbräuche[[#This Row],[2016]]), Klisz_Verbräuche[[#This Row],[2016]]*Emissionsfaktoren[[#This Row],[2016]]/1000, 0)</f>
        <v>0</v>
      </c>
      <c r="G81" s="15">
        <f>IF(ISNUMBER(Klisz_Verbräuche[[#This Row],[2017]]), Klisz_Verbräuche[[#This Row],[2017]]*Emissionsfaktoren[[#This Row],[2017]]/1000, 0)</f>
        <v>0</v>
      </c>
      <c r="H81" s="15">
        <f>IF(ISNUMBER(Klisz_Verbräuche[[#This Row],[2018]]), Klisz_Verbräuche[[#This Row],[2018]]*Emissionsfaktoren[[#This Row],[2018]]/1000, 0)</f>
        <v>0</v>
      </c>
      <c r="I81" s="15">
        <f>IF(ISNUMBER(Klisz_Verbräuche[[#This Row],[2019]]), Klisz_Verbräuche[[#This Row],[2019]]*Emissionsfaktoren[[#This Row],[2019]]/1000, 0)</f>
        <v>0</v>
      </c>
      <c r="J81" s="15">
        <f>IF(ISNUMBER(Klisz_Verbräuche[[#This Row],[2020]]), Klisz_Verbräuche[[#This Row],[2020]]*Emissionsfaktoren[[#This Row],[2020]]/1000, 0)</f>
        <v>0</v>
      </c>
      <c r="K81" s="15">
        <f>IF(ISNUMBER(Klisz_Verbräuche[[#This Row],[2021]]), Klisz_Verbräuche[[#This Row],[2021]]*Emissionsfaktoren[[#This Row],[2021]]/1000, 0)</f>
        <v>0</v>
      </c>
      <c r="L81" s="15">
        <f>IF(ISNUMBER(Klisz_Verbräuche[[#This Row],[2022]]), Klisz_Verbräuche[[#This Row],[2022]]*Emissionsfaktoren[[#This Row],[2022]]/1000, 0)</f>
        <v>0</v>
      </c>
      <c r="M81" s="15">
        <f>IF(ISNUMBER(Klisz_Verbräuche[[#This Row],[2023]]), Klisz_Verbräuche[[#This Row],[2023]]*Emissionsfaktoren[[#This Row],[2023]]/1000, 0)</f>
        <v>0</v>
      </c>
      <c r="N81" s="15">
        <f>IF(ISNUMBER(Klisz_Verbräuche[[#This Row],[2024]]), Klisz_Verbräuche[[#This Row],[2024]]*Emissionsfaktoren[[#This Row],[2024]]/1000, 0)</f>
        <v>0</v>
      </c>
      <c r="O81" s="15">
        <f>IF(ISNUMBER(Klisz_Verbräuche[[#This Row],[2025]]), Klisz_Verbräuche[[#This Row],[2025]]*Emissionsfaktoren[[#This Row],[2025]]/1000, 0)</f>
        <v>0</v>
      </c>
      <c r="P81" s="15">
        <f>IF(ISNUMBER(Klisz_Verbräuche[[#This Row],[2026]]), Klisz_Verbräuche[[#This Row],[2026]]*Emissionsfaktoren[[#This Row],[2026]]/1000, 0)</f>
        <v>0</v>
      </c>
      <c r="Q81" s="15">
        <f>IF(ISNUMBER(Klisz_Verbräuche[[#This Row],[2027]]), Klisz_Verbräuche[[#This Row],[2027]]*Emissionsfaktoren[[#This Row],[2027]]/1000, 0)</f>
        <v>0</v>
      </c>
      <c r="R81" s="15">
        <f>IF(ISNUMBER(Klisz_Verbräuche[[#This Row],[2028]]), Klisz_Verbräuche[[#This Row],[2028]]*Emissionsfaktoren[[#This Row],[2028]]/1000, 0)</f>
        <v>0</v>
      </c>
      <c r="S81" s="15">
        <f>IF(ISNUMBER(Klisz_Verbräuche[[#This Row],[2029]]), Klisz_Verbräuche[[#This Row],[2029]]*Emissionsfaktoren[[#This Row],[2029]]/1000, 0)</f>
        <v>0</v>
      </c>
      <c r="T81" s="15">
        <f>IF(ISNUMBER(Klisz_Verbräuche[[#This Row],[2030]]), Klisz_Verbräuche[[#This Row],[2030]]*Emissionsfaktoren[[#This Row],[2030]]/1000, 0)</f>
        <v>0</v>
      </c>
      <c r="U81" s="15">
        <f>IF(ISNUMBER(Klisz_Verbräuche[[#This Row],[2035]]), Klisz_Verbräuche[[#This Row],[2035]]*Emissionsfaktoren[[#This Row],[2035]]/1000, 0)</f>
        <v>0</v>
      </c>
      <c r="V81" s="15">
        <f>IF(ISNUMBER(Klisz_Verbräuche[[#This Row],[2040]]), Klisz_Verbräuche[[#This Row],[2040]]*Emissionsfaktoren[[#This Row],[2040]]/1000, 0)</f>
        <v>0</v>
      </c>
      <c r="W81" s="15">
        <f>IF(ISNUMBER(Klisz_Verbräuche[[#This Row],[2045]]), Klisz_Verbräuche[[#This Row],[2045]]*Emissionsfaktoren[[#This Row],[2045]]/1000, 0)</f>
        <v>0</v>
      </c>
      <c r="X81" s="15">
        <f>IF(ISNUMBER(Klisz_Verbräuche[[#This Row],[2050]]), Klisz_Verbräuche[[#This Row],[2050]]*Emissionsfaktoren[[#This Row],[2050]]/1000, 0)</f>
        <v>0</v>
      </c>
    </row>
    <row r="82" spans="2:24" ht="16.5" hidden="1" x14ac:dyDescent="0.45">
      <c r="B82" s="15">
        <v>22</v>
      </c>
      <c r="C82" s="20" t="str">
        <f>Refsz_Verbräuche[[#This Row],[Datenpunkt]]</f>
        <v>Wärme (Solarthermie)</v>
      </c>
      <c r="D82" t="s">
        <v>208</v>
      </c>
      <c r="E82" s="15">
        <f>IF(ISNUMBER(Klisz_Verbräuche[[#This Row],[2015]]), Klisz_Verbräuche[[#This Row],[2015]]*Emissionsfaktoren[[#This Row],[2015]]/1000, 0)</f>
        <v>0</v>
      </c>
      <c r="F82" s="15">
        <f>IF(ISNUMBER(Klisz_Verbräuche[[#This Row],[2016]]), Klisz_Verbräuche[[#This Row],[2016]]*Emissionsfaktoren[[#This Row],[2016]]/1000, 0)</f>
        <v>0</v>
      </c>
      <c r="G82" s="15">
        <f>IF(ISNUMBER(Klisz_Verbräuche[[#This Row],[2017]]), Klisz_Verbräuche[[#This Row],[2017]]*Emissionsfaktoren[[#This Row],[2017]]/1000, 0)</f>
        <v>0</v>
      </c>
      <c r="H82" s="15">
        <f>IF(ISNUMBER(Klisz_Verbräuche[[#This Row],[2018]]), Klisz_Verbräuche[[#This Row],[2018]]*Emissionsfaktoren[[#This Row],[2018]]/1000, 0)</f>
        <v>0</v>
      </c>
      <c r="I82" s="15">
        <f>IF(ISNUMBER(Klisz_Verbräuche[[#This Row],[2019]]), Klisz_Verbräuche[[#This Row],[2019]]*Emissionsfaktoren[[#This Row],[2019]]/1000, 0)</f>
        <v>0</v>
      </c>
      <c r="J82" s="15">
        <f>IF(ISNUMBER(Klisz_Verbräuche[[#This Row],[2020]]), Klisz_Verbräuche[[#This Row],[2020]]*Emissionsfaktoren[[#This Row],[2020]]/1000, 0)</f>
        <v>0</v>
      </c>
      <c r="K82" s="15">
        <f>IF(ISNUMBER(Klisz_Verbräuche[[#This Row],[2021]]), Klisz_Verbräuche[[#This Row],[2021]]*Emissionsfaktoren[[#This Row],[2021]]/1000, 0)</f>
        <v>0</v>
      </c>
      <c r="L82" s="15">
        <f>IF(ISNUMBER(Klisz_Verbräuche[[#This Row],[2022]]), Klisz_Verbräuche[[#This Row],[2022]]*Emissionsfaktoren[[#This Row],[2022]]/1000, 0)</f>
        <v>0</v>
      </c>
      <c r="M82" s="15">
        <f>IF(ISNUMBER(Klisz_Verbräuche[[#This Row],[2023]]), Klisz_Verbräuche[[#This Row],[2023]]*Emissionsfaktoren[[#This Row],[2023]]/1000, 0)</f>
        <v>0</v>
      </c>
      <c r="N82" s="15">
        <f>IF(ISNUMBER(Klisz_Verbräuche[[#This Row],[2024]]), Klisz_Verbräuche[[#This Row],[2024]]*Emissionsfaktoren[[#This Row],[2024]]/1000, 0)</f>
        <v>0</v>
      </c>
      <c r="O82" s="15">
        <f>IF(ISNUMBER(Klisz_Verbräuche[[#This Row],[2025]]), Klisz_Verbräuche[[#This Row],[2025]]*Emissionsfaktoren[[#This Row],[2025]]/1000, 0)</f>
        <v>0</v>
      </c>
      <c r="P82" s="15">
        <f>IF(ISNUMBER(Klisz_Verbräuche[[#This Row],[2026]]), Klisz_Verbräuche[[#This Row],[2026]]*Emissionsfaktoren[[#This Row],[2026]]/1000, 0)</f>
        <v>0</v>
      </c>
      <c r="Q82" s="15">
        <f>IF(ISNUMBER(Klisz_Verbräuche[[#This Row],[2027]]), Klisz_Verbräuche[[#This Row],[2027]]*Emissionsfaktoren[[#This Row],[2027]]/1000, 0)</f>
        <v>0</v>
      </c>
      <c r="R82" s="15">
        <f>IF(ISNUMBER(Klisz_Verbräuche[[#This Row],[2028]]), Klisz_Verbräuche[[#This Row],[2028]]*Emissionsfaktoren[[#This Row],[2028]]/1000, 0)</f>
        <v>0</v>
      </c>
      <c r="S82" s="15">
        <f>IF(ISNUMBER(Klisz_Verbräuche[[#This Row],[2029]]), Klisz_Verbräuche[[#This Row],[2029]]*Emissionsfaktoren[[#This Row],[2029]]/1000, 0)</f>
        <v>0</v>
      </c>
      <c r="T82" s="15">
        <f>IF(ISNUMBER(Klisz_Verbräuche[[#This Row],[2030]]), Klisz_Verbräuche[[#This Row],[2030]]*Emissionsfaktoren[[#This Row],[2030]]/1000, 0)</f>
        <v>0</v>
      </c>
      <c r="U82" s="15">
        <f>IF(ISNUMBER(Klisz_Verbräuche[[#This Row],[2035]]), Klisz_Verbräuche[[#This Row],[2035]]*Emissionsfaktoren[[#This Row],[2035]]/1000, 0)</f>
        <v>0</v>
      </c>
      <c r="V82" s="15">
        <f>IF(ISNUMBER(Klisz_Verbräuche[[#This Row],[2040]]), Klisz_Verbräuche[[#This Row],[2040]]*Emissionsfaktoren[[#This Row],[2040]]/1000, 0)</f>
        <v>0</v>
      </c>
      <c r="W82" s="15">
        <f>IF(ISNUMBER(Klisz_Verbräuche[[#This Row],[2045]]), Klisz_Verbräuche[[#This Row],[2045]]*Emissionsfaktoren[[#This Row],[2045]]/1000, 0)</f>
        <v>0</v>
      </c>
      <c r="X82" s="15">
        <f>IF(ISNUMBER(Klisz_Verbräuche[[#This Row],[2050]]), Klisz_Verbräuche[[#This Row],[2050]]*Emissionsfaktoren[[#This Row],[2050]]/1000, 0)</f>
        <v>0</v>
      </c>
    </row>
    <row r="83" spans="2:24" ht="16.5" hidden="1" x14ac:dyDescent="0.45">
      <c r="B83" s="15">
        <v>23</v>
      </c>
      <c r="C83" s="20" t="str">
        <f>Refsz_Verbräuche[[#This Row],[Datenpunkt]]</f>
        <v>Wärme (Sole-Wasser-Wärmepumpe; Bundesstrommix)</v>
      </c>
      <c r="D83" t="s">
        <v>208</v>
      </c>
      <c r="E83" s="15">
        <f>IF(ISNUMBER(Klisz_Verbräuche[[#This Row],[2015]]), Klisz_Verbräuche[[#This Row],[2015]]*Emissionsfaktoren[[#This Row],[2015]]/1000, 0)</f>
        <v>0</v>
      </c>
      <c r="F83" s="15">
        <f>IF(ISNUMBER(Klisz_Verbräuche[[#This Row],[2016]]), Klisz_Verbräuche[[#This Row],[2016]]*Emissionsfaktoren[[#This Row],[2016]]/1000, 0)</f>
        <v>0</v>
      </c>
      <c r="G83" s="15">
        <f>IF(ISNUMBER(Klisz_Verbräuche[[#This Row],[2017]]), Klisz_Verbräuche[[#This Row],[2017]]*Emissionsfaktoren[[#This Row],[2017]]/1000, 0)</f>
        <v>0</v>
      </c>
      <c r="H83" s="15">
        <f>IF(ISNUMBER(Klisz_Verbräuche[[#This Row],[2018]]), Klisz_Verbräuche[[#This Row],[2018]]*Emissionsfaktoren[[#This Row],[2018]]/1000, 0)</f>
        <v>0</v>
      </c>
      <c r="I83" s="15">
        <f>IF(ISNUMBER(Klisz_Verbräuche[[#This Row],[2019]]), Klisz_Verbräuche[[#This Row],[2019]]*Emissionsfaktoren[[#This Row],[2019]]/1000, 0)</f>
        <v>0</v>
      </c>
      <c r="J83" s="15">
        <f>IF(ISNUMBER(Klisz_Verbräuche[[#This Row],[2020]]), Klisz_Verbräuche[[#This Row],[2020]]*Emissionsfaktoren[[#This Row],[2020]]/1000, 0)</f>
        <v>0</v>
      </c>
      <c r="K83" s="15">
        <f>IF(ISNUMBER(Klisz_Verbräuche[[#This Row],[2021]]), Klisz_Verbräuche[[#This Row],[2021]]*Emissionsfaktoren[[#This Row],[2021]]/1000, 0)</f>
        <v>0</v>
      </c>
      <c r="L83" s="15">
        <f>IF(ISNUMBER(Klisz_Verbräuche[[#This Row],[2022]]), Klisz_Verbräuche[[#This Row],[2022]]*Emissionsfaktoren[[#This Row],[2022]]/1000, 0)</f>
        <v>0</v>
      </c>
      <c r="M83" s="15">
        <f>IF(ISNUMBER(Klisz_Verbräuche[[#This Row],[2023]]), Klisz_Verbräuche[[#This Row],[2023]]*Emissionsfaktoren[[#This Row],[2023]]/1000, 0)</f>
        <v>0</v>
      </c>
      <c r="N83" s="15">
        <f>IF(ISNUMBER(Klisz_Verbräuche[[#This Row],[2024]]), Klisz_Verbräuche[[#This Row],[2024]]*Emissionsfaktoren[[#This Row],[2024]]/1000, 0)</f>
        <v>0</v>
      </c>
      <c r="O83" s="15">
        <f>IF(ISNUMBER(Klisz_Verbräuche[[#This Row],[2025]]), Klisz_Verbräuche[[#This Row],[2025]]*Emissionsfaktoren[[#This Row],[2025]]/1000, 0)</f>
        <v>0</v>
      </c>
      <c r="P83" s="15">
        <f>IF(ISNUMBER(Klisz_Verbräuche[[#This Row],[2026]]), Klisz_Verbräuche[[#This Row],[2026]]*Emissionsfaktoren[[#This Row],[2026]]/1000, 0)</f>
        <v>0</v>
      </c>
      <c r="Q83" s="15">
        <f>IF(ISNUMBER(Klisz_Verbräuche[[#This Row],[2027]]), Klisz_Verbräuche[[#This Row],[2027]]*Emissionsfaktoren[[#This Row],[2027]]/1000, 0)</f>
        <v>0</v>
      </c>
      <c r="R83" s="15">
        <f>IF(ISNUMBER(Klisz_Verbräuche[[#This Row],[2028]]), Klisz_Verbräuche[[#This Row],[2028]]*Emissionsfaktoren[[#This Row],[2028]]/1000, 0)</f>
        <v>0</v>
      </c>
      <c r="S83" s="15">
        <f>IF(ISNUMBER(Klisz_Verbräuche[[#This Row],[2029]]), Klisz_Verbräuche[[#This Row],[2029]]*Emissionsfaktoren[[#This Row],[2029]]/1000, 0)</f>
        <v>0</v>
      </c>
      <c r="T83" s="15">
        <f>IF(ISNUMBER(Klisz_Verbräuche[[#This Row],[2030]]), Klisz_Verbräuche[[#This Row],[2030]]*Emissionsfaktoren[[#This Row],[2030]]/1000, 0)</f>
        <v>0</v>
      </c>
      <c r="U83" s="15">
        <f>IF(ISNUMBER(Klisz_Verbräuche[[#This Row],[2035]]), Klisz_Verbräuche[[#This Row],[2035]]*Emissionsfaktoren[[#This Row],[2035]]/1000, 0)</f>
        <v>0</v>
      </c>
      <c r="V83" s="15">
        <f>IF(ISNUMBER(Klisz_Verbräuche[[#This Row],[2040]]), Klisz_Verbräuche[[#This Row],[2040]]*Emissionsfaktoren[[#This Row],[2040]]/1000, 0)</f>
        <v>0</v>
      </c>
      <c r="W83" s="15">
        <f>IF(ISNUMBER(Klisz_Verbräuche[[#This Row],[2045]]), Klisz_Verbräuche[[#This Row],[2045]]*Emissionsfaktoren[[#This Row],[2045]]/1000, 0)</f>
        <v>0</v>
      </c>
      <c r="X83" s="15">
        <f>IF(ISNUMBER(Klisz_Verbräuche[[#This Row],[2050]]), Klisz_Verbräuche[[#This Row],[2050]]*Emissionsfaktoren[[#This Row],[2050]]/1000, 0)</f>
        <v>0</v>
      </c>
    </row>
    <row r="84" spans="2:24" ht="16.5" hidden="1" x14ac:dyDescent="0.45">
      <c r="B84" s="15">
        <v>24</v>
      </c>
      <c r="C84" s="20" t="str">
        <f>Refsz_Verbräuche[[#This Row],[Datenpunkt]]</f>
        <v>Wärme (Sole-Wasser-Wärmepumpe; Ökostrom)</v>
      </c>
      <c r="D84" t="s">
        <v>208</v>
      </c>
      <c r="E84" s="15">
        <f>IF(ISNUMBER(Klisz_Verbräuche[[#This Row],[2015]]), Klisz_Verbräuche[[#This Row],[2015]]*Emissionsfaktoren[[#This Row],[2015]]/1000, 0)</f>
        <v>0</v>
      </c>
      <c r="F84" s="15">
        <f>IF(ISNUMBER(Klisz_Verbräuche[[#This Row],[2016]]), Klisz_Verbräuche[[#This Row],[2016]]*Emissionsfaktoren[[#This Row],[2016]]/1000, 0)</f>
        <v>0</v>
      </c>
      <c r="G84" s="15">
        <f>IF(ISNUMBER(Klisz_Verbräuche[[#This Row],[2017]]), Klisz_Verbräuche[[#This Row],[2017]]*Emissionsfaktoren[[#This Row],[2017]]/1000, 0)</f>
        <v>0</v>
      </c>
      <c r="H84" s="15">
        <f>IF(ISNUMBER(Klisz_Verbräuche[[#This Row],[2018]]), Klisz_Verbräuche[[#This Row],[2018]]*Emissionsfaktoren[[#This Row],[2018]]/1000, 0)</f>
        <v>0</v>
      </c>
      <c r="I84" s="15">
        <f>IF(ISNUMBER(Klisz_Verbräuche[[#This Row],[2019]]), Klisz_Verbräuche[[#This Row],[2019]]*Emissionsfaktoren[[#This Row],[2019]]/1000, 0)</f>
        <v>0</v>
      </c>
      <c r="J84" s="15">
        <f>IF(ISNUMBER(Klisz_Verbräuche[[#This Row],[2020]]), Klisz_Verbräuche[[#This Row],[2020]]*Emissionsfaktoren[[#This Row],[2020]]/1000, 0)</f>
        <v>0</v>
      </c>
      <c r="K84" s="15">
        <f>IF(ISNUMBER(Klisz_Verbräuche[[#This Row],[2021]]), Klisz_Verbräuche[[#This Row],[2021]]*Emissionsfaktoren[[#This Row],[2021]]/1000, 0)</f>
        <v>0</v>
      </c>
      <c r="L84" s="15">
        <f>IF(ISNUMBER(Klisz_Verbräuche[[#This Row],[2022]]), Klisz_Verbräuche[[#This Row],[2022]]*Emissionsfaktoren[[#This Row],[2022]]/1000, 0)</f>
        <v>0</v>
      </c>
      <c r="M84" s="15">
        <f>IF(ISNUMBER(Klisz_Verbräuche[[#This Row],[2023]]), Klisz_Verbräuche[[#This Row],[2023]]*Emissionsfaktoren[[#This Row],[2023]]/1000, 0)</f>
        <v>0</v>
      </c>
      <c r="N84" s="15">
        <f>IF(ISNUMBER(Klisz_Verbräuche[[#This Row],[2024]]), Klisz_Verbräuche[[#This Row],[2024]]*Emissionsfaktoren[[#This Row],[2024]]/1000, 0)</f>
        <v>0</v>
      </c>
      <c r="O84" s="15">
        <f>IF(ISNUMBER(Klisz_Verbräuche[[#This Row],[2025]]), Klisz_Verbräuche[[#This Row],[2025]]*Emissionsfaktoren[[#This Row],[2025]]/1000, 0)</f>
        <v>0</v>
      </c>
      <c r="P84" s="15">
        <f>IF(ISNUMBER(Klisz_Verbräuche[[#This Row],[2026]]), Klisz_Verbräuche[[#This Row],[2026]]*Emissionsfaktoren[[#This Row],[2026]]/1000, 0)</f>
        <v>0</v>
      </c>
      <c r="Q84" s="15">
        <f>IF(ISNUMBER(Klisz_Verbräuche[[#This Row],[2027]]), Klisz_Verbräuche[[#This Row],[2027]]*Emissionsfaktoren[[#This Row],[2027]]/1000, 0)</f>
        <v>0</v>
      </c>
      <c r="R84" s="15">
        <f>IF(ISNUMBER(Klisz_Verbräuche[[#This Row],[2028]]), Klisz_Verbräuche[[#This Row],[2028]]*Emissionsfaktoren[[#This Row],[2028]]/1000, 0)</f>
        <v>0</v>
      </c>
      <c r="S84" s="15">
        <f>IF(ISNUMBER(Klisz_Verbräuche[[#This Row],[2029]]), Klisz_Verbräuche[[#This Row],[2029]]*Emissionsfaktoren[[#This Row],[2029]]/1000, 0)</f>
        <v>0</v>
      </c>
      <c r="T84" s="15">
        <f>IF(ISNUMBER(Klisz_Verbräuche[[#This Row],[2030]]), Klisz_Verbräuche[[#This Row],[2030]]*Emissionsfaktoren[[#This Row],[2030]]/1000, 0)</f>
        <v>0</v>
      </c>
      <c r="U84" s="15">
        <f>IF(ISNUMBER(Klisz_Verbräuche[[#This Row],[2035]]), Klisz_Verbräuche[[#This Row],[2035]]*Emissionsfaktoren[[#This Row],[2035]]/1000, 0)</f>
        <v>0</v>
      </c>
      <c r="V84" s="15">
        <f>IF(ISNUMBER(Klisz_Verbräuche[[#This Row],[2040]]), Klisz_Verbräuche[[#This Row],[2040]]*Emissionsfaktoren[[#This Row],[2040]]/1000, 0)</f>
        <v>0</v>
      </c>
      <c r="W84" s="15">
        <f>IF(ISNUMBER(Klisz_Verbräuche[[#This Row],[2045]]), Klisz_Verbräuche[[#This Row],[2045]]*Emissionsfaktoren[[#This Row],[2045]]/1000, 0)</f>
        <v>0</v>
      </c>
      <c r="X84" s="15">
        <f>IF(ISNUMBER(Klisz_Verbräuche[[#This Row],[2050]]), Klisz_Verbräuche[[#This Row],[2050]]*Emissionsfaktoren[[#This Row],[2050]]/1000, 0)</f>
        <v>0</v>
      </c>
    </row>
    <row r="85" spans="2:24" ht="16.5" hidden="1" x14ac:dyDescent="0.45">
      <c r="B85" s="15">
        <v>25</v>
      </c>
      <c r="C85" s="20" t="str">
        <f>Refsz_Verbräuche[[#This Row],[Datenpunkt]]</f>
        <v>Wärme (individuelle Wärmepumpe)</v>
      </c>
      <c r="D85" t="s">
        <v>208</v>
      </c>
      <c r="E85" s="15">
        <f>IF(ISNUMBER(Klisz_Verbräuche[[#This Row],[2015]]), Klisz_Verbräuche[[#This Row],[2015]]*Emissionsfaktoren[[#This Row],[2015]]/1000, 0)</f>
        <v>0</v>
      </c>
      <c r="F85" s="15">
        <f>IF(ISNUMBER(Klisz_Verbräuche[[#This Row],[2016]]), Klisz_Verbräuche[[#This Row],[2016]]*Emissionsfaktoren[[#This Row],[2016]]/1000, 0)</f>
        <v>0</v>
      </c>
      <c r="G85" s="15">
        <f>IF(ISNUMBER(Klisz_Verbräuche[[#This Row],[2017]]), Klisz_Verbräuche[[#This Row],[2017]]*Emissionsfaktoren[[#This Row],[2017]]/1000, 0)</f>
        <v>0</v>
      </c>
      <c r="H85" s="15">
        <f>IF(ISNUMBER(Klisz_Verbräuche[[#This Row],[2018]]), Klisz_Verbräuche[[#This Row],[2018]]*Emissionsfaktoren[[#This Row],[2018]]/1000, 0)</f>
        <v>0</v>
      </c>
      <c r="I85" s="15">
        <f>IF(ISNUMBER(Klisz_Verbräuche[[#This Row],[2019]]), Klisz_Verbräuche[[#This Row],[2019]]*Emissionsfaktoren[[#This Row],[2019]]/1000, 0)</f>
        <v>0</v>
      </c>
      <c r="J85" s="15">
        <f>IF(ISNUMBER(Klisz_Verbräuche[[#This Row],[2020]]), Klisz_Verbräuche[[#This Row],[2020]]*Emissionsfaktoren[[#This Row],[2020]]/1000, 0)</f>
        <v>0</v>
      </c>
      <c r="K85" s="15">
        <f>IF(ISNUMBER(Klisz_Verbräuche[[#This Row],[2021]]), Klisz_Verbräuche[[#This Row],[2021]]*Emissionsfaktoren[[#This Row],[2021]]/1000, 0)</f>
        <v>0</v>
      </c>
      <c r="L85" s="15">
        <f>IF(ISNUMBER(Klisz_Verbräuche[[#This Row],[2022]]), Klisz_Verbräuche[[#This Row],[2022]]*Emissionsfaktoren[[#This Row],[2022]]/1000, 0)</f>
        <v>0</v>
      </c>
      <c r="M85" s="15">
        <f>IF(ISNUMBER(Klisz_Verbräuche[[#This Row],[2023]]), Klisz_Verbräuche[[#This Row],[2023]]*Emissionsfaktoren[[#This Row],[2023]]/1000, 0)</f>
        <v>0</v>
      </c>
      <c r="N85" s="15">
        <f>IF(ISNUMBER(Klisz_Verbräuche[[#This Row],[2024]]), Klisz_Verbräuche[[#This Row],[2024]]*Emissionsfaktoren[[#This Row],[2024]]/1000, 0)</f>
        <v>0</v>
      </c>
      <c r="O85" s="15">
        <f>IF(ISNUMBER(Klisz_Verbräuche[[#This Row],[2025]]), Klisz_Verbräuche[[#This Row],[2025]]*Emissionsfaktoren[[#This Row],[2025]]/1000, 0)</f>
        <v>0</v>
      </c>
      <c r="P85" s="15">
        <f>IF(ISNUMBER(Klisz_Verbräuche[[#This Row],[2026]]), Klisz_Verbräuche[[#This Row],[2026]]*Emissionsfaktoren[[#This Row],[2026]]/1000, 0)</f>
        <v>0</v>
      </c>
      <c r="Q85" s="15">
        <f>IF(ISNUMBER(Klisz_Verbräuche[[#This Row],[2027]]), Klisz_Verbräuche[[#This Row],[2027]]*Emissionsfaktoren[[#This Row],[2027]]/1000, 0)</f>
        <v>0</v>
      </c>
      <c r="R85" s="15">
        <f>IF(ISNUMBER(Klisz_Verbräuche[[#This Row],[2028]]), Klisz_Verbräuche[[#This Row],[2028]]*Emissionsfaktoren[[#This Row],[2028]]/1000, 0)</f>
        <v>0</v>
      </c>
      <c r="S85" s="15">
        <f>IF(ISNUMBER(Klisz_Verbräuche[[#This Row],[2029]]), Klisz_Verbräuche[[#This Row],[2029]]*Emissionsfaktoren[[#This Row],[2029]]/1000, 0)</f>
        <v>0</v>
      </c>
      <c r="T85" s="15">
        <f>IF(ISNUMBER(Klisz_Verbräuche[[#This Row],[2030]]), Klisz_Verbräuche[[#This Row],[2030]]*Emissionsfaktoren[[#This Row],[2030]]/1000, 0)</f>
        <v>0</v>
      </c>
      <c r="U85" s="15">
        <f>IF(ISNUMBER(Klisz_Verbräuche[[#This Row],[2035]]), Klisz_Verbräuche[[#This Row],[2035]]*Emissionsfaktoren[[#This Row],[2035]]/1000, 0)</f>
        <v>0</v>
      </c>
      <c r="V85" s="15">
        <f>IF(ISNUMBER(Klisz_Verbräuche[[#This Row],[2040]]), Klisz_Verbräuche[[#This Row],[2040]]*Emissionsfaktoren[[#This Row],[2040]]/1000, 0)</f>
        <v>0</v>
      </c>
      <c r="W85" s="15">
        <f>IF(ISNUMBER(Klisz_Verbräuche[[#This Row],[2045]]), Klisz_Verbräuche[[#This Row],[2045]]*Emissionsfaktoren[[#This Row],[2045]]/1000, 0)</f>
        <v>0</v>
      </c>
      <c r="X85" s="15">
        <f>IF(ISNUMBER(Klisz_Verbräuche[[#This Row],[2050]]), Klisz_Verbräuche[[#This Row],[2050]]*Emissionsfaktoren[[#This Row],[2050]]/1000, 0)</f>
        <v>0</v>
      </c>
    </row>
    <row r="86" spans="2:24" ht="16.5" hidden="1" x14ac:dyDescent="0.45">
      <c r="B86" s="15">
        <v>26</v>
      </c>
      <c r="C86" s="20" t="str">
        <f>Refsz_Verbräuche[[#This Row],[Datenpunkt]]</f>
        <v>Kältemittel (R22)</v>
      </c>
      <c r="D86" t="s">
        <v>208</v>
      </c>
      <c r="E86" s="15">
        <f>IF(ISNUMBER(Klisz_Verbräuche[[#This Row],[2015]]), Klisz_Verbräuche[[#This Row],[2015]]*Emissionsfaktoren[[#This Row],[2015]]/1000, 0)</f>
        <v>0</v>
      </c>
      <c r="F86" s="15">
        <f>IF(ISNUMBER(Klisz_Verbräuche[[#This Row],[2016]]), Klisz_Verbräuche[[#This Row],[2016]]*Emissionsfaktoren[[#This Row],[2016]]/1000, 0)</f>
        <v>0</v>
      </c>
      <c r="G86" s="15">
        <f>IF(ISNUMBER(Klisz_Verbräuche[[#This Row],[2017]]), Klisz_Verbräuche[[#This Row],[2017]]*Emissionsfaktoren[[#This Row],[2017]]/1000, 0)</f>
        <v>0</v>
      </c>
      <c r="H86" s="15">
        <f>IF(ISNUMBER(Klisz_Verbräuche[[#This Row],[2018]]), Klisz_Verbräuche[[#This Row],[2018]]*Emissionsfaktoren[[#This Row],[2018]]/1000, 0)</f>
        <v>0</v>
      </c>
      <c r="I86" s="15">
        <f>IF(ISNUMBER(Klisz_Verbräuche[[#This Row],[2019]]), Klisz_Verbräuche[[#This Row],[2019]]*Emissionsfaktoren[[#This Row],[2019]]/1000, 0)</f>
        <v>0</v>
      </c>
      <c r="J86" s="15">
        <f>IF(ISNUMBER(Klisz_Verbräuche[[#This Row],[2020]]), Klisz_Verbräuche[[#This Row],[2020]]*Emissionsfaktoren[[#This Row],[2020]]/1000, 0)</f>
        <v>0</v>
      </c>
      <c r="K86" s="15">
        <f>IF(ISNUMBER(Klisz_Verbräuche[[#This Row],[2021]]), Klisz_Verbräuche[[#This Row],[2021]]*Emissionsfaktoren[[#This Row],[2021]]/1000, 0)</f>
        <v>0</v>
      </c>
      <c r="L86" s="15">
        <f>IF(ISNUMBER(Klisz_Verbräuche[[#This Row],[2022]]), Klisz_Verbräuche[[#This Row],[2022]]*Emissionsfaktoren[[#This Row],[2022]]/1000, 0)</f>
        <v>0</v>
      </c>
      <c r="M86" s="15">
        <f>IF(ISNUMBER(Klisz_Verbräuche[[#This Row],[2023]]), Klisz_Verbräuche[[#This Row],[2023]]*Emissionsfaktoren[[#This Row],[2023]]/1000, 0)</f>
        <v>0</v>
      </c>
      <c r="N86" s="15">
        <f>IF(ISNUMBER(Klisz_Verbräuche[[#This Row],[2024]]), Klisz_Verbräuche[[#This Row],[2024]]*Emissionsfaktoren[[#This Row],[2024]]/1000, 0)</f>
        <v>0</v>
      </c>
      <c r="O86" s="15">
        <f>IF(ISNUMBER(Klisz_Verbräuche[[#This Row],[2025]]), Klisz_Verbräuche[[#This Row],[2025]]*Emissionsfaktoren[[#This Row],[2025]]/1000, 0)</f>
        <v>0</v>
      </c>
      <c r="P86" s="15">
        <f>IF(ISNUMBER(Klisz_Verbräuche[[#This Row],[2026]]), Klisz_Verbräuche[[#This Row],[2026]]*Emissionsfaktoren[[#This Row],[2026]]/1000, 0)</f>
        <v>0</v>
      </c>
      <c r="Q86" s="15">
        <f>IF(ISNUMBER(Klisz_Verbräuche[[#This Row],[2027]]), Klisz_Verbräuche[[#This Row],[2027]]*Emissionsfaktoren[[#This Row],[2027]]/1000, 0)</f>
        <v>0</v>
      </c>
      <c r="R86" s="15">
        <f>IF(ISNUMBER(Klisz_Verbräuche[[#This Row],[2028]]), Klisz_Verbräuche[[#This Row],[2028]]*Emissionsfaktoren[[#This Row],[2028]]/1000, 0)</f>
        <v>0</v>
      </c>
      <c r="S86" s="15">
        <f>IF(ISNUMBER(Klisz_Verbräuche[[#This Row],[2029]]), Klisz_Verbräuche[[#This Row],[2029]]*Emissionsfaktoren[[#This Row],[2029]]/1000, 0)</f>
        <v>0</v>
      </c>
      <c r="T86" s="15">
        <f>IF(ISNUMBER(Klisz_Verbräuche[[#This Row],[2030]]), Klisz_Verbräuche[[#This Row],[2030]]*Emissionsfaktoren[[#This Row],[2030]]/1000, 0)</f>
        <v>0</v>
      </c>
      <c r="U86" s="15">
        <f>IF(ISNUMBER(Klisz_Verbräuche[[#This Row],[2035]]), Klisz_Verbräuche[[#This Row],[2035]]*Emissionsfaktoren[[#This Row],[2035]]/1000, 0)</f>
        <v>0</v>
      </c>
      <c r="V86" s="15">
        <f>IF(ISNUMBER(Klisz_Verbräuche[[#This Row],[2040]]), Klisz_Verbräuche[[#This Row],[2040]]*Emissionsfaktoren[[#This Row],[2040]]/1000, 0)</f>
        <v>0</v>
      </c>
      <c r="W86" s="15">
        <f>IF(ISNUMBER(Klisz_Verbräuche[[#This Row],[2045]]), Klisz_Verbräuche[[#This Row],[2045]]*Emissionsfaktoren[[#This Row],[2045]]/1000, 0)</f>
        <v>0</v>
      </c>
      <c r="X86" s="15">
        <f>IF(ISNUMBER(Klisz_Verbräuche[[#This Row],[2050]]), Klisz_Verbräuche[[#This Row],[2050]]*Emissionsfaktoren[[#This Row],[2050]]/1000, 0)</f>
        <v>0</v>
      </c>
    </row>
    <row r="87" spans="2:24" ht="16.5" hidden="1" x14ac:dyDescent="0.45">
      <c r="B87" s="15">
        <v>27</v>
      </c>
      <c r="C87" s="20" t="str">
        <f>Refsz_Verbräuche[[#This Row],[Datenpunkt]]</f>
        <v>Kältemittel (R134A)</v>
      </c>
      <c r="D87" t="s">
        <v>208</v>
      </c>
      <c r="E87" s="15">
        <f>IF(ISNUMBER(Klisz_Verbräuche[[#This Row],[2015]]), Klisz_Verbräuche[[#This Row],[2015]]*Emissionsfaktoren[[#This Row],[2015]]/1000, 0)</f>
        <v>0</v>
      </c>
      <c r="F87" s="15">
        <f>IF(ISNUMBER(Klisz_Verbräuche[[#This Row],[2016]]), Klisz_Verbräuche[[#This Row],[2016]]*Emissionsfaktoren[[#This Row],[2016]]/1000, 0)</f>
        <v>0</v>
      </c>
      <c r="G87" s="15">
        <f>IF(ISNUMBER(Klisz_Verbräuche[[#This Row],[2017]]), Klisz_Verbräuche[[#This Row],[2017]]*Emissionsfaktoren[[#This Row],[2017]]/1000, 0)</f>
        <v>0</v>
      </c>
      <c r="H87" s="15">
        <f>IF(ISNUMBER(Klisz_Verbräuche[[#This Row],[2018]]), Klisz_Verbräuche[[#This Row],[2018]]*Emissionsfaktoren[[#This Row],[2018]]/1000, 0)</f>
        <v>0</v>
      </c>
      <c r="I87" s="15">
        <f>IF(ISNUMBER(Klisz_Verbräuche[[#This Row],[2019]]), Klisz_Verbräuche[[#This Row],[2019]]*Emissionsfaktoren[[#This Row],[2019]]/1000, 0)</f>
        <v>0</v>
      </c>
      <c r="J87" s="15">
        <f>IF(ISNUMBER(Klisz_Verbräuche[[#This Row],[2020]]), Klisz_Verbräuche[[#This Row],[2020]]*Emissionsfaktoren[[#This Row],[2020]]/1000, 0)</f>
        <v>0</v>
      </c>
      <c r="K87" s="15">
        <f>IF(ISNUMBER(Klisz_Verbräuche[[#This Row],[2021]]), Klisz_Verbräuche[[#This Row],[2021]]*Emissionsfaktoren[[#This Row],[2021]]/1000, 0)</f>
        <v>0</v>
      </c>
      <c r="L87" s="15">
        <f>IF(ISNUMBER(Klisz_Verbräuche[[#This Row],[2022]]), Klisz_Verbräuche[[#This Row],[2022]]*Emissionsfaktoren[[#This Row],[2022]]/1000, 0)</f>
        <v>0</v>
      </c>
      <c r="M87" s="15">
        <f>IF(ISNUMBER(Klisz_Verbräuche[[#This Row],[2023]]), Klisz_Verbräuche[[#This Row],[2023]]*Emissionsfaktoren[[#This Row],[2023]]/1000, 0)</f>
        <v>0</v>
      </c>
      <c r="N87" s="15">
        <f>IF(ISNUMBER(Klisz_Verbräuche[[#This Row],[2024]]), Klisz_Verbräuche[[#This Row],[2024]]*Emissionsfaktoren[[#This Row],[2024]]/1000, 0)</f>
        <v>0</v>
      </c>
      <c r="O87" s="15">
        <f>IF(ISNUMBER(Klisz_Verbräuche[[#This Row],[2025]]), Klisz_Verbräuche[[#This Row],[2025]]*Emissionsfaktoren[[#This Row],[2025]]/1000, 0)</f>
        <v>0</v>
      </c>
      <c r="P87" s="15">
        <f>IF(ISNUMBER(Klisz_Verbräuche[[#This Row],[2026]]), Klisz_Verbräuche[[#This Row],[2026]]*Emissionsfaktoren[[#This Row],[2026]]/1000, 0)</f>
        <v>0</v>
      </c>
      <c r="Q87" s="15">
        <f>IF(ISNUMBER(Klisz_Verbräuche[[#This Row],[2027]]), Klisz_Verbräuche[[#This Row],[2027]]*Emissionsfaktoren[[#This Row],[2027]]/1000, 0)</f>
        <v>0</v>
      </c>
      <c r="R87" s="15">
        <f>IF(ISNUMBER(Klisz_Verbräuche[[#This Row],[2028]]), Klisz_Verbräuche[[#This Row],[2028]]*Emissionsfaktoren[[#This Row],[2028]]/1000, 0)</f>
        <v>0</v>
      </c>
      <c r="S87" s="15">
        <f>IF(ISNUMBER(Klisz_Verbräuche[[#This Row],[2029]]), Klisz_Verbräuche[[#This Row],[2029]]*Emissionsfaktoren[[#This Row],[2029]]/1000, 0)</f>
        <v>0</v>
      </c>
      <c r="T87" s="15">
        <f>IF(ISNUMBER(Klisz_Verbräuche[[#This Row],[2030]]), Klisz_Verbräuche[[#This Row],[2030]]*Emissionsfaktoren[[#This Row],[2030]]/1000, 0)</f>
        <v>0</v>
      </c>
      <c r="U87" s="15">
        <f>IF(ISNUMBER(Klisz_Verbräuche[[#This Row],[2035]]), Klisz_Verbräuche[[#This Row],[2035]]*Emissionsfaktoren[[#This Row],[2035]]/1000, 0)</f>
        <v>0</v>
      </c>
      <c r="V87" s="15">
        <f>IF(ISNUMBER(Klisz_Verbräuche[[#This Row],[2040]]), Klisz_Verbräuche[[#This Row],[2040]]*Emissionsfaktoren[[#This Row],[2040]]/1000, 0)</f>
        <v>0</v>
      </c>
      <c r="W87" s="15">
        <f>IF(ISNUMBER(Klisz_Verbräuche[[#This Row],[2045]]), Klisz_Verbräuche[[#This Row],[2045]]*Emissionsfaktoren[[#This Row],[2045]]/1000, 0)</f>
        <v>0</v>
      </c>
      <c r="X87" s="15">
        <f>IF(ISNUMBER(Klisz_Verbräuche[[#This Row],[2050]]), Klisz_Verbräuche[[#This Row],[2050]]*Emissionsfaktoren[[#This Row],[2050]]/1000, 0)</f>
        <v>0</v>
      </c>
    </row>
    <row r="88" spans="2:24" ht="16.5" hidden="1" x14ac:dyDescent="0.45">
      <c r="B88" s="15">
        <v>28</v>
      </c>
      <c r="C88" s="20" t="str">
        <f>Refsz_Verbräuche[[#This Row],[Datenpunkt]]</f>
        <v>Kältemittel (R404A)</v>
      </c>
      <c r="D88" t="s">
        <v>208</v>
      </c>
      <c r="E88" s="15">
        <f>IF(ISNUMBER(Klisz_Verbräuche[[#This Row],[2015]]), Klisz_Verbräuche[[#This Row],[2015]]*Emissionsfaktoren[[#This Row],[2015]]/1000, 0)</f>
        <v>0</v>
      </c>
      <c r="F88" s="15">
        <f>IF(ISNUMBER(Klisz_Verbräuche[[#This Row],[2016]]), Klisz_Verbräuche[[#This Row],[2016]]*Emissionsfaktoren[[#This Row],[2016]]/1000, 0)</f>
        <v>0</v>
      </c>
      <c r="G88" s="15">
        <f>IF(ISNUMBER(Klisz_Verbräuche[[#This Row],[2017]]), Klisz_Verbräuche[[#This Row],[2017]]*Emissionsfaktoren[[#This Row],[2017]]/1000, 0)</f>
        <v>0</v>
      </c>
      <c r="H88" s="15">
        <f>IF(ISNUMBER(Klisz_Verbräuche[[#This Row],[2018]]), Klisz_Verbräuche[[#This Row],[2018]]*Emissionsfaktoren[[#This Row],[2018]]/1000, 0)</f>
        <v>0</v>
      </c>
      <c r="I88" s="15">
        <f>IF(ISNUMBER(Klisz_Verbräuche[[#This Row],[2019]]), Klisz_Verbräuche[[#This Row],[2019]]*Emissionsfaktoren[[#This Row],[2019]]/1000, 0)</f>
        <v>0</v>
      </c>
      <c r="J88" s="15">
        <f>IF(ISNUMBER(Klisz_Verbräuche[[#This Row],[2020]]), Klisz_Verbräuche[[#This Row],[2020]]*Emissionsfaktoren[[#This Row],[2020]]/1000, 0)</f>
        <v>0</v>
      </c>
      <c r="K88" s="15">
        <f>IF(ISNUMBER(Klisz_Verbräuche[[#This Row],[2021]]), Klisz_Verbräuche[[#This Row],[2021]]*Emissionsfaktoren[[#This Row],[2021]]/1000, 0)</f>
        <v>0</v>
      </c>
      <c r="L88" s="15">
        <f>IF(ISNUMBER(Klisz_Verbräuche[[#This Row],[2022]]), Klisz_Verbräuche[[#This Row],[2022]]*Emissionsfaktoren[[#This Row],[2022]]/1000, 0)</f>
        <v>0</v>
      </c>
      <c r="M88" s="15">
        <f>IF(ISNUMBER(Klisz_Verbräuche[[#This Row],[2023]]), Klisz_Verbräuche[[#This Row],[2023]]*Emissionsfaktoren[[#This Row],[2023]]/1000, 0)</f>
        <v>0</v>
      </c>
      <c r="N88" s="15">
        <f>IF(ISNUMBER(Klisz_Verbräuche[[#This Row],[2024]]), Klisz_Verbräuche[[#This Row],[2024]]*Emissionsfaktoren[[#This Row],[2024]]/1000, 0)</f>
        <v>0</v>
      </c>
      <c r="O88" s="15">
        <f>IF(ISNUMBER(Klisz_Verbräuche[[#This Row],[2025]]), Klisz_Verbräuche[[#This Row],[2025]]*Emissionsfaktoren[[#This Row],[2025]]/1000, 0)</f>
        <v>0</v>
      </c>
      <c r="P88" s="15">
        <f>IF(ISNUMBER(Klisz_Verbräuche[[#This Row],[2026]]), Klisz_Verbräuche[[#This Row],[2026]]*Emissionsfaktoren[[#This Row],[2026]]/1000, 0)</f>
        <v>0</v>
      </c>
      <c r="Q88" s="15">
        <f>IF(ISNUMBER(Klisz_Verbräuche[[#This Row],[2027]]), Klisz_Verbräuche[[#This Row],[2027]]*Emissionsfaktoren[[#This Row],[2027]]/1000, 0)</f>
        <v>0</v>
      </c>
      <c r="R88" s="15">
        <f>IF(ISNUMBER(Klisz_Verbräuche[[#This Row],[2028]]), Klisz_Verbräuche[[#This Row],[2028]]*Emissionsfaktoren[[#This Row],[2028]]/1000, 0)</f>
        <v>0</v>
      </c>
      <c r="S88" s="15">
        <f>IF(ISNUMBER(Klisz_Verbräuche[[#This Row],[2029]]), Klisz_Verbräuche[[#This Row],[2029]]*Emissionsfaktoren[[#This Row],[2029]]/1000, 0)</f>
        <v>0</v>
      </c>
      <c r="T88" s="15">
        <f>IF(ISNUMBER(Klisz_Verbräuche[[#This Row],[2030]]), Klisz_Verbräuche[[#This Row],[2030]]*Emissionsfaktoren[[#This Row],[2030]]/1000, 0)</f>
        <v>0</v>
      </c>
      <c r="U88" s="15">
        <f>IF(ISNUMBER(Klisz_Verbräuche[[#This Row],[2035]]), Klisz_Verbräuche[[#This Row],[2035]]*Emissionsfaktoren[[#This Row],[2035]]/1000, 0)</f>
        <v>0</v>
      </c>
      <c r="V88" s="15">
        <f>IF(ISNUMBER(Klisz_Verbräuche[[#This Row],[2040]]), Klisz_Verbräuche[[#This Row],[2040]]*Emissionsfaktoren[[#This Row],[2040]]/1000, 0)</f>
        <v>0</v>
      </c>
      <c r="W88" s="15">
        <f>IF(ISNUMBER(Klisz_Verbräuche[[#This Row],[2045]]), Klisz_Verbräuche[[#This Row],[2045]]*Emissionsfaktoren[[#This Row],[2045]]/1000, 0)</f>
        <v>0</v>
      </c>
      <c r="X88" s="15">
        <f>IF(ISNUMBER(Klisz_Verbräuche[[#This Row],[2050]]), Klisz_Verbräuche[[#This Row],[2050]]*Emissionsfaktoren[[#This Row],[2050]]/1000, 0)</f>
        <v>0</v>
      </c>
    </row>
    <row r="89" spans="2:24" ht="16.5" hidden="1" x14ac:dyDescent="0.45">
      <c r="B89" s="15">
        <v>29</v>
      </c>
      <c r="C89" s="20" t="str">
        <f>Refsz_Verbräuche[[#This Row],[Datenpunkt]]</f>
        <v>Kältemittel (R410A)</v>
      </c>
      <c r="D89" t="s">
        <v>208</v>
      </c>
      <c r="E89" s="15">
        <f>IF(ISNUMBER(Klisz_Verbräuche[[#This Row],[2015]]), Klisz_Verbräuche[[#This Row],[2015]]*Emissionsfaktoren[[#This Row],[2015]]/1000, 0)</f>
        <v>0</v>
      </c>
      <c r="F89" s="15">
        <f>IF(ISNUMBER(Klisz_Verbräuche[[#This Row],[2016]]), Klisz_Verbräuche[[#This Row],[2016]]*Emissionsfaktoren[[#This Row],[2016]]/1000, 0)</f>
        <v>0</v>
      </c>
      <c r="G89" s="15">
        <f>IF(ISNUMBER(Klisz_Verbräuche[[#This Row],[2017]]), Klisz_Verbräuche[[#This Row],[2017]]*Emissionsfaktoren[[#This Row],[2017]]/1000, 0)</f>
        <v>0</v>
      </c>
      <c r="H89" s="15">
        <f>IF(ISNUMBER(Klisz_Verbräuche[[#This Row],[2018]]), Klisz_Verbräuche[[#This Row],[2018]]*Emissionsfaktoren[[#This Row],[2018]]/1000, 0)</f>
        <v>0</v>
      </c>
      <c r="I89" s="15">
        <f>IF(ISNUMBER(Klisz_Verbräuche[[#This Row],[2019]]), Klisz_Verbräuche[[#This Row],[2019]]*Emissionsfaktoren[[#This Row],[2019]]/1000, 0)</f>
        <v>0</v>
      </c>
      <c r="J89" s="15">
        <f>IF(ISNUMBER(Klisz_Verbräuche[[#This Row],[2020]]), Klisz_Verbräuche[[#This Row],[2020]]*Emissionsfaktoren[[#This Row],[2020]]/1000, 0)</f>
        <v>0</v>
      </c>
      <c r="K89" s="15">
        <f>IF(ISNUMBER(Klisz_Verbräuche[[#This Row],[2021]]), Klisz_Verbräuche[[#This Row],[2021]]*Emissionsfaktoren[[#This Row],[2021]]/1000, 0)</f>
        <v>0</v>
      </c>
      <c r="L89" s="15">
        <f>IF(ISNUMBER(Klisz_Verbräuche[[#This Row],[2022]]), Klisz_Verbräuche[[#This Row],[2022]]*Emissionsfaktoren[[#This Row],[2022]]/1000, 0)</f>
        <v>0</v>
      </c>
      <c r="M89" s="15">
        <f>IF(ISNUMBER(Klisz_Verbräuche[[#This Row],[2023]]), Klisz_Verbräuche[[#This Row],[2023]]*Emissionsfaktoren[[#This Row],[2023]]/1000, 0)</f>
        <v>0</v>
      </c>
      <c r="N89" s="15">
        <f>IF(ISNUMBER(Klisz_Verbräuche[[#This Row],[2024]]), Klisz_Verbräuche[[#This Row],[2024]]*Emissionsfaktoren[[#This Row],[2024]]/1000, 0)</f>
        <v>0</v>
      </c>
      <c r="O89" s="15">
        <f>IF(ISNUMBER(Klisz_Verbräuche[[#This Row],[2025]]), Klisz_Verbräuche[[#This Row],[2025]]*Emissionsfaktoren[[#This Row],[2025]]/1000, 0)</f>
        <v>0</v>
      </c>
      <c r="P89" s="15">
        <f>IF(ISNUMBER(Klisz_Verbräuche[[#This Row],[2026]]), Klisz_Verbräuche[[#This Row],[2026]]*Emissionsfaktoren[[#This Row],[2026]]/1000, 0)</f>
        <v>0</v>
      </c>
      <c r="Q89" s="15">
        <f>IF(ISNUMBER(Klisz_Verbräuche[[#This Row],[2027]]), Klisz_Verbräuche[[#This Row],[2027]]*Emissionsfaktoren[[#This Row],[2027]]/1000, 0)</f>
        <v>0</v>
      </c>
      <c r="R89" s="15">
        <f>IF(ISNUMBER(Klisz_Verbräuche[[#This Row],[2028]]), Klisz_Verbräuche[[#This Row],[2028]]*Emissionsfaktoren[[#This Row],[2028]]/1000, 0)</f>
        <v>0</v>
      </c>
      <c r="S89" s="15">
        <f>IF(ISNUMBER(Klisz_Verbräuche[[#This Row],[2029]]), Klisz_Verbräuche[[#This Row],[2029]]*Emissionsfaktoren[[#This Row],[2029]]/1000, 0)</f>
        <v>0</v>
      </c>
      <c r="T89" s="15">
        <f>IF(ISNUMBER(Klisz_Verbräuche[[#This Row],[2030]]), Klisz_Verbräuche[[#This Row],[2030]]*Emissionsfaktoren[[#This Row],[2030]]/1000, 0)</f>
        <v>0</v>
      </c>
      <c r="U89" s="15">
        <f>IF(ISNUMBER(Klisz_Verbräuche[[#This Row],[2035]]), Klisz_Verbräuche[[#This Row],[2035]]*Emissionsfaktoren[[#This Row],[2035]]/1000, 0)</f>
        <v>0</v>
      </c>
      <c r="V89" s="15">
        <f>IF(ISNUMBER(Klisz_Verbräuche[[#This Row],[2040]]), Klisz_Verbräuche[[#This Row],[2040]]*Emissionsfaktoren[[#This Row],[2040]]/1000, 0)</f>
        <v>0</v>
      </c>
      <c r="W89" s="15">
        <f>IF(ISNUMBER(Klisz_Verbräuche[[#This Row],[2045]]), Klisz_Verbräuche[[#This Row],[2045]]*Emissionsfaktoren[[#This Row],[2045]]/1000, 0)</f>
        <v>0</v>
      </c>
      <c r="X89" s="15">
        <f>IF(ISNUMBER(Klisz_Verbräuche[[#This Row],[2050]]), Klisz_Verbräuche[[#This Row],[2050]]*Emissionsfaktoren[[#This Row],[2050]]/1000, 0)</f>
        <v>0</v>
      </c>
    </row>
    <row r="90" spans="2:24" ht="16.5" hidden="1" x14ac:dyDescent="0.45">
      <c r="B90" s="15">
        <v>30</v>
      </c>
      <c r="C90" s="20">
        <f>Refsz_Verbräuche[[#This Row],[Datenpunkt]]</f>
        <v>0</v>
      </c>
      <c r="D90" t="s">
        <v>208</v>
      </c>
      <c r="E90" s="15">
        <f>IF(ISNUMBER(Klisz_Verbräuche[[#This Row],[2015]]), Klisz_Verbräuche[[#This Row],[2015]]*Emissionsfaktoren[[#This Row],[2015]]/1000, 0)</f>
        <v>0</v>
      </c>
      <c r="F90" s="15">
        <f>IF(ISNUMBER(Klisz_Verbräuche[[#This Row],[2016]]), Klisz_Verbräuche[[#This Row],[2016]]*Emissionsfaktoren[[#This Row],[2016]]/1000, 0)</f>
        <v>0</v>
      </c>
      <c r="G90" s="15">
        <f>IF(ISNUMBER(Klisz_Verbräuche[[#This Row],[2017]]), Klisz_Verbräuche[[#This Row],[2017]]*Emissionsfaktoren[[#This Row],[2017]]/1000, 0)</f>
        <v>0</v>
      </c>
      <c r="H90" s="15">
        <f>IF(ISNUMBER(Klisz_Verbräuche[[#This Row],[2018]]), Klisz_Verbräuche[[#This Row],[2018]]*Emissionsfaktoren[[#This Row],[2018]]/1000, 0)</f>
        <v>0</v>
      </c>
      <c r="I90" s="15">
        <f>IF(ISNUMBER(Klisz_Verbräuche[[#This Row],[2019]]), Klisz_Verbräuche[[#This Row],[2019]]*Emissionsfaktoren[[#This Row],[2019]]/1000, 0)</f>
        <v>0</v>
      </c>
      <c r="J90" s="15">
        <f>IF(ISNUMBER(Klisz_Verbräuche[[#This Row],[2020]]), Klisz_Verbräuche[[#This Row],[2020]]*Emissionsfaktoren[[#This Row],[2020]]/1000, 0)</f>
        <v>0</v>
      </c>
      <c r="K90" s="15">
        <f>IF(ISNUMBER(Klisz_Verbräuche[[#This Row],[2021]]), Klisz_Verbräuche[[#This Row],[2021]]*Emissionsfaktoren[[#This Row],[2021]]/1000, 0)</f>
        <v>0</v>
      </c>
      <c r="L90" s="15">
        <f>IF(ISNUMBER(Klisz_Verbräuche[[#This Row],[2022]]), Klisz_Verbräuche[[#This Row],[2022]]*Emissionsfaktoren[[#This Row],[2022]]/1000, 0)</f>
        <v>0</v>
      </c>
      <c r="M90" s="15">
        <f>IF(ISNUMBER(Klisz_Verbräuche[[#This Row],[2023]]), Klisz_Verbräuche[[#This Row],[2023]]*Emissionsfaktoren[[#This Row],[2023]]/1000, 0)</f>
        <v>0</v>
      </c>
      <c r="N90" s="15">
        <f>IF(ISNUMBER(Klisz_Verbräuche[[#This Row],[2024]]), Klisz_Verbräuche[[#This Row],[2024]]*Emissionsfaktoren[[#This Row],[2024]]/1000, 0)</f>
        <v>0</v>
      </c>
      <c r="O90" s="15">
        <f>IF(ISNUMBER(Klisz_Verbräuche[[#This Row],[2025]]), Klisz_Verbräuche[[#This Row],[2025]]*Emissionsfaktoren[[#This Row],[2025]]/1000, 0)</f>
        <v>0</v>
      </c>
      <c r="P90" s="15">
        <f>IF(ISNUMBER(Klisz_Verbräuche[[#This Row],[2026]]), Klisz_Verbräuche[[#This Row],[2026]]*Emissionsfaktoren[[#This Row],[2026]]/1000, 0)</f>
        <v>0</v>
      </c>
      <c r="Q90" s="15">
        <f>IF(ISNUMBER(Klisz_Verbräuche[[#This Row],[2027]]), Klisz_Verbräuche[[#This Row],[2027]]*Emissionsfaktoren[[#This Row],[2027]]/1000, 0)</f>
        <v>0</v>
      </c>
      <c r="R90" s="15">
        <f>IF(ISNUMBER(Klisz_Verbräuche[[#This Row],[2028]]), Klisz_Verbräuche[[#This Row],[2028]]*Emissionsfaktoren[[#This Row],[2028]]/1000, 0)</f>
        <v>0</v>
      </c>
      <c r="S90" s="15">
        <f>IF(ISNUMBER(Klisz_Verbräuche[[#This Row],[2029]]), Klisz_Verbräuche[[#This Row],[2029]]*Emissionsfaktoren[[#This Row],[2029]]/1000, 0)</f>
        <v>0</v>
      </c>
      <c r="T90" s="15">
        <f>IF(ISNUMBER(Klisz_Verbräuche[[#This Row],[2030]]), Klisz_Verbräuche[[#This Row],[2030]]*Emissionsfaktoren[[#This Row],[2030]]/1000, 0)</f>
        <v>0</v>
      </c>
      <c r="U90" s="15">
        <f>IF(ISNUMBER(Klisz_Verbräuche[[#This Row],[2035]]), Klisz_Verbräuche[[#This Row],[2035]]*Emissionsfaktoren[[#This Row],[2035]]/1000, 0)</f>
        <v>0</v>
      </c>
      <c r="V90" s="15">
        <f>IF(ISNUMBER(Klisz_Verbräuche[[#This Row],[2040]]), Klisz_Verbräuche[[#This Row],[2040]]*Emissionsfaktoren[[#This Row],[2040]]/1000, 0)</f>
        <v>0</v>
      </c>
      <c r="W90" s="15">
        <f>IF(ISNUMBER(Klisz_Verbräuche[[#This Row],[2045]]), Klisz_Verbräuche[[#This Row],[2045]]*Emissionsfaktoren[[#This Row],[2045]]/1000, 0)</f>
        <v>0</v>
      </c>
      <c r="X90" s="15">
        <f>IF(ISNUMBER(Klisz_Verbräuche[[#This Row],[2050]]), Klisz_Verbräuche[[#This Row],[2050]]*Emissionsfaktoren[[#This Row],[2050]]/1000, 0)</f>
        <v>0</v>
      </c>
    </row>
    <row r="91" spans="2:24" ht="16.5" hidden="1" x14ac:dyDescent="0.45">
      <c r="B91" s="15">
        <v>31</v>
      </c>
      <c r="C91" s="20" t="str">
        <f>Refsz_Verbräuche[[#This Row],[Datenpunkt]]</f>
        <v>Fuhrpark (Diesel)</v>
      </c>
      <c r="D91" t="s">
        <v>208</v>
      </c>
      <c r="E91" s="15">
        <f>IF(ISNUMBER(Klisz_Verbräuche[[#This Row],[2015]]), Klisz_Verbräuche[[#This Row],[2015]]*Emissionsfaktoren[[#This Row],[2015]]/1000, 0)</f>
        <v>0</v>
      </c>
      <c r="F91" s="15">
        <f>IF(ISNUMBER(Klisz_Verbräuche[[#This Row],[2016]]), Klisz_Verbräuche[[#This Row],[2016]]*Emissionsfaktoren[[#This Row],[2016]]/1000, 0)</f>
        <v>0</v>
      </c>
      <c r="G91" s="15">
        <f>IF(ISNUMBER(Klisz_Verbräuche[[#This Row],[2017]]), Klisz_Verbräuche[[#This Row],[2017]]*Emissionsfaktoren[[#This Row],[2017]]/1000, 0)</f>
        <v>0</v>
      </c>
      <c r="H91" s="15">
        <f>IF(ISNUMBER(Klisz_Verbräuche[[#This Row],[2018]]), Klisz_Verbräuche[[#This Row],[2018]]*Emissionsfaktoren[[#This Row],[2018]]/1000, 0)</f>
        <v>0</v>
      </c>
      <c r="I91" s="15">
        <f>IF(ISNUMBER(Klisz_Verbräuche[[#This Row],[2019]]), Klisz_Verbräuche[[#This Row],[2019]]*Emissionsfaktoren[[#This Row],[2019]]/1000, 0)</f>
        <v>0</v>
      </c>
      <c r="J91" s="15">
        <f>IF(ISNUMBER(Klisz_Verbräuche[[#This Row],[2020]]), Klisz_Verbräuche[[#This Row],[2020]]*Emissionsfaktoren[[#This Row],[2020]]/1000, 0)</f>
        <v>0</v>
      </c>
      <c r="K91" s="15">
        <f>IF(ISNUMBER(Klisz_Verbräuche[[#This Row],[2021]]), Klisz_Verbräuche[[#This Row],[2021]]*Emissionsfaktoren[[#This Row],[2021]]/1000, 0)</f>
        <v>0</v>
      </c>
      <c r="L91" s="15">
        <f>IF(ISNUMBER(Klisz_Verbräuche[[#This Row],[2022]]), Klisz_Verbräuche[[#This Row],[2022]]*Emissionsfaktoren[[#This Row],[2022]]/1000, 0)</f>
        <v>0</v>
      </c>
      <c r="M91" s="15">
        <f>IF(ISNUMBER(Klisz_Verbräuche[[#This Row],[2023]]), Klisz_Verbräuche[[#This Row],[2023]]*Emissionsfaktoren[[#This Row],[2023]]/1000, 0)</f>
        <v>0</v>
      </c>
      <c r="N91" s="15">
        <f>IF(ISNUMBER(Klisz_Verbräuche[[#This Row],[2024]]), Klisz_Verbräuche[[#This Row],[2024]]*Emissionsfaktoren[[#This Row],[2024]]/1000, 0)</f>
        <v>0</v>
      </c>
      <c r="O91" s="15">
        <f>IF(ISNUMBER(Klisz_Verbräuche[[#This Row],[2025]]), Klisz_Verbräuche[[#This Row],[2025]]*Emissionsfaktoren[[#This Row],[2025]]/1000, 0)</f>
        <v>0</v>
      </c>
      <c r="P91" s="15">
        <f>IF(ISNUMBER(Klisz_Verbräuche[[#This Row],[2026]]), Klisz_Verbräuche[[#This Row],[2026]]*Emissionsfaktoren[[#This Row],[2026]]/1000, 0)</f>
        <v>0</v>
      </c>
      <c r="Q91" s="15">
        <f>IF(ISNUMBER(Klisz_Verbräuche[[#This Row],[2027]]), Klisz_Verbräuche[[#This Row],[2027]]*Emissionsfaktoren[[#This Row],[2027]]/1000, 0)</f>
        <v>0</v>
      </c>
      <c r="R91" s="15">
        <f>IF(ISNUMBER(Klisz_Verbräuche[[#This Row],[2028]]), Klisz_Verbräuche[[#This Row],[2028]]*Emissionsfaktoren[[#This Row],[2028]]/1000, 0)</f>
        <v>0</v>
      </c>
      <c r="S91" s="15">
        <f>IF(ISNUMBER(Klisz_Verbräuche[[#This Row],[2029]]), Klisz_Verbräuche[[#This Row],[2029]]*Emissionsfaktoren[[#This Row],[2029]]/1000, 0)</f>
        <v>0</v>
      </c>
      <c r="T91" s="15">
        <f>IF(ISNUMBER(Klisz_Verbräuche[[#This Row],[2030]]), Klisz_Verbräuche[[#This Row],[2030]]*Emissionsfaktoren[[#This Row],[2030]]/1000, 0)</f>
        <v>0</v>
      </c>
      <c r="U91" s="15">
        <f>IF(ISNUMBER(Klisz_Verbräuche[[#This Row],[2035]]), Klisz_Verbräuche[[#This Row],[2035]]*Emissionsfaktoren[[#This Row],[2035]]/1000, 0)</f>
        <v>0</v>
      </c>
      <c r="V91" s="15">
        <f>IF(ISNUMBER(Klisz_Verbräuche[[#This Row],[2040]]), Klisz_Verbräuche[[#This Row],[2040]]*Emissionsfaktoren[[#This Row],[2040]]/1000, 0)</f>
        <v>0</v>
      </c>
      <c r="W91" s="15">
        <f>IF(ISNUMBER(Klisz_Verbräuche[[#This Row],[2045]]), Klisz_Verbräuche[[#This Row],[2045]]*Emissionsfaktoren[[#This Row],[2045]]/1000, 0)</f>
        <v>0</v>
      </c>
      <c r="X91" s="15">
        <f>IF(ISNUMBER(Klisz_Verbräuche[[#This Row],[2050]]), Klisz_Verbräuche[[#This Row],[2050]]*Emissionsfaktoren[[#This Row],[2050]]/1000, 0)</f>
        <v>0</v>
      </c>
    </row>
    <row r="92" spans="2:24" ht="16.5" hidden="1" x14ac:dyDescent="0.45">
      <c r="B92" s="15">
        <v>32</v>
      </c>
      <c r="C92" s="20" t="str">
        <f>Refsz_Verbräuche[[#This Row],[Datenpunkt]]</f>
        <v>Fuhrpark (Benzin)</v>
      </c>
      <c r="D92" t="s">
        <v>208</v>
      </c>
      <c r="E92" s="15">
        <f>IF(ISNUMBER(Klisz_Verbräuche[[#This Row],[2015]]), Klisz_Verbräuche[[#This Row],[2015]]*Emissionsfaktoren[[#This Row],[2015]]/1000, 0)</f>
        <v>0</v>
      </c>
      <c r="F92" s="15">
        <f>IF(ISNUMBER(Klisz_Verbräuche[[#This Row],[2016]]), Klisz_Verbräuche[[#This Row],[2016]]*Emissionsfaktoren[[#This Row],[2016]]/1000, 0)</f>
        <v>0</v>
      </c>
      <c r="G92" s="15">
        <f>IF(ISNUMBER(Klisz_Verbräuche[[#This Row],[2017]]), Klisz_Verbräuche[[#This Row],[2017]]*Emissionsfaktoren[[#This Row],[2017]]/1000, 0)</f>
        <v>0</v>
      </c>
      <c r="H92" s="15">
        <f>IF(ISNUMBER(Klisz_Verbräuche[[#This Row],[2018]]), Klisz_Verbräuche[[#This Row],[2018]]*Emissionsfaktoren[[#This Row],[2018]]/1000, 0)</f>
        <v>0</v>
      </c>
      <c r="I92" s="15">
        <f>IF(ISNUMBER(Klisz_Verbräuche[[#This Row],[2019]]), Klisz_Verbräuche[[#This Row],[2019]]*Emissionsfaktoren[[#This Row],[2019]]/1000, 0)</f>
        <v>0</v>
      </c>
      <c r="J92" s="15">
        <f>IF(ISNUMBER(Klisz_Verbräuche[[#This Row],[2020]]), Klisz_Verbräuche[[#This Row],[2020]]*Emissionsfaktoren[[#This Row],[2020]]/1000, 0)</f>
        <v>0</v>
      </c>
      <c r="K92" s="15">
        <f>IF(ISNUMBER(Klisz_Verbräuche[[#This Row],[2021]]), Klisz_Verbräuche[[#This Row],[2021]]*Emissionsfaktoren[[#This Row],[2021]]/1000, 0)</f>
        <v>0</v>
      </c>
      <c r="L92" s="15">
        <f>IF(ISNUMBER(Klisz_Verbräuche[[#This Row],[2022]]), Klisz_Verbräuche[[#This Row],[2022]]*Emissionsfaktoren[[#This Row],[2022]]/1000, 0)</f>
        <v>0</v>
      </c>
      <c r="M92" s="15">
        <f>IF(ISNUMBER(Klisz_Verbräuche[[#This Row],[2023]]), Klisz_Verbräuche[[#This Row],[2023]]*Emissionsfaktoren[[#This Row],[2023]]/1000, 0)</f>
        <v>0</v>
      </c>
      <c r="N92" s="15">
        <f>IF(ISNUMBER(Klisz_Verbräuche[[#This Row],[2024]]), Klisz_Verbräuche[[#This Row],[2024]]*Emissionsfaktoren[[#This Row],[2024]]/1000, 0)</f>
        <v>0</v>
      </c>
      <c r="O92" s="15">
        <f>IF(ISNUMBER(Klisz_Verbräuche[[#This Row],[2025]]), Klisz_Verbräuche[[#This Row],[2025]]*Emissionsfaktoren[[#This Row],[2025]]/1000, 0)</f>
        <v>0</v>
      </c>
      <c r="P92" s="15">
        <f>IF(ISNUMBER(Klisz_Verbräuche[[#This Row],[2026]]), Klisz_Verbräuche[[#This Row],[2026]]*Emissionsfaktoren[[#This Row],[2026]]/1000, 0)</f>
        <v>0</v>
      </c>
      <c r="Q92" s="15">
        <f>IF(ISNUMBER(Klisz_Verbräuche[[#This Row],[2027]]), Klisz_Verbräuche[[#This Row],[2027]]*Emissionsfaktoren[[#This Row],[2027]]/1000, 0)</f>
        <v>0</v>
      </c>
      <c r="R92" s="15">
        <f>IF(ISNUMBER(Klisz_Verbräuche[[#This Row],[2028]]), Klisz_Verbräuche[[#This Row],[2028]]*Emissionsfaktoren[[#This Row],[2028]]/1000, 0)</f>
        <v>0</v>
      </c>
      <c r="S92" s="15">
        <f>IF(ISNUMBER(Klisz_Verbräuche[[#This Row],[2029]]), Klisz_Verbräuche[[#This Row],[2029]]*Emissionsfaktoren[[#This Row],[2029]]/1000, 0)</f>
        <v>0</v>
      </c>
      <c r="T92" s="15">
        <f>IF(ISNUMBER(Klisz_Verbräuche[[#This Row],[2030]]), Klisz_Verbräuche[[#This Row],[2030]]*Emissionsfaktoren[[#This Row],[2030]]/1000, 0)</f>
        <v>0</v>
      </c>
      <c r="U92" s="15">
        <f>IF(ISNUMBER(Klisz_Verbräuche[[#This Row],[2035]]), Klisz_Verbräuche[[#This Row],[2035]]*Emissionsfaktoren[[#This Row],[2035]]/1000, 0)</f>
        <v>0</v>
      </c>
      <c r="V92" s="15">
        <f>IF(ISNUMBER(Klisz_Verbräuche[[#This Row],[2040]]), Klisz_Verbräuche[[#This Row],[2040]]*Emissionsfaktoren[[#This Row],[2040]]/1000, 0)</f>
        <v>0</v>
      </c>
      <c r="W92" s="15">
        <f>IF(ISNUMBER(Klisz_Verbräuche[[#This Row],[2045]]), Klisz_Verbräuche[[#This Row],[2045]]*Emissionsfaktoren[[#This Row],[2045]]/1000, 0)</f>
        <v>0</v>
      </c>
      <c r="X92" s="15">
        <f>IF(ISNUMBER(Klisz_Verbräuche[[#This Row],[2050]]), Klisz_Verbräuche[[#This Row],[2050]]*Emissionsfaktoren[[#This Row],[2050]]/1000, 0)</f>
        <v>0</v>
      </c>
    </row>
    <row r="93" spans="2:24" ht="16.5" hidden="1" x14ac:dyDescent="0.45">
      <c r="B93" s="15">
        <v>33</v>
      </c>
      <c r="C93" s="20" t="str">
        <f>Refsz_Verbräuche[[#This Row],[Datenpunkt]]</f>
        <v>Fuhrpark (E-Auto/ BEV)</v>
      </c>
      <c r="D93" t="s">
        <v>208</v>
      </c>
      <c r="E93" s="15">
        <f>IF(ISNUMBER(Klisz_Verbräuche[[#This Row],[2015]]), Klisz_Verbräuche[[#This Row],[2015]]*Emissionsfaktoren[[#This Row],[2015]]/1000, 0)</f>
        <v>0</v>
      </c>
      <c r="F93" s="15">
        <f>IF(ISNUMBER(Klisz_Verbräuche[[#This Row],[2016]]), Klisz_Verbräuche[[#This Row],[2016]]*Emissionsfaktoren[[#This Row],[2016]]/1000, 0)</f>
        <v>0</v>
      </c>
      <c r="G93" s="15">
        <f>IF(ISNUMBER(Klisz_Verbräuche[[#This Row],[2017]]), Klisz_Verbräuche[[#This Row],[2017]]*Emissionsfaktoren[[#This Row],[2017]]/1000, 0)</f>
        <v>0</v>
      </c>
      <c r="H93" s="15">
        <f>IF(ISNUMBER(Klisz_Verbräuche[[#This Row],[2018]]), Klisz_Verbräuche[[#This Row],[2018]]*Emissionsfaktoren[[#This Row],[2018]]/1000, 0)</f>
        <v>0</v>
      </c>
      <c r="I93" s="15">
        <f>IF(ISNUMBER(Klisz_Verbräuche[[#This Row],[2019]]), Klisz_Verbräuche[[#This Row],[2019]]*Emissionsfaktoren[[#This Row],[2019]]/1000, 0)</f>
        <v>0</v>
      </c>
      <c r="J93" s="15">
        <f>IF(ISNUMBER(Klisz_Verbräuche[[#This Row],[2020]]), Klisz_Verbräuche[[#This Row],[2020]]*Emissionsfaktoren[[#This Row],[2020]]/1000, 0)</f>
        <v>0</v>
      </c>
      <c r="K93" s="15">
        <f>IF(ISNUMBER(Klisz_Verbräuche[[#This Row],[2021]]), Klisz_Verbräuche[[#This Row],[2021]]*Emissionsfaktoren[[#This Row],[2021]]/1000, 0)</f>
        <v>0</v>
      </c>
      <c r="L93" s="15">
        <f>IF(ISNUMBER(Klisz_Verbräuche[[#This Row],[2022]]), Klisz_Verbräuche[[#This Row],[2022]]*Emissionsfaktoren[[#This Row],[2022]]/1000, 0)</f>
        <v>0</v>
      </c>
      <c r="M93" s="15">
        <f>IF(ISNUMBER(Klisz_Verbräuche[[#This Row],[2023]]), Klisz_Verbräuche[[#This Row],[2023]]*Emissionsfaktoren[[#This Row],[2023]]/1000, 0)</f>
        <v>0</v>
      </c>
      <c r="N93" s="15">
        <f>IF(ISNUMBER(Klisz_Verbräuche[[#This Row],[2024]]), Klisz_Verbräuche[[#This Row],[2024]]*Emissionsfaktoren[[#This Row],[2024]]/1000, 0)</f>
        <v>0</v>
      </c>
      <c r="O93" s="15">
        <f>IF(ISNUMBER(Klisz_Verbräuche[[#This Row],[2025]]), Klisz_Verbräuche[[#This Row],[2025]]*Emissionsfaktoren[[#This Row],[2025]]/1000, 0)</f>
        <v>0</v>
      </c>
      <c r="P93" s="15">
        <f>IF(ISNUMBER(Klisz_Verbräuche[[#This Row],[2026]]), Klisz_Verbräuche[[#This Row],[2026]]*Emissionsfaktoren[[#This Row],[2026]]/1000, 0)</f>
        <v>0</v>
      </c>
      <c r="Q93" s="15">
        <f>IF(ISNUMBER(Klisz_Verbräuche[[#This Row],[2027]]), Klisz_Verbräuche[[#This Row],[2027]]*Emissionsfaktoren[[#This Row],[2027]]/1000, 0)</f>
        <v>0</v>
      </c>
      <c r="R93" s="15">
        <f>IF(ISNUMBER(Klisz_Verbräuche[[#This Row],[2028]]), Klisz_Verbräuche[[#This Row],[2028]]*Emissionsfaktoren[[#This Row],[2028]]/1000, 0)</f>
        <v>0</v>
      </c>
      <c r="S93" s="15">
        <f>IF(ISNUMBER(Klisz_Verbräuche[[#This Row],[2029]]), Klisz_Verbräuche[[#This Row],[2029]]*Emissionsfaktoren[[#This Row],[2029]]/1000, 0)</f>
        <v>0</v>
      </c>
      <c r="T93" s="15">
        <f>IF(ISNUMBER(Klisz_Verbräuche[[#This Row],[2030]]), Klisz_Verbräuche[[#This Row],[2030]]*Emissionsfaktoren[[#This Row],[2030]]/1000, 0)</f>
        <v>0</v>
      </c>
      <c r="U93" s="15">
        <f>IF(ISNUMBER(Klisz_Verbräuche[[#This Row],[2035]]), Klisz_Verbräuche[[#This Row],[2035]]*Emissionsfaktoren[[#This Row],[2035]]/1000, 0)</f>
        <v>0</v>
      </c>
      <c r="V93" s="15">
        <f>IF(ISNUMBER(Klisz_Verbräuche[[#This Row],[2040]]), Klisz_Verbräuche[[#This Row],[2040]]*Emissionsfaktoren[[#This Row],[2040]]/1000, 0)</f>
        <v>0</v>
      </c>
      <c r="W93" s="15">
        <f>IF(ISNUMBER(Klisz_Verbräuche[[#This Row],[2045]]), Klisz_Verbräuche[[#This Row],[2045]]*Emissionsfaktoren[[#This Row],[2045]]/1000, 0)</f>
        <v>0</v>
      </c>
      <c r="X93" s="15">
        <f>IF(ISNUMBER(Klisz_Verbräuche[[#This Row],[2050]]), Klisz_Verbräuche[[#This Row],[2050]]*Emissionsfaktoren[[#This Row],[2050]]/1000, 0)</f>
        <v>0</v>
      </c>
    </row>
    <row r="94" spans="2:24" ht="16.5" hidden="1" x14ac:dyDescent="0.45">
      <c r="B94" s="15">
        <v>34</v>
      </c>
      <c r="C94" s="20" t="str">
        <f>Refsz_Verbräuche[[#This Row],[Datenpunkt]]</f>
        <v>Fuhrpark (Wasserstoff/ FCEV)</v>
      </c>
      <c r="D94" t="s">
        <v>208</v>
      </c>
      <c r="E94" s="15">
        <f>IF(ISNUMBER(Klisz_Verbräuche[[#This Row],[2015]]), Klisz_Verbräuche[[#This Row],[2015]]*Emissionsfaktoren[[#This Row],[2015]]/1000, 0)</f>
        <v>0</v>
      </c>
      <c r="F94" s="15">
        <f>IF(ISNUMBER(Klisz_Verbräuche[[#This Row],[2016]]), Klisz_Verbräuche[[#This Row],[2016]]*Emissionsfaktoren[[#This Row],[2016]]/1000, 0)</f>
        <v>0</v>
      </c>
      <c r="G94" s="15">
        <f>IF(ISNUMBER(Klisz_Verbräuche[[#This Row],[2017]]), Klisz_Verbräuche[[#This Row],[2017]]*Emissionsfaktoren[[#This Row],[2017]]/1000, 0)</f>
        <v>0</v>
      </c>
      <c r="H94" s="15">
        <f>IF(ISNUMBER(Klisz_Verbräuche[[#This Row],[2018]]), Klisz_Verbräuche[[#This Row],[2018]]*Emissionsfaktoren[[#This Row],[2018]]/1000, 0)</f>
        <v>0</v>
      </c>
      <c r="I94" s="15">
        <f>IF(ISNUMBER(Klisz_Verbräuche[[#This Row],[2019]]), Klisz_Verbräuche[[#This Row],[2019]]*Emissionsfaktoren[[#This Row],[2019]]/1000, 0)</f>
        <v>0</v>
      </c>
      <c r="J94" s="15">
        <f>IF(ISNUMBER(Klisz_Verbräuche[[#This Row],[2020]]), Klisz_Verbräuche[[#This Row],[2020]]*Emissionsfaktoren[[#This Row],[2020]]/1000, 0)</f>
        <v>0</v>
      </c>
      <c r="K94" s="15">
        <f>IF(ISNUMBER(Klisz_Verbräuche[[#This Row],[2021]]), Klisz_Verbräuche[[#This Row],[2021]]*Emissionsfaktoren[[#This Row],[2021]]/1000, 0)</f>
        <v>0</v>
      </c>
      <c r="L94" s="15">
        <f>IF(ISNUMBER(Klisz_Verbräuche[[#This Row],[2022]]), Klisz_Verbräuche[[#This Row],[2022]]*Emissionsfaktoren[[#This Row],[2022]]/1000, 0)</f>
        <v>0</v>
      </c>
      <c r="M94" s="15">
        <f>IF(ISNUMBER(Klisz_Verbräuche[[#This Row],[2023]]), Klisz_Verbräuche[[#This Row],[2023]]*Emissionsfaktoren[[#This Row],[2023]]/1000, 0)</f>
        <v>0</v>
      </c>
      <c r="N94" s="15">
        <f>IF(ISNUMBER(Klisz_Verbräuche[[#This Row],[2024]]), Klisz_Verbräuche[[#This Row],[2024]]*Emissionsfaktoren[[#This Row],[2024]]/1000, 0)</f>
        <v>0</v>
      </c>
      <c r="O94" s="15">
        <f>IF(ISNUMBER(Klisz_Verbräuche[[#This Row],[2025]]), Klisz_Verbräuche[[#This Row],[2025]]*Emissionsfaktoren[[#This Row],[2025]]/1000, 0)</f>
        <v>0</v>
      </c>
      <c r="P94" s="15">
        <f>IF(ISNUMBER(Klisz_Verbräuche[[#This Row],[2026]]), Klisz_Verbräuche[[#This Row],[2026]]*Emissionsfaktoren[[#This Row],[2026]]/1000, 0)</f>
        <v>0</v>
      </c>
      <c r="Q94" s="15">
        <f>IF(ISNUMBER(Klisz_Verbräuche[[#This Row],[2027]]), Klisz_Verbräuche[[#This Row],[2027]]*Emissionsfaktoren[[#This Row],[2027]]/1000, 0)</f>
        <v>0</v>
      </c>
      <c r="R94" s="15">
        <f>IF(ISNUMBER(Klisz_Verbräuche[[#This Row],[2028]]), Klisz_Verbräuche[[#This Row],[2028]]*Emissionsfaktoren[[#This Row],[2028]]/1000, 0)</f>
        <v>0</v>
      </c>
      <c r="S94" s="15">
        <f>IF(ISNUMBER(Klisz_Verbräuche[[#This Row],[2029]]), Klisz_Verbräuche[[#This Row],[2029]]*Emissionsfaktoren[[#This Row],[2029]]/1000, 0)</f>
        <v>0</v>
      </c>
      <c r="T94" s="15">
        <f>IF(ISNUMBER(Klisz_Verbräuche[[#This Row],[2030]]), Klisz_Verbräuche[[#This Row],[2030]]*Emissionsfaktoren[[#This Row],[2030]]/1000, 0)</f>
        <v>0</v>
      </c>
      <c r="U94" s="15">
        <f>IF(ISNUMBER(Klisz_Verbräuche[[#This Row],[2035]]), Klisz_Verbräuche[[#This Row],[2035]]*Emissionsfaktoren[[#This Row],[2035]]/1000, 0)</f>
        <v>0</v>
      </c>
      <c r="V94" s="15">
        <f>IF(ISNUMBER(Klisz_Verbräuche[[#This Row],[2040]]), Klisz_Verbräuche[[#This Row],[2040]]*Emissionsfaktoren[[#This Row],[2040]]/1000, 0)</f>
        <v>0</v>
      </c>
      <c r="W94" s="15">
        <f>IF(ISNUMBER(Klisz_Verbräuche[[#This Row],[2045]]), Klisz_Verbräuche[[#This Row],[2045]]*Emissionsfaktoren[[#This Row],[2045]]/1000, 0)</f>
        <v>0</v>
      </c>
      <c r="X94" s="15">
        <f>IF(ISNUMBER(Klisz_Verbräuche[[#This Row],[2050]]), Klisz_Verbräuche[[#This Row],[2050]]*Emissionsfaktoren[[#This Row],[2050]]/1000, 0)</f>
        <v>0</v>
      </c>
    </row>
    <row r="95" spans="2:24" ht="16.5" hidden="1" x14ac:dyDescent="0.45">
      <c r="B95" s="15">
        <v>35</v>
      </c>
      <c r="C95" s="20" t="str">
        <f>Refsz_Verbräuche[[#This Row],[Datenpunkt]]</f>
        <v>Fuhrpark (CNG)</v>
      </c>
      <c r="D95" t="s">
        <v>208</v>
      </c>
      <c r="E95" s="15">
        <f>IF(ISNUMBER(Klisz_Verbräuche[[#This Row],[2015]]), Klisz_Verbräuche[[#This Row],[2015]]*Emissionsfaktoren[[#This Row],[2015]]/1000, 0)</f>
        <v>0</v>
      </c>
      <c r="F95" s="15">
        <f>IF(ISNUMBER(Klisz_Verbräuche[[#This Row],[2016]]), Klisz_Verbräuche[[#This Row],[2016]]*Emissionsfaktoren[[#This Row],[2016]]/1000, 0)</f>
        <v>0</v>
      </c>
      <c r="G95" s="15">
        <f>IF(ISNUMBER(Klisz_Verbräuche[[#This Row],[2017]]), Klisz_Verbräuche[[#This Row],[2017]]*Emissionsfaktoren[[#This Row],[2017]]/1000, 0)</f>
        <v>0</v>
      </c>
      <c r="H95" s="15">
        <f>IF(ISNUMBER(Klisz_Verbräuche[[#This Row],[2018]]), Klisz_Verbräuche[[#This Row],[2018]]*Emissionsfaktoren[[#This Row],[2018]]/1000, 0)</f>
        <v>0</v>
      </c>
      <c r="I95" s="15">
        <f>IF(ISNUMBER(Klisz_Verbräuche[[#This Row],[2019]]), Klisz_Verbräuche[[#This Row],[2019]]*Emissionsfaktoren[[#This Row],[2019]]/1000, 0)</f>
        <v>0</v>
      </c>
      <c r="J95" s="15">
        <f>IF(ISNUMBER(Klisz_Verbräuche[[#This Row],[2020]]), Klisz_Verbräuche[[#This Row],[2020]]*Emissionsfaktoren[[#This Row],[2020]]/1000, 0)</f>
        <v>0</v>
      </c>
      <c r="K95" s="15">
        <f>IF(ISNUMBER(Klisz_Verbräuche[[#This Row],[2021]]), Klisz_Verbräuche[[#This Row],[2021]]*Emissionsfaktoren[[#This Row],[2021]]/1000, 0)</f>
        <v>0</v>
      </c>
      <c r="L95" s="15">
        <f>IF(ISNUMBER(Klisz_Verbräuche[[#This Row],[2022]]), Klisz_Verbräuche[[#This Row],[2022]]*Emissionsfaktoren[[#This Row],[2022]]/1000, 0)</f>
        <v>0</v>
      </c>
      <c r="M95" s="15">
        <f>IF(ISNUMBER(Klisz_Verbräuche[[#This Row],[2023]]), Klisz_Verbräuche[[#This Row],[2023]]*Emissionsfaktoren[[#This Row],[2023]]/1000, 0)</f>
        <v>0</v>
      </c>
      <c r="N95" s="15">
        <f>IF(ISNUMBER(Klisz_Verbräuche[[#This Row],[2024]]), Klisz_Verbräuche[[#This Row],[2024]]*Emissionsfaktoren[[#This Row],[2024]]/1000, 0)</f>
        <v>0</v>
      </c>
      <c r="O95" s="15">
        <f>IF(ISNUMBER(Klisz_Verbräuche[[#This Row],[2025]]), Klisz_Verbräuche[[#This Row],[2025]]*Emissionsfaktoren[[#This Row],[2025]]/1000, 0)</f>
        <v>0</v>
      </c>
      <c r="P95" s="15">
        <f>IF(ISNUMBER(Klisz_Verbräuche[[#This Row],[2026]]), Klisz_Verbräuche[[#This Row],[2026]]*Emissionsfaktoren[[#This Row],[2026]]/1000, 0)</f>
        <v>0</v>
      </c>
      <c r="Q95" s="15">
        <f>IF(ISNUMBER(Klisz_Verbräuche[[#This Row],[2027]]), Klisz_Verbräuche[[#This Row],[2027]]*Emissionsfaktoren[[#This Row],[2027]]/1000, 0)</f>
        <v>0</v>
      </c>
      <c r="R95" s="15">
        <f>IF(ISNUMBER(Klisz_Verbräuche[[#This Row],[2028]]), Klisz_Verbräuche[[#This Row],[2028]]*Emissionsfaktoren[[#This Row],[2028]]/1000, 0)</f>
        <v>0</v>
      </c>
      <c r="S95" s="15">
        <f>IF(ISNUMBER(Klisz_Verbräuche[[#This Row],[2029]]), Klisz_Verbräuche[[#This Row],[2029]]*Emissionsfaktoren[[#This Row],[2029]]/1000, 0)</f>
        <v>0</v>
      </c>
      <c r="T95" s="15">
        <f>IF(ISNUMBER(Klisz_Verbräuche[[#This Row],[2030]]), Klisz_Verbräuche[[#This Row],[2030]]*Emissionsfaktoren[[#This Row],[2030]]/1000, 0)</f>
        <v>0</v>
      </c>
      <c r="U95" s="15">
        <f>IF(ISNUMBER(Klisz_Verbräuche[[#This Row],[2035]]), Klisz_Verbräuche[[#This Row],[2035]]*Emissionsfaktoren[[#This Row],[2035]]/1000, 0)</f>
        <v>0</v>
      </c>
      <c r="V95" s="15">
        <f>IF(ISNUMBER(Klisz_Verbräuche[[#This Row],[2040]]), Klisz_Verbräuche[[#This Row],[2040]]*Emissionsfaktoren[[#This Row],[2040]]/1000, 0)</f>
        <v>0</v>
      </c>
      <c r="W95" s="15">
        <f>IF(ISNUMBER(Klisz_Verbräuche[[#This Row],[2045]]), Klisz_Verbräuche[[#This Row],[2045]]*Emissionsfaktoren[[#This Row],[2045]]/1000, 0)</f>
        <v>0</v>
      </c>
      <c r="X95" s="15">
        <f>IF(ISNUMBER(Klisz_Verbräuche[[#This Row],[2050]]), Klisz_Verbräuche[[#This Row],[2050]]*Emissionsfaktoren[[#This Row],[2050]]/1000, 0)</f>
        <v>0</v>
      </c>
    </row>
    <row r="96" spans="2:24" ht="16.5" hidden="1" x14ac:dyDescent="0.45">
      <c r="B96" s="15">
        <v>36</v>
      </c>
      <c r="C96" s="20" t="str">
        <f>Refsz_Verbräuche[[#This Row],[Datenpunkt]]</f>
        <v>Fuhrpark (Plug-In-Hybrid, PHEV)</v>
      </c>
      <c r="D96" t="s">
        <v>208</v>
      </c>
      <c r="E96" s="15">
        <f>IF(ISNUMBER(Klisz_Verbräuche[[#This Row],[2015]]), Klisz_Verbräuche[[#This Row],[2015]]*Emissionsfaktoren[[#This Row],[2015]]/1000, 0)</f>
        <v>0</v>
      </c>
      <c r="F96" s="15">
        <f>IF(ISNUMBER(Klisz_Verbräuche[[#This Row],[2016]]), Klisz_Verbräuche[[#This Row],[2016]]*Emissionsfaktoren[[#This Row],[2016]]/1000, 0)</f>
        <v>0</v>
      </c>
      <c r="G96" s="15">
        <f>IF(ISNUMBER(Klisz_Verbräuche[[#This Row],[2017]]), Klisz_Verbräuche[[#This Row],[2017]]*Emissionsfaktoren[[#This Row],[2017]]/1000, 0)</f>
        <v>0</v>
      </c>
      <c r="H96" s="15">
        <f>IF(ISNUMBER(Klisz_Verbräuche[[#This Row],[2018]]), Klisz_Verbräuche[[#This Row],[2018]]*Emissionsfaktoren[[#This Row],[2018]]/1000, 0)</f>
        <v>0</v>
      </c>
      <c r="I96" s="15">
        <f>IF(ISNUMBER(Klisz_Verbräuche[[#This Row],[2019]]), Klisz_Verbräuche[[#This Row],[2019]]*Emissionsfaktoren[[#This Row],[2019]]/1000, 0)</f>
        <v>0</v>
      </c>
      <c r="J96" s="15">
        <f>IF(ISNUMBER(Klisz_Verbräuche[[#This Row],[2020]]), Klisz_Verbräuche[[#This Row],[2020]]*Emissionsfaktoren[[#This Row],[2020]]/1000, 0)</f>
        <v>0</v>
      </c>
      <c r="K96" s="15">
        <f>IF(ISNUMBER(Klisz_Verbräuche[[#This Row],[2021]]), Klisz_Verbräuche[[#This Row],[2021]]*Emissionsfaktoren[[#This Row],[2021]]/1000, 0)</f>
        <v>0</v>
      </c>
      <c r="L96" s="15">
        <f>IF(ISNUMBER(Klisz_Verbräuche[[#This Row],[2022]]), Klisz_Verbräuche[[#This Row],[2022]]*Emissionsfaktoren[[#This Row],[2022]]/1000, 0)</f>
        <v>0</v>
      </c>
      <c r="M96" s="15">
        <f>IF(ISNUMBER(Klisz_Verbräuche[[#This Row],[2023]]), Klisz_Verbräuche[[#This Row],[2023]]*Emissionsfaktoren[[#This Row],[2023]]/1000, 0)</f>
        <v>0</v>
      </c>
      <c r="N96" s="15">
        <f>IF(ISNUMBER(Klisz_Verbräuche[[#This Row],[2024]]), Klisz_Verbräuche[[#This Row],[2024]]*Emissionsfaktoren[[#This Row],[2024]]/1000, 0)</f>
        <v>0</v>
      </c>
      <c r="O96" s="15">
        <f>IF(ISNUMBER(Klisz_Verbräuche[[#This Row],[2025]]), Klisz_Verbräuche[[#This Row],[2025]]*Emissionsfaktoren[[#This Row],[2025]]/1000, 0)</f>
        <v>0</v>
      </c>
      <c r="P96" s="15">
        <f>IF(ISNUMBER(Klisz_Verbräuche[[#This Row],[2026]]), Klisz_Verbräuche[[#This Row],[2026]]*Emissionsfaktoren[[#This Row],[2026]]/1000, 0)</f>
        <v>0</v>
      </c>
      <c r="Q96" s="15">
        <f>IF(ISNUMBER(Klisz_Verbräuche[[#This Row],[2027]]), Klisz_Verbräuche[[#This Row],[2027]]*Emissionsfaktoren[[#This Row],[2027]]/1000, 0)</f>
        <v>0</v>
      </c>
      <c r="R96" s="15">
        <f>IF(ISNUMBER(Klisz_Verbräuche[[#This Row],[2028]]), Klisz_Verbräuche[[#This Row],[2028]]*Emissionsfaktoren[[#This Row],[2028]]/1000, 0)</f>
        <v>0</v>
      </c>
      <c r="S96" s="15">
        <f>IF(ISNUMBER(Klisz_Verbräuche[[#This Row],[2029]]), Klisz_Verbräuche[[#This Row],[2029]]*Emissionsfaktoren[[#This Row],[2029]]/1000, 0)</f>
        <v>0</v>
      </c>
      <c r="T96" s="15">
        <f>IF(ISNUMBER(Klisz_Verbräuche[[#This Row],[2030]]), Klisz_Verbräuche[[#This Row],[2030]]*Emissionsfaktoren[[#This Row],[2030]]/1000, 0)</f>
        <v>0</v>
      </c>
      <c r="U96" s="15">
        <f>IF(ISNUMBER(Klisz_Verbräuche[[#This Row],[2035]]), Klisz_Verbräuche[[#This Row],[2035]]*Emissionsfaktoren[[#This Row],[2035]]/1000, 0)</f>
        <v>0</v>
      </c>
      <c r="V96" s="15">
        <f>IF(ISNUMBER(Klisz_Verbräuche[[#This Row],[2040]]), Klisz_Verbräuche[[#This Row],[2040]]*Emissionsfaktoren[[#This Row],[2040]]/1000, 0)</f>
        <v>0</v>
      </c>
      <c r="W96" s="15">
        <f>IF(ISNUMBER(Klisz_Verbräuche[[#This Row],[2045]]), Klisz_Verbräuche[[#This Row],[2045]]*Emissionsfaktoren[[#This Row],[2045]]/1000, 0)</f>
        <v>0</v>
      </c>
      <c r="X96" s="15">
        <f>IF(ISNUMBER(Klisz_Verbräuche[[#This Row],[2050]]), Klisz_Verbräuche[[#This Row],[2050]]*Emissionsfaktoren[[#This Row],[2050]]/1000, 0)</f>
        <v>0</v>
      </c>
    </row>
    <row r="97" spans="2:24" ht="16.5" hidden="1" x14ac:dyDescent="0.45">
      <c r="B97" s="15">
        <v>37</v>
      </c>
      <c r="C97" s="20">
        <f>Refsz_Verbräuche[[#This Row],[Datenpunkt]]</f>
        <v>0</v>
      </c>
      <c r="D97" t="s">
        <v>208</v>
      </c>
      <c r="E97" s="15">
        <f>IF(ISNUMBER(Klisz_Verbräuche[[#This Row],[2015]]), Klisz_Verbräuche[[#This Row],[2015]]*Emissionsfaktoren[[#This Row],[2015]]/1000, 0)</f>
        <v>0</v>
      </c>
      <c r="F97" s="15">
        <f>IF(ISNUMBER(Klisz_Verbräuche[[#This Row],[2016]]), Klisz_Verbräuche[[#This Row],[2016]]*Emissionsfaktoren[[#This Row],[2016]]/1000, 0)</f>
        <v>0</v>
      </c>
      <c r="G97" s="15">
        <f>IF(ISNUMBER(Klisz_Verbräuche[[#This Row],[2017]]), Klisz_Verbräuche[[#This Row],[2017]]*Emissionsfaktoren[[#This Row],[2017]]/1000, 0)</f>
        <v>0</v>
      </c>
      <c r="H97" s="15">
        <f>IF(ISNUMBER(Klisz_Verbräuche[[#This Row],[2018]]), Klisz_Verbräuche[[#This Row],[2018]]*Emissionsfaktoren[[#This Row],[2018]]/1000, 0)</f>
        <v>0</v>
      </c>
      <c r="I97" s="15">
        <f>IF(ISNUMBER(Klisz_Verbräuche[[#This Row],[2019]]), Klisz_Verbräuche[[#This Row],[2019]]*Emissionsfaktoren[[#This Row],[2019]]/1000, 0)</f>
        <v>0</v>
      </c>
      <c r="J97" s="15">
        <f>IF(ISNUMBER(Klisz_Verbräuche[[#This Row],[2020]]), Klisz_Verbräuche[[#This Row],[2020]]*Emissionsfaktoren[[#This Row],[2020]]/1000, 0)</f>
        <v>0</v>
      </c>
      <c r="K97" s="15">
        <f>IF(ISNUMBER(Klisz_Verbräuche[[#This Row],[2021]]), Klisz_Verbräuche[[#This Row],[2021]]*Emissionsfaktoren[[#This Row],[2021]]/1000, 0)</f>
        <v>0</v>
      </c>
      <c r="L97" s="15">
        <f>IF(ISNUMBER(Klisz_Verbräuche[[#This Row],[2022]]), Klisz_Verbräuche[[#This Row],[2022]]*Emissionsfaktoren[[#This Row],[2022]]/1000, 0)</f>
        <v>0</v>
      </c>
      <c r="M97" s="15">
        <f>IF(ISNUMBER(Klisz_Verbräuche[[#This Row],[2023]]), Klisz_Verbräuche[[#This Row],[2023]]*Emissionsfaktoren[[#This Row],[2023]]/1000, 0)</f>
        <v>0</v>
      </c>
      <c r="N97" s="15">
        <f>IF(ISNUMBER(Klisz_Verbräuche[[#This Row],[2024]]), Klisz_Verbräuche[[#This Row],[2024]]*Emissionsfaktoren[[#This Row],[2024]]/1000, 0)</f>
        <v>0</v>
      </c>
      <c r="O97" s="15">
        <f>IF(ISNUMBER(Klisz_Verbräuche[[#This Row],[2025]]), Klisz_Verbräuche[[#This Row],[2025]]*Emissionsfaktoren[[#This Row],[2025]]/1000, 0)</f>
        <v>0</v>
      </c>
      <c r="P97" s="15">
        <f>IF(ISNUMBER(Klisz_Verbräuche[[#This Row],[2026]]), Klisz_Verbräuche[[#This Row],[2026]]*Emissionsfaktoren[[#This Row],[2026]]/1000, 0)</f>
        <v>0</v>
      </c>
      <c r="Q97" s="15">
        <f>IF(ISNUMBER(Klisz_Verbräuche[[#This Row],[2027]]), Klisz_Verbräuche[[#This Row],[2027]]*Emissionsfaktoren[[#This Row],[2027]]/1000, 0)</f>
        <v>0</v>
      </c>
      <c r="R97" s="15">
        <f>IF(ISNUMBER(Klisz_Verbräuche[[#This Row],[2028]]), Klisz_Verbräuche[[#This Row],[2028]]*Emissionsfaktoren[[#This Row],[2028]]/1000, 0)</f>
        <v>0</v>
      </c>
      <c r="S97" s="15">
        <f>IF(ISNUMBER(Klisz_Verbräuche[[#This Row],[2029]]), Klisz_Verbräuche[[#This Row],[2029]]*Emissionsfaktoren[[#This Row],[2029]]/1000, 0)</f>
        <v>0</v>
      </c>
      <c r="T97" s="15">
        <f>IF(ISNUMBER(Klisz_Verbräuche[[#This Row],[2030]]), Klisz_Verbräuche[[#This Row],[2030]]*Emissionsfaktoren[[#This Row],[2030]]/1000, 0)</f>
        <v>0</v>
      </c>
      <c r="U97" s="15">
        <f>IF(ISNUMBER(Klisz_Verbräuche[[#This Row],[2035]]), Klisz_Verbräuche[[#This Row],[2035]]*Emissionsfaktoren[[#This Row],[2035]]/1000, 0)</f>
        <v>0</v>
      </c>
      <c r="V97" s="15">
        <f>IF(ISNUMBER(Klisz_Verbräuche[[#This Row],[2040]]), Klisz_Verbräuche[[#This Row],[2040]]*Emissionsfaktoren[[#This Row],[2040]]/1000, 0)</f>
        <v>0</v>
      </c>
      <c r="W97" s="15">
        <f>IF(ISNUMBER(Klisz_Verbräuche[[#This Row],[2045]]), Klisz_Verbräuche[[#This Row],[2045]]*Emissionsfaktoren[[#This Row],[2045]]/1000, 0)</f>
        <v>0</v>
      </c>
      <c r="X97" s="15">
        <f>IF(ISNUMBER(Klisz_Verbräuche[[#This Row],[2050]]), Klisz_Verbräuche[[#This Row],[2050]]*Emissionsfaktoren[[#This Row],[2050]]/1000, 0)</f>
        <v>0</v>
      </c>
    </row>
    <row r="98" spans="2:24" ht="16.5" hidden="1" x14ac:dyDescent="0.45">
      <c r="B98" s="15">
        <v>38</v>
      </c>
      <c r="C98" s="20" t="str">
        <f>Refsz_Verbräuche[[#This Row],[Datenpunkt]]</f>
        <v>DR - Flugreisen</v>
      </c>
      <c r="D98" t="s">
        <v>208</v>
      </c>
      <c r="E98" s="15">
        <f>IF(ISNUMBER(Klisz_Verbräuche[[#This Row],[2015]]), Klisz_Verbräuche[[#This Row],[2015]]*Emissionsfaktoren[[#This Row],[2015]]/1000, 0)</f>
        <v>0</v>
      </c>
      <c r="F98" s="15">
        <f>IF(ISNUMBER(Klisz_Verbräuche[[#This Row],[2016]]), Klisz_Verbräuche[[#This Row],[2016]]*Emissionsfaktoren[[#This Row],[2016]]/1000, 0)</f>
        <v>0</v>
      </c>
      <c r="G98" s="15">
        <f>IF(ISNUMBER(Klisz_Verbräuche[[#This Row],[2017]]), Klisz_Verbräuche[[#This Row],[2017]]*Emissionsfaktoren[[#This Row],[2017]]/1000, 0)</f>
        <v>0</v>
      </c>
      <c r="H98" s="15">
        <f>IF(ISNUMBER(Klisz_Verbräuche[[#This Row],[2018]]), Klisz_Verbräuche[[#This Row],[2018]]*Emissionsfaktoren[[#This Row],[2018]]/1000, 0)</f>
        <v>0</v>
      </c>
      <c r="I98" s="15">
        <f>IF(ISNUMBER(Klisz_Verbräuche[[#This Row],[2019]]), Klisz_Verbräuche[[#This Row],[2019]]*Emissionsfaktoren[[#This Row],[2019]]/1000, 0)</f>
        <v>0</v>
      </c>
      <c r="J98" s="15">
        <f>IF(ISNUMBER(Klisz_Verbräuche[[#This Row],[2020]]), Klisz_Verbräuche[[#This Row],[2020]]*Emissionsfaktoren[[#This Row],[2020]]/1000, 0)</f>
        <v>0</v>
      </c>
      <c r="K98" s="15">
        <f>IF(ISNUMBER(Klisz_Verbräuche[[#This Row],[2021]]), Klisz_Verbräuche[[#This Row],[2021]]*Emissionsfaktoren[[#This Row],[2021]]/1000, 0)</f>
        <v>0</v>
      </c>
      <c r="L98" s="15">
        <f>IF(ISNUMBER(Klisz_Verbräuche[[#This Row],[2022]]), Klisz_Verbräuche[[#This Row],[2022]]*Emissionsfaktoren[[#This Row],[2022]]/1000, 0)</f>
        <v>0</v>
      </c>
      <c r="M98" s="15">
        <f>IF(ISNUMBER(Klisz_Verbräuche[[#This Row],[2023]]), Klisz_Verbräuche[[#This Row],[2023]]*Emissionsfaktoren[[#This Row],[2023]]/1000, 0)</f>
        <v>0</v>
      </c>
      <c r="N98" s="15">
        <f>IF(ISNUMBER(Klisz_Verbräuche[[#This Row],[2024]]), Klisz_Verbräuche[[#This Row],[2024]]*Emissionsfaktoren[[#This Row],[2024]]/1000, 0)</f>
        <v>0</v>
      </c>
      <c r="O98" s="15">
        <f>IF(ISNUMBER(Klisz_Verbräuche[[#This Row],[2025]]), Klisz_Verbräuche[[#This Row],[2025]]*Emissionsfaktoren[[#This Row],[2025]]/1000, 0)</f>
        <v>0</v>
      </c>
      <c r="P98" s="15">
        <f>IF(ISNUMBER(Klisz_Verbräuche[[#This Row],[2026]]), Klisz_Verbräuche[[#This Row],[2026]]*Emissionsfaktoren[[#This Row],[2026]]/1000, 0)</f>
        <v>0</v>
      </c>
      <c r="Q98" s="15">
        <f>IF(ISNUMBER(Klisz_Verbräuche[[#This Row],[2027]]), Klisz_Verbräuche[[#This Row],[2027]]*Emissionsfaktoren[[#This Row],[2027]]/1000, 0)</f>
        <v>0</v>
      </c>
      <c r="R98" s="15">
        <f>IF(ISNUMBER(Klisz_Verbräuche[[#This Row],[2028]]), Klisz_Verbräuche[[#This Row],[2028]]*Emissionsfaktoren[[#This Row],[2028]]/1000, 0)</f>
        <v>0</v>
      </c>
      <c r="S98" s="15">
        <f>IF(ISNUMBER(Klisz_Verbräuche[[#This Row],[2029]]), Klisz_Verbräuche[[#This Row],[2029]]*Emissionsfaktoren[[#This Row],[2029]]/1000, 0)</f>
        <v>0</v>
      </c>
      <c r="T98" s="15">
        <f>IF(ISNUMBER(Klisz_Verbräuche[[#This Row],[2030]]), Klisz_Verbräuche[[#This Row],[2030]]*Emissionsfaktoren[[#This Row],[2030]]/1000, 0)</f>
        <v>0</v>
      </c>
      <c r="U98" s="15">
        <f>IF(ISNUMBER(Klisz_Verbräuche[[#This Row],[2035]]), Klisz_Verbräuche[[#This Row],[2035]]*Emissionsfaktoren[[#This Row],[2035]]/1000, 0)</f>
        <v>0</v>
      </c>
      <c r="V98" s="15">
        <f>IF(ISNUMBER(Klisz_Verbräuche[[#This Row],[2040]]), Klisz_Verbräuche[[#This Row],[2040]]*Emissionsfaktoren[[#This Row],[2040]]/1000, 0)</f>
        <v>0</v>
      </c>
      <c r="W98" s="15">
        <f>IF(ISNUMBER(Klisz_Verbräuche[[#This Row],[2045]]), Klisz_Verbräuche[[#This Row],[2045]]*Emissionsfaktoren[[#This Row],[2045]]/1000, 0)</f>
        <v>0</v>
      </c>
      <c r="X98" s="15">
        <f>IF(ISNUMBER(Klisz_Verbräuche[[#This Row],[2050]]), Klisz_Verbräuche[[#This Row],[2050]]*Emissionsfaktoren[[#This Row],[2050]]/1000, 0)</f>
        <v>0</v>
      </c>
    </row>
    <row r="99" spans="2:24" ht="16.5" hidden="1" x14ac:dyDescent="0.45">
      <c r="B99" s="15">
        <v>39</v>
      </c>
      <c r="C99" s="20" t="str">
        <f>Refsz_Verbräuche[[#This Row],[Datenpunkt]]</f>
        <v>DR - Eisenbahn (Fernverkehr)</v>
      </c>
      <c r="D99" t="s">
        <v>208</v>
      </c>
      <c r="E99" s="15">
        <f>IF(ISNUMBER(Klisz_Verbräuche[[#This Row],[2015]]), Klisz_Verbräuche[[#This Row],[2015]]*Emissionsfaktoren[[#This Row],[2015]]/1000, 0)</f>
        <v>0</v>
      </c>
      <c r="F99" s="15">
        <f>IF(ISNUMBER(Klisz_Verbräuche[[#This Row],[2016]]), Klisz_Verbräuche[[#This Row],[2016]]*Emissionsfaktoren[[#This Row],[2016]]/1000, 0)</f>
        <v>0</v>
      </c>
      <c r="G99" s="15">
        <f>IF(ISNUMBER(Klisz_Verbräuche[[#This Row],[2017]]), Klisz_Verbräuche[[#This Row],[2017]]*Emissionsfaktoren[[#This Row],[2017]]/1000, 0)</f>
        <v>0</v>
      </c>
      <c r="H99" s="15">
        <f>IF(ISNUMBER(Klisz_Verbräuche[[#This Row],[2018]]), Klisz_Verbräuche[[#This Row],[2018]]*Emissionsfaktoren[[#This Row],[2018]]/1000, 0)</f>
        <v>0</v>
      </c>
      <c r="I99" s="15">
        <f>IF(ISNUMBER(Klisz_Verbräuche[[#This Row],[2019]]), Klisz_Verbräuche[[#This Row],[2019]]*Emissionsfaktoren[[#This Row],[2019]]/1000, 0)</f>
        <v>0</v>
      </c>
      <c r="J99" s="15">
        <f>IF(ISNUMBER(Klisz_Verbräuche[[#This Row],[2020]]), Klisz_Verbräuche[[#This Row],[2020]]*Emissionsfaktoren[[#This Row],[2020]]/1000, 0)</f>
        <v>0</v>
      </c>
      <c r="K99" s="15">
        <f>IF(ISNUMBER(Klisz_Verbräuche[[#This Row],[2021]]), Klisz_Verbräuche[[#This Row],[2021]]*Emissionsfaktoren[[#This Row],[2021]]/1000, 0)</f>
        <v>0</v>
      </c>
      <c r="L99" s="15">
        <f>IF(ISNUMBER(Klisz_Verbräuche[[#This Row],[2022]]), Klisz_Verbräuche[[#This Row],[2022]]*Emissionsfaktoren[[#This Row],[2022]]/1000, 0)</f>
        <v>0</v>
      </c>
      <c r="M99" s="15">
        <f>IF(ISNUMBER(Klisz_Verbräuche[[#This Row],[2023]]), Klisz_Verbräuche[[#This Row],[2023]]*Emissionsfaktoren[[#This Row],[2023]]/1000, 0)</f>
        <v>0</v>
      </c>
      <c r="N99" s="15">
        <f>IF(ISNUMBER(Klisz_Verbräuche[[#This Row],[2024]]), Klisz_Verbräuche[[#This Row],[2024]]*Emissionsfaktoren[[#This Row],[2024]]/1000, 0)</f>
        <v>0</v>
      </c>
      <c r="O99" s="15">
        <f>IF(ISNUMBER(Klisz_Verbräuche[[#This Row],[2025]]), Klisz_Verbräuche[[#This Row],[2025]]*Emissionsfaktoren[[#This Row],[2025]]/1000, 0)</f>
        <v>0</v>
      </c>
      <c r="P99" s="15">
        <f>IF(ISNUMBER(Klisz_Verbräuche[[#This Row],[2026]]), Klisz_Verbräuche[[#This Row],[2026]]*Emissionsfaktoren[[#This Row],[2026]]/1000, 0)</f>
        <v>0</v>
      </c>
      <c r="Q99" s="15">
        <f>IF(ISNUMBER(Klisz_Verbräuche[[#This Row],[2027]]), Klisz_Verbräuche[[#This Row],[2027]]*Emissionsfaktoren[[#This Row],[2027]]/1000, 0)</f>
        <v>0</v>
      </c>
      <c r="R99" s="15">
        <f>IF(ISNUMBER(Klisz_Verbräuche[[#This Row],[2028]]), Klisz_Verbräuche[[#This Row],[2028]]*Emissionsfaktoren[[#This Row],[2028]]/1000, 0)</f>
        <v>0</v>
      </c>
      <c r="S99" s="15">
        <f>IF(ISNUMBER(Klisz_Verbräuche[[#This Row],[2029]]), Klisz_Verbräuche[[#This Row],[2029]]*Emissionsfaktoren[[#This Row],[2029]]/1000, 0)</f>
        <v>0</v>
      </c>
      <c r="T99" s="15">
        <f>IF(ISNUMBER(Klisz_Verbräuche[[#This Row],[2030]]), Klisz_Verbräuche[[#This Row],[2030]]*Emissionsfaktoren[[#This Row],[2030]]/1000, 0)</f>
        <v>0</v>
      </c>
      <c r="U99" s="15">
        <f>IF(ISNUMBER(Klisz_Verbräuche[[#This Row],[2035]]), Klisz_Verbräuche[[#This Row],[2035]]*Emissionsfaktoren[[#This Row],[2035]]/1000, 0)</f>
        <v>0</v>
      </c>
      <c r="V99" s="15">
        <f>IF(ISNUMBER(Klisz_Verbräuche[[#This Row],[2040]]), Klisz_Verbräuche[[#This Row],[2040]]*Emissionsfaktoren[[#This Row],[2040]]/1000, 0)</f>
        <v>0</v>
      </c>
      <c r="W99" s="15">
        <f>IF(ISNUMBER(Klisz_Verbräuche[[#This Row],[2045]]), Klisz_Verbräuche[[#This Row],[2045]]*Emissionsfaktoren[[#This Row],[2045]]/1000, 0)</f>
        <v>0</v>
      </c>
      <c r="X99" s="15">
        <f>IF(ISNUMBER(Klisz_Verbräuche[[#This Row],[2050]]), Klisz_Verbräuche[[#This Row],[2050]]*Emissionsfaktoren[[#This Row],[2050]]/1000, 0)</f>
        <v>0</v>
      </c>
    </row>
    <row r="100" spans="2:24" ht="16.5" hidden="1" x14ac:dyDescent="0.45">
      <c r="B100" s="15">
        <v>40</v>
      </c>
      <c r="C100" s="20" t="str">
        <f>Refsz_Verbräuche[[#This Row],[Datenpunkt]]</f>
        <v>DR - Eisenbahn (Nahverkehr)</v>
      </c>
      <c r="D100" t="s">
        <v>208</v>
      </c>
      <c r="E100" s="15">
        <f>IF(ISNUMBER(Klisz_Verbräuche[[#This Row],[2015]]), Klisz_Verbräuche[[#This Row],[2015]]*Emissionsfaktoren[[#This Row],[2015]]/1000, 0)</f>
        <v>0</v>
      </c>
      <c r="F100" s="15">
        <f>IF(ISNUMBER(Klisz_Verbräuche[[#This Row],[2016]]), Klisz_Verbräuche[[#This Row],[2016]]*Emissionsfaktoren[[#This Row],[2016]]/1000, 0)</f>
        <v>0</v>
      </c>
      <c r="G100" s="15">
        <f>IF(ISNUMBER(Klisz_Verbräuche[[#This Row],[2017]]), Klisz_Verbräuche[[#This Row],[2017]]*Emissionsfaktoren[[#This Row],[2017]]/1000, 0)</f>
        <v>0</v>
      </c>
      <c r="H100" s="15">
        <f>IF(ISNUMBER(Klisz_Verbräuche[[#This Row],[2018]]), Klisz_Verbräuche[[#This Row],[2018]]*Emissionsfaktoren[[#This Row],[2018]]/1000, 0)</f>
        <v>0</v>
      </c>
      <c r="I100" s="15">
        <f>IF(ISNUMBER(Klisz_Verbräuche[[#This Row],[2019]]), Klisz_Verbräuche[[#This Row],[2019]]*Emissionsfaktoren[[#This Row],[2019]]/1000, 0)</f>
        <v>0</v>
      </c>
      <c r="J100" s="15">
        <f>IF(ISNUMBER(Klisz_Verbräuche[[#This Row],[2020]]), Klisz_Verbräuche[[#This Row],[2020]]*Emissionsfaktoren[[#This Row],[2020]]/1000, 0)</f>
        <v>0</v>
      </c>
      <c r="K100" s="15">
        <f>IF(ISNUMBER(Klisz_Verbräuche[[#This Row],[2021]]), Klisz_Verbräuche[[#This Row],[2021]]*Emissionsfaktoren[[#This Row],[2021]]/1000, 0)</f>
        <v>0</v>
      </c>
      <c r="L100" s="15">
        <f>IF(ISNUMBER(Klisz_Verbräuche[[#This Row],[2022]]), Klisz_Verbräuche[[#This Row],[2022]]*Emissionsfaktoren[[#This Row],[2022]]/1000, 0)</f>
        <v>0</v>
      </c>
      <c r="M100" s="15">
        <f>IF(ISNUMBER(Klisz_Verbräuche[[#This Row],[2023]]), Klisz_Verbräuche[[#This Row],[2023]]*Emissionsfaktoren[[#This Row],[2023]]/1000, 0)</f>
        <v>0</v>
      </c>
      <c r="N100" s="15">
        <f>IF(ISNUMBER(Klisz_Verbräuche[[#This Row],[2024]]), Klisz_Verbräuche[[#This Row],[2024]]*Emissionsfaktoren[[#This Row],[2024]]/1000, 0)</f>
        <v>0</v>
      </c>
      <c r="O100" s="15">
        <f>IF(ISNUMBER(Klisz_Verbräuche[[#This Row],[2025]]), Klisz_Verbräuche[[#This Row],[2025]]*Emissionsfaktoren[[#This Row],[2025]]/1000, 0)</f>
        <v>0</v>
      </c>
      <c r="P100" s="15">
        <f>IF(ISNUMBER(Klisz_Verbräuche[[#This Row],[2026]]), Klisz_Verbräuche[[#This Row],[2026]]*Emissionsfaktoren[[#This Row],[2026]]/1000, 0)</f>
        <v>0</v>
      </c>
      <c r="Q100" s="15">
        <f>IF(ISNUMBER(Klisz_Verbräuche[[#This Row],[2027]]), Klisz_Verbräuche[[#This Row],[2027]]*Emissionsfaktoren[[#This Row],[2027]]/1000, 0)</f>
        <v>0</v>
      </c>
      <c r="R100" s="15">
        <f>IF(ISNUMBER(Klisz_Verbräuche[[#This Row],[2028]]), Klisz_Verbräuche[[#This Row],[2028]]*Emissionsfaktoren[[#This Row],[2028]]/1000, 0)</f>
        <v>0</v>
      </c>
      <c r="S100" s="15">
        <f>IF(ISNUMBER(Klisz_Verbräuche[[#This Row],[2029]]), Klisz_Verbräuche[[#This Row],[2029]]*Emissionsfaktoren[[#This Row],[2029]]/1000, 0)</f>
        <v>0</v>
      </c>
      <c r="T100" s="15">
        <f>IF(ISNUMBER(Klisz_Verbräuche[[#This Row],[2030]]), Klisz_Verbräuche[[#This Row],[2030]]*Emissionsfaktoren[[#This Row],[2030]]/1000, 0)</f>
        <v>0</v>
      </c>
      <c r="U100" s="15">
        <f>IF(ISNUMBER(Klisz_Verbräuche[[#This Row],[2035]]), Klisz_Verbräuche[[#This Row],[2035]]*Emissionsfaktoren[[#This Row],[2035]]/1000, 0)</f>
        <v>0</v>
      </c>
      <c r="V100" s="15">
        <f>IF(ISNUMBER(Klisz_Verbräuche[[#This Row],[2040]]), Klisz_Verbräuche[[#This Row],[2040]]*Emissionsfaktoren[[#This Row],[2040]]/1000, 0)</f>
        <v>0</v>
      </c>
      <c r="W100" s="15">
        <f>IF(ISNUMBER(Klisz_Verbräuche[[#This Row],[2045]]), Klisz_Verbräuche[[#This Row],[2045]]*Emissionsfaktoren[[#This Row],[2045]]/1000, 0)</f>
        <v>0</v>
      </c>
      <c r="X100" s="15">
        <f>IF(ISNUMBER(Klisz_Verbräuche[[#This Row],[2050]]), Klisz_Verbräuche[[#This Row],[2050]]*Emissionsfaktoren[[#This Row],[2050]]/1000, 0)</f>
        <v>0</v>
      </c>
    </row>
    <row r="101" spans="2:24" ht="16.5" hidden="1" x14ac:dyDescent="0.45">
      <c r="B101" s="15">
        <v>41</v>
      </c>
      <c r="C101" s="20" t="str">
        <f>Refsz_Verbräuche[[#This Row],[Datenpunkt]]</f>
        <v>DR - Reisebus, Linienbus (Fernverkehr)</v>
      </c>
      <c r="D101" t="s">
        <v>208</v>
      </c>
      <c r="E101" s="15">
        <f>IF(ISNUMBER(Klisz_Verbräuche[[#This Row],[2015]]), Klisz_Verbräuche[[#This Row],[2015]]*Emissionsfaktoren[[#This Row],[2015]]/1000, 0)</f>
        <v>0</v>
      </c>
      <c r="F101" s="15">
        <f>IF(ISNUMBER(Klisz_Verbräuche[[#This Row],[2016]]), Klisz_Verbräuche[[#This Row],[2016]]*Emissionsfaktoren[[#This Row],[2016]]/1000, 0)</f>
        <v>0</v>
      </c>
      <c r="G101" s="15">
        <f>IF(ISNUMBER(Klisz_Verbräuche[[#This Row],[2017]]), Klisz_Verbräuche[[#This Row],[2017]]*Emissionsfaktoren[[#This Row],[2017]]/1000, 0)</f>
        <v>0</v>
      </c>
      <c r="H101" s="15">
        <f>IF(ISNUMBER(Klisz_Verbräuche[[#This Row],[2018]]), Klisz_Verbräuche[[#This Row],[2018]]*Emissionsfaktoren[[#This Row],[2018]]/1000, 0)</f>
        <v>0</v>
      </c>
      <c r="I101" s="15">
        <f>IF(ISNUMBER(Klisz_Verbräuche[[#This Row],[2019]]), Klisz_Verbräuche[[#This Row],[2019]]*Emissionsfaktoren[[#This Row],[2019]]/1000, 0)</f>
        <v>0</v>
      </c>
      <c r="J101" s="15">
        <f>IF(ISNUMBER(Klisz_Verbräuche[[#This Row],[2020]]), Klisz_Verbräuche[[#This Row],[2020]]*Emissionsfaktoren[[#This Row],[2020]]/1000, 0)</f>
        <v>0</v>
      </c>
      <c r="K101" s="15">
        <f>IF(ISNUMBER(Klisz_Verbräuche[[#This Row],[2021]]), Klisz_Verbräuche[[#This Row],[2021]]*Emissionsfaktoren[[#This Row],[2021]]/1000, 0)</f>
        <v>0</v>
      </c>
      <c r="L101" s="15">
        <f>IF(ISNUMBER(Klisz_Verbräuche[[#This Row],[2022]]), Klisz_Verbräuche[[#This Row],[2022]]*Emissionsfaktoren[[#This Row],[2022]]/1000, 0)</f>
        <v>0</v>
      </c>
      <c r="M101" s="15">
        <f>IF(ISNUMBER(Klisz_Verbräuche[[#This Row],[2023]]), Klisz_Verbräuche[[#This Row],[2023]]*Emissionsfaktoren[[#This Row],[2023]]/1000, 0)</f>
        <v>0</v>
      </c>
      <c r="N101" s="15">
        <f>IF(ISNUMBER(Klisz_Verbräuche[[#This Row],[2024]]), Klisz_Verbräuche[[#This Row],[2024]]*Emissionsfaktoren[[#This Row],[2024]]/1000, 0)</f>
        <v>0</v>
      </c>
      <c r="O101" s="15">
        <f>IF(ISNUMBER(Klisz_Verbräuche[[#This Row],[2025]]), Klisz_Verbräuche[[#This Row],[2025]]*Emissionsfaktoren[[#This Row],[2025]]/1000, 0)</f>
        <v>0</v>
      </c>
      <c r="P101" s="15">
        <f>IF(ISNUMBER(Klisz_Verbräuche[[#This Row],[2026]]), Klisz_Verbräuche[[#This Row],[2026]]*Emissionsfaktoren[[#This Row],[2026]]/1000, 0)</f>
        <v>0</v>
      </c>
      <c r="Q101" s="15">
        <f>IF(ISNUMBER(Klisz_Verbräuche[[#This Row],[2027]]), Klisz_Verbräuche[[#This Row],[2027]]*Emissionsfaktoren[[#This Row],[2027]]/1000, 0)</f>
        <v>0</v>
      </c>
      <c r="R101" s="15">
        <f>IF(ISNUMBER(Klisz_Verbräuche[[#This Row],[2028]]), Klisz_Verbräuche[[#This Row],[2028]]*Emissionsfaktoren[[#This Row],[2028]]/1000, 0)</f>
        <v>0</v>
      </c>
      <c r="S101" s="15">
        <f>IF(ISNUMBER(Klisz_Verbräuche[[#This Row],[2029]]), Klisz_Verbräuche[[#This Row],[2029]]*Emissionsfaktoren[[#This Row],[2029]]/1000, 0)</f>
        <v>0</v>
      </c>
      <c r="T101" s="15">
        <f>IF(ISNUMBER(Klisz_Verbräuche[[#This Row],[2030]]), Klisz_Verbräuche[[#This Row],[2030]]*Emissionsfaktoren[[#This Row],[2030]]/1000, 0)</f>
        <v>0</v>
      </c>
      <c r="U101" s="15">
        <f>IF(ISNUMBER(Klisz_Verbräuche[[#This Row],[2035]]), Klisz_Verbräuche[[#This Row],[2035]]*Emissionsfaktoren[[#This Row],[2035]]/1000, 0)</f>
        <v>0</v>
      </c>
      <c r="V101" s="15">
        <f>IF(ISNUMBER(Klisz_Verbräuche[[#This Row],[2040]]), Klisz_Verbräuche[[#This Row],[2040]]*Emissionsfaktoren[[#This Row],[2040]]/1000, 0)</f>
        <v>0</v>
      </c>
      <c r="W101" s="15">
        <f>IF(ISNUMBER(Klisz_Verbräuche[[#This Row],[2045]]), Klisz_Verbräuche[[#This Row],[2045]]*Emissionsfaktoren[[#This Row],[2045]]/1000, 0)</f>
        <v>0</v>
      </c>
      <c r="X101" s="15">
        <f>IF(ISNUMBER(Klisz_Verbräuche[[#This Row],[2050]]), Klisz_Verbräuche[[#This Row],[2050]]*Emissionsfaktoren[[#This Row],[2050]]/1000, 0)</f>
        <v>0</v>
      </c>
    </row>
    <row r="102" spans="2:24" ht="16.5" hidden="1" x14ac:dyDescent="0.45">
      <c r="B102" s="15">
        <v>42</v>
      </c>
      <c r="C102" s="20" t="str">
        <f>Refsz_Verbräuche[[#This Row],[Datenpunkt]]</f>
        <v>DR - Linienbus (Nahverkehr)</v>
      </c>
      <c r="D102" t="s">
        <v>208</v>
      </c>
      <c r="E102" s="15">
        <f>IF(ISNUMBER(Klisz_Verbräuche[[#This Row],[2015]]), Klisz_Verbräuche[[#This Row],[2015]]*Emissionsfaktoren[[#This Row],[2015]]/1000, 0)</f>
        <v>0</v>
      </c>
      <c r="F102" s="15">
        <f>IF(ISNUMBER(Klisz_Verbräuche[[#This Row],[2016]]), Klisz_Verbräuche[[#This Row],[2016]]*Emissionsfaktoren[[#This Row],[2016]]/1000, 0)</f>
        <v>0</v>
      </c>
      <c r="G102" s="15">
        <f>IF(ISNUMBER(Klisz_Verbräuche[[#This Row],[2017]]), Klisz_Verbräuche[[#This Row],[2017]]*Emissionsfaktoren[[#This Row],[2017]]/1000, 0)</f>
        <v>0</v>
      </c>
      <c r="H102" s="15">
        <f>IF(ISNUMBER(Klisz_Verbräuche[[#This Row],[2018]]), Klisz_Verbräuche[[#This Row],[2018]]*Emissionsfaktoren[[#This Row],[2018]]/1000, 0)</f>
        <v>0</v>
      </c>
      <c r="I102" s="15">
        <f>IF(ISNUMBER(Klisz_Verbräuche[[#This Row],[2019]]), Klisz_Verbräuche[[#This Row],[2019]]*Emissionsfaktoren[[#This Row],[2019]]/1000, 0)</f>
        <v>0</v>
      </c>
      <c r="J102" s="15">
        <f>IF(ISNUMBER(Klisz_Verbräuche[[#This Row],[2020]]), Klisz_Verbräuche[[#This Row],[2020]]*Emissionsfaktoren[[#This Row],[2020]]/1000, 0)</f>
        <v>0</v>
      </c>
      <c r="K102" s="15">
        <f>IF(ISNUMBER(Klisz_Verbräuche[[#This Row],[2021]]), Klisz_Verbräuche[[#This Row],[2021]]*Emissionsfaktoren[[#This Row],[2021]]/1000, 0)</f>
        <v>0</v>
      </c>
      <c r="L102" s="15">
        <f>IF(ISNUMBER(Klisz_Verbräuche[[#This Row],[2022]]), Klisz_Verbräuche[[#This Row],[2022]]*Emissionsfaktoren[[#This Row],[2022]]/1000, 0)</f>
        <v>0</v>
      </c>
      <c r="M102" s="15">
        <f>IF(ISNUMBER(Klisz_Verbräuche[[#This Row],[2023]]), Klisz_Verbräuche[[#This Row],[2023]]*Emissionsfaktoren[[#This Row],[2023]]/1000, 0)</f>
        <v>0</v>
      </c>
      <c r="N102" s="15">
        <f>IF(ISNUMBER(Klisz_Verbräuche[[#This Row],[2024]]), Klisz_Verbräuche[[#This Row],[2024]]*Emissionsfaktoren[[#This Row],[2024]]/1000, 0)</f>
        <v>0</v>
      </c>
      <c r="O102" s="15">
        <f>IF(ISNUMBER(Klisz_Verbräuche[[#This Row],[2025]]), Klisz_Verbräuche[[#This Row],[2025]]*Emissionsfaktoren[[#This Row],[2025]]/1000, 0)</f>
        <v>0</v>
      </c>
      <c r="P102" s="15">
        <f>IF(ISNUMBER(Klisz_Verbräuche[[#This Row],[2026]]), Klisz_Verbräuche[[#This Row],[2026]]*Emissionsfaktoren[[#This Row],[2026]]/1000, 0)</f>
        <v>0</v>
      </c>
      <c r="Q102" s="15">
        <f>IF(ISNUMBER(Klisz_Verbräuche[[#This Row],[2027]]), Klisz_Verbräuche[[#This Row],[2027]]*Emissionsfaktoren[[#This Row],[2027]]/1000, 0)</f>
        <v>0</v>
      </c>
      <c r="R102" s="15">
        <f>IF(ISNUMBER(Klisz_Verbräuche[[#This Row],[2028]]), Klisz_Verbräuche[[#This Row],[2028]]*Emissionsfaktoren[[#This Row],[2028]]/1000, 0)</f>
        <v>0</v>
      </c>
      <c r="S102" s="15">
        <f>IF(ISNUMBER(Klisz_Verbräuche[[#This Row],[2029]]), Klisz_Verbräuche[[#This Row],[2029]]*Emissionsfaktoren[[#This Row],[2029]]/1000, 0)</f>
        <v>0</v>
      </c>
      <c r="T102" s="15">
        <f>IF(ISNUMBER(Klisz_Verbräuche[[#This Row],[2030]]), Klisz_Verbräuche[[#This Row],[2030]]*Emissionsfaktoren[[#This Row],[2030]]/1000, 0)</f>
        <v>0</v>
      </c>
      <c r="U102" s="15">
        <f>IF(ISNUMBER(Klisz_Verbräuche[[#This Row],[2035]]), Klisz_Verbräuche[[#This Row],[2035]]*Emissionsfaktoren[[#This Row],[2035]]/1000, 0)</f>
        <v>0</v>
      </c>
      <c r="V102" s="15">
        <f>IF(ISNUMBER(Klisz_Verbräuche[[#This Row],[2040]]), Klisz_Verbräuche[[#This Row],[2040]]*Emissionsfaktoren[[#This Row],[2040]]/1000, 0)</f>
        <v>0</v>
      </c>
      <c r="W102" s="15">
        <f>IF(ISNUMBER(Klisz_Verbräuche[[#This Row],[2045]]), Klisz_Verbräuche[[#This Row],[2045]]*Emissionsfaktoren[[#This Row],[2045]]/1000, 0)</f>
        <v>0</v>
      </c>
      <c r="X102" s="15">
        <f>IF(ISNUMBER(Klisz_Verbräuche[[#This Row],[2050]]), Klisz_Verbräuche[[#This Row],[2050]]*Emissionsfaktoren[[#This Row],[2050]]/1000, 0)</f>
        <v>0</v>
      </c>
    </row>
    <row r="103" spans="2:24" ht="16.5" hidden="1" x14ac:dyDescent="0.45">
      <c r="B103" s="15">
        <v>43</v>
      </c>
      <c r="C103" s="20" t="str">
        <f>Refsz_Verbräuche[[#This Row],[Datenpunkt]]</f>
        <v>DR - Privater PKW (alle Antriebsarten)</v>
      </c>
      <c r="D103" t="s">
        <v>208</v>
      </c>
      <c r="E103" s="15">
        <f>IF(ISNUMBER(Klisz_Verbräuche[[#This Row],[2015]]), Klisz_Verbräuche[[#This Row],[2015]]*Emissionsfaktoren[[#This Row],[2015]]/1000, 0)</f>
        <v>0</v>
      </c>
      <c r="F103" s="15">
        <f>IF(ISNUMBER(Klisz_Verbräuche[[#This Row],[2016]]), Klisz_Verbräuche[[#This Row],[2016]]*Emissionsfaktoren[[#This Row],[2016]]/1000, 0)</f>
        <v>0</v>
      </c>
      <c r="G103" s="15">
        <f>IF(ISNUMBER(Klisz_Verbräuche[[#This Row],[2017]]), Klisz_Verbräuche[[#This Row],[2017]]*Emissionsfaktoren[[#This Row],[2017]]/1000, 0)</f>
        <v>0</v>
      </c>
      <c r="H103" s="15">
        <f>IF(ISNUMBER(Klisz_Verbräuche[[#This Row],[2018]]), Klisz_Verbräuche[[#This Row],[2018]]*Emissionsfaktoren[[#This Row],[2018]]/1000, 0)</f>
        <v>0</v>
      </c>
      <c r="I103" s="15">
        <f>IF(ISNUMBER(Klisz_Verbräuche[[#This Row],[2019]]), Klisz_Verbräuche[[#This Row],[2019]]*Emissionsfaktoren[[#This Row],[2019]]/1000, 0)</f>
        <v>0</v>
      </c>
      <c r="J103" s="15">
        <f>IF(ISNUMBER(Klisz_Verbräuche[[#This Row],[2020]]), Klisz_Verbräuche[[#This Row],[2020]]*Emissionsfaktoren[[#This Row],[2020]]/1000, 0)</f>
        <v>0</v>
      </c>
      <c r="K103" s="15">
        <f>IF(ISNUMBER(Klisz_Verbräuche[[#This Row],[2021]]), Klisz_Verbräuche[[#This Row],[2021]]*Emissionsfaktoren[[#This Row],[2021]]/1000, 0)</f>
        <v>0</v>
      </c>
      <c r="L103" s="15">
        <f>IF(ISNUMBER(Klisz_Verbräuche[[#This Row],[2022]]), Klisz_Verbräuche[[#This Row],[2022]]*Emissionsfaktoren[[#This Row],[2022]]/1000, 0)</f>
        <v>0</v>
      </c>
      <c r="M103" s="15">
        <f>IF(ISNUMBER(Klisz_Verbräuche[[#This Row],[2023]]), Klisz_Verbräuche[[#This Row],[2023]]*Emissionsfaktoren[[#This Row],[2023]]/1000, 0)</f>
        <v>0</v>
      </c>
      <c r="N103" s="15">
        <f>IF(ISNUMBER(Klisz_Verbräuche[[#This Row],[2024]]), Klisz_Verbräuche[[#This Row],[2024]]*Emissionsfaktoren[[#This Row],[2024]]/1000, 0)</f>
        <v>0</v>
      </c>
      <c r="O103" s="15">
        <f>IF(ISNUMBER(Klisz_Verbräuche[[#This Row],[2025]]), Klisz_Verbräuche[[#This Row],[2025]]*Emissionsfaktoren[[#This Row],[2025]]/1000, 0)</f>
        <v>0</v>
      </c>
      <c r="P103" s="15">
        <f>IF(ISNUMBER(Klisz_Verbräuche[[#This Row],[2026]]), Klisz_Verbräuche[[#This Row],[2026]]*Emissionsfaktoren[[#This Row],[2026]]/1000, 0)</f>
        <v>0</v>
      </c>
      <c r="Q103" s="15">
        <f>IF(ISNUMBER(Klisz_Verbräuche[[#This Row],[2027]]), Klisz_Verbräuche[[#This Row],[2027]]*Emissionsfaktoren[[#This Row],[2027]]/1000, 0)</f>
        <v>0</v>
      </c>
      <c r="R103" s="15">
        <f>IF(ISNUMBER(Klisz_Verbräuche[[#This Row],[2028]]), Klisz_Verbräuche[[#This Row],[2028]]*Emissionsfaktoren[[#This Row],[2028]]/1000, 0)</f>
        <v>0</v>
      </c>
      <c r="S103" s="15">
        <f>IF(ISNUMBER(Klisz_Verbräuche[[#This Row],[2029]]), Klisz_Verbräuche[[#This Row],[2029]]*Emissionsfaktoren[[#This Row],[2029]]/1000, 0)</f>
        <v>0</v>
      </c>
      <c r="T103" s="15">
        <f>IF(ISNUMBER(Klisz_Verbräuche[[#This Row],[2030]]), Klisz_Verbräuche[[#This Row],[2030]]*Emissionsfaktoren[[#This Row],[2030]]/1000, 0)</f>
        <v>0</v>
      </c>
      <c r="U103" s="15">
        <f>IF(ISNUMBER(Klisz_Verbräuche[[#This Row],[2035]]), Klisz_Verbräuche[[#This Row],[2035]]*Emissionsfaktoren[[#This Row],[2035]]/1000, 0)</f>
        <v>0</v>
      </c>
      <c r="V103" s="15">
        <f>IF(ISNUMBER(Klisz_Verbräuche[[#This Row],[2040]]), Klisz_Verbräuche[[#This Row],[2040]]*Emissionsfaktoren[[#This Row],[2040]]/1000, 0)</f>
        <v>0</v>
      </c>
      <c r="W103" s="15">
        <f>IF(ISNUMBER(Klisz_Verbräuche[[#This Row],[2045]]), Klisz_Verbräuche[[#This Row],[2045]]*Emissionsfaktoren[[#This Row],[2045]]/1000, 0)</f>
        <v>0</v>
      </c>
      <c r="X103" s="15">
        <f>IF(ISNUMBER(Klisz_Verbräuche[[#This Row],[2050]]), Klisz_Verbräuche[[#This Row],[2050]]*Emissionsfaktoren[[#This Row],[2050]]/1000, 0)</f>
        <v>0</v>
      </c>
    </row>
    <row r="104" spans="2:24" ht="16.5" hidden="1" x14ac:dyDescent="0.45">
      <c r="B104" s="15">
        <v>44</v>
      </c>
      <c r="C104" s="20" t="str">
        <f>Refsz_Verbräuche[[#This Row],[Datenpunkt]]</f>
        <v>DR - Privater PKW (Diesel)</v>
      </c>
      <c r="D104" t="s">
        <v>208</v>
      </c>
      <c r="E104" s="15">
        <f>IF(ISNUMBER(Klisz_Verbräuche[[#This Row],[2015]]), Klisz_Verbräuche[[#This Row],[2015]]*Emissionsfaktoren[[#This Row],[2015]]/1000, 0)</f>
        <v>0</v>
      </c>
      <c r="F104" s="15">
        <f>IF(ISNUMBER(Klisz_Verbräuche[[#This Row],[2016]]), Klisz_Verbräuche[[#This Row],[2016]]*Emissionsfaktoren[[#This Row],[2016]]/1000, 0)</f>
        <v>0</v>
      </c>
      <c r="G104" s="15">
        <f>IF(ISNUMBER(Klisz_Verbräuche[[#This Row],[2017]]), Klisz_Verbräuche[[#This Row],[2017]]*Emissionsfaktoren[[#This Row],[2017]]/1000, 0)</f>
        <v>0</v>
      </c>
      <c r="H104" s="15">
        <f>IF(ISNUMBER(Klisz_Verbräuche[[#This Row],[2018]]), Klisz_Verbräuche[[#This Row],[2018]]*Emissionsfaktoren[[#This Row],[2018]]/1000, 0)</f>
        <v>0</v>
      </c>
      <c r="I104" s="15">
        <f>IF(ISNUMBER(Klisz_Verbräuche[[#This Row],[2019]]), Klisz_Verbräuche[[#This Row],[2019]]*Emissionsfaktoren[[#This Row],[2019]]/1000, 0)</f>
        <v>0</v>
      </c>
      <c r="J104" s="15">
        <f>IF(ISNUMBER(Klisz_Verbräuche[[#This Row],[2020]]), Klisz_Verbräuche[[#This Row],[2020]]*Emissionsfaktoren[[#This Row],[2020]]/1000, 0)</f>
        <v>0</v>
      </c>
      <c r="K104" s="15">
        <f>IF(ISNUMBER(Klisz_Verbräuche[[#This Row],[2021]]), Klisz_Verbräuche[[#This Row],[2021]]*Emissionsfaktoren[[#This Row],[2021]]/1000, 0)</f>
        <v>0</v>
      </c>
      <c r="L104" s="15">
        <f>IF(ISNUMBER(Klisz_Verbräuche[[#This Row],[2022]]), Klisz_Verbräuche[[#This Row],[2022]]*Emissionsfaktoren[[#This Row],[2022]]/1000, 0)</f>
        <v>0</v>
      </c>
      <c r="M104" s="15">
        <f>IF(ISNUMBER(Klisz_Verbräuche[[#This Row],[2023]]), Klisz_Verbräuche[[#This Row],[2023]]*Emissionsfaktoren[[#This Row],[2023]]/1000, 0)</f>
        <v>0</v>
      </c>
      <c r="N104" s="15">
        <f>IF(ISNUMBER(Klisz_Verbräuche[[#This Row],[2024]]), Klisz_Verbräuche[[#This Row],[2024]]*Emissionsfaktoren[[#This Row],[2024]]/1000, 0)</f>
        <v>0</v>
      </c>
      <c r="O104" s="15">
        <f>IF(ISNUMBER(Klisz_Verbräuche[[#This Row],[2025]]), Klisz_Verbräuche[[#This Row],[2025]]*Emissionsfaktoren[[#This Row],[2025]]/1000, 0)</f>
        <v>0</v>
      </c>
      <c r="P104" s="15">
        <f>IF(ISNUMBER(Klisz_Verbräuche[[#This Row],[2026]]), Klisz_Verbräuche[[#This Row],[2026]]*Emissionsfaktoren[[#This Row],[2026]]/1000, 0)</f>
        <v>0</v>
      </c>
      <c r="Q104" s="15">
        <f>IF(ISNUMBER(Klisz_Verbräuche[[#This Row],[2027]]), Klisz_Verbräuche[[#This Row],[2027]]*Emissionsfaktoren[[#This Row],[2027]]/1000, 0)</f>
        <v>0</v>
      </c>
      <c r="R104" s="15">
        <f>IF(ISNUMBER(Klisz_Verbräuche[[#This Row],[2028]]), Klisz_Verbräuche[[#This Row],[2028]]*Emissionsfaktoren[[#This Row],[2028]]/1000, 0)</f>
        <v>0</v>
      </c>
      <c r="S104" s="15">
        <f>IF(ISNUMBER(Klisz_Verbräuche[[#This Row],[2029]]), Klisz_Verbräuche[[#This Row],[2029]]*Emissionsfaktoren[[#This Row],[2029]]/1000, 0)</f>
        <v>0</v>
      </c>
      <c r="T104" s="15">
        <f>IF(ISNUMBER(Klisz_Verbräuche[[#This Row],[2030]]), Klisz_Verbräuche[[#This Row],[2030]]*Emissionsfaktoren[[#This Row],[2030]]/1000, 0)</f>
        <v>0</v>
      </c>
      <c r="U104" s="15">
        <f>IF(ISNUMBER(Klisz_Verbräuche[[#This Row],[2035]]), Klisz_Verbräuche[[#This Row],[2035]]*Emissionsfaktoren[[#This Row],[2035]]/1000, 0)</f>
        <v>0</v>
      </c>
      <c r="V104" s="15">
        <f>IF(ISNUMBER(Klisz_Verbräuche[[#This Row],[2040]]), Klisz_Verbräuche[[#This Row],[2040]]*Emissionsfaktoren[[#This Row],[2040]]/1000, 0)</f>
        <v>0</v>
      </c>
      <c r="W104" s="15">
        <f>IF(ISNUMBER(Klisz_Verbräuche[[#This Row],[2045]]), Klisz_Verbräuche[[#This Row],[2045]]*Emissionsfaktoren[[#This Row],[2045]]/1000, 0)</f>
        <v>0</v>
      </c>
      <c r="X104" s="15">
        <f>IF(ISNUMBER(Klisz_Verbräuche[[#This Row],[2050]]), Klisz_Verbräuche[[#This Row],[2050]]*Emissionsfaktoren[[#This Row],[2050]]/1000, 0)</f>
        <v>0</v>
      </c>
    </row>
    <row r="105" spans="2:24" ht="16.5" hidden="1" x14ac:dyDescent="0.45">
      <c r="B105" s="15">
        <v>45</v>
      </c>
      <c r="C105" s="20" t="str">
        <f>Refsz_Verbräuche[[#This Row],[Datenpunkt]]</f>
        <v>DR - Privater PKW (Benzin)</v>
      </c>
      <c r="D105" t="s">
        <v>208</v>
      </c>
      <c r="E105" s="15">
        <f>IF(ISNUMBER(Klisz_Verbräuche[[#This Row],[2015]]), Klisz_Verbräuche[[#This Row],[2015]]*Emissionsfaktoren[[#This Row],[2015]]/1000, 0)</f>
        <v>0</v>
      </c>
      <c r="F105" s="15">
        <f>IF(ISNUMBER(Klisz_Verbräuche[[#This Row],[2016]]), Klisz_Verbräuche[[#This Row],[2016]]*Emissionsfaktoren[[#This Row],[2016]]/1000, 0)</f>
        <v>0</v>
      </c>
      <c r="G105" s="15">
        <f>IF(ISNUMBER(Klisz_Verbräuche[[#This Row],[2017]]), Klisz_Verbräuche[[#This Row],[2017]]*Emissionsfaktoren[[#This Row],[2017]]/1000, 0)</f>
        <v>0</v>
      </c>
      <c r="H105" s="15">
        <f>IF(ISNUMBER(Klisz_Verbräuche[[#This Row],[2018]]), Klisz_Verbräuche[[#This Row],[2018]]*Emissionsfaktoren[[#This Row],[2018]]/1000, 0)</f>
        <v>0</v>
      </c>
      <c r="I105" s="15">
        <f>IF(ISNUMBER(Klisz_Verbräuche[[#This Row],[2019]]), Klisz_Verbräuche[[#This Row],[2019]]*Emissionsfaktoren[[#This Row],[2019]]/1000, 0)</f>
        <v>0</v>
      </c>
      <c r="J105" s="15">
        <f>IF(ISNUMBER(Klisz_Verbräuche[[#This Row],[2020]]), Klisz_Verbräuche[[#This Row],[2020]]*Emissionsfaktoren[[#This Row],[2020]]/1000, 0)</f>
        <v>0</v>
      </c>
      <c r="K105" s="15">
        <f>IF(ISNUMBER(Klisz_Verbräuche[[#This Row],[2021]]), Klisz_Verbräuche[[#This Row],[2021]]*Emissionsfaktoren[[#This Row],[2021]]/1000, 0)</f>
        <v>0</v>
      </c>
      <c r="L105" s="15">
        <f>IF(ISNUMBER(Klisz_Verbräuche[[#This Row],[2022]]), Klisz_Verbräuche[[#This Row],[2022]]*Emissionsfaktoren[[#This Row],[2022]]/1000, 0)</f>
        <v>0</v>
      </c>
      <c r="M105" s="15">
        <f>IF(ISNUMBER(Klisz_Verbräuche[[#This Row],[2023]]), Klisz_Verbräuche[[#This Row],[2023]]*Emissionsfaktoren[[#This Row],[2023]]/1000, 0)</f>
        <v>0</v>
      </c>
      <c r="N105" s="15">
        <f>IF(ISNUMBER(Klisz_Verbräuche[[#This Row],[2024]]), Klisz_Verbräuche[[#This Row],[2024]]*Emissionsfaktoren[[#This Row],[2024]]/1000, 0)</f>
        <v>0</v>
      </c>
      <c r="O105" s="15">
        <f>IF(ISNUMBER(Klisz_Verbräuche[[#This Row],[2025]]), Klisz_Verbräuche[[#This Row],[2025]]*Emissionsfaktoren[[#This Row],[2025]]/1000, 0)</f>
        <v>0</v>
      </c>
      <c r="P105" s="15">
        <f>IF(ISNUMBER(Klisz_Verbräuche[[#This Row],[2026]]), Klisz_Verbräuche[[#This Row],[2026]]*Emissionsfaktoren[[#This Row],[2026]]/1000, 0)</f>
        <v>0</v>
      </c>
      <c r="Q105" s="15">
        <f>IF(ISNUMBER(Klisz_Verbräuche[[#This Row],[2027]]), Klisz_Verbräuche[[#This Row],[2027]]*Emissionsfaktoren[[#This Row],[2027]]/1000, 0)</f>
        <v>0</v>
      </c>
      <c r="R105" s="15">
        <f>IF(ISNUMBER(Klisz_Verbräuche[[#This Row],[2028]]), Klisz_Verbräuche[[#This Row],[2028]]*Emissionsfaktoren[[#This Row],[2028]]/1000, 0)</f>
        <v>0</v>
      </c>
      <c r="S105" s="15">
        <f>IF(ISNUMBER(Klisz_Verbräuche[[#This Row],[2029]]), Klisz_Verbräuche[[#This Row],[2029]]*Emissionsfaktoren[[#This Row],[2029]]/1000, 0)</f>
        <v>0</v>
      </c>
      <c r="T105" s="15">
        <f>IF(ISNUMBER(Klisz_Verbräuche[[#This Row],[2030]]), Klisz_Verbräuche[[#This Row],[2030]]*Emissionsfaktoren[[#This Row],[2030]]/1000, 0)</f>
        <v>0</v>
      </c>
      <c r="U105" s="15">
        <f>IF(ISNUMBER(Klisz_Verbräuche[[#This Row],[2035]]), Klisz_Verbräuche[[#This Row],[2035]]*Emissionsfaktoren[[#This Row],[2035]]/1000, 0)</f>
        <v>0</v>
      </c>
      <c r="V105" s="15">
        <f>IF(ISNUMBER(Klisz_Verbräuche[[#This Row],[2040]]), Klisz_Verbräuche[[#This Row],[2040]]*Emissionsfaktoren[[#This Row],[2040]]/1000, 0)</f>
        <v>0</v>
      </c>
      <c r="W105" s="15">
        <f>IF(ISNUMBER(Klisz_Verbräuche[[#This Row],[2045]]), Klisz_Verbräuche[[#This Row],[2045]]*Emissionsfaktoren[[#This Row],[2045]]/1000, 0)</f>
        <v>0</v>
      </c>
      <c r="X105" s="15">
        <f>IF(ISNUMBER(Klisz_Verbräuche[[#This Row],[2050]]), Klisz_Verbräuche[[#This Row],[2050]]*Emissionsfaktoren[[#This Row],[2050]]/1000, 0)</f>
        <v>0</v>
      </c>
    </row>
    <row r="106" spans="2:24" ht="16.5" hidden="1" x14ac:dyDescent="0.45">
      <c r="B106" s="15">
        <v>46</v>
      </c>
      <c r="C106" s="20" t="str">
        <f>Refsz_Verbräuche[[#This Row],[Datenpunkt]]</f>
        <v>DR - Mietwägen (Diesel)</v>
      </c>
      <c r="D106" t="s">
        <v>208</v>
      </c>
      <c r="E106" s="15">
        <f>IF(ISNUMBER(Klisz_Verbräuche[[#This Row],[2015]]), Klisz_Verbräuche[[#This Row],[2015]]*Emissionsfaktoren[[#This Row],[2015]]/1000, 0)</f>
        <v>0</v>
      </c>
      <c r="F106" s="15">
        <f>IF(ISNUMBER(Klisz_Verbräuche[[#This Row],[2016]]), Klisz_Verbräuche[[#This Row],[2016]]*Emissionsfaktoren[[#This Row],[2016]]/1000, 0)</f>
        <v>0</v>
      </c>
      <c r="G106" s="15">
        <f>IF(ISNUMBER(Klisz_Verbräuche[[#This Row],[2017]]), Klisz_Verbräuche[[#This Row],[2017]]*Emissionsfaktoren[[#This Row],[2017]]/1000, 0)</f>
        <v>0</v>
      </c>
      <c r="H106" s="15">
        <f>IF(ISNUMBER(Klisz_Verbräuche[[#This Row],[2018]]), Klisz_Verbräuche[[#This Row],[2018]]*Emissionsfaktoren[[#This Row],[2018]]/1000, 0)</f>
        <v>0</v>
      </c>
      <c r="I106" s="15">
        <f>IF(ISNUMBER(Klisz_Verbräuche[[#This Row],[2019]]), Klisz_Verbräuche[[#This Row],[2019]]*Emissionsfaktoren[[#This Row],[2019]]/1000, 0)</f>
        <v>0</v>
      </c>
      <c r="J106" s="15">
        <f>IF(ISNUMBER(Klisz_Verbräuche[[#This Row],[2020]]), Klisz_Verbräuche[[#This Row],[2020]]*Emissionsfaktoren[[#This Row],[2020]]/1000, 0)</f>
        <v>0</v>
      </c>
      <c r="K106" s="15">
        <f>IF(ISNUMBER(Klisz_Verbräuche[[#This Row],[2021]]), Klisz_Verbräuche[[#This Row],[2021]]*Emissionsfaktoren[[#This Row],[2021]]/1000, 0)</f>
        <v>0</v>
      </c>
      <c r="L106" s="15">
        <f>IF(ISNUMBER(Klisz_Verbräuche[[#This Row],[2022]]), Klisz_Verbräuche[[#This Row],[2022]]*Emissionsfaktoren[[#This Row],[2022]]/1000, 0)</f>
        <v>0</v>
      </c>
      <c r="M106" s="15">
        <f>IF(ISNUMBER(Klisz_Verbräuche[[#This Row],[2023]]), Klisz_Verbräuche[[#This Row],[2023]]*Emissionsfaktoren[[#This Row],[2023]]/1000, 0)</f>
        <v>0</v>
      </c>
      <c r="N106" s="15">
        <f>IF(ISNUMBER(Klisz_Verbräuche[[#This Row],[2024]]), Klisz_Verbräuche[[#This Row],[2024]]*Emissionsfaktoren[[#This Row],[2024]]/1000, 0)</f>
        <v>0</v>
      </c>
      <c r="O106" s="15">
        <f>IF(ISNUMBER(Klisz_Verbräuche[[#This Row],[2025]]), Klisz_Verbräuche[[#This Row],[2025]]*Emissionsfaktoren[[#This Row],[2025]]/1000, 0)</f>
        <v>0</v>
      </c>
      <c r="P106" s="15">
        <f>IF(ISNUMBER(Klisz_Verbräuche[[#This Row],[2026]]), Klisz_Verbräuche[[#This Row],[2026]]*Emissionsfaktoren[[#This Row],[2026]]/1000, 0)</f>
        <v>0</v>
      </c>
      <c r="Q106" s="15">
        <f>IF(ISNUMBER(Klisz_Verbräuche[[#This Row],[2027]]), Klisz_Verbräuche[[#This Row],[2027]]*Emissionsfaktoren[[#This Row],[2027]]/1000, 0)</f>
        <v>0</v>
      </c>
      <c r="R106" s="15">
        <f>IF(ISNUMBER(Klisz_Verbräuche[[#This Row],[2028]]), Klisz_Verbräuche[[#This Row],[2028]]*Emissionsfaktoren[[#This Row],[2028]]/1000, 0)</f>
        <v>0</v>
      </c>
      <c r="S106" s="15">
        <f>IF(ISNUMBER(Klisz_Verbräuche[[#This Row],[2029]]), Klisz_Verbräuche[[#This Row],[2029]]*Emissionsfaktoren[[#This Row],[2029]]/1000, 0)</f>
        <v>0</v>
      </c>
      <c r="T106" s="15">
        <f>IF(ISNUMBER(Klisz_Verbräuche[[#This Row],[2030]]), Klisz_Verbräuche[[#This Row],[2030]]*Emissionsfaktoren[[#This Row],[2030]]/1000, 0)</f>
        <v>0</v>
      </c>
      <c r="U106" s="15">
        <f>IF(ISNUMBER(Klisz_Verbräuche[[#This Row],[2035]]), Klisz_Verbräuche[[#This Row],[2035]]*Emissionsfaktoren[[#This Row],[2035]]/1000, 0)</f>
        <v>0</v>
      </c>
      <c r="V106" s="15">
        <f>IF(ISNUMBER(Klisz_Verbräuche[[#This Row],[2040]]), Klisz_Verbräuche[[#This Row],[2040]]*Emissionsfaktoren[[#This Row],[2040]]/1000, 0)</f>
        <v>0</v>
      </c>
      <c r="W106" s="15">
        <f>IF(ISNUMBER(Klisz_Verbräuche[[#This Row],[2045]]), Klisz_Verbräuche[[#This Row],[2045]]*Emissionsfaktoren[[#This Row],[2045]]/1000, 0)</f>
        <v>0</v>
      </c>
      <c r="X106" s="15">
        <f>IF(ISNUMBER(Klisz_Verbräuche[[#This Row],[2050]]), Klisz_Verbräuche[[#This Row],[2050]]*Emissionsfaktoren[[#This Row],[2050]]/1000, 0)</f>
        <v>0</v>
      </c>
    </row>
    <row r="107" spans="2:24" ht="16.5" hidden="1" x14ac:dyDescent="0.45">
      <c r="B107" s="15">
        <v>47</v>
      </c>
      <c r="C107" s="20" t="str">
        <f>Refsz_Verbräuche[[#This Row],[Datenpunkt]]</f>
        <v>DR - Mietwägen (Benzin)</v>
      </c>
      <c r="D107" t="s">
        <v>208</v>
      </c>
      <c r="E107" s="15">
        <f>IF(ISNUMBER(Klisz_Verbräuche[[#This Row],[2015]]), Klisz_Verbräuche[[#This Row],[2015]]*Emissionsfaktoren[[#This Row],[2015]]/1000, 0)</f>
        <v>0</v>
      </c>
      <c r="F107" s="15">
        <f>IF(ISNUMBER(Klisz_Verbräuche[[#This Row],[2016]]), Klisz_Verbräuche[[#This Row],[2016]]*Emissionsfaktoren[[#This Row],[2016]]/1000, 0)</f>
        <v>0</v>
      </c>
      <c r="G107" s="15">
        <f>IF(ISNUMBER(Klisz_Verbräuche[[#This Row],[2017]]), Klisz_Verbräuche[[#This Row],[2017]]*Emissionsfaktoren[[#This Row],[2017]]/1000, 0)</f>
        <v>0</v>
      </c>
      <c r="H107" s="15">
        <f>IF(ISNUMBER(Klisz_Verbräuche[[#This Row],[2018]]), Klisz_Verbräuche[[#This Row],[2018]]*Emissionsfaktoren[[#This Row],[2018]]/1000, 0)</f>
        <v>0</v>
      </c>
      <c r="I107" s="15">
        <f>IF(ISNUMBER(Klisz_Verbräuche[[#This Row],[2019]]), Klisz_Verbräuche[[#This Row],[2019]]*Emissionsfaktoren[[#This Row],[2019]]/1000, 0)</f>
        <v>0</v>
      </c>
      <c r="J107" s="15">
        <f>IF(ISNUMBER(Klisz_Verbräuche[[#This Row],[2020]]), Klisz_Verbräuche[[#This Row],[2020]]*Emissionsfaktoren[[#This Row],[2020]]/1000, 0)</f>
        <v>0</v>
      </c>
      <c r="K107" s="15">
        <f>IF(ISNUMBER(Klisz_Verbräuche[[#This Row],[2021]]), Klisz_Verbräuche[[#This Row],[2021]]*Emissionsfaktoren[[#This Row],[2021]]/1000, 0)</f>
        <v>0</v>
      </c>
      <c r="L107" s="15">
        <f>IF(ISNUMBER(Klisz_Verbräuche[[#This Row],[2022]]), Klisz_Verbräuche[[#This Row],[2022]]*Emissionsfaktoren[[#This Row],[2022]]/1000, 0)</f>
        <v>0</v>
      </c>
      <c r="M107" s="15">
        <f>IF(ISNUMBER(Klisz_Verbräuche[[#This Row],[2023]]), Klisz_Verbräuche[[#This Row],[2023]]*Emissionsfaktoren[[#This Row],[2023]]/1000, 0)</f>
        <v>0</v>
      </c>
      <c r="N107" s="15">
        <f>IF(ISNUMBER(Klisz_Verbräuche[[#This Row],[2024]]), Klisz_Verbräuche[[#This Row],[2024]]*Emissionsfaktoren[[#This Row],[2024]]/1000, 0)</f>
        <v>0</v>
      </c>
      <c r="O107" s="15">
        <f>IF(ISNUMBER(Klisz_Verbräuche[[#This Row],[2025]]), Klisz_Verbräuche[[#This Row],[2025]]*Emissionsfaktoren[[#This Row],[2025]]/1000, 0)</f>
        <v>0</v>
      </c>
      <c r="P107" s="15">
        <f>IF(ISNUMBER(Klisz_Verbräuche[[#This Row],[2026]]), Klisz_Verbräuche[[#This Row],[2026]]*Emissionsfaktoren[[#This Row],[2026]]/1000, 0)</f>
        <v>0</v>
      </c>
      <c r="Q107" s="15">
        <f>IF(ISNUMBER(Klisz_Verbräuche[[#This Row],[2027]]), Klisz_Verbräuche[[#This Row],[2027]]*Emissionsfaktoren[[#This Row],[2027]]/1000, 0)</f>
        <v>0</v>
      </c>
      <c r="R107" s="15">
        <f>IF(ISNUMBER(Klisz_Verbräuche[[#This Row],[2028]]), Klisz_Verbräuche[[#This Row],[2028]]*Emissionsfaktoren[[#This Row],[2028]]/1000, 0)</f>
        <v>0</v>
      </c>
      <c r="S107" s="15">
        <f>IF(ISNUMBER(Klisz_Verbräuche[[#This Row],[2029]]), Klisz_Verbräuche[[#This Row],[2029]]*Emissionsfaktoren[[#This Row],[2029]]/1000, 0)</f>
        <v>0</v>
      </c>
      <c r="T107" s="15">
        <f>IF(ISNUMBER(Klisz_Verbräuche[[#This Row],[2030]]), Klisz_Verbräuche[[#This Row],[2030]]*Emissionsfaktoren[[#This Row],[2030]]/1000, 0)</f>
        <v>0</v>
      </c>
      <c r="U107" s="15">
        <f>IF(ISNUMBER(Klisz_Verbräuche[[#This Row],[2035]]), Klisz_Verbräuche[[#This Row],[2035]]*Emissionsfaktoren[[#This Row],[2035]]/1000, 0)</f>
        <v>0</v>
      </c>
      <c r="V107" s="15">
        <f>IF(ISNUMBER(Klisz_Verbräuche[[#This Row],[2040]]), Klisz_Verbräuche[[#This Row],[2040]]*Emissionsfaktoren[[#This Row],[2040]]/1000, 0)</f>
        <v>0</v>
      </c>
      <c r="W107" s="15">
        <f>IF(ISNUMBER(Klisz_Verbräuche[[#This Row],[2045]]), Klisz_Verbräuche[[#This Row],[2045]]*Emissionsfaktoren[[#This Row],[2045]]/1000, 0)</f>
        <v>0</v>
      </c>
      <c r="X107" s="15">
        <f>IF(ISNUMBER(Klisz_Verbräuche[[#This Row],[2050]]), Klisz_Verbräuche[[#This Row],[2050]]*Emissionsfaktoren[[#This Row],[2050]]/1000, 0)</f>
        <v>0</v>
      </c>
    </row>
    <row r="108" spans="2:24" ht="16.5" hidden="1" x14ac:dyDescent="0.45">
      <c r="B108" s="15">
        <v>48</v>
      </c>
      <c r="C108" s="20" t="str">
        <f>Refsz_Verbräuche[[#This Row],[Datenpunkt]]</f>
        <v>DR - Mietwägen (E-Auto/ BEV)</v>
      </c>
      <c r="D108" t="s">
        <v>208</v>
      </c>
      <c r="E108" s="15">
        <f>IF(ISNUMBER(Klisz_Verbräuche[[#This Row],[2015]]), Klisz_Verbräuche[[#This Row],[2015]]*Emissionsfaktoren[[#This Row],[2015]]/1000, 0)</f>
        <v>0</v>
      </c>
      <c r="F108" s="15">
        <f>IF(ISNUMBER(Klisz_Verbräuche[[#This Row],[2016]]), Klisz_Verbräuche[[#This Row],[2016]]*Emissionsfaktoren[[#This Row],[2016]]/1000, 0)</f>
        <v>0</v>
      </c>
      <c r="G108" s="15">
        <f>IF(ISNUMBER(Klisz_Verbräuche[[#This Row],[2017]]), Klisz_Verbräuche[[#This Row],[2017]]*Emissionsfaktoren[[#This Row],[2017]]/1000, 0)</f>
        <v>0</v>
      </c>
      <c r="H108" s="15">
        <f>IF(ISNUMBER(Klisz_Verbräuche[[#This Row],[2018]]), Klisz_Verbräuche[[#This Row],[2018]]*Emissionsfaktoren[[#This Row],[2018]]/1000, 0)</f>
        <v>0</v>
      </c>
      <c r="I108" s="15">
        <f>IF(ISNUMBER(Klisz_Verbräuche[[#This Row],[2019]]), Klisz_Verbräuche[[#This Row],[2019]]*Emissionsfaktoren[[#This Row],[2019]]/1000, 0)</f>
        <v>0</v>
      </c>
      <c r="J108" s="15">
        <f>IF(ISNUMBER(Klisz_Verbräuche[[#This Row],[2020]]), Klisz_Verbräuche[[#This Row],[2020]]*Emissionsfaktoren[[#This Row],[2020]]/1000, 0)</f>
        <v>0</v>
      </c>
      <c r="K108" s="15">
        <f>IF(ISNUMBER(Klisz_Verbräuche[[#This Row],[2021]]), Klisz_Verbräuche[[#This Row],[2021]]*Emissionsfaktoren[[#This Row],[2021]]/1000, 0)</f>
        <v>0</v>
      </c>
      <c r="L108" s="15">
        <f>IF(ISNUMBER(Klisz_Verbräuche[[#This Row],[2022]]), Klisz_Verbräuche[[#This Row],[2022]]*Emissionsfaktoren[[#This Row],[2022]]/1000, 0)</f>
        <v>0</v>
      </c>
      <c r="M108" s="15">
        <f>IF(ISNUMBER(Klisz_Verbräuche[[#This Row],[2023]]), Klisz_Verbräuche[[#This Row],[2023]]*Emissionsfaktoren[[#This Row],[2023]]/1000, 0)</f>
        <v>0</v>
      </c>
      <c r="N108" s="15">
        <f>IF(ISNUMBER(Klisz_Verbräuche[[#This Row],[2024]]), Klisz_Verbräuche[[#This Row],[2024]]*Emissionsfaktoren[[#This Row],[2024]]/1000, 0)</f>
        <v>0</v>
      </c>
      <c r="O108" s="15">
        <f>IF(ISNUMBER(Klisz_Verbräuche[[#This Row],[2025]]), Klisz_Verbräuche[[#This Row],[2025]]*Emissionsfaktoren[[#This Row],[2025]]/1000, 0)</f>
        <v>0</v>
      </c>
      <c r="P108" s="15">
        <f>IF(ISNUMBER(Klisz_Verbräuche[[#This Row],[2026]]), Klisz_Verbräuche[[#This Row],[2026]]*Emissionsfaktoren[[#This Row],[2026]]/1000, 0)</f>
        <v>0</v>
      </c>
      <c r="Q108" s="15">
        <f>IF(ISNUMBER(Klisz_Verbräuche[[#This Row],[2027]]), Klisz_Verbräuche[[#This Row],[2027]]*Emissionsfaktoren[[#This Row],[2027]]/1000, 0)</f>
        <v>0</v>
      </c>
      <c r="R108" s="15">
        <f>IF(ISNUMBER(Klisz_Verbräuche[[#This Row],[2028]]), Klisz_Verbräuche[[#This Row],[2028]]*Emissionsfaktoren[[#This Row],[2028]]/1000, 0)</f>
        <v>0</v>
      </c>
      <c r="S108" s="15">
        <f>IF(ISNUMBER(Klisz_Verbräuche[[#This Row],[2029]]), Klisz_Verbräuche[[#This Row],[2029]]*Emissionsfaktoren[[#This Row],[2029]]/1000, 0)</f>
        <v>0</v>
      </c>
      <c r="T108" s="15">
        <f>IF(ISNUMBER(Klisz_Verbräuche[[#This Row],[2030]]), Klisz_Verbräuche[[#This Row],[2030]]*Emissionsfaktoren[[#This Row],[2030]]/1000, 0)</f>
        <v>0</v>
      </c>
      <c r="U108" s="15">
        <f>IF(ISNUMBER(Klisz_Verbräuche[[#This Row],[2035]]), Klisz_Verbräuche[[#This Row],[2035]]*Emissionsfaktoren[[#This Row],[2035]]/1000, 0)</f>
        <v>0</v>
      </c>
      <c r="V108" s="15">
        <f>IF(ISNUMBER(Klisz_Verbräuche[[#This Row],[2040]]), Klisz_Verbräuche[[#This Row],[2040]]*Emissionsfaktoren[[#This Row],[2040]]/1000, 0)</f>
        <v>0</v>
      </c>
      <c r="W108" s="15">
        <f>IF(ISNUMBER(Klisz_Verbräuche[[#This Row],[2045]]), Klisz_Verbräuche[[#This Row],[2045]]*Emissionsfaktoren[[#This Row],[2045]]/1000, 0)</f>
        <v>0</v>
      </c>
      <c r="X108" s="15">
        <f>IF(ISNUMBER(Klisz_Verbräuche[[#This Row],[2050]]), Klisz_Verbräuche[[#This Row],[2050]]*Emissionsfaktoren[[#This Row],[2050]]/1000, 0)</f>
        <v>0</v>
      </c>
    </row>
    <row r="109" spans="2:24" ht="16.5" hidden="1" x14ac:dyDescent="0.45">
      <c r="B109" s="15">
        <v>49</v>
      </c>
      <c r="C109" s="20" t="str">
        <f>Refsz_Verbräuche[[#This Row],[Datenpunkt]]</f>
        <v>DR - Mietwägen (Wasserstoff/ FCEV)</v>
      </c>
      <c r="D109" t="s">
        <v>208</v>
      </c>
      <c r="E109" s="15">
        <f>IF(ISNUMBER(Klisz_Verbräuche[[#This Row],[2015]]), Klisz_Verbräuche[[#This Row],[2015]]*Emissionsfaktoren[[#This Row],[2015]]/1000, 0)</f>
        <v>0</v>
      </c>
      <c r="F109" s="15">
        <f>IF(ISNUMBER(Klisz_Verbräuche[[#This Row],[2016]]), Klisz_Verbräuche[[#This Row],[2016]]*Emissionsfaktoren[[#This Row],[2016]]/1000, 0)</f>
        <v>0</v>
      </c>
      <c r="G109" s="15">
        <f>IF(ISNUMBER(Klisz_Verbräuche[[#This Row],[2017]]), Klisz_Verbräuche[[#This Row],[2017]]*Emissionsfaktoren[[#This Row],[2017]]/1000, 0)</f>
        <v>0</v>
      </c>
      <c r="H109" s="15">
        <f>IF(ISNUMBER(Klisz_Verbräuche[[#This Row],[2018]]), Klisz_Verbräuche[[#This Row],[2018]]*Emissionsfaktoren[[#This Row],[2018]]/1000, 0)</f>
        <v>0</v>
      </c>
      <c r="I109" s="15">
        <f>IF(ISNUMBER(Klisz_Verbräuche[[#This Row],[2019]]), Klisz_Verbräuche[[#This Row],[2019]]*Emissionsfaktoren[[#This Row],[2019]]/1000, 0)</f>
        <v>0</v>
      </c>
      <c r="J109" s="15">
        <f>IF(ISNUMBER(Klisz_Verbräuche[[#This Row],[2020]]), Klisz_Verbräuche[[#This Row],[2020]]*Emissionsfaktoren[[#This Row],[2020]]/1000, 0)</f>
        <v>0</v>
      </c>
      <c r="K109" s="15">
        <f>IF(ISNUMBER(Klisz_Verbräuche[[#This Row],[2021]]), Klisz_Verbräuche[[#This Row],[2021]]*Emissionsfaktoren[[#This Row],[2021]]/1000, 0)</f>
        <v>0</v>
      </c>
      <c r="L109" s="15">
        <f>IF(ISNUMBER(Klisz_Verbräuche[[#This Row],[2022]]), Klisz_Verbräuche[[#This Row],[2022]]*Emissionsfaktoren[[#This Row],[2022]]/1000, 0)</f>
        <v>0</v>
      </c>
      <c r="M109" s="15">
        <f>IF(ISNUMBER(Klisz_Verbräuche[[#This Row],[2023]]), Klisz_Verbräuche[[#This Row],[2023]]*Emissionsfaktoren[[#This Row],[2023]]/1000, 0)</f>
        <v>0</v>
      </c>
      <c r="N109" s="15">
        <f>IF(ISNUMBER(Klisz_Verbräuche[[#This Row],[2024]]), Klisz_Verbräuche[[#This Row],[2024]]*Emissionsfaktoren[[#This Row],[2024]]/1000, 0)</f>
        <v>0</v>
      </c>
      <c r="O109" s="15">
        <f>IF(ISNUMBER(Klisz_Verbräuche[[#This Row],[2025]]), Klisz_Verbräuche[[#This Row],[2025]]*Emissionsfaktoren[[#This Row],[2025]]/1000, 0)</f>
        <v>0</v>
      </c>
      <c r="P109" s="15">
        <f>IF(ISNUMBER(Klisz_Verbräuche[[#This Row],[2026]]), Klisz_Verbräuche[[#This Row],[2026]]*Emissionsfaktoren[[#This Row],[2026]]/1000, 0)</f>
        <v>0</v>
      </c>
      <c r="Q109" s="15">
        <f>IF(ISNUMBER(Klisz_Verbräuche[[#This Row],[2027]]), Klisz_Verbräuche[[#This Row],[2027]]*Emissionsfaktoren[[#This Row],[2027]]/1000, 0)</f>
        <v>0</v>
      </c>
      <c r="R109" s="15">
        <f>IF(ISNUMBER(Klisz_Verbräuche[[#This Row],[2028]]), Klisz_Verbräuche[[#This Row],[2028]]*Emissionsfaktoren[[#This Row],[2028]]/1000, 0)</f>
        <v>0</v>
      </c>
      <c r="S109" s="15">
        <f>IF(ISNUMBER(Klisz_Verbräuche[[#This Row],[2029]]), Klisz_Verbräuche[[#This Row],[2029]]*Emissionsfaktoren[[#This Row],[2029]]/1000, 0)</f>
        <v>0</v>
      </c>
      <c r="T109" s="15">
        <f>IF(ISNUMBER(Klisz_Verbräuche[[#This Row],[2030]]), Klisz_Verbräuche[[#This Row],[2030]]*Emissionsfaktoren[[#This Row],[2030]]/1000, 0)</f>
        <v>0</v>
      </c>
      <c r="U109" s="15">
        <f>IF(ISNUMBER(Klisz_Verbräuche[[#This Row],[2035]]), Klisz_Verbräuche[[#This Row],[2035]]*Emissionsfaktoren[[#This Row],[2035]]/1000, 0)</f>
        <v>0</v>
      </c>
      <c r="V109" s="15">
        <f>IF(ISNUMBER(Klisz_Verbräuche[[#This Row],[2040]]), Klisz_Verbräuche[[#This Row],[2040]]*Emissionsfaktoren[[#This Row],[2040]]/1000, 0)</f>
        <v>0</v>
      </c>
      <c r="W109" s="15">
        <f>IF(ISNUMBER(Klisz_Verbräuche[[#This Row],[2045]]), Klisz_Verbräuche[[#This Row],[2045]]*Emissionsfaktoren[[#This Row],[2045]]/1000, 0)</f>
        <v>0</v>
      </c>
      <c r="X109" s="15">
        <f>IF(ISNUMBER(Klisz_Verbräuche[[#This Row],[2050]]), Klisz_Verbräuche[[#This Row],[2050]]*Emissionsfaktoren[[#This Row],[2050]]/1000, 0)</f>
        <v>0</v>
      </c>
    </row>
    <row r="110" spans="2:24" ht="16.5" hidden="1" x14ac:dyDescent="0.45">
      <c r="B110" s="15">
        <v>50</v>
      </c>
      <c r="C110" s="20" t="str">
        <f>Refsz_Verbräuche[[#This Row],[Datenpunkt]]</f>
        <v>DR - Mietwägen (CNG)</v>
      </c>
      <c r="D110" t="s">
        <v>208</v>
      </c>
      <c r="E110" s="15">
        <f>IF(ISNUMBER(Klisz_Verbräuche[[#This Row],[2015]]), Klisz_Verbräuche[[#This Row],[2015]]*Emissionsfaktoren[[#This Row],[2015]]/1000, 0)</f>
        <v>0</v>
      </c>
      <c r="F110" s="15">
        <f>IF(ISNUMBER(Klisz_Verbräuche[[#This Row],[2016]]), Klisz_Verbräuche[[#This Row],[2016]]*Emissionsfaktoren[[#This Row],[2016]]/1000, 0)</f>
        <v>0</v>
      </c>
      <c r="G110" s="15">
        <f>IF(ISNUMBER(Klisz_Verbräuche[[#This Row],[2017]]), Klisz_Verbräuche[[#This Row],[2017]]*Emissionsfaktoren[[#This Row],[2017]]/1000, 0)</f>
        <v>0</v>
      </c>
      <c r="H110" s="15">
        <f>IF(ISNUMBER(Klisz_Verbräuche[[#This Row],[2018]]), Klisz_Verbräuche[[#This Row],[2018]]*Emissionsfaktoren[[#This Row],[2018]]/1000, 0)</f>
        <v>0</v>
      </c>
      <c r="I110" s="15">
        <f>IF(ISNUMBER(Klisz_Verbräuche[[#This Row],[2019]]), Klisz_Verbräuche[[#This Row],[2019]]*Emissionsfaktoren[[#This Row],[2019]]/1000, 0)</f>
        <v>0</v>
      </c>
      <c r="J110" s="15">
        <f>IF(ISNUMBER(Klisz_Verbräuche[[#This Row],[2020]]), Klisz_Verbräuche[[#This Row],[2020]]*Emissionsfaktoren[[#This Row],[2020]]/1000, 0)</f>
        <v>0</v>
      </c>
      <c r="K110" s="15">
        <f>IF(ISNUMBER(Klisz_Verbräuche[[#This Row],[2021]]), Klisz_Verbräuche[[#This Row],[2021]]*Emissionsfaktoren[[#This Row],[2021]]/1000, 0)</f>
        <v>0</v>
      </c>
      <c r="L110" s="15">
        <f>IF(ISNUMBER(Klisz_Verbräuche[[#This Row],[2022]]), Klisz_Verbräuche[[#This Row],[2022]]*Emissionsfaktoren[[#This Row],[2022]]/1000, 0)</f>
        <v>0</v>
      </c>
      <c r="M110" s="15">
        <f>IF(ISNUMBER(Klisz_Verbräuche[[#This Row],[2023]]), Klisz_Verbräuche[[#This Row],[2023]]*Emissionsfaktoren[[#This Row],[2023]]/1000, 0)</f>
        <v>0</v>
      </c>
      <c r="N110" s="15">
        <f>IF(ISNUMBER(Klisz_Verbräuche[[#This Row],[2024]]), Klisz_Verbräuche[[#This Row],[2024]]*Emissionsfaktoren[[#This Row],[2024]]/1000, 0)</f>
        <v>0</v>
      </c>
      <c r="O110" s="15">
        <f>IF(ISNUMBER(Klisz_Verbräuche[[#This Row],[2025]]), Klisz_Verbräuche[[#This Row],[2025]]*Emissionsfaktoren[[#This Row],[2025]]/1000, 0)</f>
        <v>0</v>
      </c>
      <c r="P110" s="15">
        <f>IF(ISNUMBER(Klisz_Verbräuche[[#This Row],[2026]]), Klisz_Verbräuche[[#This Row],[2026]]*Emissionsfaktoren[[#This Row],[2026]]/1000, 0)</f>
        <v>0</v>
      </c>
      <c r="Q110" s="15">
        <f>IF(ISNUMBER(Klisz_Verbräuche[[#This Row],[2027]]), Klisz_Verbräuche[[#This Row],[2027]]*Emissionsfaktoren[[#This Row],[2027]]/1000, 0)</f>
        <v>0</v>
      </c>
      <c r="R110" s="15">
        <f>IF(ISNUMBER(Klisz_Verbräuche[[#This Row],[2028]]), Klisz_Verbräuche[[#This Row],[2028]]*Emissionsfaktoren[[#This Row],[2028]]/1000, 0)</f>
        <v>0</v>
      </c>
      <c r="S110" s="15">
        <f>IF(ISNUMBER(Klisz_Verbräuche[[#This Row],[2029]]), Klisz_Verbräuche[[#This Row],[2029]]*Emissionsfaktoren[[#This Row],[2029]]/1000, 0)</f>
        <v>0</v>
      </c>
      <c r="T110" s="15">
        <f>IF(ISNUMBER(Klisz_Verbräuche[[#This Row],[2030]]), Klisz_Verbräuche[[#This Row],[2030]]*Emissionsfaktoren[[#This Row],[2030]]/1000, 0)</f>
        <v>0</v>
      </c>
      <c r="U110" s="15">
        <f>IF(ISNUMBER(Klisz_Verbräuche[[#This Row],[2035]]), Klisz_Verbräuche[[#This Row],[2035]]*Emissionsfaktoren[[#This Row],[2035]]/1000, 0)</f>
        <v>0</v>
      </c>
      <c r="V110" s="15">
        <f>IF(ISNUMBER(Klisz_Verbräuche[[#This Row],[2040]]), Klisz_Verbräuche[[#This Row],[2040]]*Emissionsfaktoren[[#This Row],[2040]]/1000, 0)</f>
        <v>0</v>
      </c>
      <c r="W110" s="15">
        <f>IF(ISNUMBER(Klisz_Verbräuche[[#This Row],[2045]]), Klisz_Verbräuche[[#This Row],[2045]]*Emissionsfaktoren[[#This Row],[2045]]/1000, 0)</f>
        <v>0</v>
      </c>
      <c r="X110" s="15">
        <f>IF(ISNUMBER(Klisz_Verbräuche[[#This Row],[2050]]), Klisz_Verbräuche[[#This Row],[2050]]*Emissionsfaktoren[[#This Row],[2050]]/1000, 0)</f>
        <v>0</v>
      </c>
    </row>
    <row r="111" spans="2:24" ht="16.5" hidden="1" x14ac:dyDescent="0.45">
      <c r="B111" s="15">
        <v>51</v>
      </c>
      <c r="C111" s="20" t="str">
        <f>Refsz_Verbräuche[[#This Row],[Datenpunkt]]</f>
        <v>DR - Mietwägen (Plug-In-Hybrid/ PHEV)</v>
      </c>
      <c r="D111" t="s">
        <v>208</v>
      </c>
      <c r="E111" s="15">
        <f>IF(ISNUMBER(Klisz_Verbräuche[[#This Row],[2015]]), Klisz_Verbräuche[[#This Row],[2015]]*Emissionsfaktoren[[#This Row],[2015]]/1000, 0)</f>
        <v>0</v>
      </c>
      <c r="F111" s="15">
        <f>IF(ISNUMBER(Klisz_Verbräuche[[#This Row],[2016]]), Klisz_Verbräuche[[#This Row],[2016]]*Emissionsfaktoren[[#This Row],[2016]]/1000, 0)</f>
        <v>0</v>
      </c>
      <c r="G111" s="15">
        <f>IF(ISNUMBER(Klisz_Verbräuche[[#This Row],[2017]]), Klisz_Verbräuche[[#This Row],[2017]]*Emissionsfaktoren[[#This Row],[2017]]/1000, 0)</f>
        <v>0</v>
      </c>
      <c r="H111" s="15">
        <f>IF(ISNUMBER(Klisz_Verbräuche[[#This Row],[2018]]), Klisz_Verbräuche[[#This Row],[2018]]*Emissionsfaktoren[[#This Row],[2018]]/1000, 0)</f>
        <v>0</v>
      </c>
      <c r="I111" s="15">
        <f>IF(ISNUMBER(Klisz_Verbräuche[[#This Row],[2019]]), Klisz_Verbräuche[[#This Row],[2019]]*Emissionsfaktoren[[#This Row],[2019]]/1000, 0)</f>
        <v>0</v>
      </c>
      <c r="J111" s="15">
        <f>IF(ISNUMBER(Klisz_Verbräuche[[#This Row],[2020]]), Klisz_Verbräuche[[#This Row],[2020]]*Emissionsfaktoren[[#This Row],[2020]]/1000, 0)</f>
        <v>0</v>
      </c>
      <c r="K111" s="15">
        <f>IF(ISNUMBER(Klisz_Verbräuche[[#This Row],[2021]]), Klisz_Verbräuche[[#This Row],[2021]]*Emissionsfaktoren[[#This Row],[2021]]/1000, 0)</f>
        <v>0</v>
      </c>
      <c r="L111" s="15">
        <f>IF(ISNUMBER(Klisz_Verbräuche[[#This Row],[2022]]), Klisz_Verbräuche[[#This Row],[2022]]*Emissionsfaktoren[[#This Row],[2022]]/1000, 0)</f>
        <v>0</v>
      </c>
      <c r="M111" s="15">
        <f>IF(ISNUMBER(Klisz_Verbräuche[[#This Row],[2023]]), Klisz_Verbräuche[[#This Row],[2023]]*Emissionsfaktoren[[#This Row],[2023]]/1000, 0)</f>
        <v>0</v>
      </c>
      <c r="N111" s="15">
        <f>IF(ISNUMBER(Klisz_Verbräuche[[#This Row],[2024]]), Klisz_Verbräuche[[#This Row],[2024]]*Emissionsfaktoren[[#This Row],[2024]]/1000, 0)</f>
        <v>0</v>
      </c>
      <c r="O111" s="15">
        <f>IF(ISNUMBER(Klisz_Verbräuche[[#This Row],[2025]]), Klisz_Verbräuche[[#This Row],[2025]]*Emissionsfaktoren[[#This Row],[2025]]/1000, 0)</f>
        <v>0</v>
      </c>
      <c r="P111" s="15">
        <f>IF(ISNUMBER(Klisz_Verbräuche[[#This Row],[2026]]), Klisz_Verbräuche[[#This Row],[2026]]*Emissionsfaktoren[[#This Row],[2026]]/1000, 0)</f>
        <v>0</v>
      </c>
      <c r="Q111" s="15">
        <f>IF(ISNUMBER(Klisz_Verbräuche[[#This Row],[2027]]), Klisz_Verbräuche[[#This Row],[2027]]*Emissionsfaktoren[[#This Row],[2027]]/1000, 0)</f>
        <v>0</v>
      </c>
      <c r="R111" s="15">
        <f>IF(ISNUMBER(Klisz_Verbräuche[[#This Row],[2028]]), Klisz_Verbräuche[[#This Row],[2028]]*Emissionsfaktoren[[#This Row],[2028]]/1000, 0)</f>
        <v>0</v>
      </c>
      <c r="S111" s="15">
        <f>IF(ISNUMBER(Klisz_Verbräuche[[#This Row],[2029]]), Klisz_Verbräuche[[#This Row],[2029]]*Emissionsfaktoren[[#This Row],[2029]]/1000, 0)</f>
        <v>0</v>
      </c>
      <c r="T111" s="15">
        <f>IF(ISNUMBER(Klisz_Verbräuche[[#This Row],[2030]]), Klisz_Verbräuche[[#This Row],[2030]]*Emissionsfaktoren[[#This Row],[2030]]/1000, 0)</f>
        <v>0</v>
      </c>
      <c r="U111" s="15">
        <f>IF(ISNUMBER(Klisz_Verbräuche[[#This Row],[2035]]), Klisz_Verbräuche[[#This Row],[2035]]*Emissionsfaktoren[[#This Row],[2035]]/1000, 0)</f>
        <v>0</v>
      </c>
      <c r="V111" s="15">
        <f>IF(ISNUMBER(Klisz_Verbräuche[[#This Row],[2040]]), Klisz_Verbräuche[[#This Row],[2040]]*Emissionsfaktoren[[#This Row],[2040]]/1000, 0)</f>
        <v>0</v>
      </c>
      <c r="W111" s="15">
        <f>IF(ISNUMBER(Klisz_Verbräuche[[#This Row],[2045]]), Klisz_Verbräuche[[#This Row],[2045]]*Emissionsfaktoren[[#This Row],[2045]]/1000, 0)</f>
        <v>0</v>
      </c>
      <c r="X111" s="15">
        <f>IF(ISNUMBER(Klisz_Verbräuche[[#This Row],[2050]]), Klisz_Verbräuche[[#This Row],[2050]]*Emissionsfaktoren[[#This Row],[2050]]/1000, 0)</f>
        <v>0</v>
      </c>
    </row>
    <row r="112" spans="2:24" ht="16.5" hidden="1" x14ac:dyDescent="0.45">
      <c r="B112" s="15">
        <v>52</v>
      </c>
      <c r="C112" s="20" t="str">
        <f>Refsz_Verbräuche[[#This Row],[Datenpunkt]]</f>
        <v>DR - E-Bike</v>
      </c>
      <c r="D112" t="s">
        <v>208</v>
      </c>
      <c r="E112" s="15">
        <f>IF(ISNUMBER(Klisz_Verbräuche[[#This Row],[2015]]), Klisz_Verbräuche[[#This Row],[2015]]*Emissionsfaktoren[[#This Row],[2015]]/1000, 0)</f>
        <v>0</v>
      </c>
      <c r="F112" s="15">
        <f>IF(ISNUMBER(Klisz_Verbräuche[[#This Row],[2016]]), Klisz_Verbräuche[[#This Row],[2016]]*Emissionsfaktoren[[#This Row],[2016]]/1000, 0)</f>
        <v>0</v>
      </c>
      <c r="G112" s="15">
        <f>IF(ISNUMBER(Klisz_Verbräuche[[#This Row],[2017]]), Klisz_Verbräuche[[#This Row],[2017]]*Emissionsfaktoren[[#This Row],[2017]]/1000, 0)</f>
        <v>0</v>
      </c>
      <c r="H112" s="15">
        <f>IF(ISNUMBER(Klisz_Verbräuche[[#This Row],[2018]]), Klisz_Verbräuche[[#This Row],[2018]]*Emissionsfaktoren[[#This Row],[2018]]/1000, 0)</f>
        <v>0</v>
      </c>
      <c r="I112" s="15">
        <f>IF(ISNUMBER(Klisz_Verbräuche[[#This Row],[2019]]), Klisz_Verbräuche[[#This Row],[2019]]*Emissionsfaktoren[[#This Row],[2019]]/1000, 0)</f>
        <v>0</v>
      </c>
      <c r="J112" s="15">
        <f>IF(ISNUMBER(Klisz_Verbräuche[[#This Row],[2020]]), Klisz_Verbräuche[[#This Row],[2020]]*Emissionsfaktoren[[#This Row],[2020]]/1000, 0)</f>
        <v>0</v>
      </c>
      <c r="K112" s="15">
        <f>IF(ISNUMBER(Klisz_Verbräuche[[#This Row],[2021]]), Klisz_Verbräuche[[#This Row],[2021]]*Emissionsfaktoren[[#This Row],[2021]]/1000, 0)</f>
        <v>0</v>
      </c>
      <c r="L112" s="15">
        <f>IF(ISNUMBER(Klisz_Verbräuche[[#This Row],[2022]]), Klisz_Verbräuche[[#This Row],[2022]]*Emissionsfaktoren[[#This Row],[2022]]/1000, 0)</f>
        <v>0</v>
      </c>
      <c r="M112" s="15">
        <f>IF(ISNUMBER(Klisz_Verbräuche[[#This Row],[2023]]), Klisz_Verbräuche[[#This Row],[2023]]*Emissionsfaktoren[[#This Row],[2023]]/1000, 0)</f>
        <v>0</v>
      </c>
      <c r="N112" s="15">
        <f>IF(ISNUMBER(Klisz_Verbräuche[[#This Row],[2024]]), Klisz_Verbräuche[[#This Row],[2024]]*Emissionsfaktoren[[#This Row],[2024]]/1000, 0)</f>
        <v>0</v>
      </c>
      <c r="O112" s="15">
        <f>IF(ISNUMBER(Klisz_Verbräuche[[#This Row],[2025]]), Klisz_Verbräuche[[#This Row],[2025]]*Emissionsfaktoren[[#This Row],[2025]]/1000, 0)</f>
        <v>0</v>
      </c>
      <c r="P112" s="15">
        <f>IF(ISNUMBER(Klisz_Verbräuche[[#This Row],[2026]]), Klisz_Verbräuche[[#This Row],[2026]]*Emissionsfaktoren[[#This Row],[2026]]/1000, 0)</f>
        <v>0</v>
      </c>
      <c r="Q112" s="15">
        <f>IF(ISNUMBER(Klisz_Verbräuche[[#This Row],[2027]]), Klisz_Verbräuche[[#This Row],[2027]]*Emissionsfaktoren[[#This Row],[2027]]/1000, 0)</f>
        <v>0</v>
      </c>
      <c r="R112" s="15">
        <f>IF(ISNUMBER(Klisz_Verbräuche[[#This Row],[2028]]), Klisz_Verbräuche[[#This Row],[2028]]*Emissionsfaktoren[[#This Row],[2028]]/1000, 0)</f>
        <v>0</v>
      </c>
      <c r="S112" s="15">
        <f>IF(ISNUMBER(Klisz_Verbräuche[[#This Row],[2029]]), Klisz_Verbräuche[[#This Row],[2029]]*Emissionsfaktoren[[#This Row],[2029]]/1000, 0)</f>
        <v>0</v>
      </c>
      <c r="T112" s="15">
        <f>IF(ISNUMBER(Klisz_Verbräuche[[#This Row],[2030]]), Klisz_Verbräuche[[#This Row],[2030]]*Emissionsfaktoren[[#This Row],[2030]]/1000, 0)</f>
        <v>0</v>
      </c>
      <c r="U112" s="15">
        <f>IF(ISNUMBER(Klisz_Verbräuche[[#This Row],[2035]]), Klisz_Verbräuche[[#This Row],[2035]]*Emissionsfaktoren[[#This Row],[2035]]/1000, 0)</f>
        <v>0</v>
      </c>
      <c r="V112" s="15">
        <f>IF(ISNUMBER(Klisz_Verbräuche[[#This Row],[2040]]), Klisz_Verbräuche[[#This Row],[2040]]*Emissionsfaktoren[[#This Row],[2040]]/1000, 0)</f>
        <v>0</v>
      </c>
      <c r="W112" s="15">
        <f>IF(ISNUMBER(Klisz_Verbräuche[[#This Row],[2045]]), Klisz_Verbräuche[[#This Row],[2045]]*Emissionsfaktoren[[#This Row],[2045]]/1000, 0)</f>
        <v>0</v>
      </c>
      <c r="X112" s="15">
        <f>IF(ISNUMBER(Klisz_Verbräuche[[#This Row],[2050]]), Klisz_Verbräuche[[#This Row],[2050]]*Emissionsfaktoren[[#This Row],[2050]]/1000, 0)</f>
        <v>0</v>
      </c>
    </row>
    <row r="113" spans="2:24" ht="16.5" hidden="1" x14ac:dyDescent="0.45">
      <c r="B113" s="15">
        <v>53</v>
      </c>
      <c r="C113" s="20" t="str">
        <f>Refsz_Verbräuche[[#This Row],[Datenpunkt]]</f>
        <v>DR - Fahrrad</v>
      </c>
      <c r="D113" t="s">
        <v>208</v>
      </c>
      <c r="E113" s="15">
        <f>IF(ISNUMBER(Klisz_Verbräuche[[#This Row],[2015]]), Klisz_Verbräuche[[#This Row],[2015]]*Emissionsfaktoren[[#This Row],[2015]]/1000, 0)</f>
        <v>0</v>
      </c>
      <c r="F113" s="15">
        <f>IF(ISNUMBER(Klisz_Verbräuche[[#This Row],[2016]]), Klisz_Verbräuche[[#This Row],[2016]]*Emissionsfaktoren[[#This Row],[2016]]/1000, 0)</f>
        <v>0</v>
      </c>
      <c r="G113" s="15">
        <f>IF(ISNUMBER(Klisz_Verbräuche[[#This Row],[2017]]), Klisz_Verbräuche[[#This Row],[2017]]*Emissionsfaktoren[[#This Row],[2017]]/1000, 0)</f>
        <v>0</v>
      </c>
      <c r="H113" s="15">
        <f>IF(ISNUMBER(Klisz_Verbräuche[[#This Row],[2018]]), Klisz_Verbräuche[[#This Row],[2018]]*Emissionsfaktoren[[#This Row],[2018]]/1000, 0)</f>
        <v>0</v>
      </c>
      <c r="I113" s="15">
        <f>IF(ISNUMBER(Klisz_Verbräuche[[#This Row],[2019]]), Klisz_Verbräuche[[#This Row],[2019]]*Emissionsfaktoren[[#This Row],[2019]]/1000, 0)</f>
        <v>0</v>
      </c>
      <c r="J113" s="15">
        <f>IF(ISNUMBER(Klisz_Verbräuche[[#This Row],[2020]]), Klisz_Verbräuche[[#This Row],[2020]]*Emissionsfaktoren[[#This Row],[2020]]/1000, 0)</f>
        <v>0</v>
      </c>
      <c r="K113" s="15">
        <f>IF(ISNUMBER(Klisz_Verbräuche[[#This Row],[2021]]), Klisz_Verbräuche[[#This Row],[2021]]*Emissionsfaktoren[[#This Row],[2021]]/1000, 0)</f>
        <v>0</v>
      </c>
      <c r="L113" s="15">
        <f>IF(ISNUMBER(Klisz_Verbräuche[[#This Row],[2022]]), Klisz_Verbräuche[[#This Row],[2022]]*Emissionsfaktoren[[#This Row],[2022]]/1000, 0)</f>
        <v>0</v>
      </c>
      <c r="M113" s="15">
        <f>IF(ISNUMBER(Klisz_Verbräuche[[#This Row],[2023]]), Klisz_Verbräuche[[#This Row],[2023]]*Emissionsfaktoren[[#This Row],[2023]]/1000, 0)</f>
        <v>0</v>
      </c>
      <c r="N113" s="15">
        <f>IF(ISNUMBER(Klisz_Verbräuche[[#This Row],[2024]]), Klisz_Verbräuche[[#This Row],[2024]]*Emissionsfaktoren[[#This Row],[2024]]/1000, 0)</f>
        <v>0</v>
      </c>
      <c r="O113" s="15">
        <f>IF(ISNUMBER(Klisz_Verbräuche[[#This Row],[2025]]), Klisz_Verbräuche[[#This Row],[2025]]*Emissionsfaktoren[[#This Row],[2025]]/1000, 0)</f>
        <v>0</v>
      </c>
      <c r="P113" s="15">
        <f>IF(ISNUMBER(Klisz_Verbräuche[[#This Row],[2026]]), Klisz_Verbräuche[[#This Row],[2026]]*Emissionsfaktoren[[#This Row],[2026]]/1000, 0)</f>
        <v>0</v>
      </c>
      <c r="Q113" s="15">
        <f>IF(ISNUMBER(Klisz_Verbräuche[[#This Row],[2027]]), Klisz_Verbräuche[[#This Row],[2027]]*Emissionsfaktoren[[#This Row],[2027]]/1000, 0)</f>
        <v>0</v>
      </c>
      <c r="R113" s="15">
        <f>IF(ISNUMBER(Klisz_Verbräuche[[#This Row],[2028]]), Klisz_Verbräuche[[#This Row],[2028]]*Emissionsfaktoren[[#This Row],[2028]]/1000, 0)</f>
        <v>0</v>
      </c>
      <c r="S113" s="15">
        <f>IF(ISNUMBER(Klisz_Verbräuche[[#This Row],[2029]]), Klisz_Verbräuche[[#This Row],[2029]]*Emissionsfaktoren[[#This Row],[2029]]/1000, 0)</f>
        <v>0</v>
      </c>
      <c r="T113" s="15">
        <f>IF(ISNUMBER(Klisz_Verbräuche[[#This Row],[2030]]), Klisz_Verbräuche[[#This Row],[2030]]*Emissionsfaktoren[[#This Row],[2030]]/1000, 0)</f>
        <v>0</v>
      </c>
      <c r="U113" s="15">
        <f>IF(ISNUMBER(Klisz_Verbräuche[[#This Row],[2035]]), Klisz_Verbräuche[[#This Row],[2035]]*Emissionsfaktoren[[#This Row],[2035]]/1000, 0)</f>
        <v>0</v>
      </c>
      <c r="V113" s="15">
        <f>IF(ISNUMBER(Klisz_Verbräuche[[#This Row],[2040]]), Klisz_Verbräuche[[#This Row],[2040]]*Emissionsfaktoren[[#This Row],[2040]]/1000, 0)</f>
        <v>0</v>
      </c>
      <c r="W113" s="15">
        <f>IF(ISNUMBER(Klisz_Verbräuche[[#This Row],[2045]]), Klisz_Verbräuche[[#This Row],[2045]]*Emissionsfaktoren[[#This Row],[2045]]/1000, 0)</f>
        <v>0</v>
      </c>
      <c r="X113" s="15">
        <f>IF(ISNUMBER(Klisz_Verbräuche[[#This Row],[2050]]), Klisz_Verbräuche[[#This Row],[2050]]*Emissionsfaktoren[[#This Row],[2050]]/1000, 0)</f>
        <v>0</v>
      </c>
    </row>
    <row r="114" spans="2:24" ht="16.5" hidden="1" x14ac:dyDescent="0.45">
      <c r="B114" s="15">
        <v>54</v>
      </c>
      <c r="C114" s="20">
        <f>Refsz_Verbräuche[[#This Row],[Datenpunkt]]</f>
        <v>0</v>
      </c>
      <c r="D114" t="s">
        <v>208</v>
      </c>
      <c r="E114" s="15">
        <f>IF(ISNUMBER(Klisz_Verbräuche[[#This Row],[2015]]), Klisz_Verbräuche[[#This Row],[2015]]*Emissionsfaktoren[[#This Row],[2015]]/1000, 0)</f>
        <v>0</v>
      </c>
      <c r="F114" s="15">
        <f>IF(ISNUMBER(Klisz_Verbräuche[[#This Row],[2016]]), Klisz_Verbräuche[[#This Row],[2016]]*Emissionsfaktoren[[#This Row],[2016]]/1000, 0)</f>
        <v>0</v>
      </c>
      <c r="G114" s="15">
        <f>IF(ISNUMBER(Klisz_Verbräuche[[#This Row],[2017]]), Klisz_Verbräuche[[#This Row],[2017]]*Emissionsfaktoren[[#This Row],[2017]]/1000, 0)</f>
        <v>0</v>
      </c>
      <c r="H114" s="15">
        <f>IF(ISNUMBER(Klisz_Verbräuche[[#This Row],[2018]]), Klisz_Verbräuche[[#This Row],[2018]]*Emissionsfaktoren[[#This Row],[2018]]/1000, 0)</f>
        <v>0</v>
      </c>
      <c r="I114" s="15">
        <f>IF(ISNUMBER(Klisz_Verbräuche[[#This Row],[2019]]), Klisz_Verbräuche[[#This Row],[2019]]*Emissionsfaktoren[[#This Row],[2019]]/1000, 0)</f>
        <v>0</v>
      </c>
      <c r="J114" s="15">
        <f>IF(ISNUMBER(Klisz_Verbräuche[[#This Row],[2020]]), Klisz_Verbräuche[[#This Row],[2020]]*Emissionsfaktoren[[#This Row],[2020]]/1000, 0)</f>
        <v>0</v>
      </c>
      <c r="K114" s="15">
        <f>IF(ISNUMBER(Klisz_Verbräuche[[#This Row],[2021]]), Klisz_Verbräuche[[#This Row],[2021]]*Emissionsfaktoren[[#This Row],[2021]]/1000, 0)</f>
        <v>0</v>
      </c>
      <c r="L114" s="15">
        <f>IF(ISNUMBER(Klisz_Verbräuche[[#This Row],[2022]]), Klisz_Verbräuche[[#This Row],[2022]]*Emissionsfaktoren[[#This Row],[2022]]/1000, 0)</f>
        <v>0</v>
      </c>
      <c r="M114" s="15">
        <f>IF(ISNUMBER(Klisz_Verbräuche[[#This Row],[2023]]), Klisz_Verbräuche[[#This Row],[2023]]*Emissionsfaktoren[[#This Row],[2023]]/1000, 0)</f>
        <v>0</v>
      </c>
      <c r="N114" s="15">
        <f>IF(ISNUMBER(Klisz_Verbräuche[[#This Row],[2024]]), Klisz_Verbräuche[[#This Row],[2024]]*Emissionsfaktoren[[#This Row],[2024]]/1000, 0)</f>
        <v>0</v>
      </c>
      <c r="O114" s="15">
        <f>IF(ISNUMBER(Klisz_Verbräuche[[#This Row],[2025]]), Klisz_Verbräuche[[#This Row],[2025]]*Emissionsfaktoren[[#This Row],[2025]]/1000, 0)</f>
        <v>0</v>
      </c>
      <c r="P114" s="15">
        <f>IF(ISNUMBER(Klisz_Verbräuche[[#This Row],[2026]]), Klisz_Verbräuche[[#This Row],[2026]]*Emissionsfaktoren[[#This Row],[2026]]/1000, 0)</f>
        <v>0</v>
      </c>
      <c r="Q114" s="15">
        <f>IF(ISNUMBER(Klisz_Verbräuche[[#This Row],[2027]]), Klisz_Verbräuche[[#This Row],[2027]]*Emissionsfaktoren[[#This Row],[2027]]/1000, 0)</f>
        <v>0</v>
      </c>
      <c r="R114" s="15">
        <f>IF(ISNUMBER(Klisz_Verbräuche[[#This Row],[2028]]), Klisz_Verbräuche[[#This Row],[2028]]*Emissionsfaktoren[[#This Row],[2028]]/1000, 0)</f>
        <v>0</v>
      </c>
      <c r="S114" s="15">
        <f>IF(ISNUMBER(Klisz_Verbräuche[[#This Row],[2029]]), Klisz_Verbräuche[[#This Row],[2029]]*Emissionsfaktoren[[#This Row],[2029]]/1000, 0)</f>
        <v>0</v>
      </c>
      <c r="T114" s="15">
        <f>IF(ISNUMBER(Klisz_Verbräuche[[#This Row],[2030]]), Klisz_Verbräuche[[#This Row],[2030]]*Emissionsfaktoren[[#This Row],[2030]]/1000, 0)</f>
        <v>0</v>
      </c>
      <c r="U114" s="15">
        <f>IF(ISNUMBER(Klisz_Verbräuche[[#This Row],[2035]]), Klisz_Verbräuche[[#This Row],[2035]]*Emissionsfaktoren[[#This Row],[2035]]/1000, 0)</f>
        <v>0</v>
      </c>
      <c r="V114" s="15">
        <f>IF(ISNUMBER(Klisz_Verbräuche[[#This Row],[2040]]), Klisz_Verbräuche[[#This Row],[2040]]*Emissionsfaktoren[[#This Row],[2040]]/1000, 0)</f>
        <v>0</v>
      </c>
      <c r="W114" s="15">
        <f>IF(ISNUMBER(Klisz_Verbräuche[[#This Row],[2045]]), Klisz_Verbräuche[[#This Row],[2045]]*Emissionsfaktoren[[#This Row],[2045]]/1000, 0)</f>
        <v>0</v>
      </c>
      <c r="X114" s="15">
        <f>IF(ISNUMBER(Klisz_Verbräuche[[#This Row],[2050]]), Klisz_Verbräuche[[#This Row],[2050]]*Emissionsfaktoren[[#This Row],[2050]]/1000, 0)</f>
        <v>0</v>
      </c>
    </row>
    <row r="115" spans="2:24" ht="16.5" hidden="1" x14ac:dyDescent="0.45">
      <c r="B115" s="15">
        <v>55</v>
      </c>
      <c r="C115" s="20" t="str">
        <f>Refsz_Verbräuche[[#This Row],[Datenpunkt]]</f>
        <v>Studierendenreisen (Outgoing) - Flugreisen</v>
      </c>
      <c r="D115" t="s">
        <v>208</v>
      </c>
      <c r="E115" s="15">
        <f>IF(ISNUMBER(Klisz_Verbräuche[[#This Row],[2015]]), Klisz_Verbräuche[[#This Row],[2015]]*Emissionsfaktoren[[#This Row],[2015]]/1000, 0)</f>
        <v>0</v>
      </c>
      <c r="F115" s="15">
        <f>IF(ISNUMBER(Klisz_Verbräuche[[#This Row],[2016]]), Klisz_Verbräuche[[#This Row],[2016]]*Emissionsfaktoren[[#This Row],[2016]]/1000, 0)</f>
        <v>0</v>
      </c>
      <c r="G115" s="15">
        <f>IF(ISNUMBER(Klisz_Verbräuche[[#This Row],[2017]]), Klisz_Verbräuche[[#This Row],[2017]]*Emissionsfaktoren[[#This Row],[2017]]/1000, 0)</f>
        <v>0</v>
      </c>
      <c r="H115" s="15">
        <f>IF(ISNUMBER(Klisz_Verbräuche[[#This Row],[2018]]), Klisz_Verbräuche[[#This Row],[2018]]*Emissionsfaktoren[[#This Row],[2018]]/1000, 0)</f>
        <v>0</v>
      </c>
      <c r="I115" s="15">
        <f>IF(ISNUMBER(Klisz_Verbräuche[[#This Row],[2019]]), Klisz_Verbräuche[[#This Row],[2019]]*Emissionsfaktoren[[#This Row],[2019]]/1000, 0)</f>
        <v>0</v>
      </c>
      <c r="J115" s="15">
        <f>IF(ISNUMBER(Klisz_Verbräuche[[#This Row],[2020]]), Klisz_Verbräuche[[#This Row],[2020]]*Emissionsfaktoren[[#This Row],[2020]]/1000, 0)</f>
        <v>0</v>
      </c>
      <c r="K115" s="15">
        <f>IF(ISNUMBER(Klisz_Verbräuche[[#This Row],[2021]]), Klisz_Verbräuche[[#This Row],[2021]]*Emissionsfaktoren[[#This Row],[2021]]/1000, 0)</f>
        <v>0</v>
      </c>
      <c r="L115" s="15">
        <f>IF(ISNUMBER(Klisz_Verbräuche[[#This Row],[2022]]), Klisz_Verbräuche[[#This Row],[2022]]*Emissionsfaktoren[[#This Row],[2022]]/1000, 0)</f>
        <v>0</v>
      </c>
      <c r="M115" s="15">
        <f>IF(ISNUMBER(Klisz_Verbräuche[[#This Row],[2023]]), Klisz_Verbräuche[[#This Row],[2023]]*Emissionsfaktoren[[#This Row],[2023]]/1000, 0)</f>
        <v>0</v>
      </c>
      <c r="N115" s="15">
        <f>IF(ISNUMBER(Klisz_Verbräuche[[#This Row],[2024]]), Klisz_Verbräuche[[#This Row],[2024]]*Emissionsfaktoren[[#This Row],[2024]]/1000, 0)</f>
        <v>0</v>
      </c>
      <c r="O115" s="15">
        <f>IF(ISNUMBER(Klisz_Verbräuche[[#This Row],[2025]]), Klisz_Verbräuche[[#This Row],[2025]]*Emissionsfaktoren[[#This Row],[2025]]/1000, 0)</f>
        <v>0</v>
      </c>
      <c r="P115" s="15">
        <f>IF(ISNUMBER(Klisz_Verbräuche[[#This Row],[2026]]), Klisz_Verbräuche[[#This Row],[2026]]*Emissionsfaktoren[[#This Row],[2026]]/1000, 0)</f>
        <v>0</v>
      </c>
      <c r="Q115" s="15">
        <f>IF(ISNUMBER(Klisz_Verbräuche[[#This Row],[2027]]), Klisz_Verbräuche[[#This Row],[2027]]*Emissionsfaktoren[[#This Row],[2027]]/1000, 0)</f>
        <v>0</v>
      </c>
      <c r="R115" s="15">
        <f>IF(ISNUMBER(Klisz_Verbräuche[[#This Row],[2028]]), Klisz_Verbräuche[[#This Row],[2028]]*Emissionsfaktoren[[#This Row],[2028]]/1000, 0)</f>
        <v>0</v>
      </c>
      <c r="S115" s="15">
        <f>IF(ISNUMBER(Klisz_Verbräuche[[#This Row],[2029]]), Klisz_Verbräuche[[#This Row],[2029]]*Emissionsfaktoren[[#This Row],[2029]]/1000, 0)</f>
        <v>0</v>
      </c>
      <c r="T115" s="15">
        <f>IF(ISNUMBER(Klisz_Verbräuche[[#This Row],[2030]]), Klisz_Verbräuche[[#This Row],[2030]]*Emissionsfaktoren[[#This Row],[2030]]/1000, 0)</f>
        <v>0</v>
      </c>
      <c r="U115" s="15">
        <f>IF(ISNUMBER(Klisz_Verbräuche[[#This Row],[2035]]), Klisz_Verbräuche[[#This Row],[2035]]*Emissionsfaktoren[[#This Row],[2035]]/1000, 0)</f>
        <v>0</v>
      </c>
      <c r="V115" s="15">
        <f>IF(ISNUMBER(Klisz_Verbräuche[[#This Row],[2040]]), Klisz_Verbräuche[[#This Row],[2040]]*Emissionsfaktoren[[#This Row],[2040]]/1000, 0)</f>
        <v>0</v>
      </c>
      <c r="W115" s="15">
        <f>IF(ISNUMBER(Klisz_Verbräuche[[#This Row],[2045]]), Klisz_Verbräuche[[#This Row],[2045]]*Emissionsfaktoren[[#This Row],[2045]]/1000, 0)</f>
        <v>0</v>
      </c>
      <c r="X115" s="15">
        <f>IF(ISNUMBER(Klisz_Verbräuche[[#This Row],[2050]]), Klisz_Verbräuche[[#This Row],[2050]]*Emissionsfaktoren[[#This Row],[2050]]/1000, 0)</f>
        <v>0</v>
      </c>
    </row>
    <row r="116" spans="2:24" ht="16.5" hidden="1" x14ac:dyDescent="0.45">
      <c r="B116" s="15">
        <v>56</v>
      </c>
      <c r="C116" s="20" t="str">
        <f>Refsz_Verbräuche[[#This Row],[Datenpunkt]]</f>
        <v>Studierendenreisen (Outgoing) - Eisenbahn (Nahverkehr)</v>
      </c>
      <c r="D116" t="s">
        <v>208</v>
      </c>
      <c r="E116" s="15">
        <f>IF(ISNUMBER(Klisz_Verbräuche[[#This Row],[2015]]), Klisz_Verbräuche[[#This Row],[2015]]*Emissionsfaktoren[[#This Row],[2015]]/1000, 0)</f>
        <v>0</v>
      </c>
      <c r="F116" s="15">
        <f>IF(ISNUMBER(Klisz_Verbräuche[[#This Row],[2016]]), Klisz_Verbräuche[[#This Row],[2016]]*Emissionsfaktoren[[#This Row],[2016]]/1000, 0)</f>
        <v>0</v>
      </c>
      <c r="G116" s="15">
        <f>IF(ISNUMBER(Klisz_Verbräuche[[#This Row],[2017]]), Klisz_Verbräuche[[#This Row],[2017]]*Emissionsfaktoren[[#This Row],[2017]]/1000, 0)</f>
        <v>0</v>
      </c>
      <c r="H116" s="15">
        <f>IF(ISNUMBER(Klisz_Verbräuche[[#This Row],[2018]]), Klisz_Verbräuche[[#This Row],[2018]]*Emissionsfaktoren[[#This Row],[2018]]/1000, 0)</f>
        <v>0</v>
      </c>
      <c r="I116" s="15">
        <f>IF(ISNUMBER(Klisz_Verbräuche[[#This Row],[2019]]), Klisz_Verbräuche[[#This Row],[2019]]*Emissionsfaktoren[[#This Row],[2019]]/1000, 0)</f>
        <v>0</v>
      </c>
      <c r="J116" s="15">
        <f>IF(ISNUMBER(Klisz_Verbräuche[[#This Row],[2020]]), Klisz_Verbräuche[[#This Row],[2020]]*Emissionsfaktoren[[#This Row],[2020]]/1000, 0)</f>
        <v>0</v>
      </c>
      <c r="K116" s="15">
        <f>IF(ISNUMBER(Klisz_Verbräuche[[#This Row],[2021]]), Klisz_Verbräuche[[#This Row],[2021]]*Emissionsfaktoren[[#This Row],[2021]]/1000, 0)</f>
        <v>0</v>
      </c>
      <c r="L116" s="15">
        <f>IF(ISNUMBER(Klisz_Verbräuche[[#This Row],[2022]]), Klisz_Verbräuche[[#This Row],[2022]]*Emissionsfaktoren[[#This Row],[2022]]/1000, 0)</f>
        <v>0</v>
      </c>
      <c r="M116" s="15">
        <f>IF(ISNUMBER(Klisz_Verbräuche[[#This Row],[2023]]), Klisz_Verbräuche[[#This Row],[2023]]*Emissionsfaktoren[[#This Row],[2023]]/1000, 0)</f>
        <v>0</v>
      </c>
      <c r="N116" s="15">
        <f>IF(ISNUMBER(Klisz_Verbräuche[[#This Row],[2024]]), Klisz_Verbräuche[[#This Row],[2024]]*Emissionsfaktoren[[#This Row],[2024]]/1000, 0)</f>
        <v>0</v>
      </c>
      <c r="O116" s="15">
        <f>IF(ISNUMBER(Klisz_Verbräuche[[#This Row],[2025]]), Klisz_Verbräuche[[#This Row],[2025]]*Emissionsfaktoren[[#This Row],[2025]]/1000, 0)</f>
        <v>0</v>
      </c>
      <c r="P116" s="15">
        <f>IF(ISNUMBER(Klisz_Verbräuche[[#This Row],[2026]]), Klisz_Verbräuche[[#This Row],[2026]]*Emissionsfaktoren[[#This Row],[2026]]/1000, 0)</f>
        <v>0</v>
      </c>
      <c r="Q116" s="15">
        <f>IF(ISNUMBER(Klisz_Verbräuche[[#This Row],[2027]]), Klisz_Verbräuche[[#This Row],[2027]]*Emissionsfaktoren[[#This Row],[2027]]/1000, 0)</f>
        <v>0</v>
      </c>
      <c r="R116" s="15">
        <f>IF(ISNUMBER(Klisz_Verbräuche[[#This Row],[2028]]), Klisz_Verbräuche[[#This Row],[2028]]*Emissionsfaktoren[[#This Row],[2028]]/1000, 0)</f>
        <v>0</v>
      </c>
      <c r="S116" s="15">
        <f>IF(ISNUMBER(Klisz_Verbräuche[[#This Row],[2029]]), Klisz_Verbräuche[[#This Row],[2029]]*Emissionsfaktoren[[#This Row],[2029]]/1000, 0)</f>
        <v>0</v>
      </c>
      <c r="T116" s="15">
        <f>IF(ISNUMBER(Klisz_Verbräuche[[#This Row],[2030]]), Klisz_Verbräuche[[#This Row],[2030]]*Emissionsfaktoren[[#This Row],[2030]]/1000, 0)</f>
        <v>0</v>
      </c>
      <c r="U116" s="15">
        <f>IF(ISNUMBER(Klisz_Verbräuche[[#This Row],[2035]]), Klisz_Verbräuche[[#This Row],[2035]]*Emissionsfaktoren[[#This Row],[2035]]/1000, 0)</f>
        <v>0</v>
      </c>
      <c r="V116" s="15">
        <f>IF(ISNUMBER(Klisz_Verbräuche[[#This Row],[2040]]), Klisz_Verbräuche[[#This Row],[2040]]*Emissionsfaktoren[[#This Row],[2040]]/1000, 0)</f>
        <v>0</v>
      </c>
      <c r="W116" s="15">
        <f>IF(ISNUMBER(Klisz_Verbräuche[[#This Row],[2045]]), Klisz_Verbräuche[[#This Row],[2045]]*Emissionsfaktoren[[#This Row],[2045]]/1000, 0)</f>
        <v>0</v>
      </c>
      <c r="X116" s="15">
        <f>IF(ISNUMBER(Klisz_Verbräuche[[#This Row],[2050]]), Klisz_Verbräuche[[#This Row],[2050]]*Emissionsfaktoren[[#This Row],[2050]]/1000, 0)</f>
        <v>0</v>
      </c>
    </row>
    <row r="117" spans="2:24" ht="16.5" hidden="1" x14ac:dyDescent="0.45">
      <c r="B117" s="15">
        <v>57</v>
      </c>
      <c r="C117" s="20" t="str">
        <f>Refsz_Verbräuche[[#This Row],[Datenpunkt]]</f>
        <v>Studierendenreisen (Outgoing) - Privater PKW (alle Antriebsarten)</v>
      </c>
      <c r="D117" t="s">
        <v>208</v>
      </c>
      <c r="E117" s="15">
        <f>IF(ISNUMBER(Klisz_Verbräuche[[#This Row],[2015]]), Klisz_Verbräuche[[#This Row],[2015]]*Emissionsfaktoren[[#This Row],[2015]]/1000, 0)</f>
        <v>0</v>
      </c>
      <c r="F117" s="15">
        <f>IF(ISNUMBER(Klisz_Verbräuche[[#This Row],[2016]]), Klisz_Verbräuche[[#This Row],[2016]]*Emissionsfaktoren[[#This Row],[2016]]/1000, 0)</f>
        <v>0</v>
      </c>
      <c r="G117" s="15">
        <f>IF(ISNUMBER(Klisz_Verbräuche[[#This Row],[2017]]), Klisz_Verbräuche[[#This Row],[2017]]*Emissionsfaktoren[[#This Row],[2017]]/1000, 0)</f>
        <v>0</v>
      </c>
      <c r="H117" s="15">
        <f>IF(ISNUMBER(Klisz_Verbräuche[[#This Row],[2018]]), Klisz_Verbräuche[[#This Row],[2018]]*Emissionsfaktoren[[#This Row],[2018]]/1000, 0)</f>
        <v>0</v>
      </c>
      <c r="I117" s="15">
        <f>IF(ISNUMBER(Klisz_Verbräuche[[#This Row],[2019]]), Klisz_Verbräuche[[#This Row],[2019]]*Emissionsfaktoren[[#This Row],[2019]]/1000, 0)</f>
        <v>0</v>
      </c>
      <c r="J117" s="15">
        <f>IF(ISNUMBER(Klisz_Verbräuche[[#This Row],[2020]]), Klisz_Verbräuche[[#This Row],[2020]]*Emissionsfaktoren[[#This Row],[2020]]/1000, 0)</f>
        <v>0</v>
      </c>
      <c r="K117" s="15">
        <f>IF(ISNUMBER(Klisz_Verbräuche[[#This Row],[2021]]), Klisz_Verbräuche[[#This Row],[2021]]*Emissionsfaktoren[[#This Row],[2021]]/1000, 0)</f>
        <v>0</v>
      </c>
      <c r="L117" s="15">
        <f>IF(ISNUMBER(Klisz_Verbräuche[[#This Row],[2022]]), Klisz_Verbräuche[[#This Row],[2022]]*Emissionsfaktoren[[#This Row],[2022]]/1000, 0)</f>
        <v>0</v>
      </c>
      <c r="M117" s="15">
        <f>IF(ISNUMBER(Klisz_Verbräuche[[#This Row],[2023]]), Klisz_Verbräuche[[#This Row],[2023]]*Emissionsfaktoren[[#This Row],[2023]]/1000, 0)</f>
        <v>0</v>
      </c>
      <c r="N117" s="15">
        <f>IF(ISNUMBER(Klisz_Verbräuche[[#This Row],[2024]]), Klisz_Verbräuche[[#This Row],[2024]]*Emissionsfaktoren[[#This Row],[2024]]/1000, 0)</f>
        <v>0</v>
      </c>
      <c r="O117" s="15">
        <f>IF(ISNUMBER(Klisz_Verbräuche[[#This Row],[2025]]), Klisz_Verbräuche[[#This Row],[2025]]*Emissionsfaktoren[[#This Row],[2025]]/1000, 0)</f>
        <v>0</v>
      </c>
      <c r="P117" s="15">
        <f>IF(ISNUMBER(Klisz_Verbräuche[[#This Row],[2026]]), Klisz_Verbräuche[[#This Row],[2026]]*Emissionsfaktoren[[#This Row],[2026]]/1000, 0)</f>
        <v>0</v>
      </c>
      <c r="Q117" s="15">
        <f>IF(ISNUMBER(Klisz_Verbräuche[[#This Row],[2027]]), Klisz_Verbräuche[[#This Row],[2027]]*Emissionsfaktoren[[#This Row],[2027]]/1000, 0)</f>
        <v>0</v>
      </c>
      <c r="R117" s="15">
        <f>IF(ISNUMBER(Klisz_Verbräuche[[#This Row],[2028]]), Klisz_Verbräuche[[#This Row],[2028]]*Emissionsfaktoren[[#This Row],[2028]]/1000, 0)</f>
        <v>0</v>
      </c>
      <c r="S117" s="15">
        <f>IF(ISNUMBER(Klisz_Verbräuche[[#This Row],[2029]]), Klisz_Verbräuche[[#This Row],[2029]]*Emissionsfaktoren[[#This Row],[2029]]/1000, 0)</f>
        <v>0</v>
      </c>
      <c r="T117" s="15">
        <f>IF(ISNUMBER(Klisz_Verbräuche[[#This Row],[2030]]), Klisz_Verbräuche[[#This Row],[2030]]*Emissionsfaktoren[[#This Row],[2030]]/1000, 0)</f>
        <v>0</v>
      </c>
      <c r="U117" s="15">
        <f>IF(ISNUMBER(Klisz_Verbräuche[[#This Row],[2035]]), Klisz_Verbräuche[[#This Row],[2035]]*Emissionsfaktoren[[#This Row],[2035]]/1000, 0)</f>
        <v>0</v>
      </c>
      <c r="V117" s="15">
        <f>IF(ISNUMBER(Klisz_Verbräuche[[#This Row],[2040]]), Klisz_Verbräuche[[#This Row],[2040]]*Emissionsfaktoren[[#This Row],[2040]]/1000, 0)</f>
        <v>0</v>
      </c>
      <c r="W117" s="15">
        <f>IF(ISNUMBER(Klisz_Verbräuche[[#This Row],[2045]]), Klisz_Verbräuche[[#This Row],[2045]]*Emissionsfaktoren[[#This Row],[2045]]/1000, 0)</f>
        <v>0</v>
      </c>
      <c r="X117" s="15">
        <f>IF(ISNUMBER(Klisz_Verbräuche[[#This Row],[2050]]), Klisz_Verbräuche[[#This Row],[2050]]*Emissionsfaktoren[[#This Row],[2050]]/1000, 0)</f>
        <v>0</v>
      </c>
    </row>
    <row r="118" spans="2:24" ht="16.5" hidden="1" x14ac:dyDescent="0.45">
      <c r="B118" s="15">
        <v>58</v>
      </c>
      <c r="C118" s="20">
        <f>Refsz_Verbräuche[[#This Row],[Datenpunkt]]</f>
        <v>0</v>
      </c>
      <c r="D118" t="s">
        <v>208</v>
      </c>
      <c r="E118" s="15">
        <f>IF(ISNUMBER(Klisz_Verbräuche[[#This Row],[2015]]), Klisz_Verbräuche[[#This Row],[2015]]*Emissionsfaktoren[[#This Row],[2015]]/1000, 0)</f>
        <v>0</v>
      </c>
      <c r="F118" s="15">
        <f>IF(ISNUMBER(Klisz_Verbräuche[[#This Row],[2016]]), Klisz_Verbräuche[[#This Row],[2016]]*Emissionsfaktoren[[#This Row],[2016]]/1000, 0)</f>
        <v>0</v>
      </c>
      <c r="G118" s="15">
        <f>IF(ISNUMBER(Klisz_Verbräuche[[#This Row],[2017]]), Klisz_Verbräuche[[#This Row],[2017]]*Emissionsfaktoren[[#This Row],[2017]]/1000, 0)</f>
        <v>0</v>
      </c>
      <c r="H118" s="15">
        <f>IF(ISNUMBER(Klisz_Verbräuche[[#This Row],[2018]]), Klisz_Verbräuche[[#This Row],[2018]]*Emissionsfaktoren[[#This Row],[2018]]/1000, 0)</f>
        <v>0</v>
      </c>
      <c r="I118" s="15">
        <f>IF(ISNUMBER(Klisz_Verbräuche[[#This Row],[2019]]), Klisz_Verbräuche[[#This Row],[2019]]*Emissionsfaktoren[[#This Row],[2019]]/1000, 0)</f>
        <v>0</v>
      </c>
      <c r="J118" s="15">
        <f>IF(ISNUMBER(Klisz_Verbräuche[[#This Row],[2020]]), Klisz_Verbräuche[[#This Row],[2020]]*Emissionsfaktoren[[#This Row],[2020]]/1000, 0)</f>
        <v>0</v>
      </c>
      <c r="K118" s="15">
        <f>IF(ISNUMBER(Klisz_Verbräuche[[#This Row],[2021]]), Klisz_Verbräuche[[#This Row],[2021]]*Emissionsfaktoren[[#This Row],[2021]]/1000, 0)</f>
        <v>0</v>
      </c>
      <c r="L118" s="15">
        <f>IF(ISNUMBER(Klisz_Verbräuche[[#This Row],[2022]]), Klisz_Verbräuche[[#This Row],[2022]]*Emissionsfaktoren[[#This Row],[2022]]/1000, 0)</f>
        <v>0</v>
      </c>
      <c r="M118" s="15">
        <f>IF(ISNUMBER(Klisz_Verbräuche[[#This Row],[2023]]), Klisz_Verbräuche[[#This Row],[2023]]*Emissionsfaktoren[[#This Row],[2023]]/1000, 0)</f>
        <v>0</v>
      </c>
      <c r="N118" s="15">
        <f>IF(ISNUMBER(Klisz_Verbräuche[[#This Row],[2024]]), Klisz_Verbräuche[[#This Row],[2024]]*Emissionsfaktoren[[#This Row],[2024]]/1000, 0)</f>
        <v>0</v>
      </c>
      <c r="O118" s="15">
        <f>IF(ISNUMBER(Klisz_Verbräuche[[#This Row],[2025]]), Klisz_Verbräuche[[#This Row],[2025]]*Emissionsfaktoren[[#This Row],[2025]]/1000, 0)</f>
        <v>0</v>
      </c>
      <c r="P118" s="15">
        <f>IF(ISNUMBER(Klisz_Verbräuche[[#This Row],[2026]]), Klisz_Verbräuche[[#This Row],[2026]]*Emissionsfaktoren[[#This Row],[2026]]/1000, 0)</f>
        <v>0</v>
      </c>
      <c r="Q118" s="15">
        <f>IF(ISNUMBER(Klisz_Verbräuche[[#This Row],[2027]]), Klisz_Verbräuche[[#This Row],[2027]]*Emissionsfaktoren[[#This Row],[2027]]/1000, 0)</f>
        <v>0</v>
      </c>
      <c r="R118" s="15">
        <f>IF(ISNUMBER(Klisz_Verbräuche[[#This Row],[2028]]), Klisz_Verbräuche[[#This Row],[2028]]*Emissionsfaktoren[[#This Row],[2028]]/1000, 0)</f>
        <v>0</v>
      </c>
      <c r="S118" s="15">
        <f>IF(ISNUMBER(Klisz_Verbräuche[[#This Row],[2029]]), Klisz_Verbräuche[[#This Row],[2029]]*Emissionsfaktoren[[#This Row],[2029]]/1000, 0)</f>
        <v>0</v>
      </c>
      <c r="T118" s="15">
        <f>IF(ISNUMBER(Klisz_Verbräuche[[#This Row],[2030]]), Klisz_Verbräuche[[#This Row],[2030]]*Emissionsfaktoren[[#This Row],[2030]]/1000, 0)</f>
        <v>0</v>
      </c>
      <c r="U118" s="15">
        <f>IF(ISNUMBER(Klisz_Verbräuche[[#This Row],[2035]]), Klisz_Verbräuche[[#This Row],[2035]]*Emissionsfaktoren[[#This Row],[2035]]/1000, 0)</f>
        <v>0</v>
      </c>
      <c r="V118" s="15">
        <f>IF(ISNUMBER(Klisz_Verbräuche[[#This Row],[2040]]), Klisz_Verbräuche[[#This Row],[2040]]*Emissionsfaktoren[[#This Row],[2040]]/1000, 0)</f>
        <v>0</v>
      </c>
      <c r="W118" s="15">
        <f>IF(ISNUMBER(Klisz_Verbräuche[[#This Row],[2045]]), Klisz_Verbräuche[[#This Row],[2045]]*Emissionsfaktoren[[#This Row],[2045]]/1000, 0)</f>
        <v>0</v>
      </c>
      <c r="X118" s="15">
        <f>IF(ISNUMBER(Klisz_Verbräuche[[#This Row],[2050]]), Klisz_Verbräuche[[#This Row],[2050]]*Emissionsfaktoren[[#This Row],[2050]]/1000, 0)</f>
        <v>0</v>
      </c>
    </row>
    <row r="119" spans="2:24" ht="16.5" hidden="1" x14ac:dyDescent="0.45">
      <c r="B119" s="15">
        <v>59</v>
      </c>
      <c r="C119" s="20" t="str">
        <f>Refsz_Verbräuche[[#This Row],[Datenpunkt]]</f>
        <v>Exkursionen - Flugreisen</v>
      </c>
      <c r="D119" t="s">
        <v>208</v>
      </c>
      <c r="E119" s="15">
        <f>IF(ISNUMBER(Klisz_Verbräuche[[#This Row],[2015]]), Klisz_Verbräuche[[#This Row],[2015]]*Emissionsfaktoren[[#This Row],[2015]]/1000, 0)</f>
        <v>0</v>
      </c>
      <c r="F119" s="15">
        <f>IF(ISNUMBER(Klisz_Verbräuche[[#This Row],[2016]]), Klisz_Verbräuche[[#This Row],[2016]]*Emissionsfaktoren[[#This Row],[2016]]/1000, 0)</f>
        <v>0</v>
      </c>
      <c r="G119" s="15">
        <f>IF(ISNUMBER(Klisz_Verbräuche[[#This Row],[2017]]), Klisz_Verbräuche[[#This Row],[2017]]*Emissionsfaktoren[[#This Row],[2017]]/1000, 0)</f>
        <v>0</v>
      </c>
      <c r="H119" s="15">
        <f>IF(ISNUMBER(Klisz_Verbräuche[[#This Row],[2018]]), Klisz_Verbräuche[[#This Row],[2018]]*Emissionsfaktoren[[#This Row],[2018]]/1000, 0)</f>
        <v>0</v>
      </c>
      <c r="I119" s="15">
        <f>IF(ISNUMBER(Klisz_Verbräuche[[#This Row],[2019]]), Klisz_Verbräuche[[#This Row],[2019]]*Emissionsfaktoren[[#This Row],[2019]]/1000, 0)</f>
        <v>0</v>
      </c>
      <c r="J119" s="15">
        <f>IF(ISNUMBER(Klisz_Verbräuche[[#This Row],[2020]]), Klisz_Verbräuche[[#This Row],[2020]]*Emissionsfaktoren[[#This Row],[2020]]/1000, 0)</f>
        <v>0</v>
      </c>
      <c r="K119" s="15">
        <f>IF(ISNUMBER(Klisz_Verbräuche[[#This Row],[2021]]), Klisz_Verbräuche[[#This Row],[2021]]*Emissionsfaktoren[[#This Row],[2021]]/1000, 0)</f>
        <v>0</v>
      </c>
      <c r="L119" s="15">
        <f>IF(ISNUMBER(Klisz_Verbräuche[[#This Row],[2022]]), Klisz_Verbräuche[[#This Row],[2022]]*Emissionsfaktoren[[#This Row],[2022]]/1000, 0)</f>
        <v>0</v>
      </c>
      <c r="M119" s="15">
        <f>IF(ISNUMBER(Klisz_Verbräuche[[#This Row],[2023]]), Klisz_Verbräuche[[#This Row],[2023]]*Emissionsfaktoren[[#This Row],[2023]]/1000, 0)</f>
        <v>0</v>
      </c>
      <c r="N119" s="15">
        <f>IF(ISNUMBER(Klisz_Verbräuche[[#This Row],[2024]]), Klisz_Verbräuche[[#This Row],[2024]]*Emissionsfaktoren[[#This Row],[2024]]/1000, 0)</f>
        <v>0</v>
      </c>
      <c r="O119" s="15">
        <f>IF(ISNUMBER(Klisz_Verbräuche[[#This Row],[2025]]), Klisz_Verbräuche[[#This Row],[2025]]*Emissionsfaktoren[[#This Row],[2025]]/1000, 0)</f>
        <v>0</v>
      </c>
      <c r="P119" s="15">
        <f>IF(ISNUMBER(Klisz_Verbräuche[[#This Row],[2026]]), Klisz_Verbräuche[[#This Row],[2026]]*Emissionsfaktoren[[#This Row],[2026]]/1000, 0)</f>
        <v>0</v>
      </c>
      <c r="Q119" s="15">
        <f>IF(ISNUMBER(Klisz_Verbräuche[[#This Row],[2027]]), Klisz_Verbräuche[[#This Row],[2027]]*Emissionsfaktoren[[#This Row],[2027]]/1000, 0)</f>
        <v>0</v>
      </c>
      <c r="R119" s="15">
        <f>IF(ISNUMBER(Klisz_Verbräuche[[#This Row],[2028]]), Klisz_Verbräuche[[#This Row],[2028]]*Emissionsfaktoren[[#This Row],[2028]]/1000, 0)</f>
        <v>0</v>
      </c>
      <c r="S119" s="15">
        <f>IF(ISNUMBER(Klisz_Verbräuche[[#This Row],[2029]]), Klisz_Verbräuche[[#This Row],[2029]]*Emissionsfaktoren[[#This Row],[2029]]/1000, 0)</f>
        <v>0</v>
      </c>
      <c r="T119" s="15">
        <f>IF(ISNUMBER(Klisz_Verbräuche[[#This Row],[2030]]), Klisz_Verbräuche[[#This Row],[2030]]*Emissionsfaktoren[[#This Row],[2030]]/1000, 0)</f>
        <v>0</v>
      </c>
      <c r="U119" s="15">
        <f>IF(ISNUMBER(Klisz_Verbräuche[[#This Row],[2035]]), Klisz_Verbräuche[[#This Row],[2035]]*Emissionsfaktoren[[#This Row],[2035]]/1000, 0)</f>
        <v>0</v>
      </c>
      <c r="V119" s="15">
        <f>IF(ISNUMBER(Klisz_Verbräuche[[#This Row],[2040]]), Klisz_Verbräuche[[#This Row],[2040]]*Emissionsfaktoren[[#This Row],[2040]]/1000, 0)</f>
        <v>0</v>
      </c>
      <c r="W119" s="15">
        <f>IF(ISNUMBER(Klisz_Verbräuche[[#This Row],[2045]]), Klisz_Verbräuche[[#This Row],[2045]]*Emissionsfaktoren[[#This Row],[2045]]/1000, 0)</f>
        <v>0</v>
      </c>
      <c r="X119" s="15">
        <f>IF(ISNUMBER(Klisz_Verbräuche[[#This Row],[2050]]), Klisz_Verbräuche[[#This Row],[2050]]*Emissionsfaktoren[[#This Row],[2050]]/1000, 0)</f>
        <v>0</v>
      </c>
    </row>
    <row r="120" spans="2:24" ht="16.5" hidden="1" x14ac:dyDescent="0.45">
      <c r="B120" s="15">
        <v>60</v>
      </c>
      <c r="C120" s="20" t="str">
        <f>Refsz_Verbräuche[[#This Row],[Datenpunkt]]</f>
        <v>Exkursionen - Eisenbahn (Nahverkehr)</v>
      </c>
      <c r="D120" t="s">
        <v>208</v>
      </c>
      <c r="E120" s="15">
        <f>IF(ISNUMBER(Klisz_Verbräuche[[#This Row],[2015]]), Klisz_Verbräuche[[#This Row],[2015]]*Emissionsfaktoren[[#This Row],[2015]]/1000, 0)</f>
        <v>0</v>
      </c>
      <c r="F120" s="15">
        <f>IF(ISNUMBER(Klisz_Verbräuche[[#This Row],[2016]]), Klisz_Verbräuche[[#This Row],[2016]]*Emissionsfaktoren[[#This Row],[2016]]/1000, 0)</f>
        <v>0</v>
      </c>
      <c r="G120" s="15">
        <f>IF(ISNUMBER(Klisz_Verbräuche[[#This Row],[2017]]), Klisz_Verbräuche[[#This Row],[2017]]*Emissionsfaktoren[[#This Row],[2017]]/1000, 0)</f>
        <v>0</v>
      </c>
      <c r="H120" s="15">
        <f>IF(ISNUMBER(Klisz_Verbräuche[[#This Row],[2018]]), Klisz_Verbräuche[[#This Row],[2018]]*Emissionsfaktoren[[#This Row],[2018]]/1000, 0)</f>
        <v>0</v>
      </c>
      <c r="I120" s="15">
        <f>IF(ISNUMBER(Klisz_Verbräuche[[#This Row],[2019]]), Klisz_Verbräuche[[#This Row],[2019]]*Emissionsfaktoren[[#This Row],[2019]]/1000, 0)</f>
        <v>0</v>
      </c>
      <c r="J120" s="15">
        <f>IF(ISNUMBER(Klisz_Verbräuche[[#This Row],[2020]]), Klisz_Verbräuche[[#This Row],[2020]]*Emissionsfaktoren[[#This Row],[2020]]/1000, 0)</f>
        <v>0</v>
      </c>
      <c r="K120" s="15">
        <f>IF(ISNUMBER(Klisz_Verbräuche[[#This Row],[2021]]), Klisz_Verbräuche[[#This Row],[2021]]*Emissionsfaktoren[[#This Row],[2021]]/1000, 0)</f>
        <v>0</v>
      </c>
      <c r="L120" s="15">
        <f>IF(ISNUMBER(Klisz_Verbräuche[[#This Row],[2022]]), Klisz_Verbräuche[[#This Row],[2022]]*Emissionsfaktoren[[#This Row],[2022]]/1000, 0)</f>
        <v>0</v>
      </c>
      <c r="M120" s="15">
        <f>IF(ISNUMBER(Klisz_Verbräuche[[#This Row],[2023]]), Klisz_Verbräuche[[#This Row],[2023]]*Emissionsfaktoren[[#This Row],[2023]]/1000, 0)</f>
        <v>0</v>
      </c>
      <c r="N120" s="15">
        <f>IF(ISNUMBER(Klisz_Verbräuche[[#This Row],[2024]]), Klisz_Verbräuche[[#This Row],[2024]]*Emissionsfaktoren[[#This Row],[2024]]/1000, 0)</f>
        <v>0</v>
      </c>
      <c r="O120" s="15">
        <f>IF(ISNUMBER(Klisz_Verbräuche[[#This Row],[2025]]), Klisz_Verbräuche[[#This Row],[2025]]*Emissionsfaktoren[[#This Row],[2025]]/1000, 0)</f>
        <v>0</v>
      </c>
      <c r="P120" s="15">
        <f>IF(ISNUMBER(Klisz_Verbräuche[[#This Row],[2026]]), Klisz_Verbräuche[[#This Row],[2026]]*Emissionsfaktoren[[#This Row],[2026]]/1000, 0)</f>
        <v>0</v>
      </c>
      <c r="Q120" s="15">
        <f>IF(ISNUMBER(Klisz_Verbräuche[[#This Row],[2027]]), Klisz_Verbräuche[[#This Row],[2027]]*Emissionsfaktoren[[#This Row],[2027]]/1000, 0)</f>
        <v>0</v>
      </c>
      <c r="R120" s="15">
        <f>IF(ISNUMBER(Klisz_Verbräuche[[#This Row],[2028]]), Klisz_Verbräuche[[#This Row],[2028]]*Emissionsfaktoren[[#This Row],[2028]]/1000, 0)</f>
        <v>0</v>
      </c>
      <c r="S120" s="15">
        <f>IF(ISNUMBER(Klisz_Verbräuche[[#This Row],[2029]]), Klisz_Verbräuche[[#This Row],[2029]]*Emissionsfaktoren[[#This Row],[2029]]/1000, 0)</f>
        <v>0</v>
      </c>
      <c r="T120" s="15">
        <f>IF(ISNUMBER(Klisz_Verbräuche[[#This Row],[2030]]), Klisz_Verbräuche[[#This Row],[2030]]*Emissionsfaktoren[[#This Row],[2030]]/1000, 0)</f>
        <v>0</v>
      </c>
      <c r="U120" s="15">
        <f>IF(ISNUMBER(Klisz_Verbräuche[[#This Row],[2035]]), Klisz_Verbräuche[[#This Row],[2035]]*Emissionsfaktoren[[#This Row],[2035]]/1000, 0)</f>
        <v>0</v>
      </c>
      <c r="V120" s="15">
        <f>IF(ISNUMBER(Klisz_Verbräuche[[#This Row],[2040]]), Klisz_Verbräuche[[#This Row],[2040]]*Emissionsfaktoren[[#This Row],[2040]]/1000, 0)</f>
        <v>0</v>
      </c>
      <c r="W120" s="15">
        <f>IF(ISNUMBER(Klisz_Verbräuche[[#This Row],[2045]]), Klisz_Verbräuche[[#This Row],[2045]]*Emissionsfaktoren[[#This Row],[2045]]/1000, 0)</f>
        <v>0</v>
      </c>
      <c r="X120" s="15">
        <f>IF(ISNUMBER(Klisz_Verbräuche[[#This Row],[2050]]), Klisz_Verbräuche[[#This Row],[2050]]*Emissionsfaktoren[[#This Row],[2050]]/1000, 0)</f>
        <v>0</v>
      </c>
    </row>
    <row r="121" spans="2:24" ht="16.5" hidden="1" x14ac:dyDescent="0.45">
      <c r="B121" s="15">
        <v>61</v>
      </c>
      <c r="C121" s="20" t="str">
        <f>Refsz_Verbräuche[[#This Row],[Datenpunkt]]</f>
        <v>Exkursionen - Privater PKW (alle Antriebsarten)</v>
      </c>
      <c r="D121" t="s">
        <v>208</v>
      </c>
      <c r="E121" s="15">
        <f>IF(ISNUMBER(Klisz_Verbräuche[[#This Row],[2015]]), Klisz_Verbräuche[[#This Row],[2015]]*Emissionsfaktoren[[#This Row],[2015]]/1000, 0)</f>
        <v>0</v>
      </c>
      <c r="F121" s="15">
        <f>IF(ISNUMBER(Klisz_Verbräuche[[#This Row],[2016]]), Klisz_Verbräuche[[#This Row],[2016]]*Emissionsfaktoren[[#This Row],[2016]]/1000, 0)</f>
        <v>0</v>
      </c>
      <c r="G121" s="15">
        <f>IF(ISNUMBER(Klisz_Verbräuche[[#This Row],[2017]]), Klisz_Verbräuche[[#This Row],[2017]]*Emissionsfaktoren[[#This Row],[2017]]/1000, 0)</f>
        <v>0</v>
      </c>
      <c r="H121" s="15">
        <f>IF(ISNUMBER(Klisz_Verbräuche[[#This Row],[2018]]), Klisz_Verbräuche[[#This Row],[2018]]*Emissionsfaktoren[[#This Row],[2018]]/1000, 0)</f>
        <v>0</v>
      </c>
      <c r="I121" s="15">
        <f>IF(ISNUMBER(Klisz_Verbräuche[[#This Row],[2019]]), Klisz_Verbräuche[[#This Row],[2019]]*Emissionsfaktoren[[#This Row],[2019]]/1000, 0)</f>
        <v>0</v>
      </c>
      <c r="J121" s="15">
        <f>IF(ISNUMBER(Klisz_Verbräuche[[#This Row],[2020]]), Klisz_Verbräuche[[#This Row],[2020]]*Emissionsfaktoren[[#This Row],[2020]]/1000, 0)</f>
        <v>0</v>
      </c>
      <c r="K121" s="15">
        <f>IF(ISNUMBER(Klisz_Verbräuche[[#This Row],[2021]]), Klisz_Verbräuche[[#This Row],[2021]]*Emissionsfaktoren[[#This Row],[2021]]/1000, 0)</f>
        <v>0</v>
      </c>
      <c r="L121" s="15">
        <f>IF(ISNUMBER(Klisz_Verbräuche[[#This Row],[2022]]), Klisz_Verbräuche[[#This Row],[2022]]*Emissionsfaktoren[[#This Row],[2022]]/1000, 0)</f>
        <v>0</v>
      </c>
      <c r="M121" s="15">
        <f>IF(ISNUMBER(Klisz_Verbräuche[[#This Row],[2023]]), Klisz_Verbräuche[[#This Row],[2023]]*Emissionsfaktoren[[#This Row],[2023]]/1000, 0)</f>
        <v>0</v>
      </c>
      <c r="N121" s="15">
        <f>IF(ISNUMBER(Klisz_Verbräuche[[#This Row],[2024]]), Klisz_Verbräuche[[#This Row],[2024]]*Emissionsfaktoren[[#This Row],[2024]]/1000, 0)</f>
        <v>0</v>
      </c>
      <c r="O121" s="15">
        <f>IF(ISNUMBER(Klisz_Verbräuche[[#This Row],[2025]]), Klisz_Verbräuche[[#This Row],[2025]]*Emissionsfaktoren[[#This Row],[2025]]/1000, 0)</f>
        <v>0</v>
      </c>
      <c r="P121" s="15">
        <f>IF(ISNUMBER(Klisz_Verbräuche[[#This Row],[2026]]), Klisz_Verbräuche[[#This Row],[2026]]*Emissionsfaktoren[[#This Row],[2026]]/1000, 0)</f>
        <v>0</v>
      </c>
      <c r="Q121" s="15">
        <f>IF(ISNUMBER(Klisz_Verbräuche[[#This Row],[2027]]), Klisz_Verbräuche[[#This Row],[2027]]*Emissionsfaktoren[[#This Row],[2027]]/1000, 0)</f>
        <v>0</v>
      </c>
      <c r="R121" s="15">
        <f>IF(ISNUMBER(Klisz_Verbräuche[[#This Row],[2028]]), Klisz_Verbräuche[[#This Row],[2028]]*Emissionsfaktoren[[#This Row],[2028]]/1000, 0)</f>
        <v>0</v>
      </c>
      <c r="S121" s="15">
        <f>IF(ISNUMBER(Klisz_Verbräuche[[#This Row],[2029]]), Klisz_Verbräuche[[#This Row],[2029]]*Emissionsfaktoren[[#This Row],[2029]]/1000, 0)</f>
        <v>0</v>
      </c>
      <c r="T121" s="15">
        <f>IF(ISNUMBER(Klisz_Verbräuche[[#This Row],[2030]]), Klisz_Verbräuche[[#This Row],[2030]]*Emissionsfaktoren[[#This Row],[2030]]/1000, 0)</f>
        <v>0</v>
      </c>
      <c r="U121" s="15">
        <f>IF(ISNUMBER(Klisz_Verbräuche[[#This Row],[2035]]), Klisz_Verbräuche[[#This Row],[2035]]*Emissionsfaktoren[[#This Row],[2035]]/1000, 0)</f>
        <v>0</v>
      </c>
      <c r="V121" s="15">
        <f>IF(ISNUMBER(Klisz_Verbräuche[[#This Row],[2040]]), Klisz_Verbräuche[[#This Row],[2040]]*Emissionsfaktoren[[#This Row],[2040]]/1000, 0)</f>
        <v>0</v>
      </c>
      <c r="W121" s="15">
        <f>IF(ISNUMBER(Klisz_Verbräuche[[#This Row],[2045]]), Klisz_Verbräuche[[#This Row],[2045]]*Emissionsfaktoren[[#This Row],[2045]]/1000, 0)</f>
        <v>0</v>
      </c>
      <c r="X121" s="15">
        <f>IF(ISNUMBER(Klisz_Verbräuche[[#This Row],[2050]]), Klisz_Verbräuche[[#This Row],[2050]]*Emissionsfaktoren[[#This Row],[2050]]/1000, 0)</f>
        <v>0</v>
      </c>
    </row>
    <row r="122" spans="2:24" ht="16.5" hidden="1" x14ac:dyDescent="0.45">
      <c r="B122" s="15">
        <v>62</v>
      </c>
      <c r="C122" s="20">
        <f>Refsz_Verbräuche[[#This Row],[Datenpunkt]]</f>
        <v>0</v>
      </c>
      <c r="D122" t="s">
        <v>208</v>
      </c>
      <c r="E122" s="15">
        <f>IF(ISNUMBER(Klisz_Verbräuche[[#This Row],[2015]]), Klisz_Verbräuche[[#This Row],[2015]]*Emissionsfaktoren[[#This Row],[2015]]/1000, 0)</f>
        <v>0</v>
      </c>
      <c r="F122" s="15">
        <f>IF(ISNUMBER(Klisz_Verbräuche[[#This Row],[2016]]), Klisz_Verbräuche[[#This Row],[2016]]*Emissionsfaktoren[[#This Row],[2016]]/1000, 0)</f>
        <v>0</v>
      </c>
      <c r="G122" s="15">
        <f>IF(ISNUMBER(Klisz_Verbräuche[[#This Row],[2017]]), Klisz_Verbräuche[[#This Row],[2017]]*Emissionsfaktoren[[#This Row],[2017]]/1000, 0)</f>
        <v>0</v>
      </c>
      <c r="H122" s="15">
        <f>IF(ISNUMBER(Klisz_Verbräuche[[#This Row],[2018]]), Klisz_Verbräuche[[#This Row],[2018]]*Emissionsfaktoren[[#This Row],[2018]]/1000, 0)</f>
        <v>0</v>
      </c>
      <c r="I122" s="15">
        <f>IF(ISNUMBER(Klisz_Verbräuche[[#This Row],[2019]]), Klisz_Verbräuche[[#This Row],[2019]]*Emissionsfaktoren[[#This Row],[2019]]/1000, 0)</f>
        <v>0</v>
      </c>
      <c r="J122" s="15">
        <f>IF(ISNUMBER(Klisz_Verbräuche[[#This Row],[2020]]), Klisz_Verbräuche[[#This Row],[2020]]*Emissionsfaktoren[[#This Row],[2020]]/1000, 0)</f>
        <v>0</v>
      </c>
      <c r="K122" s="15">
        <f>IF(ISNUMBER(Klisz_Verbräuche[[#This Row],[2021]]), Klisz_Verbräuche[[#This Row],[2021]]*Emissionsfaktoren[[#This Row],[2021]]/1000, 0)</f>
        <v>0</v>
      </c>
      <c r="L122" s="15">
        <f>IF(ISNUMBER(Klisz_Verbräuche[[#This Row],[2022]]), Klisz_Verbräuche[[#This Row],[2022]]*Emissionsfaktoren[[#This Row],[2022]]/1000, 0)</f>
        <v>0</v>
      </c>
      <c r="M122" s="15">
        <f>IF(ISNUMBER(Klisz_Verbräuche[[#This Row],[2023]]), Klisz_Verbräuche[[#This Row],[2023]]*Emissionsfaktoren[[#This Row],[2023]]/1000, 0)</f>
        <v>0</v>
      </c>
      <c r="N122" s="15">
        <f>IF(ISNUMBER(Klisz_Verbräuche[[#This Row],[2024]]), Klisz_Verbräuche[[#This Row],[2024]]*Emissionsfaktoren[[#This Row],[2024]]/1000, 0)</f>
        <v>0</v>
      </c>
      <c r="O122" s="15">
        <f>IF(ISNUMBER(Klisz_Verbräuche[[#This Row],[2025]]), Klisz_Verbräuche[[#This Row],[2025]]*Emissionsfaktoren[[#This Row],[2025]]/1000, 0)</f>
        <v>0</v>
      </c>
      <c r="P122" s="15">
        <f>IF(ISNUMBER(Klisz_Verbräuche[[#This Row],[2026]]), Klisz_Verbräuche[[#This Row],[2026]]*Emissionsfaktoren[[#This Row],[2026]]/1000, 0)</f>
        <v>0</v>
      </c>
      <c r="Q122" s="15">
        <f>IF(ISNUMBER(Klisz_Verbräuche[[#This Row],[2027]]), Klisz_Verbräuche[[#This Row],[2027]]*Emissionsfaktoren[[#This Row],[2027]]/1000, 0)</f>
        <v>0</v>
      </c>
      <c r="R122" s="15">
        <f>IF(ISNUMBER(Klisz_Verbräuche[[#This Row],[2028]]), Klisz_Verbräuche[[#This Row],[2028]]*Emissionsfaktoren[[#This Row],[2028]]/1000, 0)</f>
        <v>0</v>
      </c>
      <c r="S122" s="15">
        <f>IF(ISNUMBER(Klisz_Verbräuche[[#This Row],[2029]]), Klisz_Verbräuche[[#This Row],[2029]]*Emissionsfaktoren[[#This Row],[2029]]/1000, 0)</f>
        <v>0</v>
      </c>
      <c r="T122" s="15">
        <f>IF(ISNUMBER(Klisz_Verbräuche[[#This Row],[2030]]), Klisz_Verbräuche[[#This Row],[2030]]*Emissionsfaktoren[[#This Row],[2030]]/1000, 0)</f>
        <v>0</v>
      </c>
      <c r="U122" s="15">
        <f>IF(ISNUMBER(Klisz_Verbräuche[[#This Row],[2035]]), Klisz_Verbräuche[[#This Row],[2035]]*Emissionsfaktoren[[#This Row],[2035]]/1000, 0)</f>
        <v>0</v>
      </c>
      <c r="V122" s="15">
        <f>IF(ISNUMBER(Klisz_Verbräuche[[#This Row],[2040]]), Klisz_Verbräuche[[#This Row],[2040]]*Emissionsfaktoren[[#This Row],[2040]]/1000, 0)</f>
        <v>0</v>
      </c>
      <c r="W122" s="15">
        <f>IF(ISNUMBER(Klisz_Verbräuche[[#This Row],[2045]]), Klisz_Verbräuche[[#This Row],[2045]]*Emissionsfaktoren[[#This Row],[2045]]/1000, 0)</f>
        <v>0</v>
      </c>
      <c r="X122" s="15">
        <f>IF(ISNUMBER(Klisz_Verbräuche[[#This Row],[2050]]), Klisz_Verbräuche[[#This Row],[2050]]*Emissionsfaktoren[[#This Row],[2050]]/1000, 0)</f>
        <v>0</v>
      </c>
    </row>
    <row r="123" spans="2:24" ht="16.5" hidden="1" x14ac:dyDescent="0.45">
      <c r="B123" s="15">
        <v>63</v>
      </c>
      <c r="C123" s="20" t="str">
        <f>Refsz_Verbräuche[[#This Row],[Datenpunkt]]</f>
        <v>Pendeln - Eisenbahn (Fernverkehr)</v>
      </c>
      <c r="D123" t="s">
        <v>208</v>
      </c>
      <c r="E123" s="15">
        <f>IF(ISNUMBER(Klisz_Verbräuche[[#This Row],[2015]]), Klisz_Verbräuche[[#This Row],[2015]]*Emissionsfaktoren[[#This Row],[2015]]/1000, 0)</f>
        <v>0</v>
      </c>
      <c r="F123" s="15">
        <f>IF(ISNUMBER(Klisz_Verbräuche[[#This Row],[2016]]), Klisz_Verbräuche[[#This Row],[2016]]*Emissionsfaktoren[[#This Row],[2016]]/1000, 0)</f>
        <v>0</v>
      </c>
      <c r="G123" s="15">
        <f>IF(ISNUMBER(Klisz_Verbräuche[[#This Row],[2017]]), Klisz_Verbräuche[[#This Row],[2017]]*Emissionsfaktoren[[#This Row],[2017]]/1000, 0)</f>
        <v>0</v>
      </c>
      <c r="H123" s="15">
        <f>IF(ISNUMBER(Klisz_Verbräuche[[#This Row],[2018]]), Klisz_Verbräuche[[#This Row],[2018]]*Emissionsfaktoren[[#This Row],[2018]]/1000, 0)</f>
        <v>0</v>
      </c>
      <c r="I123" s="15">
        <f>IF(ISNUMBER(Klisz_Verbräuche[[#This Row],[2019]]), Klisz_Verbräuche[[#This Row],[2019]]*Emissionsfaktoren[[#This Row],[2019]]/1000, 0)</f>
        <v>0</v>
      </c>
      <c r="J123" s="15">
        <f>IF(ISNUMBER(Klisz_Verbräuche[[#This Row],[2020]]), Klisz_Verbräuche[[#This Row],[2020]]*Emissionsfaktoren[[#This Row],[2020]]/1000, 0)</f>
        <v>0</v>
      </c>
      <c r="K123" s="15">
        <f>IF(ISNUMBER(Klisz_Verbräuche[[#This Row],[2021]]), Klisz_Verbräuche[[#This Row],[2021]]*Emissionsfaktoren[[#This Row],[2021]]/1000, 0)</f>
        <v>0</v>
      </c>
      <c r="L123" s="15">
        <f>IF(ISNUMBER(Klisz_Verbräuche[[#This Row],[2022]]), Klisz_Verbräuche[[#This Row],[2022]]*Emissionsfaktoren[[#This Row],[2022]]/1000, 0)</f>
        <v>0</v>
      </c>
      <c r="M123" s="15">
        <f>IF(ISNUMBER(Klisz_Verbräuche[[#This Row],[2023]]), Klisz_Verbräuche[[#This Row],[2023]]*Emissionsfaktoren[[#This Row],[2023]]/1000, 0)</f>
        <v>0</v>
      </c>
      <c r="N123" s="15">
        <f>IF(ISNUMBER(Klisz_Verbräuche[[#This Row],[2024]]), Klisz_Verbräuche[[#This Row],[2024]]*Emissionsfaktoren[[#This Row],[2024]]/1000, 0)</f>
        <v>0</v>
      </c>
      <c r="O123" s="15">
        <f>IF(ISNUMBER(Klisz_Verbräuche[[#This Row],[2025]]), Klisz_Verbräuche[[#This Row],[2025]]*Emissionsfaktoren[[#This Row],[2025]]/1000, 0)</f>
        <v>0</v>
      </c>
      <c r="P123" s="15">
        <f>IF(ISNUMBER(Klisz_Verbräuche[[#This Row],[2026]]), Klisz_Verbräuche[[#This Row],[2026]]*Emissionsfaktoren[[#This Row],[2026]]/1000, 0)</f>
        <v>0</v>
      </c>
      <c r="Q123" s="15">
        <f>IF(ISNUMBER(Klisz_Verbräuche[[#This Row],[2027]]), Klisz_Verbräuche[[#This Row],[2027]]*Emissionsfaktoren[[#This Row],[2027]]/1000, 0)</f>
        <v>0</v>
      </c>
      <c r="R123" s="15">
        <f>IF(ISNUMBER(Klisz_Verbräuche[[#This Row],[2028]]), Klisz_Verbräuche[[#This Row],[2028]]*Emissionsfaktoren[[#This Row],[2028]]/1000, 0)</f>
        <v>0</v>
      </c>
      <c r="S123" s="15">
        <f>IF(ISNUMBER(Klisz_Verbräuche[[#This Row],[2029]]), Klisz_Verbräuche[[#This Row],[2029]]*Emissionsfaktoren[[#This Row],[2029]]/1000, 0)</f>
        <v>0</v>
      </c>
      <c r="T123" s="15">
        <f>IF(ISNUMBER(Klisz_Verbräuche[[#This Row],[2030]]), Klisz_Verbräuche[[#This Row],[2030]]*Emissionsfaktoren[[#This Row],[2030]]/1000, 0)</f>
        <v>0</v>
      </c>
      <c r="U123" s="15">
        <f>IF(ISNUMBER(Klisz_Verbräuche[[#This Row],[2035]]), Klisz_Verbräuche[[#This Row],[2035]]*Emissionsfaktoren[[#This Row],[2035]]/1000, 0)</f>
        <v>0</v>
      </c>
      <c r="V123" s="15">
        <f>IF(ISNUMBER(Klisz_Verbräuche[[#This Row],[2040]]), Klisz_Verbräuche[[#This Row],[2040]]*Emissionsfaktoren[[#This Row],[2040]]/1000, 0)</f>
        <v>0</v>
      </c>
      <c r="W123" s="15">
        <f>IF(ISNUMBER(Klisz_Verbräuche[[#This Row],[2045]]), Klisz_Verbräuche[[#This Row],[2045]]*Emissionsfaktoren[[#This Row],[2045]]/1000, 0)</f>
        <v>0</v>
      </c>
      <c r="X123" s="15">
        <f>IF(ISNUMBER(Klisz_Verbräuche[[#This Row],[2050]]), Klisz_Verbräuche[[#This Row],[2050]]*Emissionsfaktoren[[#This Row],[2050]]/1000, 0)</f>
        <v>0</v>
      </c>
    </row>
    <row r="124" spans="2:24" ht="16.5" hidden="1" x14ac:dyDescent="0.45">
      <c r="B124" s="15">
        <v>64</v>
      </c>
      <c r="C124" s="20" t="str">
        <f>Refsz_Verbräuche[[#This Row],[Datenpunkt]]</f>
        <v>Pendeln - Eisenbahn (Nahverkehr)</v>
      </c>
      <c r="D124" t="s">
        <v>208</v>
      </c>
      <c r="E124" s="15">
        <f>IF(ISNUMBER(Klisz_Verbräuche[[#This Row],[2015]]), Klisz_Verbräuche[[#This Row],[2015]]*Emissionsfaktoren[[#This Row],[2015]]/1000, 0)</f>
        <v>0</v>
      </c>
      <c r="F124" s="15">
        <f>IF(ISNUMBER(Klisz_Verbräuche[[#This Row],[2016]]), Klisz_Verbräuche[[#This Row],[2016]]*Emissionsfaktoren[[#This Row],[2016]]/1000, 0)</f>
        <v>0</v>
      </c>
      <c r="G124" s="15">
        <f>IF(ISNUMBER(Klisz_Verbräuche[[#This Row],[2017]]), Klisz_Verbräuche[[#This Row],[2017]]*Emissionsfaktoren[[#This Row],[2017]]/1000, 0)</f>
        <v>0</v>
      </c>
      <c r="H124" s="15">
        <f>IF(ISNUMBER(Klisz_Verbräuche[[#This Row],[2018]]), Klisz_Verbräuche[[#This Row],[2018]]*Emissionsfaktoren[[#This Row],[2018]]/1000, 0)</f>
        <v>0</v>
      </c>
      <c r="I124" s="15">
        <f>IF(ISNUMBER(Klisz_Verbräuche[[#This Row],[2019]]), Klisz_Verbräuche[[#This Row],[2019]]*Emissionsfaktoren[[#This Row],[2019]]/1000, 0)</f>
        <v>0</v>
      </c>
      <c r="J124" s="15">
        <f>IF(ISNUMBER(Klisz_Verbräuche[[#This Row],[2020]]), Klisz_Verbräuche[[#This Row],[2020]]*Emissionsfaktoren[[#This Row],[2020]]/1000, 0)</f>
        <v>0</v>
      </c>
      <c r="K124" s="15">
        <f>IF(ISNUMBER(Klisz_Verbräuche[[#This Row],[2021]]), Klisz_Verbräuche[[#This Row],[2021]]*Emissionsfaktoren[[#This Row],[2021]]/1000, 0)</f>
        <v>0</v>
      </c>
      <c r="L124" s="15">
        <f>IF(ISNUMBER(Klisz_Verbräuche[[#This Row],[2022]]), Klisz_Verbräuche[[#This Row],[2022]]*Emissionsfaktoren[[#This Row],[2022]]/1000, 0)</f>
        <v>0</v>
      </c>
      <c r="M124" s="15">
        <f>IF(ISNUMBER(Klisz_Verbräuche[[#This Row],[2023]]), Klisz_Verbräuche[[#This Row],[2023]]*Emissionsfaktoren[[#This Row],[2023]]/1000, 0)</f>
        <v>0</v>
      </c>
      <c r="N124" s="15">
        <f>IF(ISNUMBER(Klisz_Verbräuche[[#This Row],[2024]]), Klisz_Verbräuche[[#This Row],[2024]]*Emissionsfaktoren[[#This Row],[2024]]/1000, 0)</f>
        <v>0</v>
      </c>
      <c r="O124" s="15">
        <f>IF(ISNUMBER(Klisz_Verbräuche[[#This Row],[2025]]), Klisz_Verbräuche[[#This Row],[2025]]*Emissionsfaktoren[[#This Row],[2025]]/1000, 0)</f>
        <v>0</v>
      </c>
      <c r="P124" s="15">
        <f>IF(ISNUMBER(Klisz_Verbräuche[[#This Row],[2026]]), Klisz_Verbräuche[[#This Row],[2026]]*Emissionsfaktoren[[#This Row],[2026]]/1000, 0)</f>
        <v>0</v>
      </c>
      <c r="Q124" s="15">
        <f>IF(ISNUMBER(Klisz_Verbräuche[[#This Row],[2027]]), Klisz_Verbräuche[[#This Row],[2027]]*Emissionsfaktoren[[#This Row],[2027]]/1000, 0)</f>
        <v>0</v>
      </c>
      <c r="R124" s="15">
        <f>IF(ISNUMBER(Klisz_Verbräuche[[#This Row],[2028]]), Klisz_Verbräuche[[#This Row],[2028]]*Emissionsfaktoren[[#This Row],[2028]]/1000, 0)</f>
        <v>0</v>
      </c>
      <c r="S124" s="15">
        <f>IF(ISNUMBER(Klisz_Verbräuche[[#This Row],[2029]]), Klisz_Verbräuche[[#This Row],[2029]]*Emissionsfaktoren[[#This Row],[2029]]/1000, 0)</f>
        <v>0</v>
      </c>
      <c r="T124" s="15">
        <f>IF(ISNUMBER(Klisz_Verbräuche[[#This Row],[2030]]), Klisz_Verbräuche[[#This Row],[2030]]*Emissionsfaktoren[[#This Row],[2030]]/1000, 0)</f>
        <v>0</v>
      </c>
      <c r="U124" s="15">
        <f>IF(ISNUMBER(Klisz_Verbräuche[[#This Row],[2035]]), Klisz_Verbräuche[[#This Row],[2035]]*Emissionsfaktoren[[#This Row],[2035]]/1000, 0)</f>
        <v>0</v>
      </c>
      <c r="V124" s="15">
        <f>IF(ISNUMBER(Klisz_Verbräuche[[#This Row],[2040]]), Klisz_Verbräuche[[#This Row],[2040]]*Emissionsfaktoren[[#This Row],[2040]]/1000, 0)</f>
        <v>0</v>
      </c>
      <c r="W124" s="15">
        <f>IF(ISNUMBER(Klisz_Verbräuche[[#This Row],[2045]]), Klisz_Verbräuche[[#This Row],[2045]]*Emissionsfaktoren[[#This Row],[2045]]/1000, 0)</f>
        <v>0</v>
      </c>
      <c r="X124" s="15">
        <f>IF(ISNUMBER(Klisz_Verbräuche[[#This Row],[2050]]), Klisz_Verbräuche[[#This Row],[2050]]*Emissionsfaktoren[[#This Row],[2050]]/1000, 0)</f>
        <v>0</v>
      </c>
    </row>
    <row r="125" spans="2:24" ht="16.5" hidden="1" x14ac:dyDescent="0.45">
      <c r="B125" s="15">
        <v>65</v>
      </c>
      <c r="C125" s="20" t="str">
        <f>Refsz_Verbräuche[[#This Row],[Datenpunkt]]</f>
        <v>Pendeln - Linienbus (Nahverkehr)</v>
      </c>
      <c r="D125" t="s">
        <v>208</v>
      </c>
      <c r="E125" s="15">
        <f>IF(ISNUMBER(Klisz_Verbräuche[[#This Row],[2015]]), Klisz_Verbräuche[[#This Row],[2015]]*Emissionsfaktoren[[#This Row],[2015]]/1000, 0)</f>
        <v>0</v>
      </c>
      <c r="F125" s="15">
        <f>IF(ISNUMBER(Klisz_Verbräuche[[#This Row],[2016]]), Klisz_Verbräuche[[#This Row],[2016]]*Emissionsfaktoren[[#This Row],[2016]]/1000, 0)</f>
        <v>0</v>
      </c>
      <c r="G125" s="15">
        <f>IF(ISNUMBER(Klisz_Verbräuche[[#This Row],[2017]]), Klisz_Verbräuche[[#This Row],[2017]]*Emissionsfaktoren[[#This Row],[2017]]/1000, 0)</f>
        <v>0</v>
      </c>
      <c r="H125" s="15">
        <f>IF(ISNUMBER(Klisz_Verbräuche[[#This Row],[2018]]), Klisz_Verbräuche[[#This Row],[2018]]*Emissionsfaktoren[[#This Row],[2018]]/1000, 0)</f>
        <v>0</v>
      </c>
      <c r="I125" s="15">
        <f>IF(ISNUMBER(Klisz_Verbräuche[[#This Row],[2019]]), Klisz_Verbräuche[[#This Row],[2019]]*Emissionsfaktoren[[#This Row],[2019]]/1000, 0)</f>
        <v>0</v>
      </c>
      <c r="J125" s="15">
        <f>IF(ISNUMBER(Klisz_Verbräuche[[#This Row],[2020]]), Klisz_Verbräuche[[#This Row],[2020]]*Emissionsfaktoren[[#This Row],[2020]]/1000, 0)</f>
        <v>0</v>
      </c>
      <c r="K125" s="15">
        <f>IF(ISNUMBER(Klisz_Verbräuche[[#This Row],[2021]]), Klisz_Verbräuche[[#This Row],[2021]]*Emissionsfaktoren[[#This Row],[2021]]/1000, 0)</f>
        <v>0</v>
      </c>
      <c r="L125" s="15">
        <f>IF(ISNUMBER(Klisz_Verbräuche[[#This Row],[2022]]), Klisz_Verbräuche[[#This Row],[2022]]*Emissionsfaktoren[[#This Row],[2022]]/1000, 0)</f>
        <v>0</v>
      </c>
      <c r="M125" s="15">
        <f>IF(ISNUMBER(Klisz_Verbräuche[[#This Row],[2023]]), Klisz_Verbräuche[[#This Row],[2023]]*Emissionsfaktoren[[#This Row],[2023]]/1000, 0)</f>
        <v>0</v>
      </c>
      <c r="N125" s="15">
        <f>IF(ISNUMBER(Klisz_Verbräuche[[#This Row],[2024]]), Klisz_Verbräuche[[#This Row],[2024]]*Emissionsfaktoren[[#This Row],[2024]]/1000, 0)</f>
        <v>0</v>
      </c>
      <c r="O125" s="15">
        <f>IF(ISNUMBER(Klisz_Verbräuche[[#This Row],[2025]]), Klisz_Verbräuche[[#This Row],[2025]]*Emissionsfaktoren[[#This Row],[2025]]/1000, 0)</f>
        <v>0</v>
      </c>
      <c r="P125" s="15">
        <f>IF(ISNUMBER(Klisz_Verbräuche[[#This Row],[2026]]), Klisz_Verbräuche[[#This Row],[2026]]*Emissionsfaktoren[[#This Row],[2026]]/1000, 0)</f>
        <v>0</v>
      </c>
      <c r="Q125" s="15">
        <f>IF(ISNUMBER(Klisz_Verbräuche[[#This Row],[2027]]), Klisz_Verbräuche[[#This Row],[2027]]*Emissionsfaktoren[[#This Row],[2027]]/1000, 0)</f>
        <v>0</v>
      </c>
      <c r="R125" s="15">
        <f>IF(ISNUMBER(Klisz_Verbräuche[[#This Row],[2028]]), Klisz_Verbräuche[[#This Row],[2028]]*Emissionsfaktoren[[#This Row],[2028]]/1000, 0)</f>
        <v>0</v>
      </c>
      <c r="S125" s="15">
        <f>IF(ISNUMBER(Klisz_Verbräuche[[#This Row],[2029]]), Klisz_Verbräuche[[#This Row],[2029]]*Emissionsfaktoren[[#This Row],[2029]]/1000, 0)</f>
        <v>0</v>
      </c>
      <c r="T125" s="15">
        <f>IF(ISNUMBER(Klisz_Verbräuche[[#This Row],[2030]]), Klisz_Verbräuche[[#This Row],[2030]]*Emissionsfaktoren[[#This Row],[2030]]/1000, 0)</f>
        <v>0</v>
      </c>
      <c r="U125" s="15">
        <f>IF(ISNUMBER(Klisz_Verbräuche[[#This Row],[2035]]), Klisz_Verbräuche[[#This Row],[2035]]*Emissionsfaktoren[[#This Row],[2035]]/1000, 0)</f>
        <v>0</v>
      </c>
      <c r="V125" s="15">
        <f>IF(ISNUMBER(Klisz_Verbräuche[[#This Row],[2040]]), Klisz_Verbräuche[[#This Row],[2040]]*Emissionsfaktoren[[#This Row],[2040]]/1000, 0)</f>
        <v>0</v>
      </c>
      <c r="W125" s="15">
        <f>IF(ISNUMBER(Klisz_Verbräuche[[#This Row],[2045]]), Klisz_Verbräuche[[#This Row],[2045]]*Emissionsfaktoren[[#This Row],[2045]]/1000, 0)</f>
        <v>0</v>
      </c>
      <c r="X125" s="15">
        <f>IF(ISNUMBER(Klisz_Verbräuche[[#This Row],[2050]]), Klisz_Verbräuche[[#This Row],[2050]]*Emissionsfaktoren[[#This Row],[2050]]/1000, 0)</f>
        <v>0</v>
      </c>
    </row>
    <row r="126" spans="2:24" ht="16.5" hidden="1" x14ac:dyDescent="0.45">
      <c r="B126" s="15">
        <v>66</v>
      </c>
      <c r="C126" s="20" t="str">
        <f>Refsz_Verbräuche[[#This Row],[Datenpunkt]]</f>
        <v>Pendeln - PKW (alle Antriebsarten)</v>
      </c>
      <c r="D126" t="s">
        <v>208</v>
      </c>
      <c r="E126" s="15">
        <f>IF(ISNUMBER(Klisz_Verbräuche[[#This Row],[2015]]), Klisz_Verbräuche[[#This Row],[2015]]*Emissionsfaktoren[[#This Row],[2015]]/1000, 0)</f>
        <v>0</v>
      </c>
      <c r="F126" s="15">
        <f>IF(ISNUMBER(Klisz_Verbräuche[[#This Row],[2016]]), Klisz_Verbräuche[[#This Row],[2016]]*Emissionsfaktoren[[#This Row],[2016]]/1000, 0)</f>
        <v>0</v>
      </c>
      <c r="G126" s="15">
        <f>IF(ISNUMBER(Klisz_Verbräuche[[#This Row],[2017]]), Klisz_Verbräuche[[#This Row],[2017]]*Emissionsfaktoren[[#This Row],[2017]]/1000, 0)</f>
        <v>0</v>
      </c>
      <c r="H126" s="15">
        <f>IF(ISNUMBER(Klisz_Verbräuche[[#This Row],[2018]]), Klisz_Verbräuche[[#This Row],[2018]]*Emissionsfaktoren[[#This Row],[2018]]/1000, 0)</f>
        <v>0</v>
      </c>
      <c r="I126" s="15">
        <f>IF(ISNUMBER(Klisz_Verbräuche[[#This Row],[2019]]), Klisz_Verbräuche[[#This Row],[2019]]*Emissionsfaktoren[[#This Row],[2019]]/1000, 0)</f>
        <v>0</v>
      </c>
      <c r="J126" s="15">
        <f>IF(ISNUMBER(Klisz_Verbräuche[[#This Row],[2020]]), Klisz_Verbräuche[[#This Row],[2020]]*Emissionsfaktoren[[#This Row],[2020]]/1000, 0)</f>
        <v>0</v>
      </c>
      <c r="K126" s="15">
        <f>IF(ISNUMBER(Klisz_Verbräuche[[#This Row],[2021]]), Klisz_Verbräuche[[#This Row],[2021]]*Emissionsfaktoren[[#This Row],[2021]]/1000, 0)</f>
        <v>0</v>
      </c>
      <c r="L126" s="15">
        <f>IF(ISNUMBER(Klisz_Verbräuche[[#This Row],[2022]]), Klisz_Verbräuche[[#This Row],[2022]]*Emissionsfaktoren[[#This Row],[2022]]/1000, 0)</f>
        <v>0</v>
      </c>
      <c r="M126" s="15">
        <f>IF(ISNUMBER(Klisz_Verbräuche[[#This Row],[2023]]), Klisz_Verbräuche[[#This Row],[2023]]*Emissionsfaktoren[[#This Row],[2023]]/1000, 0)</f>
        <v>0</v>
      </c>
      <c r="N126" s="15">
        <f>IF(ISNUMBER(Klisz_Verbräuche[[#This Row],[2024]]), Klisz_Verbräuche[[#This Row],[2024]]*Emissionsfaktoren[[#This Row],[2024]]/1000, 0)</f>
        <v>0</v>
      </c>
      <c r="O126" s="15">
        <f>IF(ISNUMBER(Klisz_Verbräuche[[#This Row],[2025]]), Klisz_Verbräuche[[#This Row],[2025]]*Emissionsfaktoren[[#This Row],[2025]]/1000, 0)</f>
        <v>0</v>
      </c>
      <c r="P126" s="15">
        <f>IF(ISNUMBER(Klisz_Verbräuche[[#This Row],[2026]]), Klisz_Verbräuche[[#This Row],[2026]]*Emissionsfaktoren[[#This Row],[2026]]/1000, 0)</f>
        <v>0</v>
      </c>
      <c r="Q126" s="15">
        <f>IF(ISNUMBER(Klisz_Verbräuche[[#This Row],[2027]]), Klisz_Verbräuche[[#This Row],[2027]]*Emissionsfaktoren[[#This Row],[2027]]/1000, 0)</f>
        <v>0</v>
      </c>
      <c r="R126" s="15">
        <f>IF(ISNUMBER(Klisz_Verbräuche[[#This Row],[2028]]), Klisz_Verbräuche[[#This Row],[2028]]*Emissionsfaktoren[[#This Row],[2028]]/1000, 0)</f>
        <v>0</v>
      </c>
      <c r="S126" s="15">
        <f>IF(ISNUMBER(Klisz_Verbräuche[[#This Row],[2029]]), Klisz_Verbräuche[[#This Row],[2029]]*Emissionsfaktoren[[#This Row],[2029]]/1000, 0)</f>
        <v>0</v>
      </c>
      <c r="T126" s="15">
        <f>IF(ISNUMBER(Klisz_Verbräuche[[#This Row],[2030]]), Klisz_Verbräuche[[#This Row],[2030]]*Emissionsfaktoren[[#This Row],[2030]]/1000, 0)</f>
        <v>0</v>
      </c>
      <c r="U126" s="15">
        <f>IF(ISNUMBER(Klisz_Verbräuche[[#This Row],[2035]]), Klisz_Verbräuche[[#This Row],[2035]]*Emissionsfaktoren[[#This Row],[2035]]/1000, 0)</f>
        <v>0</v>
      </c>
      <c r="V126" s="15">
        <f>IF(ISNUMBER(Klisz_Verbräuche[[#This Row],[2040]]), Klisz_Verbräuche[[#This Row],[2040]]*Emissionsfaktoren[[#This Row],[2040]]/1000, 0)</f>
        <v>0</v>
      </c>
      <c r="W126" s="15">
        <f>IF(ISNUMBER(Klisz_Verbräuche[[#This Row],[2045]]), Klisz_Verbräuche[[#This Row],[2045]]*Emissionsfaktoren[[#This Row],[2045]]/1000, 0)</f>
        <v>0</v>
      </c>
      <c r="X126" s="15">
        <f>IF(ISNUMBER(Klisz_Verbräuche[[#This Row],[2050]]), Klisz_Verbräuche[[#This Row],[2050]]*Emissionsfaktoren[[#This Row],[2050]]/1000, 0)</f>
        <v>0</v>
      </c>
    </row>
    <row r="127" spans="2:24" ht="16.5" hidden="1" x14ac:dyDescent="0.45">
      <c r="B127" s="15">
        <v>67</v>
      </c>
      <c r="C127" s="20" t="str">
        <f>Refsz_Verbräuche[[#This Row],[Datenpunkt]]</f>
        <v>Pendeln - PKW (Diesel)</v>
      </c>
      <c r="D127" t="s">
        <v>208</v>
      </c>
      <c r="E127" s="15">
        <f>IF(ISNUMBER(Klisz_Verbräuche[[#This Row],[2015]]), Klisz_Verbräuche[[#This Row],[2015]]*Emissionsfaktoren[[#This Row],[2015]]/1000, 0)</f>
        <v>0</v>
      </c>
      <c r="F127" s="15">
        <f>IF(ISNUMBER(Klisz_Verbräuche[[#This Row],[2016]]), Klisz_Verbräuche[[#This Row],[2016]]*Emissionsfaktoren[[#This Row],[2016]]/1000, 0)</f>
        <v>0</v>
      </c>
      <c r="G127" s="15">
        <f>IF(ISNUMBER(Klisz_Verbräuche[[#This Row],[2017]]), Klisz_Verbräuche[[#This Row],[2017]]*Emissionsfaktoren[[#This Row],[2017]]/1000, 0)</f>
        <v>0</v>
      </c>
      <c r="H127" s="15">
        <f>IF(ISNUMBER(Klisz_Verbräuche[[#This Row],[2018]]), Klisz_Verbräuche[[#This Row],[2018]]*Emissionsfaktoren[[#This Row],[2018]]/1000, 0)</f>
        <v>0</v>
      </c>
      <c r="I127" s="15">
        <f>IF(ISNUMBER(Klisz_Verbräuche[[#This Row],[2019]]), Klisz_Verbräuche[[#This Row],[2019]]*Emissionsfaktoren[[#This Row],[2019]]/1000, 0)</f>
        <v>0</v>
      </c>
      <c r="J127" s="15">
        <f>IF(ISNUMBER(Klisz_Verbräuche[[#This Row],[2020]]), Klisz_Verbräuche[[#This Row],[2020]]*Emissionsfaktoren[[#This Row],[2020]]/1000, 0)</f>
        <v>0</v>
      </c>
      <c r="K127" s="15">
        <f>IF(ISNUMBER(Klisz_Verbräuche[[#This Row],[2021]]), Klisz_Verbräuche[[#This Row],[2021]]*Emissionsfaktoren[[#This Row],[2021]]/1000, 0)</f>
        <v>0</v>
      </c>
      <c r="L127" s="15">
        <f>IF(ISNUMBER(Klisz_Verbräuche[[#This Row],[2022]]), Klisz_Verbräuche[[#This Row],[2022]]*Emissionsfaktoren[[#This Row],[2022]]/1000, 0)</f>
        <v>0</v>
      </c>
      <c r="M127" s="15">
        <f>IF(ISNUMBER(Klisz_Verbräuche[[#This Row],[2023]]), Klisz_Verbräuche[[#This Row],[2023]]*Emissionsfaktoren[[#This Row],[2023]]/1000, 0)</f>
        <v>0</v>
      </c>
      <c r="N127" s="15">
        <f>IF(ISNUMBER(Klisz_Verbräuche[[#This Row],[2024]]), Klisz_Verbräuche[[#This Row],[2024]]*Emissionsfaktoren[[#This Row],[2024]]/1000, 0)</f>
        <v>0</v>
      </c>
      <c r="O127" s="15">
        <f>IF(ISNUMBER(Klisz_Verbräuche[[#This Row],[2025]]), Klisz_Verbräuche[[#This Row],[2025]]*Emissionsfaktoren[[#This Row],[2025]]/1000, 0)</f>
        <v>0</v>
      </c>
      <c r="P127" s="15">
        <f>IF(ISNUMBER(Klisz_Verbräuche[[#This Row],[2026]]), Klisz_Verbräuche[[#This Row],[2026]]*Emissionsfaktoren[[#This Row],[2026]]/1000, 0)</f>
        <v>0</v>
      </c>
      <c r="Q127" s="15">
        <f>IF(ISNUMBER(Klisz_Verbräuche[[#This Row],[2027]]), Klisz_Verbräuche[[#This Row],[2027]]*Emissionsfaktoren[[#This Row],[2027]]/1000, 0)</f>
        <v>0</v>
      </c>
      <c r="R127" s="15">
        <f>IF(ISNUMBER(Klisz_Verbräuche[[#This Row],[2028]]), Klisz_Verbräuche[[#This Row],[2028]]*Emissionsfaktoren[[#This Row],[2028]]/1000, 0)</f>
        <v>0</v>
      </c>
      <c r="S127" s="15">
        <f>IF(ISNUMBER(Klisz_Verbräuche[[#This Row],[2029]]), Klisz_Verbräuche[[#This Row],[2029]]*Emissionsfaktoren[[#This Row],[2029]]/1000, 0)</f>
        <v>0</v>
      </c>
      <c r="T127" s="15">
        <f>IF(ISNUMBER(Klisz_Verbräuche[[#This Row],[2030]]), Klisz_Verbräuche[[#This Row],[2030]]*Emissionsfaktoren[[#This Row],[2030]]/1000, 0)</f>
        <v>0</v>
      </c>
      <c r="U127" s="15">
        <f>IF(ISNUMBER(Klisz_Verbräuche[[#This Row],[2035]]), Klisz_Verbräuche[[#This Row],[2035]]*Emissionsfaktoren[[#This Row],[2035]]/1000, 0)</f>
        <v>0</v>
      </c>
      <c r="V127" s="15">
        <f>IF(ISNUMBER(Klisz_Verbräuche[[#This Row],[2040]]), Klisz_Verbräuche[[#This Row],[2040]]*Emissionsfaktoren[[#This Row],[2040]]/1000, 0)</f>
        <v>0</v>
      </c>
      <c r="W127" s="15">
        <f>IF(ISNUMBER(Klisz_Verbräuche[[#This Row],[2045]]), Klisz_Verbräuche[[#This Row],[2045]]*Emissionsfaktoren[[#This Row],[2045]]/1000, 0)</f>
        <v>0</v>
      </c>
      <c r="X127" s="15">
        <f>IF(ISNUMBER(Klisz_Verbräuche[[#This Row],[2050]]), Klisz_Verbräuche[[#This Row],[2050]]*Emissionsfaktoren[[#This Row],[2050]]/1000, 0)</f>
        <v>0</v>
      </c>
    </row>
    <row r="128" spans="2:24" ht="16.5" hidden="1" x14ac:dyDescent="0.45">
      <c r="B128" s="15">
        <v>68</v>
      </c>
      <c r="C128" s="20" t="str">
        <f>Refsz_Verbräuche[[#This Row],[Datenpunkt]]</f>
        <v>Pendeln - PKW (Benzin)</v>
      </c>
      <c r="D128" t="s">
        <v>208</v>
      </c>
      <c r="E128" s="15">
        <f>IF(ISNUMBER(Klisz_Verbräuche[[#This Row],[2015]]), Klisz_Verbräuche[[#This Row],[2015]]*Emissionsfaktoren[[#This Row],[2015]]/1000, 0)</f>
        <v>0</v>
      </c>
      <c r="F128" s="15">
        <f>IF(ISNUMBER(Klisz_Verbräuche[[#This Row],[2016]]), Klisz_Verbräuche[[#This Row],[2016]]*Emissionsfaktoren[[#This Row],[2016]]/1000, 0)</f>
        <v>0</v>
      </c>
      <c r="G128" s="15">
        <f>IF(ISNUMBER(Klisz_Verbräuche[[#This Row],[2017]]), Klisz_Verbräuche[[#This Row],[2017]]*Emissionsfaktoren[[#This Row],[2017]]/1000, 0)</f>
        <v>0</v>
      </c>
      <c r="H128" s="15">
        <f>IF(ISNUMBER(Klisz_Verbräuche[[#This Row],[2018]]), Klisz_Verbräuche[[#This Row],[2018]]*Emissionsfaktoren[[#This Row],[2018]]/1000, 0)</f>
        <v>0</v>
      </c>
      <c r="I128" s="15">
        <f>IF(ISNUMBER(Klisz_Verbräuche[[#This Row],[2019]]), Klisz_Verbräuche[[#This Row],[2019]]*Emissionsfaktoren[[#This Row],[2019]]/1000, 0)</f>
        <v>0</v>
      </c>
      <c r="J128" s="15">
        <f>IF(ISNUMBER(Klisz_Verbräuche[[#This Row],[2020]]), Klisz_Verbräuche[[#This Row],[2020]]*Emissionsfaktoren[[#This Row],[2020]]/1000, 0)</f>
        <v>0</v>
      </c>
      <c r="K128" s="15">
        <f>IF(ISNUMBER(Klisz_Verbräuche[[#This Row],[2021]]), Klisz_Verbräuche[[#This Row],[2021]]*Emissionsfaktoren[[#This Row],[2021]]/1000, 0)</f>
        <v>0</v>
      </c>
      <c r="L128" s="15">
        <f>IF(ISNUMBER(Klisz_Verbräuche[[#This Row],[2022]]), Klisz_Verbräuche[[#This Row],[2022]]*Emissionsfaktoren[[#This Row],[2022]]/1000, 0)</f>
        <v>0</v>
      </c>
      <c r="M128" s="15">
        <f>IF(ISNUMBER(Klisz_Verbräuche[[#This Row],[2023]]), Klisz_Verbräuche[[#This Row],[2023]]*Emissionsfaktoren[[#This Row],[2023]]/1000, 0)</f>
        <v>0</v>
      </c>
      <c r="N128" s="15">
        <f>IF(ISNUMBER(Klisz_Verbräuche[[#This Row],[2024]]), Klisz_Verbräuche[[#This Row],[2024]]*Emissionsfaktoren[[#This Row],[2024]]/1000, 0)</f>
        <v>0</v>
      </c>
      <c r="O128" s="15">
        <f>IF(ISNUMBER(Klisz_Verbräuche[[#This Row],[2025]]), Klisz_Verbräuche[[#This Row],[2025]]*Emissionsfaktoren[[#This Row],[2025]]/1000, 0)</f>
        <v>0</v>
      </c>
      <c r="P128" s="15">
        <f>IF(ISNUMBER(Klisz_Verbräuche[[#This Row],[2026]]), Klisz_Verbräuche[[#This Row],[2026]]*Emissionsfaktoren[[#This Row],[2026]]/1000, 0)</f>
        <v>0</v>
      </c>
      <c r="Q128" s="15">
        <f>IF(ISNUMBER(Klisz_Verbräuche[[#This Row],[2027]]), Klisz_Verbräuche[[#This Row],[2027]]*Emissionsfaktoren[[#This Row],[2027]]/1000, 0)</f>
        <v>0</v>
      </c>
      <c r="R128" s="15">
        <f>IF(ISNUMBER(Klisz_Verbräuche[[#This Row],[2028]]), Klisz_Verbräuche[[#This Row],[2028]]*Emissionsfaktoren[[#This Row],[2028]]/1000, 0)</f>
        <v>0</v>
      </c>
      <c r="S128" s="15">
        <f>IF(ISNUMBER(Klisz_Verbräuche[[#This Row],[2029]]), Klisz_Verbräuche[[#This Row],[2029]]*Emissionsfaktoren[[#This Row],[2029]]/1000, 0)</f>
        <v>0</v>
      </c>
      <c r="T128" s="15">
        <f>IF(ISNUMBER(Klisz_Verbräuche[[#This Row],[2030]]), Klisz_Verbräuche[[#This Row],[2030]]*Emissionsfaktoren[[#This Row],[2030]]/1000, 0)</f>
        <v>0</v>
      </c>
      <c r="U128" s="15">
        <f>IF(ISNUMBER(Klisz_Verbräuche[[#This Row],[2035]]), Klisz_Verbräuche[[#This Row],[2035]]*Emissionsfaktoren[[#This Row],[2035]]/1000, 0)</f>
        <v>0</v>
      </c>
      <c r="V128" s="15">
        <f>IF(ISNUMBER(Klisz_Verbräuche[[#This Row],[2040]]), Klisz_Verbräuche[[#This Row],[2040]]*Emissionsfaktoren[[#This Row],[2040]]/1000, 0)</f>
        <v>0</v>
      </c>
      <c r="W128" s="15">
        <f>IF(ISNUMBER(Klisz_Verbräuche[[#This Row],[2045]]), Klisz_Verbräuche[[#This Row],[2045]]*Emissionsfaktoren[[#This Row],[2045]]/1000, 0)</f>
        <v>0</v>
      </c>
      <c r="X128" s="15">
        <f>IF(ISNUMBER(Klisz_Verbräuche[[#This Row],[2050]]), Klisz_Verbräuche[[#This Row],[2050]]*Emissionsfaktoren[[#This Row],[2050]]/1000, 0)</f>
        <v>0</v>
      </c>
    </row>
    <row r="129" spans="2:24" ht="16.5" hidden="1" x14ac:dyDescent="0.45">
      <c r="B129" s="15">
        <v>69</v>
      </c>
      <c r="C129" s="20" t="str">
        <f>Refsz_Verbräuche[[#This Row],[Datenpunkt]]</f>
        <v>Pendeln - PKW (E-Auto/ BEV)</v>
      </c>
      <c r="D129" t="s">
        <v>208</v>
      </c>
      <c r="E129" s="15">
        <f>IF(ISNUMBER(Klisz_Verbräuche[[#This Row],[2015]]), Klisz_Verbräuche[[#This Row],[2015]]*Emissionsfaktoren[[#This Row],[2015]]/1000, 0)</f>
        <v>0</v>
      </c>
      <c r="F129" s="15">
        <f>IF(ISNUMBER(Klisz_Verbräuche[[#This Row],[2016]]), Klisz_Verbräuche[[#This Row],[2016]]*Emissionsfaktoren[[#This Row],[2016]]/1000, 0)</f>
        <v>0</v>
      </c>
      <c r="G129" s="15">
        <f>IF(ISNUMBER(Klisz_Verbräuche[[#This Row],[2017]]), Klisz_Verbräuche[[#This Row],[2017]]*Emissionsfaktoren[[#This Row],[2017]]/1000, 0)</f>
        <v>0</v>
      </c>
      <c r="H129" s="15">
        <f>IF(ISNUMBER(Klisz_Verbräuche[[#This Row],[2018]]), Klisz_Verbräuche[[#This Row],[2018]]*Emissionsfaktoren[[#This Row],[2018]]/1000, 0)</f>
        <v>0</v>
      </c>
      <c r="I129" s="15">
        <f>IF(ISNUMBER(Klisz_Verbräuche[[#This Row],[2019]]), Klisz_Verbräuche[[#This Row],[2019]]*Emissionsfaktoren[[#This Row],[2019]]/1000, 0)</f>
        <v>0</v>
      </c>
      <c r="J129" s="15">
        <f>IF(ISNUMBER(Klisz_Verbräuche[[#This Row],[2020]]), Klisz_Verbräuche[[#This Row],[2020]]*Emissionsfaktoren[[#This Row],[2020]]/1000, 0)</f>
        <v>0</v>
      </c>
      <c r="K129" s="15">
        <f>IF(ISNUMBER(Klisz_Verbräuche[[#This Row],[2021]]), Klisz_Verbräuche[[#This Row],[2021]]*Emissionsfaktoren[[#This Row],[2021]]/1000, 0)</f>
        <v>0</v>
      </c>
      <c r="L129" s="15">
        <f>IF(ISNUMBER(Klisz_Verbräuche[[#This Row],[2022]]), Klisz_Verbräuche[[#This Row],[2022]]*Emissionsfaktoren[[#This Row],[2022]]/1000, 0)</f>
        <v>0</v>
      </c>
      <c r="M129" s="15">
        <f>IF(ISNUMBER(Klisz_Verbräuche[[#This Row],[2023]]), Klisz_Verbräuche[[#This Row],[2023]]*Emissionsfaktoren[[#This Row],[2023]]/1000, 0)</f>
        <v>0</v>
      </c>
      <c r="N129" s="15">
        <f>IF(ISNUMBER(Klisz_Verbräuche[[#This Row],[2024]]), Klisz_Verbräuche[[#This Row],[2024]]*Emissionsfaktoren[[#This Row],[2024]]/1000, 0)</f>
        <v>0</v>
      </c>
      <c r="O129" s="15">
        <f>IF(ISNUMBER(Klisz_Verbräuche[[#This Row],[2025]]), Klisz_Verbräuche[[#This Row],[2025]]*Emissionsfaktoren[[#This Row],[2025]]/1000, 0)</f>
        <v>0</v>
      </c>
      <c r="P129" s="15">
        <f>IF(ISNUMBER(Klisz_Verbräuche[[#This Row],[2026]]), Klisz_Verbräuche[[#This Row],[2026]]*Emissionsfaktoren[[#This Row],[2026]]/1000, 0)</f>
        <v>0</v>
      </c>
      <c r="Q129" s="15">
        <f>IF(ISNUMBER(Klisz_Verbräuche[[#This Row],[2027]]), Klisz_Verbräuche[[#This Row],[2027]]*Emissionsfaktoren[[#This Row],[2027]]/1000, 0)</f>
        <v>0</v>
      </c>
      <c r="R129" s="15">
        <f>IF(ISNUMBER(Klisz_Verbräuche[[#This Row],[2028]]), Klisz_Verbräuche[[#This Row],[2028]]*Emissionsfaktoren[[#This Row],[2028]]/1000, 0)</f>
        <v>0</v>
      </c>
      <c r="S129" s="15">
        <f>IF(ISNUMBER(Klisz_Verbräuche[[#This Row],[2029]]), Klisz_Verbräuche[[#This Row],[2029]]*Emissionsfaktoren[[#This Row],[2029]]/1000, 0)</f>
        <v>0</v>
      </c>
      <c r="T129" s="15">
        <f>IF(ISNUMBER(Klisz_Verbräuche[[#This Row],[2030]]), Klisz_Verbräuche[[#This Row],[2030]]*Emissionsfaktoren[[#This Row],[2030]]/1000, 0)</f>
        <v>0</v>
      </c>
      <c r="U129" s="15">
        <f>IF(ISNUMBER(Klisz_Verbräuche[[#This Row],[2035]]), Klisz_Verbräuche[[#This Row],[2035]]*Emissionsfaktoren[[#This Row],[2035]]/1000, 0)</f>
        <v>0</v>
      </c>
      <c r="V129" s="15">
        <f>IF(ISNUMBER(Klisz_Verbräuche[[#This Row],[2040]]), Klisz_Verbräuche[[#This Row],[2040]]*Emissionsfaktoren[[#This Row],[2040]]/1000, 0)</f>
        <v>0</v>
      </c>
      <c r="W129" s="15">
        <f>IF(ISNUMBER(Klisz_Verbräuche[[#This Row],[2045]]), Klisz_Verbräuche[[#This Row],[2045]]*Emissionsfaktoren[[#This Row],[2045]]/1000, 0)</f>
        <v>0</v>
      </c>
      <c r="X129" s="15">
        <f>IF(ISNUMBER(Klisz_Verbräuche[[#This Row],[2050]]), Klisz_Verbräuche[[#This Row],[2050]]*Emissionsfaktoren[[#This Row],[2050]]/1000, 0)</f>
        <v>0</v>
      </c>
    </row>
    <row r="130" spans="2:24" ht="16.5" hidden="1" x14ac:dyDescent="0.45">
      <c r="B130" s="15">
        <v>70</v>
      </c>
      <c r="C130" s="20" t="str">
        <f>Refsz_Verbräuche[[#This Row],[Datenpunkt]]</f>
        <v>Pendeln - PKW (Wasserstoff/ FCEV)</v>
      </c>
      <c r="D130" t="s">
        <v>208</v>
      </c>
      <c r="E130" s="15">
        <f>IF(ISNUMBER(Klisz_Verbräuche[[#This Row],[2015]]), Klisz_Verbräuche[[#This Row],[2015]]*Emissionsfaktoren[[#This Row],[2015]]/1000, 0)</f>
        <v>0</v>
      </c>
      <c r="F130" s="15">
        <f>IF(ISNUMBER(Klisz_Verbräuche[[#This Row],[2016]]), Klisz_Verbräuche[[#This Row],[2016]]*Emissionsfaktoren[[#This Row],[2016]]/1000, 0)</f>
        <v>0</v>
      </c>
      <c r="G130" s="15">
        <f>IF(ISNUMBER(Klisz_Verbräuche[[#This Row],[2017]]), Klisz_Verbräuche[[#This Row],[2017]]*Emissionsfaktoren[[#This Row],[2017]]/1000, 0)</f>
        <v>0</v>
      </c>
      <c r="H130" s="15">
        <f>IF(ISNUMBER(Klisz_Verbräuche[[#This Row],[2018]]), Klisz_Verbräuche[[#This Row],[2018]]*Emissionsfaktoren[[#This Row],[2018]]/1000, 0)</f>
        <v>0</v>
      </c>
      <c r="I130" s="15">
        <f>IF(ISNUMBER(Klisz_Verbräuche[[#This Row],[2019]]), Klisz_Verbräuche[[#This Row],[2019]]*Emissionsfaktoren[[#This Row],[2019]]/1000, 0)</f>
        <v>0</v>
      </c>
      <c r="J130" s="15">
        <f>IF(ISNUMBER(Klisz_Verbräuche[[#This Row],[2020]]), Klisz_Verbräuche[[#This Row],[2020]]*Emissionsfaktoren[[#This Row],[2020]]/1000, 0)</f>
        <v>0</v>
      </c>
      <c r="K130" s="15">
        <f>IF(ISNUMBER(Klisz_Verbräuche[[#This Row],[2021]]), Klisz_Verbräuche[[#This Row],[2021]]*Emissionsfaktoren[[#This Row],[2021]]/1000, 0)</f>
        <v>0</v>
      </c>
      <c r="L130" s="15">
        <f>IF(ISNUMBER(Klisz_Verbräuche[[#This Row],[2022]]), Klisz_Verbräuche[[#This Row],[2022]]*Emissionsfaktoren[[#This Row],[2022]]/1000, 0)</f>
        <v>0</v>
      </c>
      <c r="M130" s="15">
        <f>IF(ISNUMBER(Klisz_Verbräuche[[#This Row],[2023]]), Klisz_Verbräuche[[#This Row],[2023]]*Emissionsfaktoren[[#This Row],[2023]]/1000, 0)</f>
        <v>0</v>
      </c>
      <c r="N130" s="15">
        <f>IF(ISNUMBER(Klisz_Verbräuche[[#This Row],[2024]]), Klisz_Verbräuche[[#This Row],[2024]]*Emissionsfaktoren[[#This Row],[2024]]/1000, 0)</f>
        <v>0</v>
      </c>
      <c r="O130" s="15">
        <f>IF(ISNUMBER(Klisz_Verbräuche[[#This Row],[2025]]), Klisz_Verbräuche[[#This Row],[2025]]*Emissionsfaktoren[[#This Row],[2025]]/1000, 0)</f>
        <v>0</v>
      </c>
      <c r="P130" s="15">
        <f>IF(ISNUMBER(Klisz_Verbräuche[[#This Row],[2026]]), Klisz_Verbräuche[[#This Row],[2026]]*Emissionsfaktoren[[#This Row],[2026]]/1000, 0)</f>
        <v>0</v>
      </c>
      <c r="Q130" s="15">
        <f>IF(ISNUMBER(Klisz_Verbräuche[[#This Row],[2027]]), Klisz_Verbräuche[[#This Row],[2027]]*Emissionsfaktoren[[#This Row],[2027]]/1000, 0)</f>
        <v>0</v>
      </c>
      <c r="R130" s="15">
        <f>IF(ISNUMBER(Klisz_Verbräuche[[#This Row],[2028]]), Klisz_Verbräuche[[#This Row],[2028]]*Emissionsfaktoren[[#This Row],[2028]]/1000, 0)</f>
        <v>0</v>
      </c>
      <c r="S130" s="15">
        <f>IF(ISNUMBER(Klisz_Verbräuche[[#This Row],[2029]]), Klisz_Verbräuche[[#This Row],[2029]]*Emissionsfaktoren[[#This Row],[2029]]/1000, 0)</f>
        <v>0</v>
      </c>
      <c r="T130" s="15">
        <f>IF(ISNUMBER(Klisz_Verbräuche[[#This Row],[2030]]), Klisz_Verbräuche[[#This Row],[2030]]*Emissionsfaktoren[[#This Row],[2030]]/1000, 0)</f>
        <v>0</v>
      </c>
      <c r="U130" s="15">
        <f>IF(ISNUMBER(Klisz_Verbräuche[[#This Row],[2035]]), Klisz_Verbräuche[[#This Row],[2035]]*Emissionsfaktoren[[#This Row],[2035]]/1000, 0)</f>
        <v>0</v>
      </c>
      <c r="V130" s="15">
        <f>IF(ISNUMBER(Klisz_Verbräuche[[#This Row],[2040]]), Klisz_Verbräuche[[#This Row],[2040]]*Emissionsfaktoren[[#This Row],[2040]]/1000, 0)</f>
        <v>0</v>
      </c>
      <c r="W130" s="15">
        <f>IF(ISNUMBER(Klisz_Verbräuche[[#This Row],[2045]]), Klisz_Verbräuche[[#This Row],[2045]]*Emissionsfaktoren[[#This Row],[2045]]/1000, 0)</f>
        <v>0</v>
      </c>
      <c r="X130" s="15">
        <f>IF(ISNUMBER(Klisz_Verbräuche[[#This Row],[2050]]), Klisz_Verbräuche[[#This Row],[2050]]*Emissionsfaktoren[[#This Row],[2050]]/1000, 0)</f>
        <v>0</v>
      </c>
    </row>
    <row r="131" spans="2:24" ht="16.5" hidden="1" x14ac:dyDescent="0.45">
      <c r="B131" s="15">
        <v>71</v>
      </c>
      <c r="C131" s="20" t="str">
        <f>Refsz_Verbräuche[[#This Row],[Datenpunkt]]</f>
        <v>Pendeln - PKW (CNG)</v>
      </c>
      <c r="D131" t="s">
        <v>208</v>
      </c>
      <c r="E131" s="15">
        <f>IF(ISNUMBER(Klisz_Verbräuche[[#This Row],[2015]]), Klisz_Verbräuche[[#This Row],[2015]]*Emissionsfaktoren[[#This Row],[2015]]/1000, 0)</f>
        <v>0</v>
      </c>
      <c r="F131" s="15">
        <f>IF(ISNUMBER(Klisz_Verbräuche[[#This Row],[2016]]), Klisz_Verbräuche[[#This Row],[2016]]*Emissionsfaktoren[[#This Row],[2016]]/1000, 0)</f>
        <v>0</v>
      </c>
      <c r="G131" s="15">
        <f>IF(ISNUMBER(Klisz_Verbräuche[[#This Row],[2017]]), Klisz_Verbräuche[[#This Row],[2017]]*Emissionsfaktoren[[#This Row],[2017]]/1000, 0)</f>
        <v>0</v>
      </c>
      <c r="H131" s="15">
        <f>IF(ISNUMBER(Klisz_Verbräuche[[#This Row],[2018]]), Klisz_Verbräuche[[#This Row],[2018]]*Emissionsfaktoren[[#This Row],[2018]]/1000, 0)</f>
        <v>0</v>
      </c>
      <c r="I131" s="15">
        <f>IF(ISNUMBER(Klisz_Verbräuche[[#This Row],[2019]]), Klisz_Verbräuche[[#This Row],[2019]]*Emissionsfaktoren[[#This Row],[2019]]/1000, 0)</f>
        <v>0</v>
      </c>
      <c r="J131" s="15">
        <f>IF(ISNUMBER(Klisz_Verbräuche[[#This Row],[2020]]), Klisz_Verbräuche[[#This Row],[2020]]*Emissionsfaktoren[[#This Row],[2020]]/1000, 0)</f>
        <v>0</v>
      </c>
      <c r="K131" s="15">
        <f>IF(ISNUMBER(Klisz_Verbräuche[[#This Row],[2021]]), Klisz_Verbräuche[[#This Row],[2021]]*Emissionsfaktoren[[#This Row],[2021]]/1000, 0)</f>
        <v>0</v>
      </c>
      <c r="L131" s="15">
        <f>IF(ISNUMBER(Klisz_Verbräuche[[#This Row],[2022]]), Klisz_Verbräuche[[#This Row],[2022]]*Emissionsfaktoren[[#This Row],[2022]]/1000, 0)</f>
        <v>0</v>
      </c>
      <c r="M131" s="15">
        <f>IF(ISNUMBER(Klisz_Verbräuche[[#This Row],[2023]]), Klisz_Verbräuche[[#This Row],[2023]]*Emissionsfaktoren[[#This Row],[2023]]/1000, 0)</f>
        <v>0</v>
      </c>
      <c r="N131" s="15">
        <f>IF(ISNUMBER(Klisz_Verbräuche[[#This Row],[2024]]), Klisz_Verbräuche[[#This Row],[2024]]*Emissionsfaktoren[[#This Row],[2024]]/1000, 0)</f>
        <v>0</v>
      </c>
      <c r="O131" s="15">
        <f>IF(ISNUMBER(Klisz_Verbräuche[[#This Row],[2025]]), Klisz_Verbräuche[[#This Row],[2025]]*Emissionsfaktoren[[#This Row],[2025]]/1000, 0)</f>
        <v>0</v>
      </c>
      <c r="P131" s="15">
        <f>IF(ISNUMBER(Klisz_Verbräuche[[#This Row],[2026]]), Klisz_Verbräuche[[#This Row],[2026]]*Emissionsfaktoren[[#This Row],[2026]]/1000, 0)</f>
        <v>0</v>
      </c>
      <c r="Q131" s="15">
        <f>IF(ISNUMBER(Klisz_Verbräuche[[#This Row],[2027]]), Klisz_Verbräuche[[#This Row],[2027]]*Emissionsfaktoren[[#This Row],[2027]]/1000, 0)</f>
        <v>0</v>
      </c>
      <c r="R131" s="15">
        <f>IF(ISNUMBER(Klisz_Verbräuche[[#This Row],[2028]]), Klisz_Verbräuche[[#This Row],[2028]]*Emissionsfaktoren[[#This Row],[2028]]/1000, 0)</f>
        <v>0</v>
      </c>
      <c r="S131" s="15">
        <f>IF(ISNUMBER(Klisz_Verbräuche[[#This Row],[2029]]), Klisz_Verbräuche[[#This Row],[2029]]*Emissionsfaktoren[[#This Row],[2029]]/1000, 0)</f>
        <v>0</v>
      </c>
      <c r="T131" s="15">
        <f>IF(ISNUMBER(Klisz_Verbräuche[[#This Row],[2030]]), Klisz_Verbräuche[[#This Row],[2030]]*Emissionsfaktoren[[#This Row],[2030]]/1000, 0)</f>
        <v>0</v>
      </c>
      <c r="U131" s="15">
        <f>IF(ISNUMBER(Klisz_Verbräuche[[#This Row],[2035]]), Klisz_Verbräuche[[#This Row],[2035]]*Emissionsfaktoren[[#This Row],[2035]]/1000, 0)</f>
        <v>0</v>
      </c>
      <c r="V131" s="15">
        <f>IF(ISNUMBER(Klisz_Verbräuche[[#This Row],[2040]]), Klisz_Verbräuche[[#This Row],[2040]]*Emissionsfaktoren[[#This Row],[2040]]/1000, 0)</f>
        <v>0</v>
      </c>
      <c r="W131" s="15">
        <f>IF(ISNUMBER(Klisz_Verbräuche[[#This Row],[2045]]), Klisz_Verbräuche[[#This Row],[2045]]*Emissionsfaktoren[[#This Row],[2045]]/1000, 0)</f>
        <v>0</v>
      </c>
      <c r="X131" s="15">
        <f>IF(ISNUMBER(Klisz_Verbräuche[[#This Row],[2050]]), Klisz_Verbräuche[[#This Row],[2050]]*Emissionsfaktoren[[#This Row],[2050]]/1000, 0)</f>
        <v>0</v>
      </c>
    </row>
    <row r="132" spans="2:24" ht="16.5" hidden="1" x14ac:dyDescent="0.45">
      <c r="B132" s="15">
        <v>72</v>
      </c>
      <c r="C132" s="20" t="str">
        <f>Refsz_Verbräuche[[#This Row],[Datenpunkt]]</f>
        <v>Pendeln - PKW (Plug-In-Hybrid/PHEV)</v>
      </c>
      <c r="D132" t="s">
        <v>208</v>
      </c>
      <c r="E132" s="15">
        <f>IF(ISNUMBER(Klisz_Verbräuche[[#This Row],[2015]]), Klisz_Verbräuche[[#This Row],[2015]]*Emissionsfaktoren[[#This Row],[2015]]/1000, 0)</f>
        <v>0</v>
      </c>
      <c r="F132" s="15">
        <f>IF(ISNUMBER(Klisz_Verbräuche[[#This Row],[2016]]), Klisz_Verbräuche[[#This Row],[2016]]*Emissionsfaktoren[[#This Row],[2016]]/1000, 0)</f>
        <v>0</v>
      </c>
      <c r="G132" s="15">
        <f>IF(ISNUMBER(Klisz_Verbräuche[[#This Row],[2017]]), Klisz_Verbräuche[[#This Row],[2017]]*Emissionsfaktoren[[#This Row],[2017]]/1000, 0)</f>
        <v>0</v>
      </c>
      <c r="H132" s="15">
        <f>IF(ISNUMBER(Klisz_Verbräuche[[#This Row],[2018]]), Klisz_Verbräuche[[#This Row],[2018]]*Emissionsfaktoren[[#This Row],[2018]]/1000, 0)</f>
        <v>0</v>
      </c>
      <c r="I132" s="15">
        <f>IF(ISNUMBER(Klisz_Verbräuche[[#This Row],[2019]]), Klisz_Verbräuche[[#This Row],[2019]]*Emissionsfaktoren[[#This Row],[2019]]/1000, 0)</f>
        <v>0</v>
      </c>
      <c r="J132" s="15">
        <f>IF(ISNUMBER(Klisz_Verbräuche[[#This Row],[2020]]), Klisz_Verbräuche[[#This Row],[2020]]*Emissionsfaktoren[[#This Row],[2020]]/1000, 0)</f>
        <v>0</v>
      </c>
      <c r="K132" s="15">
        <f>IF(ISNUMBER(Klisz_Verbräuche[[#This Row],[2021]]), Klisz_Verbräuche[[#This Row],[2021]]*Emissionsfaktoren[[#This Row],[2021]]/1000, 0)</f>
        <v>0</v>
      </c>
      <c r="L132" s="15">
        <f>IF(ISNUMBER(Klisz_Verbräuche[[#This Row],[2022]]), Klisz_Verbräuche[[#This Row],[2022]]*Emissionsfaktoren[[#This Row],[2022]]/1000, 0)</f>
        <v>0</v>
      </c>
      <c r="M132" s="15">
        <f>IF(ISNUMBER(Klisz_Verbräuche[[#This Row],[2023]]), Klisz_Verbräuche[[#This Row],[2023]]*Emissionsfaktoren[[#This Row],[2023]]/1000, 0)</f>
        <v>0</v>
      </c>
      <c r="N132" s="15">
        <f>IF(ISNUMBER(Klisz_Verbräuche[[#This Row],[2024]]), Klisz_Verbräuche[[#This Row],[2024]]*Emissionsfaktoren[[#This Row],[2024]]/1000, 0)</f>
        <v>0</v>
      </c>
      <c r="O132" s="15">
        <f>IF(ISNUMBER(Klisz_Verbräuche[[#This Row],[2025]]), Klisz_Verbräuche[[#This Row],[2025]]*Emissionsfaktoren[[#This Row],[2025]]/1000, 0)</f>
        <v>0</v>
      </c>
      <c r="P132" s="15">
        <f>IF(ISNUMBER(Klisz_Verbräuche[[#This Row],[2026]]), Klisz_Verbräuche[[#This Row],[2026]]*Emissionsfaktoren[[#This Row],[2026]]/1000, 0)</f>
        <v>0</v>
      </c>
      <c r="Q132" s="15">
        <f>IF(ISNUMBER(Klisz_Verbräuche[[#This Row],[2027]]), Klisz_Verbräuche[[#This Row],[2027]]*Emissionsfaktoren[[#This Row],[2027]]/1000, 0)</f>
        <v>0</v>
      </c>
      <c r="R132" s="15">
        <f>IF(ISNUMBER(Klisz_Verbräuche[[#This Row],[2028]]), Klisz_Verbräuche[[#This Row],[2028]]*Emissionsfaktoren[[#This Row],[2028]]/1000, 0)</f>
        <v>0</v>
      </c>
      <c r="S132" s="15">
        <f>IF(ISNUMBER(Klisz_Verbräuche[[#This Row],[2029]]), Klisz_Verbräuche[[#This Row],[2029]]*Emissionsfaktoren[[#This Row],[2029]]/1000, 0)</f>
        <v>0</v>
      </c>
      <c r="T132" s="15">
        <f>IF(ISNUMBER(Klisz_Verbräuche[[#This Row],[2030]]), Klisz_Verbräuche[[#This Row],[2030]]*Emissionsfaktoren[[#This Row],[2030]]/1000, 0)</f>
        <v>0</v>
      </c>
      <c r="U132" s="15">
        <f>IF(ISNUMBER(Klisz_Verbräuche[[#This Row],[2035]]), Klisz_Verbräuche[[#This Row],[2035]]*Emissionsfaktoren[[#This Row],[2035]]/1000, 0)</f>
        <v>0</v>
      </c>
      <c r="V132" s="15">
        <f>IF(ISNUMBER(Klisz_Verbräuche[[#This Row],[2040]]), Klisz_Verbräuche[[#This Row],[2040]]*Emissionsfaktoren[[#This Row],[2040]]/1000, 0)</f>
        <v>0</v>
      </c>
      <c r="W132" s="15">
        <f>IF(ISNUMBER(Klisz_Verbräuche[[#This Row],[2045]]), Klisz_Verbräuche[[#This Row],[2045]]*Emissionsfaktoren[[#This Row],[2045]]/1000, 0)</f>
        <v>0</v>
      </c>
      <c r="X132" s="15">
        <f>IF(ISNUMBER(Klisz_Verbräuche[[#This Row],[2050]]), Klisz_Verbräuche[[#This Row],[2050]]*Emissionsfaktoren[[#This Row],[2050]]/1000, 0)</f>
        <v>0</v>
      </c>
    </row>
    <row r="133" spans="2:24" ht="16.5" hidden="1" x14ac:dyDescent="0.45">
      <c r="B133" s="15">
        <v>73</v>
      </c>
      <c r="C133" s="20" t="str">
        <f>Refsz_Verbräuche[[#This Row],[Datenpunkt]]</f>
        <v>Pendeln - Motorisierte Zweiräder</v>
      </c>
      <c r="D133" t="s">
        <v>208</v>
      </c>
      <c r="E133" s="15">
        <f>IF(ISNUMBER(Klisz_Verbräuche[[#This Row],[2015]]), Klisz_Verbräuche[[#This Row],[2015]]*Emissionsfaktoren[[#This Row],[2015]]/1000, 0)</f>
        <v>0</v>
      </c>
      <c r="F133" s="15">
        <f>IF(ISNUMBER(Klisz_Verbräuche[[#This Row],[2016]]), Klisz_Verbräuche[[#This Row],[2016]]*Emissionsfaktoren[[#This Row],[2016]]/1000, 0)</f>
        <v>0</v>
      </c>
      <c r="G133" s="15">
        <f>IF(ISNUMBER(Klisz_Verbräuche[[#This Row],[2017]]), Klisz_Verbräuche[[#This Row],[2017]]*Emissionsfaktoren[[#This Row],[2017]]/1000, 0)</f>
        <v>0</v>
      </c>
      <c r="H133" s="15">
        <f>IF(ISNUMBER(Klisz_Verbräuche[[#This Row],[2018]]), Klisz_Verbräuche[[#This Row],[2018]]*Emissionsfaktoren[[#This Row],[2018]]/1000, 0)</f>
        <v>0</v>
      </c>
      <c r="I133" s="15">
        <f>IF(ISNUMBER(Klisz_Verbräuche[[#This Row],[2019]]), Klisz_Verbräuche[[#This Row],[2019]]*Emissionsfaktoren[[#This Row],[2019]]/1000, 0)</f>
        <v>0</v>
      </c>
      <c r="J133" s="15">
        <f>IF(ISNUMBER(Klisz_Verbräuche[[#This Row],[2020]]), Klisz_Verbräuche[[#This Row],[2020]]*Emissionsfaktoren[[#This Row],[2020]]/1000, 0)</f>
        <v>0</v>
      </c>
      <c r="K133" s="15">
        <f>IF(ISNUMBER(Klisz_Verbräuche[[#This Row],[2021]]), Klisz_Verbräuche[[#This Row],[2021]]*Emissionsfaktoren[[#This Row],[2021]]/1000, 0)</f>
        <v>0</v>
      </c>
      <c r="L133" s="15">
        <f>IF(ISNUMBER(Klisz_Verbräuche[[#This Row],[2022]]), Klisz_Verbräuche[[#This Row],[2022]]*Emissionsfaktoren[[#This Row],[2022]]/1000, 0)</f>
        <v>0</v>
      </c>
      <c r="M133" s="15">
        <f>IF(ISNUMBER(Klisz_Verbräuche[[#This Row],[2023]]), Klisz_Verbräuche[[#This Row],[2023]]*Emissionsfaktoren[[#This Row],[2023]]/1000, 0)</f>
        <v>0</v>
      </c>
      <c r="N133" s="15">
        <f>IF(ISNUMBER(Klisz_Verbräuche[[#This Row],[2024]]), Klisz_Verbräuche[[#This Row],[2024]]*Emissionsfaktoren[[#This Row],[2024]]/1000, 0)</f>
        <v>0</v>
      </c>
      <c r="O133" s="15">
        <f>IF(ISNUMBER(Klisz_Verbräuche[[#This Row],[2025]]), Klisz_Verbräuche[[#This Row],[2025]]*Emissionsfaktoren[[#This Row],[2025]]/1000, 0)</f>
        <v>0</v>
      </c>
      <c r="P133" s="15">
        <f>IF(ISNUMBER(Klisz_Verbräuche[[#This Row],[2026]]), Klisz_Verbräuche[[#This Row],[2026]]*Emissionsfaktoren[[#This Row],[2026]]/1000, 0)</f>
        <v>0</v>
      </c>
      <c r="Q133" s="15">
        <f>IF(ISNUMBER(Klisz_Verbräuche[[#This Row],[2027]]), Klisz_Verbräuche[[#This Row],[2027]]*Emissionsfaktoren[[#This Row],[2027]]/1000, 0)</f>
        <v>0</v>
      </c>
      <c r="R133" s="15">
        <f>IF(ISNUMBER(Klisz_Verbräuche[[#This Row],[2028]]), Klisz_Verbräuche[[#This Row],[2028]]*Emissionsfaktoren[[#This Row],[2028]]/1000, 0)</f>
        <v>0</v>
      </c>
      <c r="S133" s="15">
        <f>IF(ISNUMBER(Klisz_Verbräuche[[#This Row],[2029]]), Klisz_Verbräuche[[#This Row],[2029]]*Emissionsfaktoren[[#This Row],[2029]]/1000, 0)</f>
        <v>0</v>
      </c>
      <c r="T133" s="15">
        <f>IF(ISNUMBER(Klisz_Verbräuche[[#This Row],[2030]]), Klisz_Verbräuche[[#This Row],[2030]]*Emissionsfaktoren[[#This Row],[2030]]/1000, 0)</f>
        <v>0</v>
      </c>
      <c r="U133" s="15">
        <f>IF(ISNUMBER(Klisz_Verbräuche[[#This Row],[2035]]), Klisz_Verbräuche[[#This Row],[2035]]*Emissionsfaktoren[[#This Row],[2035]]/1000, 0)</f>
        <v>0</v>
      </c>
      <c r="V133" s="15">
        <f>IF(ISNUMBER(Klisz_Verbräuche[[#This Row],[2040]]), Klisz_Verbräuche[[#This Row],[2040]]*Emissionsfaktoren[[#This Row],[2040]]/1000, 0)</f>
        <v>0</v>
      </c>
      <c r="W133" s="15">
        <f>IF(ISNUMBER(Klisz_Verbräuche[[#This Row],[2045]]), Klisz_Verbräuche[[#This Row],[2045]]*Emissionsfaktoren[[#This Row],[2045]]/1000, 0)</f>
        <v>0</v>
      </c>
      <c r="X133" s="15">
        <f>IF(ISNUMBER(Klisz_Verbräuche[[#This Row],[2050]]), Klisz_Verbräuche[[#This Row],[2050]]*Emissionsfaktoren[[#This Row],[2050]]/1000, 0)</f>
        <v>0</v>
      </c>
    </row>
    <row r="134" spans="2:24" ht="16.5" hidden="1" x14ac:dyDescent="0.45">
      <c r="B134" s="15">
        <v>74</v>
      </c>
      <c r="C134" s="20" t="str">
        <f>Refsz_Verbräuche[[#This Row],[Datenpunkt]]</f>
        <v>Pendeln - Fahrrad</v>
      </c>
      <c r="D134" t="s">
        <v>208</v>
      </c>
      <c r="E134" s="15">
        <f>IF(ISNUMBER(Klisz_Verbräuche[[#This Row],[2015]]), Klisz_Verbräuche[[#This Row],[2015]]*Emissionsfaktoren[[#This Row],[2015]]/1000, 0)</f>
        <v>0</v>
      </c>
      <c r="F134" s="15">
        <f>IF(ISNUMBER(Klisz_Verbräuche[[#This Row],[2016]]), Klisz_Verbräuche[[#This Row],[2016]]*Emissionsfaktoren[[#This Row],[2016]]/1000, 0)</f>
        <v>0</v>
      </c>
      <c r="G134" s="15">
        <f>IF(ISNUMBER(Klisz_Verbräuche[[#This Row],[2017]]), Klisz_Verbräuche[[#This Row],[2017]]*Emissionsfaktoren[[#This Row],[2017]]/1000, 0)</f>
        <v>0</v>
      </c>
      <c r="H134" s="15">
        <f>IF(ISNUMBER(Klisz_Verbräuche[[#This Row],[2018]]), Klisz_Verbräuche[[#This Row],[2018]]*Emissionsfaktoren[[#This Row],[2018]]/1000, 0)</f>
        <v>0</v>
      </c>
      <c r="I134" s="15">
        <f>IF(ISNUMBER(Klisz_Verbräuche[[#This Row],[2019]]), Klisz_Verbräuche[[#This Row],[2019]]*Emissionsfaktoren[[#This Row],[2019]]/1000, 0)</f>
        <v>0</v>
      </c>
      <c r="J134" s="15">
        <f>IF(ISNUMBER(Klisz_Verbräuche[[#This Row],[2020]]), Klisz_Verbräuche[[#This Row],[2020]]*Emissionsfaktoren[[#This Row],[2020]]/1000, 0)</f>
        <v>0</v>
      </c>
      <c r="K134" s="15">
        <f>IF(ISNUMBER(Klisz_Verbräuche[[#This Row],[2021]]), Klisz_Verbräuche[[#This Row],[2021]]*Emissionsfaktoren[[#This Row],[2021]]/1000, 0)</f>
        <v>0</v>
      </c>
      <c r="L134" s="15">
        <f>IF(ISNUMBER(Klisz_Verbräuche[[#This Row],[2022]]), Klisz_Verbräuche[[#This Row],[2022]]*Emissionsfaktoren[[#This Row],[2022]]/1000, 0)</f>
        <v>0</v>
      </c>
      <c r="M134" s="15">
        <f>IF(ISNUMBER(Klisz_Verbräuche[[#This Row],[2023]]), Klisz_Verbräuche[[#This Row],[2023]]*Emissionsfaktoren[[#This Row],[2023]]/1000, 0)</f>
        <v>0</v>
      </c>
      <c r="N134" s="15">
        <f>IF(ISNUMBER(Klisz_Verbräuche[[#This Row],[2024]]), Klisz_Verbräuche[[#This Row],[2024]]*Emissionsfaktoren[[#This Row],[2024]]/1000, 0)</f>
        <v>0</v>
      </c>
      <c r="O134" s="15">
        <f>IF(ISNUMBER(Klisz_Verbräuche[[#This Row],[2025]]), Klisz_Verbräuche[[#This Row],[2025]]*Emissionsfaktoren[[#This Row],[2025]]/1000, 0)</f>
        <v>0</v>
      </c>
      <c r="P134" s="15">
        <f>IF(ISNUMBER(Klisz_Verbräuche[[#This Row],[2026]]), Klisz_Verbräuche[[#This Row],[2026]]*Emissionsfaktoren[[#This Row],[2026]]/1000, 0)</f>
        <v>0</v>
      </c>
      <c r="Q134" s="15">
        <f>IF(ISNUMBER(Klisz_Verbräuche[[#This Row],[2027]]), Klisz_Verbräuche[[#This Row],[2027]]*Emissionsfaktoren[[#This Row],[2027]]/1000, 0)</f>
        <v>0</v>
      </c>
      <c r="R134" s="15">
        <f>IF(ISNUMBER(Klisz_Verbräuche[[#This Row],[2028]]), Klisz_Verbräuche[[#This Row],[2028]]*Emissionsfaktoren[[#This Row],[2028]]/1000, 0)</f>
        <v>0</v>
      </c>
      <c r="S134" s="15">
        <f>IF(ISNUMBER(Klisz_Verbräuche[[#This Row],[2029]]), Klisz_Verbräuche[[#This Row],[2029]]*Emissionsfaktoren[[#This Row],[2029]]/1000, 0)</f>
        <v>0</v>
      </c>
      <c r="T134" s="15">
        <f>IF(ISNUMBER(Klisz_Verbräuche[[#This Row],[2030]]), Klisz_Verbräuche[[#This Row],[2030]]*Emissionsfaktoren[[#This Row],[2030]]/1000, 0)</f>
        <v>0</v>
      </c>
      <c r="U134" s="15">
        <f>IF(ISNUMBER(Klisz_Verbräuche[[#This Row],[2035]]), Klisz_Verbräuche[[#This Row],[2035]]*Emissionsfaktoren[[#This Row],[2035]]/1000, 0)</f>
        <v>0</v>
      </c>
      <c r="V134" s="15">
        <f>IF(ISNUMBER(Klisz_Verbräuche[[#This Row],[2040]]), Klisz_Verbräuche[[#This Row],[2040]]*Emissionsfaktoren[[#This Row],[2040]]/1000, 0)</f>
        <v>0</v>
      </c>
      <c r="W134" s="15">
        <f>IF(ISNUMBER(Klisz_Verbräuche[[#This Row],[2045]]), Klisz_Verbräuche[[#This Row],[2045]]*Emissionsfaktoren[[#This Row],[2045]]/1000, 0)</f>
        <v>0</v>
      </c>
      <c r="X134" s="15">
        <f>IF(ISNUMBER(Klisz_Verbräuche[[#This Row],[2050]]), Klisz_Verbräuche[[#This Row],[2050]]*Emissionsfaktoren[[#This Row],[2050]]/1000, 0)</f>
        <v>0</v>
      </c>
    </row>
    <row r="135" spans="2:24" ht="16.5" hidden="1" x14ac:dyDescent="0.45">
      <c r="B135" s="15">
        <v>75</v>
      </c>
      <c r="C135" s="20" t="str">
        <f>Refsz_Verbräuche[[#This Row],[Datenpunkt]]</f>
        <v>Pendeln - E-Bike</v>
      </c>
      <c r="D135" t="s">
        <v>208</v>
      </c>
      <c r="E135" s="15">
        <f>IF(ISNUMBER(Klisz_Verbräuche[[#This Row],[2015]]), Klisz_Verbräuche[[#This Row],[2015]]*Emissionsfaktoren[[#This Row],[2015]]/1000, 0)</f>
        <v>0</v>
      </c>
      <c r="F135" s="15">
        <f>IF(ISNUMBER(Klisz_Verbräuche[[#This Row],[2016]]), Klisz_Verbräuche[[#This Row],[2016]]*Emissionsfaktoren[[#This Row],[2016]]/1000, 0)</f>
        <v>0</v>
      </c>
      <c r="G135" s="15">
        <f>IF(ISNUMBER(Klisz_Verbräuche[[#This Row],[2017]]), Klisz_Verbräuche[[#This Row],[2017]]*Emissionsfaktoren[[#This Row],[2017]]/1000, 0)</f>
        <v>0</v>
      </c>
      <c r="H135" s="15">
        <f>IF(ISNUMBER(Klisz_Verbräuche[[#This Row],[2018]]), Klisz_Verbräuche[[#This Row],[2018]]*Emissionsfaktoren[[#This Row],[2018]]/1000, 0)</f>
        <v>0</v>
      </c>
      <c r="I135" s="15">
        <f>IF(ISNUMBER(Klisz_Verbräuche[[#This Row],[2019]]), Klisz_Verbräuche[[#This Row],[2019]]*Emissionsfaktoren[[#This Row],[2019]]/1000, 0)</f>
        <v>0</v>
      </c>
      <c r="J135" s="15">
        <f>IF(ISNUMBER(Klisz_Verbräuche[[#This Row],[2020]]), Klisz_Verbräuche[[#This Row],[2020]]*Emissionsfaktoren[[#This Row],[2020]]/1000, 0)</f>
        <v>0</v>
      </c>
      <c r="K135" s="15">
        <f>IF(ISNUMBER(Klisz_Verbräuche[[#This Row],[2021]]), Klisz_Verbräuche[[#This Row],[2021]]*Emissionsfaktoren[[#This Row],[2021]]/1000, 0)</f>
        <v>0</v>
      </c>
      <c r="L135" s="15">
        <f>IF(ISNUMBER(Klisz_Verbräuche[[#This Row],[2022]]), Klisz_Verbräuche[[#This Row],[2022]]*Emissionsfaktoren[[#This Row],[2022]]/1000, 0)</f>
        <v>0</v>
      </c>
      <c r="M135" s="15">
        <f>IF(ISNUMBER(Klisz_Verbräuche[[#This Row],[2023]]), Klisz_Verbräuche[[#This Row],[2023]]*Emissionsfaktoren[[#This Row],[2023]]/1000, 0)</f>
        <v>0</v>
      </c>
      <c r="N135" s="15">
        <f>IF(ISNUMBER(Klisz_Verbräuche[[#This Row],[2024]]), Klisz_Verbräuche[[#This Row],[2024]]*Emissionsfaktoren[[#This Row],[2024]]/1000, 0)</f>
        <v>0</v>
      </c>
      <c r="O135" s="15">
        <f>IF(ISNUMBER(Klisz_Verbräuche[[#This Row],[2025]]), Klisz_Verbräuche[[#This Row],[2025]]*Emissionsfaktoren[[#This Row],[2025]]/1000, 0)</f>
        <v>0</v>
      </c>
      <c r="P135" s="15">
        <f>IF(ISNUMBER(Klisz_Verbräuche[[#This Row],[2026]]), Klisz_Verbräuche[[#This Row],[2026]]*Emissionsfaktoren[[#This Row],[2026]]/1000, 0)</f>
        <v>0</v>
      </c>
      <c r="Q135" s="15">
        <f>IF(ISNUMBER(Klisz_Verbräuche[[#This Row],[2027]]), Klisz_Verbräuche[[#This Row],[2027]]*Emissionsfaktoren[[#This Row],[2027]]/1000, 0)</f>
        <v>0</v>
      </c>
      <c r="R135" s="15">
        <f>IF(ISNUMBER(Klisz_Verbräuche[[#This Row],[2028]]), Klisz_Verbräuche[[#This Row],[2028]]*Emissionsfaktoren[[#This Row],[2028]]/1000, 0)</f>
        <v>0</v>
      </c>
      <c r="S135" s="15">
        <f>IF(ISNUMBER(Klisz_Verbräuche[[#This Row],[2029]]), Klisz_Verbräuche[[#This Row],[2029]]*Emissionsfaktoren[[#This Row],[2029]]/1000, 0)</f>
        <v>0</v>
      </c>
      <c r="T135" s="15">
        <f>IF(ISNUMBER(Klisz_Verbräuche[[#This Row],[2030]]), Klisz_Verbräuche[[#This Row],[2030]]*Emissionsfaktoren[[#This Row],[2030]]/1000, 0)</f>
        <v>0</v>
      </c>
      <c r="U135" s="15">
        <f>IF(ISNUMBER(Klisz_Verbräuche[[#This Row],[2035]]), Klisz_Verbräuche[[#This Row],[2035]]*Emissionsfaktoren[[#This Row],[2035]]/1000, 0)</f>
        <v>0</v>
      </c>
      <c r="V135" s="15">
        <f>IF(ISNUMBER(Klisz_Verbräuche[[#This Row],[2040]]), Klisz_Verbräuche[[#This Row],[2040]]*Emissionsfaktoren[[#This Row],[2040]]/1000, 0)</f>
        <v>0</v>
      </c>
      <c r="W135" s="15">
        <f>IF(ISNUMBER(Klisz_Verbräuche[[#This Row],[2045]]), Klisz_Verbräuche[[#This Row],[2045]]*Emissionsfaktoren[[#This Row],[2045]]/1000, 0)</f>
        <v>0</v>
      </c>
      <c r="X135" s="15">
        <f>IF(ISNUMBER(Klisz_Verbräuche[[#This Row],[2050]]), Klisz_Verbräuche[[#This Row],[2050]]*Emissionsfaktoren[[#This Row],[2050]]/1000, 0)</f>
        <v>0</v>
      </c>
    </row>
    <row r="136" spans="2:24" ht="16.5" hidden="1" x14ac:dyDescent="0.45">
      <c r="B136" s="15">
        <v>76</v>
      </c>
      <c r="C136" s="20" t="str">
        <f>Refsz_Verbräuche[[#This Row],[Datenpunkt]]</f>
        <v>Pendeln - zu Fuß</v>
      </c>
      <c r="D136" t="s">
        <v>208</v>
      </c>
      <c r="E136" s="15">
        <f>IF(ISNUMBER(Klisz_Verbräuche[[#This Row],[2015]]), Klisz_Verbräuche[[#This Row],[2015]]*Emissionsfaktoren[[#This Row],[2015]]/1000, 0)</f>
        <v>0</v>
      </c>
      <c r="F136" s="15">
        <f>IF(ISNUMBER(Klisz_Verbräuche[[#This Row],[2016]]), Klisz_Verbräuche[[#This Row],[2016]]*Emissionsfaktoren[[#This Row],[2016]]/1000, 0)</f>
        <v>0</v>
      </c>
      <c r="G136" s="15">
        <f>IF(ISNUMBER(Klisz_Verbräuche[[#This Row],[2017]]), Klisz_Verbräuche[[#This Row],[2017]]*Emissionsfaktoren[[#This Row],[2017]]/1000, 0)</f>
        <v>0</v>
      </c>
      <c r="H136" s="15">
        <f>IF(ISNUMBER(Klisz_Verbräuche[[#This Row],[2018]]), Klisz_Verbräuche[[#This Row],[2018]]*Emissionsfaktoren[[#This Row],[2018]]/1000, 0)</f>
        <v>0</v>
      </c>
      <c r="I136" s="15">
        <f>IF(ISNUMBER(Klisz_Verbräuche[[#This Row],[2019]]), Klisz_Verbräuche[[#This Row],[2019]]*Emissionsfaktoren[[#This Row],[2019]]/1000, 0)</f>
        <v>0</v>
      </c>
      <c r="J136" s="15">
        <f>IF(ISNUMBER(Klisz_Verbräuche[[#This Row],[2020]]), Klisz_Verbräuche[[#This Row],[2020]]*Emissionsfaktoren[[#This Row],[2020]]/1000, 0)</f>
        <v>0</v>
      </c>
      <c r="K136" s="15">
        <f>IF(ISNUMBER(Klisz_Verbräuche[[#This Row],[2021]]), Klisz_Verbräuche[[#This Row],[2021]]*Emissionsfaktoren[[#This Row],[2021]]/1000, 0)</f>
        <v>0</v>
      </c>
      <c r="L136" s="15">
        <f>IF(ISNUMBER(Klisz_Verbräuche[[#This Row],[2022]]), Klisz_Verbräuche[[#This Row],[2022]]*Emissionsfaktoren[[#This Row],[2022]]/1000, 0)</f>
        <v>0</v>
      </c>
      <c r="M136" s="15">
        <f>IF(ISNUMBER(Klisz_Verbräuche[[#This Row],[2023]]), Klisz_Verbräuche[[#This Row],[2023]]*Emissionsfaktoren[[#This Row],[2023]]/1000, 0)</f>
        <v>0</v>
      </c>
      <c r="N136" s="15">
        <f>IF(ISNUMBER(Klisz_Verbräuche[[#This Row],[2024]]), Klisz_Verbräuche[[#This Row],[2024]]*Emissionsfaktoren[[#This Row],[2024]]/1000, 0)</f>
        <v>0</v>
      </c>
      <c r="O136" s="15">
        <f>IF(ISNUMBER(Klisz_Verbräuche[[#This Row],[2025]]), Klisz_Verbräuche[[#This Row],[2025]]*Emissionsfaktoren[[#This Row],[2025]]/1000, 0)</f>
        <v>0</v>
      </c>
      <c r="P136" s="15">
        <f>IF(ISNUMBER(Klisz_Verbräuche[[#This Row],[2026]]), Klisz_Verbräuche[[#This Row],[2026]]*Emissionsfaktoren[[#This Row],[2026]]/1000, 0)</f>
        <v>0</v>
      </c>
      <c r="Q136" s="15">
        <f>IF(ISNUMBER(Klisz_Verbräuche[[#This Row],[2027]]), Klisz_Verbräuche[[#This Row],[2027]]*Emissionsfaktoren[[#This Row],[2027]]/1000, 0)</f>
        <v>0</v>
      </c>
      <c r="R136" s="15">
        <f>IF(ISNUMBER(Klisz_Verbräuche[[#This Row],[2028]]), Klisz_Verbräuche[[#This Row],[2028]]*Emissionsfaktoren[[#This Row],[2028]]/1000, 0)</f>
        <v>0</v>
      </c>
      <c r="S136" s="15">
        <f>IF(ISNUMBER(Klisz_Verbräuche[[#This Row],[2029]]), Klisz_Verbräuche[[#This Row],[2029]]*Emissionsfaktoren[[#This Row],[2029]]/1000, 0)</f>
        <v>0</v>
      </c>
      <c r="T136" s="15">
        <f>IF(ISNUMBER(Klisz_Verbräuche[[#This Row],[2030]]), Klisz_Verbräuche[[#This Row],[2030]]*Emissionsfaktoren[[#This Row],[2030]]/1000, 0)</f>
        <v>0</v>
      </c>
      <c r="U136" s="15">
        <f>IF(ISNUMBER(Klisz_Verbräuche[[#This Row],[2035]]), Klisz_Verbräuche[[#This Row],[2035]]*Emissionsfaktoren[[#This Row],[2035]]/1000, 0)</f>
        <v>0</v>
      </c>
      <c r="V136" s="15">
        <f>IF(ISNUMBER(Klisz_Verbräuche[[#This Row],[2040]]), Klisz_Verbräuche[[#This Row],[2040]]*Emissionsfaktoren[[#This Row],[2040]]/1000, 0)</f>
        <v>0</v>
      </c>
      <c r="W136" s="15">
        <f>IF(ISNUMBER(Klisz_Verbräuche[[#This Row],[2045]]), Klisz_Verbräuche[[#This Row],[2045]]*Emissionsfaktoren[[#This Row],[2045]]/1000, 0)</f>
        <v>0</v>
      </c>
      <c r="X136" s="15">
        <f>IF(ISNUMBER(Klisz_Verbräuche[[#This Row],[2050]]), Klisz_Verbräuche[[#This Row],[2050]]*Emissionsfaktoren[[#This Row],[2050]]/1000, 0)</f>
        <v>0</v>
      </c>
    </row>
    <row r="137" spans="2:24" ht="16.5" hidden="1" x14ac:dyDescent="0.45">
      <c r="B137" s="15">
        <v>77</v>
      </c>
      <c r="C137" s="20">
        <f>Refsz_Verbräuche[[#This Row],[Datenpunkt]]</f>
        <v>0</v>
      </c>
      <c r="D137" t="s">
        <v>208</v>
      </c>
      <c r="E137" s="15">
        <f>IF(ISNUMBER(Klisz_Verbräuche[[#This Row],[2015]]), Klisz_Verbräuche[[#This Row],[2015]]*Emissionsfaktoren[[#This Row],[2015]]/1000, 0)</f>
        <v>0</v>
      </c>
      <c r="F137" s="15">
        <f>IF(ISNUMBER(Klisz_Verbräuche[[#This Row],[2016]]), Klisz_Verbräuche[[#This Row],[2016]]*Emissionsfaktoren[[#This Row],[2016]]/1000, 0)</f>
        <v>0</v>
      </c>
      <c r="G137" s="15">
        <f>IF(ISNUMBER(Klisz_Verbräuche[[#This Row],[2017]]), Klisz_Verbräuche[[#This Row],[2017]]*Emissionsfaktoren[[#This Row],[2017]]/1000, 0)</f>
        <v>0</v>
      </c>
      <c r="H137" s="15">
        <f>IF(ISNUMBER(Klisz_Verbräuche[[#This Row],[2018]]), Klisz_Verbräuche[[#This Row],[2018]]*Emissionsfaktoren[[#This Row],[2018]]/1000, 0)</f>
        <v>0</v>
      </c>
      <c r="I137" s="15">
        <f>IF(ISNUMBER(Klisz_Verbräuche[[#This Row],[2019]]), Klisz_Verbräuche[[#This Row],[2019]]*Emissionsfaktoren[[#This Row],[2019]]/1000, 0)</f>
        <v>0</v>
      </c>
      <c r="J137" s="15">
        <f>IF(ISNUMBER(Klisz_Verbräuche[[#This Row],[2020]]), Klisz_Verbräuche[[#This Row],[2020]]*Emissionsfaktoren[[#This Row],[2020]]/1000, 0)</f>
        <v>0</v>
      </c>
      <c r="K137" s="15">
        <f>IF(ISNUMBER(Klisz_Verbräuche[[#This Row],[2021]]), Klisz_Verbräuche[[#This Row],[2021]]*Emissionsfaktoren[[#This Row],[2021]]/1000, 0)</f>
        <v>0</v>
      </c>
      <c r="L137" s="15">
        <f>IF(ISNUMBER(Klisz_Verbräuche[[#This Row],[2022]]), Klisz_Verbräuche[[#This Row],[2022]]*Emissionsfaktoren[[#This Row],[2022]]/1000, 0)</f>
        <v>0</v>
      </c>
      <c r="M137" s="15">
        <f>IF(ISNUMBER(Klisz_Verbräuche[[#This Row],[2023]]), Klisz_Verbräuche[[#This Row],[2023]]*Emissionsfaktoren[[#This Row],[2023]]/1000, 0)</f>
        <v>0</v>
      </c>
      <c r="N137" s="15">
        <f>IF(ISNUMBER(Klisz_Verbräuche[[#This Row],[2024]]), Klisz_Verbräuche[[#This Row],[2024]]*Emissionsfaktoren[[#This Row],[2024]]/1000, 0)</f>
        <v>0</v>
      </c>
      <c r="O137" s="15">
        <f>IF(ISNUMBER(Klisz_Verbräuche[[#This Row],[2025]]), Klisz_Verbräuche[[#This Row],[2025]]*Emissionsfaktoren[[#This Row],[2025]]/1000, 0)</f>
        <v>0</v>
      </c>
      <c r="P137" s="15">
        <f>IF(ISNUMBER(Klisz_Verbräuche[[#This Row],[2026]]), Klisz_Verbräuche[[#This Row],[2026]]*Emissionsfaktoren[[#This Row],[2026]]/1000, 0)</f>
        <v>0</v>
      </c>
      <c r="Q137" s="15">
        <f>IF(ISNUMBER(Klisz_Verbräuche[[#This Row],[2027]]), Klisz_Verbräuche[[#This Row],[2027]]*Emissionsfaktoren[[#This Row],[2027]]/1000, 0)</f>
        <v>0</v>
      </c>
      <c r="R137" s="15">
        <f>IF(ISNUMBER(Klisz_Verbräuche[[#This Row],[2028]]), Klisz_Verbräuche[[#This Row],[2028]]*Emissionsfaktoren[[#This Row],[2028]]/1000, 0)</f>
        <v>0</v>
      </c>
      <c r="S137" s="15">
        <f>IF(ISNUMBER(Klisz_Verbräuche[[#This Row],[2029]]), Klisz_Verbräuche[[#This Row],[2029]]*Emissionsfaktoren[[#This Row],[2029]]/1000, 0)</f>
        <v>0</v>
      </c>
      <c r="T137" s="15">
        <f>IF(ISNUMBER(Klisz_Verbräuche[[#This Row],[2030]]), Klisz_Verbräuche[[#This Row],[2030]]*Emissionsfaktoren[[#This Row],[2030]]/1000, 0)</f>
        <v>0</v>
      </c>
      <c r="U137" s="15">
        <f>IF(ISNUMBER(Klisz_Verbräuche[[#This Row],[2035]]), Klisz_Verbräuche[[#This Row],[2035]]*Emissionsfaktoren[[#This Row],[2035]]/1000, 0)</f>
        <v>0</v>
      </c>
      <c r="V137" s="15">
        <f>IF(ISNUMBER(Klisz_Verbräuche[[#This Row],[2040]]), Klisz_Verbräuche[[#This Row],[2040]]*Emissionsfaktoren[[#This Row],[2040]]/1000, 0)</f>
        <v>0</v>
      </c>
      <c r="W137" s="15">
        <f>IF(ISNUMBER(Klisz_Verbräuche[[#This Row],[2045]]), Klisz_Verbräuche[[#This Row],[2045]]*Emissionsfaktoren[[#This Row],[2045]]/1000, 0)</f>
        <v>0</v>
      </c>
      <c r="X137" s="15">
        <f>IF(ISNUMBER(Klisz_Verbräuche[[#This Row],[2050]]), Klisz_Verbräuche[[#This Row],[2050]]*Emissionsfaktoren[[#This Row],[2050]]/1000, 0)</f>
        <v>0</v>
      </c>
    </row>
    <row r="138" spans="2:24" ht="16.5" hidden="1" x14ac:dyDescent="0.45">
      <c r="B138" s="15">
        <v>78</v>
      </c>
      <c r="C138" s="20" t="str">
        <f>Refsz_Verbräuche[[#This Row],[Datenpunkt]]</f>
        <v>Studierendenreisen (Incoming) - Flugreisen</v>
      </c>
      <c r="D138" t="s">
        <v>208</v>
      </c>
      <c r="E138" s="15">
        <f>IF(ISNUMBER(Klisz_Verbräuche[[#This Row],[2015]]), Klisz_Verbräuche[[#This Row],[2015]]*Emissionsfaktoren[[#This Row],[2015]]/1000, 0)</f>
        <v>0</v>
      </c>
      <c r="F138" s="15">
        <f>IF(ISNUMBER(Klisz_Verbräuche[[#This Row],[2016]]), Klisz_Verbräuche[[#This Row],[2016]]*Emissionsfaktoren[[#This Row],[2016]]/1000, 0)</f>
        <v>0</v>
      </c>
      <c r="G138" s="15">
        <f>IF(ISNUMBER(Klisz_Verbräuche[[#This Row],[2017]]), Klisz_Verbräuche[[#This Row],[2017]]*Emissionsfaktoren[[#This Row],[2017]]/1000, 0)</f>
        <v>0</v>
      </c>
      <c r="H138" s="15">
        <f>IF(ISNUMBER(Klisz_Verbräuche[[#This Row],[2018]]), Klisz_Verbräuche[[#This Row],[2018]]*Emissionsfaktoren[[#This Row],[2018]]/1000, 0)</f>
        <v>0</v>
      </c>
      <c r="I138" s="15">
        <f>IF(ISNUMBER(Klisz_Verbräuche[[#This Row],[2019]]), Klisz_Verbräuche[[#This Row],[2019]]*Emissionsfaktoren[[#This Row],[2019]]/1000, 0)</f>
        <v>0</v>
      </c>
      <c r="J138" s="15">
        <f>IF(ISNUMBER(Klisz_Verbräuche[[#This Row],[2020]]), Klisz_Verbräuche[[#This Row],[2020]]*Emissionsfaktoren[[#This Row],[2020]]/1000, 0)</f>
        <v>0</v>
      </c>
      <c r="K138" s="15">
        <f>IF(ISNUMBER(Klisz_Verbräuche[[#This Row],[2021]]), Klisz_Verbräuche[[#This Row],[2021]]*Emissionsfaktoren[[#This Row],[2021]]/1000, 0)</f>
        <v>0</v>
      </c>
      <c r="L138" s="15">
        <f>IF(ISNUMBER(Klisz_Verbräuche[[#This Row],[2022]]), Klisz_Verbräuche[[#This Row],[2022]]*Emissionsfaktoren[[#This Row],[2022]]/1000, 0)</f>
        <v>0</v>
      </c>
      <c r="M138" s="15">
        <f>IF(ISNUMBER(Klisz_Verbräuche[[#This Row],[2023]]), Klisz_Verbräuche[[#This Row],[2023]]*Emissionsfaktoren[[#This Row],[2023]]/1000, 0)</f>
        <v>0</v>
      </c>
      <c r="N138" s="15">
        <f>IF(ISNUMBER(Klisz_Verbräuche[[#This Row],[2024]]), Klisz_Verbräuche[[#This Row],[2024]]*Emissionsfaktoren[[#This Row],[2024]]/1000, 0)</f>
        <v>0</v>
      </c>
      <c r="O138" s="15">
        <f>IF(ISNUMBER(Klisz_Verbräuche[[#This Row],[2025]]), Klisz_Verbräuche[[#This Row],[2025]]*Emissionsfaktoren[[#This Row],[2025]]/1000, 0)</f>
        <v>0</v>
      </c>
      <c r="P138" s="15">
        <f>IF(ISNUMBER(Klisz_Verbräuche[[#This Row],[2026]]), Klisz_Verbräuche[[#This Row],[2026]]*Emissionsfaktoren[[#This Row],[2026]]/1000, 0)</f>
        <v>0</v>
      </c>
      <c r="Q138" s="15">
        <f>IF(ISNUMBER(Klisz_Verbräuche[[#This Row],[2027]]), Klisz_Verbräuche[[#This Row],[2027]]*Emissionsfaktoren[[#This Row],[2027]]/1000, 0)</f>
        <v>0</v>
      </c>
      <c r="R138" s="15">
        <f>IF(ISNUMBER(Klisz_Verbräuche[[#This Row],[2028]]), Klisz_Verbräuche[[#This Row],[2028]]*Emissionsfaktoren[[#This Row],[2028]]/1000, 0)</f>
        <v>0</v>
      </c>
      <c r="S138" s="15">
        <f>IF(ISNUMBER(Klisz_Verbräuche[[#This Row],[2029]]), Klisz_Verbräuche[[#This Row],[2029]]*Emissionsfaktoren[[#This Row],[2029]]/1000, 0)</f>
        <v>0</v>
      </c>
      <c r="T138" s="15">
        <f>IF(ISNUMBER(Klisz_Verbräuche[[#This Row],[2030]]), Klisz_Verbräuche[[#This Row],[2030]]*Emissionsfaktoren[[#This Row],[2030]]/1000, 0)</f>
        <v>0</v>
      </c>
      <c r="U138" s="15">
        <f>IF(ISNUMBER(Klisz_Verbräuche[[#This Row],[2035]]), Klisz_Verbräuche[[#This Row],[2035]]*Emissionsfaktoren[[#This Row],[2035]]/1000, 0)</f>
        <v>0</v>
      </c>
      <c r="V138" s="15">
        <f>IF(ISNUMBER(Klisz_Verbräuche[[#This Row],[2040]]), Klisz_Verbräuche[[#This Row],[2040]]*Emissionsfaktoren[[#This Row],[2040]]/1000, 0)</f>
        <v>0</v>
      </c>
      <c r="W138" s="15">
        <f>IF(ISNUMBER(Klisz_Verbräuche[[#This Row],[2045]]), Klisz_Verbräuche[[#This Row],[2045]]*Emissionsfaktoren[[#This Row],[2045]]/1000, 0)</f>
        <v>0</v>
      </c>
      <c r="X138" s="15">
        <f>IF(ISNUMBER(Klisz_Verbräuche[[#This Row],[2050]]), Klisz_Verbräuche[[#This Row],[2050]]*Emissionsfaktoren[[#This Row],[2050]]/1000, 0)</f>
        <v>0</v>
      </c>
    </row>
    <row r="139" spans="2:24" ht="16.5" hidden="1" x14ac:dyDescent="0.45">
      <c r="B139" s="15">
        <v>79</v>
      </c>
      <c r="C139" s="20" t="str">
        <f>Refsz_Verbräuche[[#This Row],[Datenpunkt]]</f>
        <v>Studierendenreisen (Incoming) - Eisenbahn (Nahverkehr)</v>
      </c>
      <c r="D139" t="s">
        <v>208</v>
      </c>
      <c r="E139" s="15">
        <f>IF(ISNUMBER(Klisz_Verbräuche[[#This Row],[2015]]), Klisz_Verbräuche[[#This Row],[2015]]*Emissionsfaktoren[[#This Row],[2015]]/1000, 0)</f>
        <v>0</v>
      </c>
      <c r="F139" s="15">
        <f>IF(ISNUMBER(Klisz_Verbräuche[[#This Row],[2016]]), Klisz_Verbräuche[[#This Row],[2016]]*Emissionsfaktoren[[#This Row],[2016]]/1000, 0)</f>
        <v>0</v>
      </c>
      <c r="G139" s="15">
        <f>IF(ISNUMBER(Klisz_Verbräuche[[#This Row],[2017]]), Klisz_Verbräuche[[#This Row],[2017]]*Emissionsfaktoren[[#This Row],[2017]]/1000, 0)</f>
        <v>0</v>
      </c>
      <c r="H139" s="15">
        <f>IF(ISNUMBER(Klisz_Verbräuche[[#This Row],[2018]]), Klisz_Verbräuche[[#This Row],[2018]]*Emissionsfaktoren[[#This Row],[2018]]/1000, 0)</f>
        <v>0</v>
      </c>
      <c r="I139" s="15">
        <f>IF(ISNUMBER(Klisz_Verbräuche[[#This Row],[2019]]), Klisz_Verbräuche[[#This Row],[2019]]*Emissionsfaktoren[[#This Row],[2019]]/1000, 0)</f>
        <v>0</v>
      </c>
      <c r="J139" s="15">
        <f>IF(ISNUMBER(Klisz_Verbräuche[[#This Row],[2020]]), Klisz_Verbräuche[[#This Row],[2020]]*Emissionsfaktoren[[#This Row],[2020]]/1000, 0)</f>
        <v>0</v>
      </c>
      <c r="K139" s="15">
        <f>IF(ISNUMBER(Klisz_Verbräuche[[#This Row],[2021]]), Klisz_Verbräuche[[#This Row],[2021]]*Emissionsfaktoren[[#This Row],[2021]]/1000, 0)</f>
        <v>0</v>
      </c>
      <c r="L139" s="15">
        <f>IF(ISNUMBER(Klisz_Verbräuche[[#This Row],[2022]]), Klisz_Verbräuche[[#This Row],[2022]]*Emissionsfaktoren[[#This Row],[2022]]/1000, 0)</f>
        <v>0</v>
      </c>
      <c r="M139" s="15">
        <f>IF(ISNUMBER(Klisz_Verbräuche[[#This Row],[2023]]), Klisz_Verbräuche[[#This Row],[2023]]*Emissionsfaktoren[[#This Row],[2023]]/1000, 0)</f>
        <v>0</v>
      </c>
      <c r="N139" s="15">
        <f>IF(ISNUMBER(Klisz_Verbräuche[[#This Row],[2024]]), Klisz_Verbräuche[[#This Row],[2024]]*Emissionsfaktoren[[#This Row],[2024]]/1000, 0)</f>
        <v>0</v>
      </c>
      <c r="O139" s="15">
        <f>IF(ISNUMBER(Klisz_Verbräuche[[#This Row],[2025]]), Klisz_Verbräuche[[#This Row],[2025]]*Emissionsfaktoren[[#This Row],[2025]]/1000, 0)</f>
        <v>0</v>
      </c>
      <c r="P139" s="15">
        <f>IF(ISNUMBER(Klisz_Verbräuche[[#This Row],[2026]]), Klisz_Verbräuche[[#This Row],[2026]]*Emissionsfaktoren[[#This Row],[2026]]/1000, 0)</f>
        <v>0</v>
      </c>
      <c r="Q139" s="15">
        <f>IF(ISNUMBER(Klisz_Verbräuche[[#This Row],[2027]]), Klisz_Verbräuche[[#This Row],[2027]]*Emissionsfaktoren[[#This Row],[2027]]/1000, 0)</f>
        <v>0</v>
      </c>
      <c r="R139" s="15">
        <f>IF(ISNUMBER(Klisz_Verbräuche[[#This Row],[2028]]), Klisz_Verbräuche[[#This Row],[2028]]*Emissionsfaktoren[[#This Row],[2028]]/1000, 0)</f>
        <v>0</v>
      </c>
      <c r="S139" s="15">
        <f>IF(ISNUMBER(Klisz_Verbräuche[[#This Row],[2029]]), Klisz_Verbräuche[[#This Row],[2029]]*Emissionsfaktoren[[#This Row],[2029]]/1000, 0)</f>
        <v>0</v>
      </c>
      <c r="T139" s="15">
        <f>IF(ISNUMBER(Klisz_Verbräuche[[#This Row],[2030]]), Klisz_Verbräuche[[#This Row],[2030]]*Emissionsfaktoren[[#This Row],[2030]]/1000, 0)</f>
        <v>0</v>
      </c>
      <c r="U139" s="15">
        <f>IF(ISNUMBER(Klisz_Verbräuche[[#This Row],[2035]]), Klisz_Verbräuche[[#This Row],[2035]]*Emissionsfaktoren[[#This Row],[2035]]/1000, 0)</f>
        <v>0</v>
      </c>
      <c r="V139" s="15">
        <f>IF(ISNUMBER(Klisz_Verbräuche[[#This Row],[2040]]), Klisz_Verbräuche[[#This Row],[2040]]*Emissionsfaktoren[[#This Row],[2040]]/1000, 0)</f>
        <v>0</v>
      </c>
      <c r="W139" s="15">
        <f>IF(ISNUMBER(Klisz_Verbräuche[[#This Row],[2045]]), Klisz_Verbräuche[[#This Row],[2045]]*Emissionsfaktoren[[#This Row],[2045]]/1000, 0)</f>
        <v>0</v>
      </c>
      <c r="X139" s="15">
        <f>IF(ISNUMBER(Klisz_Verbräuche[[#This Row],[2050]]), Klisz_Verbräuche[[#This Row],[2050]]*Emissionsfaktoren[[#This Row],[2050]]/1000, 0)</f>
        <v>0</v>
      </c>
    </row>
    <row r="140" spans="2:24" ht="16.5" hidden="1" x14ac:dyDescent="0.45">
      <c r="B140" s="15">
        <v>80</v>
      </c>
      <c r="C140" s="20" t="str">
        <f>Refsz_Verbräuche[[#This Row],[Datenpunkt]]</f>
        <v>Studierendenreisen (Incoming) - Privater PKW (alle Antriebsarten)</v>
      </c>
      <c r="D140" t="s">
        <v>208</v>
      </c>
      <c r="E140" s="15">
        <f>IF(ISNUMBER(Klisz_Verbräuche[[#This Row],[2015]]), Klisz_Verbräuche[[#This Row],[2015]]*Emissionsfaktoren[[#This Row],[2015]]/1000, 0)</f>
        <v>0</v>
      </c>
      <c r="F140" s="15">
        <f>IF(ISNUMBER(Klisz_Verbräuche[[#This Row],[2016]]), Klisz_Verbräuche[[#This Row],[2016]]*Emissionsfaktoren[[#This Row],[2016]]/1000, 0)</f>
        <v>0</v>
      </c>
      <c r="G140" s="15">
        <f>IF(ISNUMBER(Klisz_Verbräuche[[#This Row],[2017]]), Klisz_Verbräuche[[#This Row],[2017]]*Emissionsfaktoren[[#This Row],[2017]]/1000, 0)</f>
        <v>0</v>
      </c>
      <c r="H140" s="15">
        <f>IF(ISNUMBER(Klisz_Verbräuche[[#This Row],[2018]]), Klisz_Verbräuche[[#This Row],[2018]]*Emissionsfaktoren[[#This Row],[2018]]/1000, 0)</f>
        <v>0</v>
      </c>
      <c r="I140" s="15">
        <f>IF(ISNUMBER(Klisz_Verbräuche[[#This Row],[2019]]), Klisz_Verbräuche[[#This Row],[2019]]*Emissionsfaktoren[[#This Row],[2019]]/1000, 0)</f>
        <v>0</v>
      </c>
      <c r="J140" s="15">
        <f>IF(ISNUMBER(Klisz_Verbräuche[[#This Row],[2020]]), Klisz_Verbräuche[[#This Row],[2020]]*Emissionsfaktoren[[#This Row],[2020]]/1000, 0)</f>
        <v>0</v>
      </c>
      <c r="K140" s="15">
        <f>IF(ISNUMBER(Klisz_Verbräuche[[#This Row],[2021]]), Klisz_Verbräuche[[#This Row],[2021]]*Emissionsfaktoren[[#This Row],[2021]]/1000, 0)</f>
        <v>0</v>
      </c>
      <c r="L140" s="15">
        <f>IF(ISNUMBER(Klisz_Verbräuche[[#This Row],[2022]]), Klisz_Verbräuche[[#This Row],[2022]]*Emissionsfaktoren[[#This Row],[2022]]/1000, 0)</f>
        <v>0</v>
      </c>
      <c r="M140" s="15">
        <f>IF(ISNUMBER(Klisz_Verbräuche[[#This Row],[2023]]), Klisz_Verbräuche[[#This Row],[2023]]*Emissionsfaktoren[[#This Row],[2023]]/1000, 0)</f>
        <v>0</v>
      </c>
      <c r="N140" s="15">
        <f>IF(ISNUMBER(Klisz_Verbräuche[[#This Row],[2024]]), Klisz_Verbräuche[[#This Row],[2024]]*Emissionsfaktoren[[#This Row],[2024]]/1000, 0)</f>
        <v>0</v>
      </c>
      <c r="O140" s="15">
        <f>IF(ISNUMBER(Klisz_Verbräuche[[#This Row],[2025]]), Klisz_Verbräuche[[#This Row],[2025]]*Emissionsfaktoren[[#This Row],[2025]]/1000, 0)</f>
        <v>0</v>
      </c>
      <c r="P140" s="15">
        <f>IF(ISNUMBER(Klisz_Verbräuche[[#This Row],[2026]]), Klisz_Verbräuche[[#This Row],[2026]]*Emissionsfaktoren[[#This Row],[2026]]/1000, 0)</f>
        <v>0</v>
      </c>
      <c r="Q140" s="15">
        <f>IF(ISNUMBER(Klisz_Verbräuche[[#This Row],[2027]]), Klisz_Verbräuche[[#This Row],[2027]]*Emissionsfaktoren[[#This Row],[2027]]/1000, 0)</f>
        <v>0</v>
      </c>
      <c r="R140" s="15">
        <f>IF(ISNUMBER(Klisz_Verbräuche[[#This Row],[2028]]), Klisz_Verbräuche[[#This Row],[2028]]*Emissionsfaktoren[[#This Row],[2028]]/1000, 0)</f>
        <v>0</v>
      </c>
      <c r="S140" s="15">
        <f>IF(ISNUMBER(Klisz_Verbräuche[[#This Row],[2029]]), Klisz_Verbräuche[[#This Row],[2029]]*Emissionsfaktoren[[#This Row],[2029]]/1000, 0)</f>
        <v>0</v>
      </c>
      <c r="T140" s="15">
        <f>IF(ISNUMBER(Klisz_Verbräuche[[#This Row],[2030]]), Klisz_Verbräuche[[#This Row],[2030]]*Emissionsfaktoren[[#This Row],[2030]]/1000, 0)</f>
        <v>0</v>
      </c>
      <c r="U140" s="15">
        <f>IF(ISNUMBER(Klisz_Verbräuche[[#This Row],[2035]]), Klisz_Verbräuche[[#This Row],[2035]]*Emissionsfaktoren[[#This Row],[2035]]/1000, 0)</f>
        <v>0</v>
      </c>
      <c r="V140" s="15">
        <f>IF(ISNUMBER(Klisz_Verbräuche[[#This Row],[2040]]), Klisz_Verbräuche[[#This Row],[2040]]*Emissionsfaktoren[[#This Row],[2040]]/1000, 0)</f>
        <v>0</v>
      </c>
      <c r="W140" s="15">
        <f>IF(ISNUMBER(Klisz_Verbräuche[[#This Row],[2045]]), Klisz_Verbräuche[[#This Row],[2045]]*Emissionsfaktoren[[#This Row],[2045]]/1000, 0)</f>
        <v>0</v>
      </c>
      <c r="X140" s="15">
        <f>IF(ISNUMBER(Klisz_Verbräuche[[#This Row],[2050]]), Klisz_Verbräuche[[#This Row],[2050]]*Emissionsfaktoren[[#This Row],[2050]]/1000, 0)</f>
        <v>0</v>
      </c>
    </row>
    <row r="141" spans="2:24" ht="16.5" hidden="1" x14ac:dyDescent="0.45">
      <c r="B141" s="15">
        <v>81</v>
      </c>
      <c r="C141" s="20">
        <f>Refsz_Verbräuche[[#This Row],[Datenpunkt]]</f>
        <v>0</v>
      </c>
      <c r="D141" t="s">
        <v>208</v>
      </c>
      <c r="E141" s="15">
        <f>IF(ISNUMBER(Klisz_Verbräuche[[#This Row],[2015]]), Klisz_Verbräuche[[#This Row],[2015]]*Emissionsfaktoren[[#This Row],[2015]]/1000, 0)</f>
        <v>0</v>
      </c>
      <c r="F141" s="15">
        <f>IF(ISNUMBER(Klisz_Verbräuche[[#This Row],[2016]]), Klisz_Verbräuche[[#This Row],[2016]]*Emissionsfaktoren[[#This Row],[2016]]/1000, 0)</f>
        <v>0</v>
      </c>
      <c r="G141" s="15">
        <f>IF(ISNUMBER(Klisz_Verbräuche[[#This Row],[2017]]), Klisz_Verbräuche[[#This Row],[2017]]*Emissionsfaktoren[[#This Row],[2017]]/1000, 0)</f>
        <v>0</v>
      </c>
      <c r="H141" s="15">
        <f>IF(ISNUMBER(Klisz_Verbräuche[[#This Row],[2018]]), Klisz_Verbräuche[[#This Row],[2018]]*Emissionsfaktoren[[#This Row],[2018]]/1000, 0)</f>
        <v>0</v>
      </c>
      <c r="I141" s="15">
        <f>IF(ISNUMBER(Klisz_Verbräuche[[#This Row],[2019]]), Klisz_Verbräuche[[#This Row],[2019]]*Emissionsfaktoren[[#This Row],[2019]]/1000, 0)</f>
        <v>0</v>
      </c>
      <c r="J141" s="15">
        <f>IF(ISNUMBER(Klisz_Verbräuche[[#This Row],[2020]]), Klisz_Verbräuche[[#This Row],[2020]]*Emissionsfaktoren[[#This Row],[2020]]/1000, 0)</f>
        <v>0</v>
      </c>
      <c r="K141" s="15">
        <f>IF(ISNUMBER(Klisz_Verbräuche[[#This Row],[2021]]), Klisz_Verbräuche[[#This Row],[2021]]*Emissionsfaktoren[[#This Row],[2021]]/1000, 0)</f>
        <v>0</v>
      </c>
      <c r="L141" s="15">
        <f>IF(ISNUMBER(Klisz_Verbräuche[[#This Row],[2022]]), Klisz_Verbräuche[[#This Row],[2022]]*Emissionsfaktoren[[#This Row],[2022]]/1000, 0)</f>
        <v>0</v>
      </c>
      <c r="M141" s="15">
        <f>IF(ISNUMBER(Klisz_Verbräuche[[#This Row],[2023]]), Klisz_Verbräuche[[#This Row],[2023]]*Emissionsfaktoren[[#This Row],[2023]]/1000, 0)</f>
        <v>0</v>
      </c>
      <c r="N141" s="15">
        <f>IF(ISNUMBER(Klisz_Verbräuche[[#This Row],[2024]]), Klisz_Verbräuche[[#This Row],[2024]]*Emissionsfaktoren[[#This Row],[2024]]/1000, 0)</f>
        <v>0</v>
      </c>
      <c r="O141" s="15">
        <f>IF(ISNUMBER(Klisz_Verbräuche[[#This Row],[2025]]), Klisz_Verbräuche[[#This Row],[2025]]*Emissionsfaktoren[[#This Row],[2025]]/1000, 0)</f>
        <v>0</v>
      </c>
      <c r="P141" s="15">
        <f>IF(ISNUMBER(Klisz_Verbräuche[[#This Row],[2026]]), Klisz_Verbräuche[[#This Row],[2026]]*Emissionsfaktoren[[#This Row],[2026]]/1000, 0)</f>
        <v>0</v>
      </c>
      <c r="Q141" s="15">
        <f>IF(ISNUMBER(Klisz_Verbräuche[[#This Row],[2027]]), Klisz_Verbräuche[[#This Row],[2027]]*Emissionsfaktoren[[#This Row],[2027]]/1000, 0)</f>
        <v>0</v>
      </c>
      <c r="R141" s="15">
        <f>IF(ISNUMBER(Klisz_Verbräuche[[#This Row],[2028]]), Klisz_Verbräuche[[#This Row],[2028]]*Emissionsfaktoren[[#This Row],[2028]]/1000, 0)</f>
        <v>0</v>
      </c>
      <c r="S141" s="15">
        <f>IF(ISNUMBER(Klisz_Verbräuche[[#This Row],[2029]]), Klisz_Verbräuche[[#This Row],[2029]]*Emissionsfaktoren[[#This Row],[2029]]/1000, 0)</f>
        <v>0</v>
      </c>
      <c r="T141" s="15">
        <f>IF(ISNUMBER(Klisz_Verbräuche[[#This Row],[2030]]), Klisz_Verbräuche[[#This Row],[2030]]*Emissionsfaktoren[[#This Row],[2030]]/1000, 0)</f>
        <v>0</v>
      </c>
      <c r="U141" s="15">
        <f>IF(ISNUMBER(Klisz_Verbräuche[[#This Row],[2035]]), Klisz_Verbräuche[[#This Row],[2035]]*Emissionsfaktoren[[#This Row],[2035]]/1000, 0)</f>
        <v>0</v>
      </c>
      <c r="V141" s="15">
        <f>IF(ISNUMBER(Klisz_Verbräuche[[#This Row],[2040]]), Klisz_Verbräuche[[#This Row],[2040]]*Emissionsfaktoren[[#This Row],[2040]]/1000, 0)</f>
        <v>0</v>
      </c>
      <c r="W141" s="15">
        <f>IF(ISNUMBER(Klisz_Verbräuche[[#This Row],[2045]]), Klisz_Verbräuche[[#This Row],[2045]]*Emissionsfaktoren[[#This Row],[2045]]/1000, 0)</f>
        <v>0</v>
      </c>
      <c r="X141" s="15">
        <f>IF(ISNUMBER(Klisz_Verbräuche[[#This Row],[2050]]), Klisz_Verbräuche[[#This Row],[2050]]*Emissionsfaktoren[[#This Row],[2050]]/1000, 0)</f>
        <v>0</v>
      </c>
    </row>
    <row r="142" spans="2:24" ht="16.5" hidden="1" x14ac:dyDescent="0.45">
      <c r="B142" s="15">
        <v>82</v>
      </c>
      <c r="C142" s="20" t="str">
        <f>Refsz_Verbräuche[[#This Row],[Datenpunkt]]</f>
        <v>An- und Abreise von Gästen - Flugreisen</v>
      </c>
      <c r="D142" t="s">
        <v>208</v>
      </c>
      <c r="E142" s="15">
        <f>IF(ISNUMBER(Klisz_Verbräuche[[#This Row],[2015]]), Klisz_Verbräuche[[#This Row],[2015]]*Emissionsfaktoren[[#This Row],[2015]]/1000, 0)</f>
        <v>0</v>
      </c>
      <c r="F142" s="15">
        <f>IF(ISNUMBER(Klisz_Verbräuche[[#This Row],[2016]]), Klisz_Verbräuche[[#This Row],[2016]]*Emissionsfaktoren[[#This Row],[2016]]/1000, 0)</f>
        <v>0</v>
      </c>
      <c r="G142" s="15">
        <f>IF(ISNUMBER(Klisz_Verbräuche[[#This Row],[2017]]), Klisz_Verbräuche[[#This Row],[2017]]*Emissionsfaktoren[[#This Row],[2017]]/1000, 0)</f>
        <v>0</v>
      </c>
      <c r="H142" s="15">
        <f>IF(ISNUMBER(Klisz_Verbräuche[[#This Row],[2018]]), Klisz_Verbräuche[[#This Row],[2018]]*Emissionsfaktoren[[#This Row],[2018]]/1000, 0)</f>
        <v>0</v>
      </c>
      <c r="I142" s="15">
        <f>IF(ISNUMBER(Klisz_Verbräuche[[#This Row],[2019]]), Klisz_Verbräuche[[#This Row],[2019]]*Emissionsfaktoren[[#This Row],[2019]]/1000, 0)</f>
        <v>0</v>
      </c>
      <c r="J142" s="15">
        <f>IF(ISNUMBER(Klisz_Verbräuche[[#This Row],[2020]]), Klisz_Verbräuche[[#This Row],[2020]]*Emissionsfaktoren[[#This Row],[2020]]/1000, 0)</f>
        <v>0</v>
      </c>
      <c r="K142" s="15">
        <f>IF(ISNUMBER(Klisz_Verbräuche[[#This Row],[2021]]), Klisz_Verbräuche[[#This Row],[2021]]*Emissionsfaktoren[[#This Row],[2021]]/1000, 0)</f>
        <v>0</v>
      </c>
      <c r="L142" s="15">
        <f>IF(ISNUMBER(Klisz_Verbräuche[[#This Row],[2022]]), Klisz_Verbräuche[[#This Row],[2022]]*Emissionsfaktoren[[#This Row],[2022]]/1000, 0)</f>
        <v>0</v>
      </c>
      <c r="M142" s="15">
        <f>IF(ISNUMBER(Klisz_Verbräuche[[#This Row],[2023]]), Klisz_Verbräuche[[#This Row],[2023]]*Emissionsfaktoren[[#This Row],[2023]]/1000, 0)</f>
        <v>0</v>
      </c>
      <c r="N142" s="15">
        <f>IF(ISNUMBER(Klisz_Verbräuche[[#This Row],[2024]]), Klisz_Verbräuche[[#This Row],[2024]]*Emissionsfaktoren[[#This Row],[2024]]/1000, 0)</f>
        <v>0</v>
      </c>
      <c r="O142" s="15">
        <f>IF(ISNUMBER(Klisz_Verbräuche[[#This Row],[2025]]), Klisz_Verbräuche[[#This Row],[2025]]*Emissionsfaktoren[[#This Row],[2025]]/1000, 0)</f>
        <v>0</v>
      </c>
      <c r="P142" s="15">
        <f>IF(ISNUMBER(Klisz_Verbräuche[[#This Row],[2026]]), Klisz_Verbräuche[[#This Row],[2026]]*Emissionsfaktoren[[#This Row],[2026]]/1000, 0)</f>
        <v>0</v>
      </c>
      <c r="Q142" s="15">
        <f>IF(ISNUMBER(Klisz_Verbräuche[[#This Row],[2027]]), Klisz_Verbräuche[[#This Row],[2027]]*Emissionsfaktoren[[#This Row],[2027]]/1000, 0)</f>
        <v>0</v>
      </c>
      <c r="R142" s="15">
        <f>IF(ISNUMBER(Klisz_Verbräuche[[#This Row],[2028]]), Klisz_Verbräuche[[#This Row],[2028]]*Emissionsfaktoren[[#This Row],[2028]]/1000, 0)</f>
        <v>0</v>
      </c>
      <c r="S142" s="15">
        <f>IF(ISNUMBER(Klisz_Verbräuche[[#This Row],[2029]]), Klisz_Verbräuche[[#This Row],[2029]]*Emissionsfaktoren[[#This Row],[2029]]/1000, 0)</f>
        <v>0</v>
      </c>
      <c r="T142" s="15">
        <f>IF(ISNUMBER(Klisz_Verbräuche[[#This Row],[2030]]), Klisz_Verbräuche[[#This Row],[2030]]*Emissionsfaktoren[[#This Row],[2030]]/1000, 0)</f>
        <v>0</v>
      </c>
      <c r="U142" s="15">
        <f>IF(ISNUMBER(Klisz_Verbräuche[[#This Row],[2035]]), Klisz_Verbräuche[[#This Row],[2035]]*Emissionsfaktoren[[#This Row],[2035]]/1000, 0)</f>
        <v>0</v>
      </c>
      <c r="V142" s="15">
        <f>IF(ISNUMBER(Klisz_Verbräuche[[#This Row],[2040]]), Klisz_Verbräuche[[#This Row],[2040]]*Emissionsfaktoren[[#This Row],[2040]]/1000, 0)</f>
        <v>0</v>
      </c>
      <c r="W142" s="15">
        <f>IF(ISNUMBER(Klisz_Verbräuche[[#This Row],[2045]]), Klisz_Verbräuche[[#This Row],[2045]]*Emissionsfaktoren[[#This Row],[2045]]/1000, 0)</f>
        <v>0</v>
      </c>
      <c r="X142" s="15">
        <f>IF(ISNUMBER(Klisz_Verbräuche[[#This Row],[2050]]), Klisz_Verbräuche[[#This Row],[2050]]*Emissionsfaktoren[[#This Row],[2050]]/1000, 0)</f>
        <v>0</v>
      </c>
    </row>
    <row r="143" spans="2:24" ht="16.5" hidden="1" x14ac:dyDescent="0.45">
      <c r="B143" s="15">
        <v>83</v>
      </c>
      <c r="C143" s="20" t="str">
        <f>Refsz_Verbräuche[[#This Row],[Datenpunkt]]</f>
        <v>An- und Abreise von Gästen - Eisenbahn (Nahverkehr)</v>
      </c>
      <c r="D143" t="s">
        <v>208</v>
      </c>
      <c r="E143" s="15">
        <f>IF(ISNUMBER(Klisz_Verbräuche[[#This Row],[2015]]), Klisz_Verbräuche[[#This Row],[2015]]*Emissionsfaktoren[[#This Row],[2015]]/1000, 0)</f>
        <v>0</v>
      </c>
      <c r="F143" s="15">
        <f>IF(ISNUMBER(Klisz_Verbräuche[[#This Row],[2016]]), Klisz_Verbräuche[[#This Row],[2016]]*Emissionsfaktoren[[#This Row],[2016]]/1000, 0)</f>
        <v>0</v>
      </c>
      <c r="G143" s="15">
        <f>IF(ISNUMBER(Klisz_Verbräuche[[#This Row],[2017]]), Klisz_Verbräuche[[#This Row],[2017]]*Emissionsfaktoren[[#This Row],[2017]]/1000, 0)</f>
        <v>0</v>
      </c>
      <c r="H143" s="15">
        <f>IF(ISNUMBER(Klisz_Verbräuche[[#This Row],[2018]]), Klisz_Verbräuche[[#This Row],[2018]]*Emissionsfaktoren[[#This Row],[2018]]/1000, 0)</f>
        <v>0</v>
      </c>
      <c r="I143" s="15">
        <f>IF(ISNUMBER(Klisz_Verbräuche[[#This Row],[2019]]), Klisz_Verbräuche[[#This Row],[2019]]*Emissionsfaktoren[[#This Row],[2019]]/1000, 0)</f>
        <v>0</v>
      </c>
      <c r="J143" s="15">
        <f>IF(ISNUMBER(Klisz_Verbräuche[[#This Row],[2020]]), Klisz_Verbräuche[[#This Row],[2020]]*Emissionsfaktoren[[#This Row],[2020]]/1000, 0)</f>
        <v>0</v>
      </c>
      <c r="K143" s="15">
        <f>IF(ISNUMBER(Klisz_Verbräuche[[#This Row],[2021]]), Klisz_Verbräuche[[#This Row],[2021]]*Emissionsfaktoren[[#This Row],[2021]]/1000, 0)</f>
        <v>0</v>
      </c>
      <c r="L143" s="15">
        <f>IF(ISNUMBER(Klisz_Verbräuche[[#This Row],[2022]]), Klisz_Verbräuche[[#This Row],[2022]]*Emissionsfaktoren[[#This Row],[2022]]/1000, 0)</f>
        <v>0</v>
      </c>
      <c r="M143" s="15">
        <f>IF(ISNUMBER(Klisz_Verbräuche[[#This Row],[2023]]), Klisz_Verbräuche[[#This Row],[2023]]*Emissionsfaktoren[[#This Row],[2023]]/1000, 0)</f>
        <v>0</v>
      </c>
      <c r="N143" s="15">
        <f>IF(ISNUMBER(Klisz_Verbräuche[[#This Row],[2024]]), Klisz_Verbräuche[[#This Row],[2024]]*Emissionsfaktoren[[#This Row],[2024]]/1000, 0)</f>
        <v>0</v>
      </c>
      <c r="O143" s="15">
        <f>IF(ISNUMBER(Klisz_Verbräuche[[#This Row],[2025]]), Klisz_Verbräuche[[#This Row],[2025]]*Emissionsfaktoren[[#This Row],[2025]]/1000, 0)</f>
        <v>0</v>
      </c>
      <c r="P143" s="15">
        <f>IF(ISNUMBER(Klisz_Verbräuche[[#This Row],[2026]]), Klisz_Verbräuche[[#This Row],[2026]]*Emissionsfaktoren[[#This Row],[2026]]/1000, 0)</f>
        <v>0</v>
      </c>
      <c r="Q143" s="15">
        <f>IF(ISNUMBER(Klisz_Verbräuche[[#This Row],[2027]]), Klisz_Verbräuche[[#This Row],[2027]]*Emissionsfaktoren[[#This Row],[2027]]/1000, 0)</f>
        <v>0</v>
      </c>
      <c r="R143" s="15">
        <f>IF(ISNUMBER(Klisz_Verbräuche[[#This Row],[2028]]), Klisz_Verbräuche[[#This Row],[2028]]*Emissionsfaktoren[[#This Row],[2028]]/1000, 0)</f>
        <v>0</v>
      </c>
      <c r="S143" s="15">
        <f>IF(ISNUMBER(Klisz_Verbräuche[[#This Row],[2029]]), Klisz_Verbräuche[[#This Row],[2029]]*Emissionsfaktoren[[#This Row],[2029]]/1000, 0)</f>
        <v>0</v>
      </c>
      <c r="T143" s="15">
        <f>IF(ISNUMBER(Klisz_Verbräuche[[#This Row],[2030]]), Klisz_Verbräuche[[#This Row],[2030]]*Emissionsfaktoren[[#This Row],[2030]]/1000, 0)</f>
        <v>0</v>
      </c>
      <c r="U143" s="15">
        <f>IF(ISNUMBER(Klisz_Verbräuche[[#This Row],[2035]]), Klisz_Verbräuche[[#This Row],[2035]]*Emissionsfaktoren[[#This Row],[2035]]/1000, 0)</f>
        <v>0</v>
      </c>
      <c r="V143" s="15">
        <f>IF(ISNUMBER(Klisz_Verbräuche[[#This Row],[2040]]), Klisz_Verbräuche[[#This Row],[2040]]*Emissionsfaktoren[[#This Row],[2040]]/1000, 0)</f>
        <v>0</v>
      </c>
      <c r="W143" s="15">
        <f>IF(ISNUMBER(Klisz_Verbräuche[[#This Row],[2045]]), Klisz_Verbräuche[[#This Row],[2045]]*Emissionsfaktoren[[#This Row],[2045]]/1000, 0)</f>
        <v>0</v>
      </c>
      <c r="X143" s="15">
        <f>IF(ISNUMBER(Klisz_Verbräuche[[#This Row],[2050]]), Klisz_Verbräuche[[#This Row],[2050]]*Emissionsfaktoren[[#This Row],[2050]]/1000, 0)</f>
        <v>0</v>
      </c>
    </row>
    <row r="144" spans="2:24" ht="16.5" hidden="1" x14ac:dyDescent="0.45">
      <c r="B144" s="15">
        <v>84</v>
      </c>
      <c r="C144" s="20" t="str">
        <f>Refsz_Verbräuche[[#This Row],[Datenpunkt]]</f>
        <v>An- und Abreise von Gästen - Privater PKW (alle Antriebsarten)</v>
      </c>
      <c r="D144" t="s">
        <v>208</v>
      </c>
      <c r="E144" s="15">
        <f>IF(ISNUMBER(Klisz_Verbräuche[[#This Row],[2015]]), Klisz_Verbräuche[[#This Row],[2015]]*Emissionsfaktoren[[#This Row],[2015]]/1000, 0)</f>
        <v>0</v>
      </c>
      <c r="F144" s="15">
        <f>IF(ISNUMBER(Klisz_Verbräuche[[#This Row],[2016]]), Klisz_Verbräuche[[#This Row],[2016]]*Emissionsfaktoren[[#This Row],[2016]]/1000, 0)</f>
        <v>0</v>
      </c>
      <c r="G144" s="15">
        <f>IF(ISNUMBER(Klisz_Verbräuche[[#This Row],[2017]]), Klisz_Verbräuche[[#This Row],[2017]]*Emissionsfaktoren[[#This Row],[2017]]/1000, 0)</f>
        <v>0</v>
      </c>
      <c r="H144" s="15">
        <f>IF(ISNUMBER(Klisz_Verbräuche[[#This Row],[2018]]), Klisz_Verbräuche[[#This Row],[2018]]*Emissionsfaktoren[[#This Row],[2018]]/1000, 0)</f>
        <v>0</v>
      </c>
      <c r="I144" s="15">
        <f>IF(ISNUMBER(Klisz_Verbräuche[[#This Row],[2019]]), Klisz_Verbräuche[[#This Row],[2019]]*Emissionsfaktoren[[#This Row],[2019]]/1000, 0)</f>
        <v>0</v>
      </c>
      <c r="J144" s="15">
        <f>IF(ISNUMBER(Klisz_Verbräuche[[#This Row],[2020]]), Klisz_Verbräuche[[#This Row],[2020]]*Emissionsfaktoren[[#This Row],[2020]]/1000, 0)</f>
        <v>0</v>
      </c>
      <c r="K144" s="15">
        <f>IF(ISNUMBER(Klisz_Verbräuche[[#This Row],[2021]]), Klisz_Verbräuche[[#This Row],[2021]]*Emissionsfaktoren[[#This Row],[2021]]/1000, 0)</f>
        <v>0</v>
      </c>
      <c r="L144" s="15">
        <f>IF(ISNUMBER(Klisz_Verbräuche[[#This Row],[2022]]), Klisz_Verbräuche[[#This Row],[2022]]*Emissionsfaktoren[[#This Row],[2022]]/1000, 0)</f>
        <v>0</v>
      </c>
      <c r="M144" s="15">
        <f>IF(ISNUMBER(Klisz_Verbräuche[[#This Row],[2023]]), Klisz_Verbräuche[[#This Row],[2023]]*Emissionsfaktoren[[#This Row],[2023]]/1000, 0)</f>
        <v>0</v>
      </c>
      <c r="N144" s="15">
        <f>IF(ISNUMBER(Klisz_Verbräuche[[#This Row],[2024]]), Klisz_Verbräuche[[#This Row],[2024]]*Emissionsfaktoren[[#This Row],[2024]]/1000, 0)</f>
        <v>0</v>
      </c>
      <c r="O144" s="15">
        <f>IF(ISNUMBER(Klisz_Verbräuche[[#This Row],[2025]]), Klisz_Verbräuche[[#This Row],[2025]]*Emissionsfaktoren[[#This Row],[2025]]/1000, 0)</f>
        <v>0</v>
      </c>
      <c r="P144" s="15">
        <f>IF(ISNUMBER(Klisz_Verbräuche[[#This Row],[2026]]), Klisz_Verbräuche[[#This Row],[2026]]*Emissionsfaktoren[[#This Row],[2026]]/1000, 0)</f>
        <v>0</v>
      </c>
      <c r="Q144" s="15">
        <f>IF(ISNUMBER(Klisz_Verbräuche[[#This Row],[2027]]), Klisz_Verbräuche[[#This Row],[2027]]*Emissionsfaktoren[[#This Row],[2027]]/1000, 0)</f>
        <v>0</v>
      </c>
      <c r="R144" s="15">
        <f>IF(ISNUMBER(Klisz_Verbräuche[[#This Row],[2028]]), Klisz_Verbräuche[[#This Row],[2028]]*Emissionsfaktoren[[#This Row],[2028]]/1000, 0)</f>
        <v>0</v>
      </c>
      <c r="S144" s="15">
        <f>IF(ISNUMBER(Klisz_Verbräuche[[#This Row],[2029]]), Klisz_Verbräuche[[#This Row],[2029]]*Emissionsfaktoren[[#This Row],[2029]]/1000, 0)</f>
        <v>0</v>
      </c>
      <c r="T144" s="15">
        <f>IF(ISNUMBER(Klisz_Verbräuche[[#This Row],[2030]]), Klisz_Verbräuche[[#This Row],[2030]]*Emissionsfaktoren[[#This Row],[2030]]/1000, 0)</f>
        <v>0</v>
      </c>
      <c r="U144" s="15">
        <f>IF(ISNUMBER(Klisz_Verbräuche[[#This Row],[2035]]), Klisz_Verbräuche[[#This Row],[2035]]*Emissionsfaktoren[[#This Row],[2035]]/1000, 0)</f>
        <v>0</v>
      </c>
      <c r="V144" s="15">
        <f>IF(ISNUMBER(Klisz_Verbräuche[[#This Row],[2040]]), Klisz_Verbräuche[[#This Row],[2040]]*Emissionsfaktoren[[#This Row],[2040]]/1000, 0)</f>
        <v>0</v>
      </c>
      <c r="W144" s="15">
        <f>IF(ISNUMBER(Klisz_Verbräuche[[#This Row],[2045]]), Klisz_Verbräuche[[#This Row],[2045]]*Emissionsfaktoren[[#This Row],[2045]]/1000, 0)</f>
        <v>0</v>
      </c>
      <c r="X144" s="15">
        <f>IF(ISNUMBER(Klisz_Verbräuche[[#This Row],[2050]]), Klisz_Verbräuche[[#This Row],[2050]]*Emissionsfaktoren[[#This Row],[2050]]/1000, 0)</f>
        <v>0</v>
      </c>
    </row>
    <row r="145" spans="2:24" ht="16.5" hidden="1" x14ac:dyDescent="0.45">
      <c r="B145" s="15">
        <v>85</v>
      </c>
      <c r="C145" s="20">
        <f>Refsz_Verbräuche[[#This Row],[Datenpunkt]]</f>
        <v>0</v>
      </c>
      <c r="D145" t="s">
        <v>208</v>
      </c>
      <c r="E145" s="15">
        <f>IF(ISNUMBER(Klisz_Verbräuche[[#This Row],[2015]]), Klisz_Verbräuche[[#This Row],[2015]]*Emissionsfaktoren[[#This Row],[2015]]/1000, 0)</f>
        <v>0</v>
      </c>
      <c r="F145" s="15">
        <f>IF(ISNUMBER(Klisz_Verbräuche[[#This Row],[2016]]), Klisz_Verbräuche[[#This Row],[2016]]*Emissionsfaktoren[[#This Row],[2016]]/1000, 0)</f>
        <v>0</v>
      </c>
      <c r="G145" s="15">
        <f>IF(ISNUMBER(Klisz_Verbräuche[[#This Row],[2017]]), Klisz_Verbräuche[[#This Row],[2017]]*Emissionsfaktoren[[#This Row],[2017]]/1000, 0)</f>
        <v>0</v>
      </c>
      <c r="H145" s="15">
        <f>IF(ISNUMBER(Klisz_Verbräuche[[#This Row],[2018]]), Klisz_Verbräuche[[#This Row],[2018]]*Emissionsfaktoren[[#This Row],[2018]]/1000, 0)</f>
        <v>0</v>
      </c>
      <c r="I145" s="15">
        <f>IF(ISNUMBER(Klisz_Verbräuche[[#This Row],[2019]]), Klisz_Verbräuche[[#This Row],[2019]]*Emissionsfaktoren[[#This Row],[2019]]/1000, 0)</f>
        <v>0</v>
      </c>
      <c r="J145" s="15">
        <f>IF(ISNUMBER(Klisz_Verbräuche[[#This Row],[2020]]), Klisz_Verbräuche[[#This Row],[2020]]*Emissionsfaktoren[[#This Row],[2020]]/1000, 0)</f>
        <v>0</v>
      </c>
      <c r="K145" s="15">
        <f>IF(ISNUMBER(Klisz_Verbräuche[[#This Row],[2021]]), Klisz_Verbräuche[[#This Row],[2021]]*Emissionsfaktoren[[#This Row],[2021]]/1000, 0)</f>
        <v>0</v>
      </c>
      <c r="L145" s="15">
        <f>IF(ISNUMBER(Klisz_Verbräuche[[#This Row],[2022]]), Klisz_Verbräuche[[#This Row],[2022]]*Emissionsfaktoren[[#This Row],[2022]]/1000, 0)</f>
        <v>0</v>
      </c>
      <c r="M145" s="15">
        <f>IF(ISNUMBER(Klisz_Verbräuche[[#This Row],[2023]]), Klisz_Verbräuche[[#This Row],[2023]]*Emissionsfaktoren[[#This Row],[2023]]/1000, 0)</f>
        <v>0</v>
      </c>
      <c r="N145" s="15">
        <f>IF(ISNUMBER(Klisz_Verbräuche[[#This Row],[2024]]), Klisz_Verbräuche[[#This Row],[2024]]*Emissionsfaktoren[[#This Row],[2024]]/1000, 0)</f>
        <v>0</v>
      </c>
      <c r="O145" s="15">
        <f>IF(ISNUMBER(Klisz_Verbräuche[[#This Row],[2025]]), Klisz_Verbräuche[[#This Row],[2025]]*Emissionsfaktoren[[#This Row],[2025]]/1000, 0)</f>
        <v>0</v>
      </c>
      <c r="P145" s="15">
        <f>IF(ISNUMBER(Klisz_Verbräuche[[#This Row],[2026]]), Klisz_Verbräuche[[#This Row],[2026]]*Emissionsfaktoren[[#This Row],[2026]]/1000, 0)</f>
        <v>0</v>
      </c>
      <c r="Q145" s="15">
        <f>IF(ISNUMBER(Klisz_Verbräuche[[#This Row],[2027]]), Klisz_Verbräuche[[#This Row],[2027]]*Emissionsfaktoren[[#This Row],[2027]]/1000, 0)</f>
        <v>0</v>
      </c>
      <c r="R145" s="15">
        <f>IF(ISNUMBER(Klisz_Verbräuche[[#This Row],[2028]]), Klisz_Verbräuche[[#This Row],[2028]]*Emissionsfaktoren[[#This Row],[2028]]/1000, 0)</f>
        <v>0</v>
      </c>
      <c r="S145" s="15">
        <f>IF(ISNUMBER(Klisz_Verbräuche[[#This Row],[2029]]), Klisz_Verbräuche[[#This Row],[2029]]*Emissionsfaktoren[[#This Row],[2029]]/1000, 0)</f>
        <v>0</v>
      </c>
      <c r="T145" s="15">
        <f>IF(ISNUMBER(Klisz_Verbräuche[[#This Row],[2030]]), Klisz_Verbräuche[[#This Row],[2030]]*Emissionsfaktoren[[#This Row],[2030]]/1000, 0)</f>
        <v>0</v>
      </c>
      <c r="U145" s="15">
        <f>IF(ISNUMBER(Klisz_Verbräuche[[#This Row],[2035]]), Klisz_Verbräuche[[#This Row],[2035]]*Emissionsfaktoren[[#This Row],[2035]]/1000, 0)</f>
        <v>0</v>
      </c>
      <c r="V145" s="15">
        <f>IF(ISNUMBER(Klisz_Verbräuche[[#This Row],[2040]]), Klisz_Verbräuche[[#This Row],[2040]]*Emissionsfaktoren[[#This Row],[2040]]/1000, 0)</f>
        <v>0</v>
      </c>
      <c r="W145" s="15">
        <f>IF(ISNUMBER(Klisz_Verbräuche[[#This Row],[2045]]), Klisz_Verbräuche[[#This Row],[2045]]*Emissionsfaktoren[[#This Row],[2045]]/1000, 0)</f>
        <v>0</v>
      </c>
      <c r="X145" s="15">
        <f>IF(ISNUMBER(Klisz_Verbräuche[[#This Row],[2050]]), Klisz_Verbräuche[[#This Row],[2050]]*Emissionsfaktoren[[#This Row],[2050]]/1000, 0)</f>
        <v>0</v>
      </c>
    </row>
    <row r="146" spans="2:24" ht="16.5" hidden="1" x14ac:dyDescent="0.45">
      <c r="B146" s="15">
        <v>86</v>
      </c>
      <c r="C146" s="20" t="str">
        <f>Refsz_Verbräuche[[#This Row],[Datenpunkt]]</f>
        <v>Abwasser</v>
      </c>
      <c r="D146" t="s">
        <v>208</v>
      </c>
      <c r="E146" s="15">
        <f>IF(ISNUMBER(Klisz_Verbräuche[[#This Row],[2015]]), Klisz_Verbräuche[[#This Row],[2015]]*Emissionsfaktoren[[#This Row],[2015]]/1000, 0)</f>
        <v>0</v>
      </c>
      <c r="F146" s="15">
        <f>IF(ISNUMBER(Klisz_Verbräuche[[#This Row],[2016]]), Klisz_Verbräuche[[#This Row],[2016]]*Emissionsfaktoren[[#This Row],[2016]]/1000, 0)</f>
        <v>0</v>
      </c>
      <c r="G146" s="15">
        <f>IF(ISNUMBER(Klisz_Verbräuche[[#This Row],[2017]]), Klisz_Verbräuche[[#This Row],[2017]]*Emissionsfaktoren[[#This Row],[2017]]/1000, 0)</f>
        <v>0</v>
      </c>
      <c r="H146" s="15">
        <f>IF(ISNUMBER(Klisz_Verbräuche[[#This Row],[2018]]), Klisz_Verbräuche[[#This Row],[2018]]*Emissionsfaktoren[[#This Row],[2018]]/1000, 0)</f>
        <v>0</v>
      </c>
      <c r="I146" s="15">
        <f>IF(ISNUMBER(Klisz_Verbräuche[[#This Row],[2019]]), Klisz_Verbräuche[[#This Row],[2019]]*Emissionsfaktoren[[#This Row],[2019]]/1000, 0)</f>
        <v>0</v>
      </c>
      <c r="J146" s="15">
        <f>IF(ISNUMBER(Klisz_Verbräuche[[#This Row],[2020]]), Klisz_Verbräuche[[#This Row],[2020]]*Emissionsfaktoren[[#This Row],[2020]]/1000, 0)</f>
        <v>0</v>
      </c>
      <c r="K146" s="15">
        <f>IF(ISNUMBER(Klisz_Verbräuche[[#This Row],[2021]]), Klisz_Verbräuche[[#This Row],[2021]]*Emissionsfaktoren[[#This Row],[2021]]/1000, 0)</f>
        <v>0</v>
      </c>
      <c r="L146" s="15">
        <f>IF(ISNUMBER(Klisz_Verbräuche[[#This Row],[2022]]), Klisz_Verbräuche[[#This Row],[2022]]*Emissionsfaktoren[[#This Row],[2022]]/1000, 0)</f>
        <v>0</v>
      </c>
      <c r="M146" s="15">
        <f>IF(ISNUMBER(Klisz_Verbräuche[[#This Row],[2023]]), Klisz_Verbräuche[[#This Row],[2023]]*Emissionsfaktoren[[#This Row],[2023]]/1000, 0)</f>
        <v>0</v>
      </c>
      <c r="N146" s="15">
        <f>IF(ISNUMBER(Klisz_Verbräuche[[#This Row],[2024]]), Klisz_Verbräuche[[#This Row],[2024]]*Emissionsfaktoren[[#This Row],[2024]]/1000, 0)</f>
        <v>0</v>
      </c>
      <c r="O146" s="15">
        <f>IF(ISNUMBER(Klisz_Verbräuche[[#This Row],[2025]]), Klisz_Verbräuche[[#This Row],[2025]]*Emissionsfaktoren[[#This Row],[2025]]/1000, 0)</f>
        <v>0</v>
      </c>
      <c r="P146" s="15">
        <f>IF(ISNUMBER(Klisz_Verbräuche[[#This Row],[2026]]), Klisz_Verbräuche[[#This Row],[2026]]*Emissionsfaktoren[[#This Row],[2026]]/1000, 0)</f>
        <v>0</v>
      </c>
      <c r="Q146" s="15">
        <f>IF(ISNUMBER(Klisz_Verbräuche[[#This Row],[2027]]), Klisz_Verbräuche[[#This Row],[2027]]*Emissionsfaktoren[[#This Row],[2027]]/1000, 0)</f>
        <v>0</v>
      </c>
      <c r="R146" s="15">
        <f>IF(ISNUMBER(Klisz_Verbräuche[[#This Row],[2028]]), Klisz_Verbräuche[[#This Row],[2028]]*Emissionsfaktoren[[#This Row],[2028]]/1000, 0)</f>
        <v>0</v>
      </c>
      <c r="S146" s="15">
        <f>IF(ISNUMBER(Klisz_Verbräuche[[#This Row],[2029]]), Klisz_Verbräuche[[#This Row],[2029]]*Emissionsfaktoren[[#This Row],[2029]]/1000, 0)</f>
        <v>0</v>
      </c>
      <c r="T146" s="15">
        <f>IF(ISNUMBER(Klisz_Verbräuche[[#This Row],[2030]]), Klisz_Verbräuche[[#This Row],[2030]]*Emissionsfaktoren[[#This Row],[2030]]/1000, 0)</f>
        <v>0</v>
      </c>
      <c r="U146" s="15">
        <f>IF(ISNUMBER(Klisz_Verbräuche[[#This Row],[2035]]), Klisz_Verbräuche[[#This Row],[2035]]*Emissionsfaktoren[[#This Row],[2035]]/1000, 0)</f>
        <v>0</v>
      </c>
      <c r="V146" s="15">
        <f>IF(ISNUMBER(Klisz_Verbräuche[[#This Row],[2040]]), Klisz_Verbräuche[[#This Row],[2040]]*Emissionsfaktoren[[#This Row],[2040]]/1000, 0)</f>
        <v>0</v>
      </c>
      <c r="W146" s="15">
        <f>IF(ISNUMBER(Klisz_Verbräuche[[#This Row],[2045]]), Klisz_Verbräuche[[#This Row],[2045]]*Emissionsfaktoren[[#This Row],[2045]]/1000, 0)</f>
        <v>0</v>
      </c>
      <c r="X146" s="15">
        <f>IF(ISNUMBER(Klisz_Verbräuche[[#This Row],[2050]]), Klisz_Verbräuche[[#This Row],[2050]]*Emissionsfaktoren[[#This Row],[2050]]/1000, 0)</f>
        <v>0</v>
      </c>
    </row>
    <row r="147" spans="2:24" ht="16.5" hidden="1" x14ac:dyDescent="0.45">
      <c r="B147" s="15">
        <v>87</v>
      </c>
      <c r="C147" s="20" t="str">
        <f>Refsz_Verbräuche[[#This Row],[Datenpunkt]]</f>
        <v>Trinkwasser</v>
      </c>
      <c r="D147" t="s">
        <v>208</v>
      </c>
      <c r="E147" s="15">
        <f>IF(ISNUMBER(Klisz_Verbräuche[[#This Row],[2015]]), Klisz_Verbräuche[[#This Row],[2015]]*Emissionsfaktoren[[#This Row],[2015]]/1000, 0)</f>
        <v>0</v>
      </c>
      <c r="F147" s="15">
        <f>IF(ISNUMBER(Klisz_Verbräuche[[#This Row],[2016]]), Klisz_Verbräuche[[#This Row],[2016]]*Emissionsfaktoren[[#This Row],[2016]]/1000, 0)</f>
        <v>0</v>
      </c>
      <c r="G147" s="15">
        <f>IF(ISNUMBER(Klisz_Verbräuche[[#This Row],[2017]]), Klisz_Verbräuche[[#This Row],[2017]]*Emissionsfaktoren[[#This Row],[2017]]/1000, 0)</f>
        <v>0</v>
      </c>
      <c r="H147" s="15">
        <f>IF(ISNUMBER(Klisz_Verbräuche[[#This Row],[2018]]), Klisz_Verbräuche[[#This Row],[2018]]*Emissionsfaktoren[[#This Row],[2018]]/1000, 0)</f>
        <v>0</v>
      </c>
      <c r="I147" s="15">
        <f>IF(ISNUMBER(Klisz_Verbräuche[[#This Row],[2019]]), Klisz_Verbräuche[[#This Row],[2019]]*Emissionsfaktoren[[#This Row],[2019]]/1000, 0)</f>
        <v>0</v>
      </c>
      <c r="J147" s="15">
        <f>IF(ISNUMBER(Klisz_Verbräuche[[#This Row],[2020]]), Klisz_Verbräuche[[#This Row],[2020]]*Emissionsfaktoren[[#This Row],[2020]]/1000, 0)</f>
        <v>0</v>
      </c>
      <c r="K147" s="15">
        <f>IF(ISNUMBER(Klisz_Verbräuche[[#This Row],[2021]]), Klisz_Verbräuche[[#This Row],[2021]]*Emissionsfaktoren[[#This Row],[2021]]/1000, 0)</f>
        <v>0</v>
      </c>
      <c r="L147" s="15">
        <f>IF(ISNUMBER(Klisz_Verbräuche[[#This Row],[2022]]), Klisz_Verbräuche[[#This Row],[2022]]*Emissionsfaktoren[[#This Row],[2022]]/1000, 0)</f>
        <v>0</v>
      </c>
      <c r="M147" s="15">
        <f>IF(ISNUMBER(Klisz_Verbräuche[[#This Row],[2023]]), Klisz_Verbräuche[[#This Row],[2023]]*Emissionsfaktoren[[#This Row],[2023]]/1000, 0)</f>
        <v>0</v>
      </c>
      <c r="N147" s="15">
        <f>IF(ISNUMBER(Klisz_Verbräuche[[#This Row],[2024]]), Klisz_Verbräuche[[#This Row],[2024]]*Emissionsfaktoren[[#This Row],[2024]]/1000, 0)</f>
        <v>0</v>
      </c>
      <c r="O147" s="15">
        <f>IF(ISNUMBER(Klisz_Verbräuche[[#This Row],[2025]]), Klisz_Verbräuche[[#This Row],[2025]]*Emissionsfaktoren[[#This Row],[2025]]/1000, 0)</f>
        <v>0</v>
      </c>
      <c r="P147" s="15">
        <f>IF(ISNUMBER(Klisz_Verbräuche[[#This Row],[2026]]), Klisz_Verbräuche[[#This Row],[2026]]*Emissionsfaktoren[[#This Row],[2026]]/1000, 0)</f>
        <v>0</v>
      </c>
      <c r="Q147" s="15">
        <f>IF(ISNUMBER(Klisz_Verbräuche[[#This Row],[2027]]), Klisz_Verbräuche[[#This Row],[2027]]*Emissionsfaktoren[[#This Row],[2027]]/1000, 0)</f>
        <v>0</v>
      </c>
      <c r="R147" s="15">
        <f>IF(ISNUMBER(Klisz_Verbräuche[[#This Row],[2028]]), Klisz_Verbräuche[[#This Row],[2028]]*Emissionsfaktoren[[#This Row],[2028]]/1000, 0)</f>
        <v>0</v>
      </c>
      <c r="S147" s="15">
        <f>IF(ISNUMBER(Klisz_Verbräuche[[#This Row],[2029]]), Klisz_Verbräuche[[#This Row],[2029]]*Emissionsfaktoren[[#This Row],[2029]]/1000, 0)</f>
        <v>0</v>
      </c>
      <c r="T147" s="15">
        <f>IF(ISNUMBER(Klisz_Verbräuche[[#This Row],[2030]]), Klisz_Verbräuche[[#This Row],[2030]]*Emissionsfaktoren[[#This Row],[2030]]/1000, 0)</f>
        <v>0</v>
      </c>
      <c r="U147" s="15">
        <f>IF(ISNUMBER(Klisz_Verbräuche[[#This Row],[2035]]), Klisz_Verbräuche[[#This Row],[2035]]*Emissionsfaktoren[[#This Row],[2035]]/1000, 0)</f>
        <v>0</v>
      </c>
      <c r="V147" s="15">
        <f>IF(ISNUMBER(Klisz_Verbräuche[[#This Row],[2040]]), Klisz_Verbräuche[[#This Row],[2040]]*Emissionsfaktoren[[#This Row],[2040]]/1000, 0)</f>
        <v>0</v>
      </c>
      <c r="W147" s="15">
        <f>IF(ISNUMBER(Klisz_Verbräuche[[#This Row],[2045]]), Klisz_Verbräuche[[#This Row],[2045]]*Emissionsfaktoren[[#This Row],[2045]]/1000, 0)</f>
        <v>0</v>
      </c>
      <c r="X147" s="15">
        <f>IF(ISNUMBER(Klisz_Verbräuche[[#This Row],[2050]]), Klisz_Verbräuche[[#This Row],[2050]]*Emissionsfaktoren[[#This Row],[2050]]/1000, 0)</f>
        <v>0</v>
      </c>
    </row>
    <row r="148" spans="2:24" ht="16.5" hidden="1" x14ac:dyDescent="0.45">
      <c r="B148" s="15">
        <v>88</v>
      </c>
      <c r="C148" s="20">
        <f>Refsz_Verbräuche[[#This Row],[Datenpunkt]]</f>
        <v>0</v>
      </c>
      <c r="D148" t="s">
        <v>208</v>
      </c>
      <c r="E148" s="15">
        <f>IF(ISNUMBER(Klisz_Verbräuche[[#This Row],[2015]]), Klisz_Verbräuche[[#This Row],[2015]]*Emissionsfaktoren[[#This Row],[2015]]/1000, 0)</f>
        <v>0</v>
      </c>
      <c r="F148" s="15">
        <f>IF(ISNUMBER(Klisz_Verbräuche[[#This Row],[2016]]), Klisz_Verbräuche[[#This Row],[2016]]*Emissionsfaktoren[[#This Row],[2016]]/1000, 0)</f>
        <v>0</v>
      </c>
      <c r="G148" s="15">
        <f>IF(ISNUMBER(Klisz_Verbräuche[[#This Row],[2017]]), Klisz_Verbräuche[[#This Row],[2017]]*Emissionsfaktoren[[#This Row],[2017]]/1000, 0)</f>
        <v>0</v>
      </c>
      <c r="H148" s="15">
        <f>IF(ISNUMBER(Klisz_Verbräuche[[#This Row],[2018]]), Klisz_Verbräuche[[#This Row],[2018]]*Emissionsfaktoren[[#This Row],[2018]]/1000, 0)</f>
        <v>0</v>
      </c>
      <c r="I148" s="15">
        <f>IF(ISNUMBER(Klisz_Verbräuche[[#This Row],[2019]]), Klisz_Verbräuche[[#This Row],[2019]]*Emissionsfaktoren[[#This Row],[2019]]/1000, 0)</f>
        <v>0</v>
      </c>
      <c r="J148" s="15">
        <f>IF(ISNUMBER(Klisz_Verbräuche[[#This Row],[2020]]), Klisz_Verbräuche[[#This Row],[2020]]*Emissionsfaktoren[[#This Row],[2020]]/1000, 0)</f>
        <v>0</v>
      </c>
      <c r="K148" s="15">
        <f>IF(ISNUMBER(Klisz_Verbräuche[[#This Row],[2021]]), Klisz_Verbräuche[[#This Row],[2021]]*Emissionsfaktoren[[#This Row],[2021]]/1000, 0)</f>
        <v>0</v>
      </c>
      <c r="L148" s="15">
        <f>IF(ISNUMBER(Klisz_Verbräuche[[#This Row],[2022]]), Klisz_Verbräuche[[#This Row],[2022]]*Emissionsfaktoren[[#This Row],[2022]]/1000, 0)</f>
        <v>0</v>
      </c>
      <c r="M148" s="15">
        <f>IF(ISNUMBER(Klisz_Verbräuche[[#This Row],[2023]]), Klisz_Verbräuche[[#This Row],[2023]]*Emissionsfaktoren[[#This Row],[2023]]/1000, 0)</f>
        <v>0</v>
      </c>
      <c r="N148" s="15">
        <f>IF(ISNUMBER(Klisz_Verbräuche[[#This Row],[2024]]), Klisz_Verbräuche[[#This Row],[2024]]*Emissionsfaktoren[[#This Row],[2024]]/1000, 0)</f>
        <v>0</v>
      </c>
      <c r="O148" s="15">
        <f>IF(ISNUMBER(Klisz_Verbräuche[[#This Row],[2025]]), Klisz_Verbräuche[[#This Row],[2025]]*Emissionsfaktoren[[#This Row],[2025]]/1000, 0)</f>
        <v>0</v>
      </c>
      <c r="P148" s="15">
        <f>IF(ISNUMBER(Klisz_Verbräuche[[#This Row],[2026]]), Klisz_Verbräuche[[#This Row],[2026]]*Emissionsfaktoren[[#This Row],[2026]]/1000, 0)</f>
        <v>0</v>
      </c>
      <c r="Q148" s="15">
        <f>IF(ISNUMBER(Klisz_Verbräuche[[#This Row],[2027]]), Klisz_Verbräuche[[#This Row],[2027]]*Emissionsfaktoren[[#This Row],[2027]]/1000, 0)</f>
        <v>0</v>
      </c>
      <c r="R148" s="15">
        <f>IF(ISNUMBER(Klisz_Verbräuche[[#This Row],[2028]]), Klisz_Verbräuche[[#This Row],[2028]]*Emissionsfaktoren[[#This Row],[2028]]/1000, 0)</f>
        <v>0</v>
      </c>
      <c r="S148" s="15">
        <f>IF(ISNUMBER(Klisz_Verbräuche[[#This Row],[2029]]), Klisz_Verbräuche[[#This Row],[2029]]*Emissionsfaktoren[[#This Row],[2029]]/1000, 0)</f>
        <v>0</v>
      </c>
      <c r="T148" s="15">
        <f>IF(ISNUMBER(Klisz_Verbräuche[[#This Row],[2030]]), Klisz_Verbräuche[[#This Row],[2030]]*Emissionsfaktoren[[#This Row],[2030]]/1000, 0)</f>
        <v>0</v>
      </c>
      <c r="U148" s="15">
        <f>IF(ISNUMBER(Klisz_Verbräuche[[#This Row],[2035]]), Klisz_Verbräuche[[#This Row],[2035]]*Emissionsfaktoren[[#This Row],[2035]]/1000, 0)</f>
        <v>0</v>
      </c>
      <c r="V148" s="15">
        <f>IF(ISNUMBER(Klisz_Verbräuche[[#This Row],[2040]]), Klisz_Verbräuche[[#This Row],[2040]]*Emissionsfaktoren[[#This Row],[2040]]/1000, 0)</f>
        <v>0</v>
      </c>
      <c r="W148" s="15">
        <f>IF(ISNUMBER(Klisz_Verbräuche[[#This Row],[2045]]), Klisz_Verbräuche[[#This Row],[2045]]*Emissionsfaktoren[[#This Row],[2045]]/1000, 0)</f>
        <v>0</v>
      </c>
      <c r="X148" s="15">
        <f>IF(ISNUMBER(Klisz_Verbräuche[[#This Row],[2050]]), Klisz_Verbräuche[[#This Row],[2050]]*Emissionsfaktoren[[#This Row],[2050]]/1000, 0)</f>
        <v>0</v>
      </c>
    </row>
    <row r="149" spans="2:24" ht="16.5" hidden="1" x14ac:dyDescent="0.45">
      <c r="B149" s="15">
        <v>89</v>
      </c>
      <c r="C149" s="20" t="str">
        <f>Refsz_Verbräuche[[#This Row],[Datenpunkt]]</f>
        <v>Recyclingpapier</v>
      </c>
      <c r="D149" t="s">
        <v>208</v>
      </c>
      <c r="E149" s="15">
        <f>IF(ISNUMBER(Klisz_Verbräuche[[#This Row],[2015]]), Klisz_Verbräuche[[#This Row],[2015]]*Emissionsfaktoren[[#This Row],[2015]]/1000, 0)</f>
        <v>0</v>
      </c>
      <c r="F149" s="15">
        <f>IF(ISNUMBER(Klisz_Verbräuche[[#This Row],[2016]]), Klisz_Verbräuche[[#This Row],[2016]]*Emissionsfaktoren[[#This Row],[2016]]/1000, 0)</f>
        <v>0</v>
      </c>
      <c r="G149" s="15">
        <f>IF(ISNUMBER(Klisz_Verbräuche[[#This Row],[2017]]), Klisz_Verbräuche[[#This Row],[2017]]*Emissionsfaktoren[[#This Row],[2017]]/1000, 0)</f>
        <v>0</v>
      </c>
      <c r="H149" s="15">
        <f>IF(ISNUMBER(Klisz_Verbräuche[[#This Row],[2018]]), Klisz_Verbräuche[[#This Row],[2018]]*Emissionsfaktoren[[#This Row],[2018]]/1000, 0)</f>
        <v>0</v>
      </c>
      <c r="I149" s="15">
        <f>IF(ISNUMBER(Klisz_Verbräuche[[#This Row],[2019]]), Klisz_Verbräuche[[#This Row],[2019]]*Emissionsfaktoren[[#This Row],[2019]]/1000, 0)</f>
        <v>0</v>
      </c>
      <c r="J149" s="15">
        <f>IF(ISNUMBER(Klisz_Verbräuche[[#This Row],[2020]]), Klisz_Verbräuche[[#This Row],[2020]]*Emissionsfaktoren[[#This Row],[2020]]/1000, 0)</f>
        <v>0</v>
      </c>
      <c r="K149" s="15">
        <f>IF(ISNUMBER(Klisz_Verbräuche[[#This Row],[2021]]), Klisz_Verbräuche[[#This Row],[2021]]*Emissionsfaktoren[[#This Row],[2021]]/1000, 0)</f>
        <v>0</v>
      </c>
      <c r="L149" s="15">
        <f>IF(ISNUMBER(Klisz_Verbräuche[[#This Row],[2022]]), Klisz_Verbräuche[[#This Row],[2022]]*Emissionsfaktoren[[#This Row],[2022]]/1000, 0)</f>
        <v>0</v>
      </c>
      <c r="M149" s="15">
        <f>IF(ISNUMBER(Klisz_Verbräuche[[#This Row],[2023]]), Klisz_Verbräuche[[#This Row],[2023]]*Emissionsfaktoren[[#This Row],[2023]]/1000, 0)</f>
        <v>0</v>
      </c>
      <c r="N149" s="15">
        <f>IF(ISNUMBER(Klisz_Verbräuche[[#This Row],[2024]]), Klisz_Verbräuche[[#This Row],[2024]]*Emissionsfaktoren[[#This Row],[2024]]/1000, 0)</f>
        <v>0</v>
      </c>
      <c r="O149" s="15">
        <f>IF(ISNUMBER(Klisz_Verbräuche[[#This Row],[2025]]), Klisz_Verbräuche[[#This Row],[2025]]*Emissionsfaktoren[[#This Row],[2025]]/1000, 0)</f>
        <v>0</v>
      </c>
      <c r="P149" s="15">
        <f>IF(ISNUMBER(Klisz_Verbräuche[[#This Row],[2026]]), Klisz_Verbräuche[[#This Row],[2026]]*Emissionsfaktoren[[#This Row],[2026]]/1000, 0)</f>
        <v>0</v>
      </c>
      <c r="Q149" s="15">
        <f>IF(ISNUMBER(Klisz_Verbräuche[[#This Row],[2027]]), Klisz_Verbräuche[[#This Row],[2027]]*Emissionsfaktoren[[#This Row],[2027]]/1000, 0)</f>
        <v>0</v>
      </c>
      <c r="R149" s="15">
        <f>IF(ISNUMBER(Klisz_Verbräuche[[#This Row],[2028]]), Klisz_Verbräuche[[#This Row],[2028]]*Emissionsfaktoren[[#This Row],[2028]]/1000, 0)</f>
        <v>0</v>
      </c>
      <c r="S149" s="15">
        <f>IF(ISNUMBER(Klisz_Verbräuche[[#This Row],[2029]]), Klisz_Verbräuche[[#This Row],[2029]]*Emissionsfaktoren[[#This Row],[2029]]/1000, 0)</f>
        <v>0</v>
      </c>
      <c r="T149" s="15">
        <f>IF(ISNUMBER(Klisz_Verbräuche[[#This Row],[2030]]), Klisz_Verbräuche[[#This Row],[2030]]*Emissionsfaktoren[[#This Row],[2030]]/1000, 0)</f>
        <v>0</v>
      </c>
      <c r="U149" s="15">
        <f>IF(ISNUMBER(Klisz_Verbräuche[[#This Row],[2035]]), Klisz_Verbräuche[[#This Row],[2035]]*Emissionsfaktoren[[#This Row],[2035]]/1000, 0)</f>
        <v>0</v>
      </c>
      <c r="V149" s="15">
        <f>IF(ISNUMBER(Klisz_Verbräuche[[#This Row],[2040]]), Klisz_Verbräuche[[#This Row],[2040]]*Emissionsfaktoren[[#This Row],[2040]]/1000, 0)</f>
        <v>0</v>
      </c>
      <c r="W149" s="15">
        <f>IF(ISNUMBER(Klisz_Verbräuche[[#This Row],[2045]]), Klisz_Verbräuche[[#This Row],[2045]]*Emissionsfaktoren[[#This Row],[2045]]/1000, 0)</f>
        <v>0</v>
      </c>
      <c r="X149" s="15">
        <f>IF(ISNUMBER(Klisz_Verbräuche[[#This Row],[2050]]), Klisz_Verbräuche[[#This Row],[2050]]*Emissionsfaktoren[[#This Row],[2050]]/1000, 0)</f>
        <v>0</v>
      </c>
    </row>
    <row r="150" spans="2:24" ht="16.5" hidden="1" x14ac:dyDescent="0.45">
      <c r="B150" s="15">
        <v>90</v>
      </c>
      <c r="C150" s="20" t="str">
        <f>Refsz_Verbräuche[[#This Row],[Datenpunkt]]</f>
        <v>Frischfaserpapier</v>
      </c>
      <c r="D150" t="s">
        <v>208</v>
      </c>
      <c r="E150" s="15">
        <f>IF(ISNUMBER(Klisz_Verbräuche[[#This Row],[2015]]), Klisz_Verbräuche[[#This Row],[2015]]*Emissionsfaktoren[[#This Row],[2015]]/1000, 0)</f>
        <v>0</v>
      </c>
      <c r="F150" s="15">
        <f>IF(ISNUMBER(Klisz_Verbräuche[[#This Row],[2016]]), Klisz_Verbräuche[[#This Row],[2016]]*Emissionsfaktoren[[#This Row],[2016]]/1000, 0)</f>
        <v>0</v>
      </c>
      <c r="G150" s="15">
        <f>IF(ISNUMBER(Klisz_Verbräuche[[#This Row],[2017]]), Klisz_Verbräuche[[#This Row],[2017]]*Emissionsfaktoren[[#This Row],[2017]]/1000, 0)</f>
        <v>0</v>
      </c>
      <c r="H150" s="15">
        <f>IF(ISNUMBER(Klisz_Verbräuche[[#This Row],[2018]]), Klisz_Verbräuche[[#This Row],[2018]]*Emissionsfaktoren[[#This Row],[2018]]/1000, 0)</f>
        <v>0</v>
      </c>
      <c r="I150" s="15">
        <f>IF(ISNUMBER(Klisz_Verbräuche[[#This Row],[2019]]), Klisz_Verbräuche[[#This Row],[2019]]*Emissionsfaktoren[[#This Row],[2019]]/1000, 0)</f>
        <v>0</v>
      </c>
      <c r="J150" s="15">
        <f>IF(ISNUMBER(Klisz_Verbräuche[[#This Row],[2020]]), Klisz_Verbräuche[[#This Row],[2020]]*Emissionsfaktoren[[#This Row],[2020]]/1000, 0)</f>
        <v>0</v>
      </c>
      <c r="K150" s="15">
        <f>IF(ISNUMBER(Klisz_Verbräuche[[#This Row],[2021]]), Klisz_Verbräuche[[#This Row],[2021]]*Emissionsfaktoren[[#This Row],[2021]]/1000, 0)</f>
        <v>0</v>
      </c>
      <c r="L150" s="15">
        <f>IF(ISNUMBER(Klisz_Verbräuche[[#This Row],[2022]]), Klisz_Verbräuche[[#This Row],[2022]]*Emissionsfaktoren[[#This Row],[2022]]/1000, 0)</f>
        <v>0</v>
      </c>
      <c r="M150" s="15">
        <f>IF(ISNUMBER(Klisz_Verbräuche[[#This Row],[2023]]), Klisz_Verbräuche[[#This Row],[2023]]*Emissionsfaktoren[[#This Row],[2023]]/1000, 0)</f>
        <v>0</v>
      </c>
      <c r="N150" s="15">
        <f>IF(ISNUMBER(Klisz_Verbräuche[[#This Row],[2024]]), Klisz_Verbräuche[[#This Row],[2024]]*Emissionsfaktoren[[#This Row],[2024]]/1000, 0)</f>
        <v>0</v>
      </c>
      <c r="O150" s="15">
        <f>IF(ISNUMBER(Klisz_Verbräuche[[#This Row],[2025]]), Klisz_Verbräuche[[#This Row],[2025]]*Emissionsfaktoren[[#This Row],[2025]]/1000, 0)</f>
        <v>0</v>
      </c>
      <c r="P150" s="15">
        <f>IF(ISNUMBER(Klisz_Verbräuche[[#This Row],[2026]]), Klisz_Verbräuche[[#This Row],[2026]]*Emissionsfaktoren[[#This Row],[2026]]/1000, 0)</f>
        <v>0</v>
      </c>
      <c r="Q150" s="15">
        <f>IF(ISNUMBER(Klisz_Verbräuche[[#This Row],[2027]]), Klisz_Verbräuche[[#This Row],[2027]]*Emissionsfaktoren[[#This Row],[2027]]/1000, 0)</f>
        <v>0</v>
      </c>
      <c r="R150" s="15">
        <f>IF(ISNUMBER(Klisz_Verbräuche[[#This Row],[2028]]), Klisz_Verbräuche[[#This Row],[2028]]*Emissionsfaktoren[[#This Row],[2028]]/1000, 0)</f>
        <v>0</v>
      </c>
      <c r="S150" s="15">
        <f>IF(ISNUMBER(Klisz_Verbräuche[[#This Row],[2029]]), Klisz_Verbräuche[[#This Row],[2029]]*Emissionsfaktoren[[#This Row],[2029]]/1000, 0)</f>
        <v>0</v>
      </c>
      <c r="T150" s="15">
        <f>IF(ISNUMBER(Klisz_Verbräuche[[#This Row],[2030]]), Klisz_Verbräuche[[#This Row],[2030]]*Emissionsfaktoren[[#This Row],[2030]]/1000, 0)</f>
        <v>0</v>
      </c>
      <c r="U150" s="15">
        <f>IF(ISNUMBER(Klisz_Verbräuche[[#This Row],[2035]]), Klisz_Verbräuche[[#This Row],[2035]]*Emissionsfaktoren[[#This Row],[2035]]/1000, 0)</f>
        <v>0</v>
      </c>
      <c r="V150" s="15">
        <f>IF(ISNUMBER(Klisz_Verbräuche[[#This Row],[2040]]), Klisz_Verbräuche[[#This Row],[2040]]*Emissionsfaktoren[[#This Row],[2040]]/1000, 0)</f>
        <v>0</v>
      </c>
      <c r="W150" s="15">
        <f>IF(ISNUMBER(Klisz_Verbräuche[[#This Row],[2045]]), Klisz_Verbräuche[[#This Row],[2045]]*Emissionsfaktoren[[#This Row],[2045]]/1000, 0)</f>
        <v>0</v>
      </c>
      <c r="X150" s="15">
        <f>IF(ISNUMBER(Klisz_Verbräuche[[#This Row],[2050]]), Klisz_Verbräuche[[#This Row],[2050]]*Emissionsfaktoren[[#This Row],[2050]]/1000, 0)</f>
        <v>0</v>
      </c>
    </row>
    <row r="151" spans="2:24" ht="16.5" hidden="1" x14ac:dyDescent="0.45">
      <c r="B151" s="15">
        <v>91</v>
      </c>
      <c r="C151" s="20" t="str">
        <f>Refsz_Verbräuche[[#This Row],[Datenpunkt]]</f>
        <v>Toilettenpapier (Recycling)</v>
      </c>
      <c r="D151" t="s">
        <v>208</v>
      </c>
      <c r="E151" s="15">
        <f>IF(ISNUMBER(Klisz_Verbräuche[[#This Row],[2015]]), Klisz_Verbräuche[[#This Row],[2015]]*Emissionsfaktoren[[#This Row],[2015]]/1000, 0)</f>
        <v>0</v>
      </c>
      <c r="F151" s="15">
        <f>IF(ISNUMBER(Klisz_Verbräuche[[#This Row],[2016]]), Klisz_Verbräuche[[#This Row],[2016]]*Emissionsfaktoren[[#This Row],[2016]]/1000, 0)</f>
        <v>0</v>
      </c>
      <c r="G151" s="15">
        <f>IF(ISNUMBER(Klisz_Verbräuche[[#This Row],[2017]]), Klisz_Verbräuche[[#This Row],[2017]]*Emissionsfaktoren[[#This Row],[2017]]/1000, 0)</f>
        <v>0</v>
      </c>
      <c r="H151" s="15">
        <f>IF(ISNUMBER(Klisz_Verbräuche[[#This Row],[2018]]), Klisz_Verbräuche[[#This Row],[2018]]*Emissionsfaktoren[[#This Row],[2018]]/1000, 0)</f>
        <v>0</v>
      </c>
      <c r="I151" s="15">
        <f>IF(ISNUMBER(Klisz_Verbräuche[[#This Row],[2019]]), Klisz_Verbräuche[[#This Row],[2019]]*Emissionsfaktoren[[#This Row],[2019]]/1000, 0)</f>
        <v>0</v>
      </c>
      <c r="J151" s="15">
        <f>IF(ISNUMBER(Klisz_Verbräuche[[#This Row],[2020]]), Klisz_Verbräuche[[#This Row],[2020]]*Emissionsfaktoren[[#This Row],[2020]]/1000, 0)</f>
        <v>0</v>
      </c>
      <c r="K151" s="15">
        <f>IF(ISNUMBER(Klisz_Verbräuche[[#This Row],[2021]]), Klisz_Verbräuche[[#This Row],[2021]]*Emissionsfaktoren[[#This Row],[2021]]/1000, 0)</f>
        <v>0</v>
      </c>
      <c r="L151" s="15">
        <f>IF(ISNUMBER(Klisz_Verbräuche[[#This Row],[2022]]), Klisz_Verbräuche[[#This Row],[2022]]*Emissionsfaktoren[[#This Row],[2022]]/1000, 0)</f>
        <v>0</v>
      </c>
      <c r="M151" s="15">
        <f>IF(ISNUMBER(Klisz_Verbräuche[[#This Row],[2023]]), Klisz_Verbräuche[[#This Row],[2023]]*Emissionsfaktoren[[#This Row],[2023]]/1000, 0)</f>
        <v>0</v>
      </c>
      <c r="N151" s="15">
        <f>IF(ISNUMBER(Klisz_Verbräuche[[#This Row],[2024]]), Klisz_Verbräuche[[#This Row],[2024]]*Emissionsfaktoren[[#This Row],[2024]]/1000, 0)</f>
        <v>0</v>
      </c>
      <c r="O151" s="15">
        <f>IF(ISNUMBER(Klisz_Verbräuche[[#This Row],[2025]]), Klisz_Verbräuche[[#This Row],[2025]]*Emissionsfaktoren[[#This Row],[2025]]/1000, 0)</f>
        <v>0</v>
      </c>
      <c r="P151" s="15">
        <f>IF(ISNUMBER(Klisz_Verbräuche[[#This Row],[2026]]), Klisz_Verbräuche[[#This Row],[2026]]*Emissionsfaktoren[[#This Row],[2026]]/1000, 0)</f>
        <v>0</v>
      </c>
      <c r="Q151" s="15">
        <f>IF(ISNUMBER(Klisz_Verbräuche[[#This Row],[2027]]), Klisz_Verbräuche[[#This Row],[2027]]*Emissionsfaktoren[[#This Row],[2027]]/1000, 0)</f>
        <v>0</v>
      </c>
      <c r="R151" s="15">
        <f>IF(ISNUMBER(Klisz_Verbräuche[[#This Row],[2028]]), Klisz_Verbräuche[[#This Row],[2028]]*Emissionsfaktoren[[#This Row],[2028]]/1000, 0)</f>
        <v>0</v>
      </c>
      <c r="S151" s="15">
        <f>IF(ISNUMBER(Klisz_Verbräuche[[#This Row],[2029]]), Klisz_Verbräuche[[#This Row],[2029]]*Emissionsfaktoren[[#This Row],[2029]]/1000, 0)</f>
        <v>0</v>
      </c>
      <c r="T151" s="15">
        <f>IF(ISNUMBER(Klisz_Verbräuche[[#This Row],[2030]]), Klisz_Verbräuche[[#This Row],[2030]]*Emissionsfaktoren[[#This Row],[2030]]/1000, 0)</f>
        <v>0</v>
      </c>
      <c r="U151" s="15">
        <f>IF(ISNUMBER(Klisz_Verbräuche[[#This Row],[2035]]), Klisz_Verbräuche[[#This Row],[2035]]*Emissionsfaktoren[[#This Row],[2035]]/1000, 0)</f>
        <v>0</v>
      </c>
      <c r="V151" s="15">
        <f>IF(ISNUMBER(Klisz_Verbräuche[[#This Row],[2040]]), Klisz_Verbräuche[[#This Row],[2040]]*Emissionsfaktoren[[#This Row],[2040]]/1000, 0)</f>
        <v>0</v>
      </c>
      <c r="W151" s="15">
        <f>IF(ISNUMBER(Klisz_Verbräuche[[#This Row],[2045]]), Klisz_Verbräuche[[#This Row],[2045]]*Emissionsfaktoren[[#This Row],[2045]]/1000, 0)</f>
        <v>0</v>
      </c>
      <c r="X151" s="15">
        <f>IF(ISNUMBER(Klisz_Verbräuche[[#This Row],[2050]]), Klisz_Verbräuche[[#This Row],[2050]]*Emissionsfaktoren[[#This Row],[2050]]/1000, 0)</f>
        <v>0</v>
      </c>
    </row>
    <row r="152" spans="2:24" ht="16.5" hidden="1" x14ac:dyDescent="0.45">
      <c r="B152" s="15">
        <v>92</v>
      </c>
      <c r="C152" s="20" t="str">
        <f>Refsz_Verbräuche[[#This Row],[Datenpunkt]]</f>
        <v>Papierhandtücher (Recycling)</v>
      </c>
      <c r="D152" t="s">
        <v>208</v>
      </c>
      <c r="E152" s="15">
        <f>IF(ISNUMBER(Klisz_Verbräuche[[#This Row],[2015]]), Klisz_Verbräuche[[#This Row],[2015]]*Emissionsfaktoren[[#This Row],[2015]]/1000, 0)</f>
        <v>0</v>
      </c>
      <c r="F152" s="15">
        <f>IF(ISNUMBER(Klisz_Verbräuche[[#This Row],[2016]]), Klisz_Verbräuche[[#This Row],[2016]]*Emissionsfaktoren[[#This Row],[2016]]/1000, 0)</f>
        <v>0</v>
      </c>
      <c r="G152" s="15">
        <f>IF(ISNUMBER(Klisz_Verbräuche[[#This Row],[2017]]), Klisz_Verbräuche[[#This Row],[2017]]*Emissionsfaktoren[[#This Row],[2017]]/1000, 0)</f>
        <v>0</v>
      </c>
      <c r="H152" s="15">
        <f>IF(ISNUMBER(Klisz_Verbräuche[[#This Row],[2018]]), Klisz_Verbräuche[[#This Row],[2018]]*Emissionsfaktoren[[#This Row],[2018]]/1000, 0)</f>
        <v>0</v>
      </c>
      <c r="I152" s="15">
        <f>IF(ISNUMBER(Klisz_Verbräuche[[#This Row],[2019]]), Klisz_Verbräuche[[#This Row],[2019]]*Emissionsfaktoren[[#This Row],[2019]]/1000, 0)</f>
        <v>0</v>
      </c>
      <c r="J152" s="15">
        <f>IF(ISNUMBER(Klisz_Verbräuche[[#This Row],[2020]]), Klisz_Verbräuche[[#This Row],[2020]]*Emissionsfaktoren[[#This Row],[2020]]/1000, 0)</f>
        <v>0</v>
      </c>
      <c r="K152" s="15">
        <f>IF(ISNUMBER(Klisz_Verbräuche[[#This Row],[2021]]), Klisz_Verbräuche[[#This Row],[2021]]*Emissionsfaktoren[[#This Row],[2021]]/1000, 0)</f>
        <v>0</v>
      </c>
      <c r="L152" s="15">
        <f>IF(ISNUMBER(Klisz_Verbräuche[[#This Row],[2022]]), Klisz_Verbräuche[[#This Row],[2022]]*Emissionsfaktoren[[#This Row],[2022]]/1000, 0)</f>
        <v>0</v>
      </c>
      <c r="M152" s="15">
        <f>IF(ISNUMBER(Klisz_Verbräuche[[#This Row],[2023]]), Klisz_Verbräuche[[#This Row],[2023]]*Emissionsfaktoren[[#This Row],[2023]]/1000, 0)</f>
        <v>0</v>
      </c>
      <c r="N152" s="15">
        <f>IF(ISNUMBER(Klisz_Verbräuche[[#This Row],[2024]]), Klisz_Verbräuche[[#This Row],[2024]]*Emissionsfaktoren[[#This Row],[2024]]/1000, 0)</f>
        <v>0</v>
      </c>
      <c r="O152" s="15">
        <f>IF(ISNUMBER(Klisz_Verbräuche[[#This Row],[2025]]), Klisz_Verbräuche[[#This Row],[2025]]*Emissionsfaktoren[[#This Row],[2025]]/1000, 0)</f>
        <v>0</v>
      </c>
      <c r="P152" s="15">
        <f>IF(ISNUMBER(Klisz_Verbräuche[[#This Row],[2026]]), Klisz_Verbräuche[[#This Row],[2026]]*Emissionsfaktoren[[#This Row],[2026]]/1000, 0)</f>
        <v>0</v>
      </c>
      <c r="Q152" s="15">
        <f>IF(ISNUMBER(Klisz_Verbräuche[[#This Row],[2027]]), Klisz_Verbräuche[[#This Row],[2027]]*Emissionsfaktoren[[#This Row],[2027]]/1000, 0)</f>
        <v>0</v>
      </c>
      <c r="R152" s="15">
        <f>IF(ISNUMBER(Klisz_Verbräuche[[#This Row],[2028]]), Klisz_Verbräuche[[#This Row],[2028]]*Emissionsfaktoren[[#This Row],[2028]]/1000, 0)</f>
        <v>0</v>
      </c>
      <c r="S152" s="15">
        <f>IF(ISNUMBER(Klisz_Verbräuche[[#This Row],[2029]]), Klisz_Verbräuche[[#This Row],[2029]]*Emissionsfaktoren[[#This Row],[2029]]/1000, 0)</f>
        <v>0</v>
      </c>
      <c r="T152" s="15">
        <f>IF(ISNUMBER(Klisz_Verbräuche[[#This Row],[2030]]), Klisz_Verbräuche[[#This Row],[2030]]*Emissionsfaktoren[[#This Row],[2030]]/1000, 0)</f>
        <v>0</v>
      </c>
      <c r="U152" s="15">
        <f>IF(ISNUMBER(Klisz_Verbräuche[[#This Row],[2035]]), Klisz_Verbräuche[[#This Row],[2035]]*Emissionsfaktoren[[#This Row],[2035]]/1000, 0)</f>
        <v>0</v>
      </c>
      <c r="V152" s="15">
        <f>IF(ISNUMBER(Klisz_Verbräuche[[#This Row],[2040]]), Klisz_Verbräuche[[#This Row],[2040]]*Emissionsfaktoren[[#This Row],[2040]]/1000, 0)</f>
        <v>0</v>
      </c>
      <c r="W152" s="15">
        <f>IF(ISNUMBER(Klisz_Verbräuche[[#This Row],[2045]]), Klisz_Verbräuche[[#This Row],[2045]]*Emissionsfaktoren[[#This Row],[2045]]/1000, 0)</f>
        <v>0</v>
      </c>
      <c r="X152" s="15">
        <f>IF(ISNUMBER(Klisz_Verbräuche[[#This Row],[2050]]), Klisz_Verbräuche[[#This Row],[2050]]*Emissionsfaktoren[[#This Row],[2050]]/1000, 0)</f>
        <v>0</v>
      </c>
    </row>
    <row r="153" spans="2:24" ht="16.5" hidden="1" x14ac:dyDescent="0.45">
      <c r="B153" s="15">
        <v>93</v>
      </c>
      <c r="C153" s="20">
        <f>Refsz_Verbräuche[[#This Row],[Datenpunkt]]</f>
        <v>0</v>
      </c>
      <c r="D153" t="s">
        <v>208</v>
      </c>
      <c r="E153" s="15">
        <f>IF(ISNUMBER(Klisz_Verbräuche[[#This Row],[2015]]), Klisz_Verbräuche[[#This Row],[2015]]*Emissionsfaktoren[[#This Row],[2015]]/1000, 0)</f>
        <v>0</v>
      </c>
      <c r="F153" s="15">
        <f>IF(ISNUMBER(Klisz_Verbräuche[[#This Row],[2016]]), Klisz_Verbräuche[[#This Row],[2016]]*Emissionsfaktoren[[#This Row],[2016]]/1000, 0)</f>
        <v>0</v>
      </c>
      <c r="G153" s="15">
        <f>IF(ISNUMBER(Klisz_Verbräuche[[#This Row],[2017]]), Klisz_Verbräuche[[#This Row],[2017]]*Emissionsfaktoren[[#This Row],[2017]]/1000, 0)</f>
        <v>0</v>
      </c>
      <c r="H153" s="15">
        <f>IF(ISNUMBER(Klisz_Verbräuche[[#This Row],[2018]]), Klisz_Verbräuche[[#This Row],[2018]]*Emissionsfaktoren[[#This Row],[2018]]/1000, 0)</f>
        <v>0</v>
      </c>
      <c r="I153" s="15">
        <f>IF(ISNUMBER(Klisz_Verbräuche[[#This Row],[2019]]), Klisz_Verbräuche[[#This Row],[2019]]*Emissionsfaktoren[[#This Row],[2019]]/1000, 0)</f>
        <v>0</v>
      </c>
      <c r="J153" s="15">
        <f>IF(ISNUMBER(Klisz_Verbräuche[[#This Row],[2020]]), Klisz_Verbräuche[[#This Row],[2020]]*Emissionsfaktoren[[#This Row],[2020]]/1000, 0)</f>
        <v>0</v>
      </c>
      <c r="K153" s="15">
        <f>IF(ISNUMBER(Klisz_Verbräuche[[#This Row],[2021]]), Klisz_Verbräuche[[#This Row],[2021]]*Emissionsfaktoren[[#This Row],[2021]]/1000, 0)</f>
        <v>0</v>
      </c>
      <c r="L153" s="15">
        <f>IF(ISNUMBER(Klisz_Verbräuche[[#This Row],[2022]]), Klisz_Verbräuche[[#This Row],[2022]]*Emissionsfaktoren[[#This Row],[2022]]/1000, 0)</f>
        <v>0</v>
      </c>
      <c r="M153" s="15">
        <f>IF(ISNUMBER(Klisz_Verbräuche[[#This Row],[2023]]), Klisz_Verbräuche[[#This Row],[2023]]*Emissionsfaktoren[[#This Row],[2023]]/1000, 0)</f>
        <v>0</v>
      </c>
      <c r="N153" s="15">
        <f>IF(ISNUMBER(Klisz_Verbräuche[[#This Row],[2024]]), Klisz_Verbräuche[[#This Row],[2024]]*Emissionsfaktoren[[#This Row],[2024]]/1000, 0)</f>
        <v>0</v>
      </c>
      <c r="O153" s="15">
        <f>IF(ISNUMBER(Klisz_Verbräuche[[#This Row],[2025]]), Klisz_Verbräuche[[#This Row],[2025]]*Emissionsfaktoren[[#This Row],[2025]]/1000, 0)</f>
        <v>0</v>
      </c>
      <c r="P153" s="15">
        <f>IF(ISNUMBER(Klisz_Verbräuche[[#This Row],[2026]]), Klisz_Verbräuche[[#This Row],[2026]]*Emissionsfaktoren[[#This Row],[2026]]/1000, 0)</f>
        <v>0</v>
      </c>
      <c r="Q153" s="15">
        <f>IF(ISNUMBER(Klisz_Verbräuche[[#This Row],[2027]]), Klisz_Verbräuche[[#This Row],[2027]]*Emissionsfaktoren[[#This Row],[2027]]/1000, 0)</f>
        <v>0</v>
      </c>
      <c r="R153" s="15">
        <f>IF(ISNUMBER(Klisz_Verbräuche[[#This Row],[2028]]), Klisz_Verbräuche[[#This Row],[2028]]*Emissionsfaktoren[[#This Row],[2028]]/1000, 0)</f>
        <v>0</v>
      </c>
      <c r="S153" s="15">
        <f>IF(ISNUMBER(Klisz_Verbräuche[[#This Row],[2029]]), Klisz_Verbräuche[[#This Row],[2029]]*Emissionsfaktoren[[#This Row],[2029]]/1000, 0)</f>
        <v>0</v>
      </c>
      <c r="T153" s="15">
        <f>IF(ISNUMBER(Klisz_Verbräuche[[#This Row],[2030]]), Klisz_Verbräuche[[#This Row],[2030]]*Emissionsfaktoren[[#This Row],[2030]]/1000, 0)</f>
        <v>0</v>
      </c>
      <c r="U153" s="15">
        <f>IF(ISNUMBER(Klisz_Verbräuche[[#This Row],[2035]]), Klisz_Verbräuche[[#This Row],[2035]]*Emissionsfaktoren[[#This Row],[2035]]/1000, 0)</f>
        <v>0</v>
      </c>
      <c r="V153" s="15">
        <f>IF(ISNUMBER(Klisz_Verbräuche[[#This Row],[2040]]), Klisz_Verbräuche[[#This Row],[2040]]*Emissionsfaktoren[[#This Row],[2040]]/1000, 0)</f>
        <v>0</v>
      </c>
      <c r="W153" s="15">
        <f>IF(ISNUMBER(Klisz_Verbräuche[[#This Row],[2045]]), Klisz_Verbräuche[[#This Row],[2045]]*Emissionsfaktoren[[#This Row],[2045]]/1000, 0)</f>
        <v>0</v>
      </c>
      <c r="X153" s="15">
        <f>IF(ISNUMBER(Klisz_Verbräuche[[#This Row],[2050]]), Klisz_Verbräuche[[#This Row],[2050]]*Emissionsfaktoren[[#This Row],[2050]]/1000, 0)</f>
        <v>0</v>
      </c>
    </row>
    <row r="154" spans="2:24" ht="16.5" hidden="1" x14ac:dyDescent="0.45">
      <c r="B154" s="15">
        <v>94</v>
      </c>
      <c r="C154" s="20" t="str">
        <f>Refsz_Verbräuche[[#This Row],[Datenpunkt]]</f>
        <v>Outgesourcte Leistungen des Rechenzentrums</v>
      </c>
      <c r="D154" t="s">
        <v>208</v>
      </c>
      <c r="E154" s="15">
        <f>IF(ISNUMBER(Klisz_Verbräuche[[#This Row],[2015]]), Klisz_Verbräuche[[#This Row],[2015]]*Emissionsfaktoren[[#This Row],[2015]]/1000, 0)</f>
        <v>0</v>
      </c>
      <c r="F154" s="15">
        <f>IF(ISNUMBER(Klisz_Verbräuche[[#This Row],[2016]]), Klisz_Verbräuche[[#This Row],[2016]]*Emissionsfaktoren[[#This Row],[2016]]/1000, 0)</f>
        <v>0</v>
      </c>
      <c r="G154" s="15">
        <f>IF(ISNUMBER(Klisz_Verbräuche[[#This Row],[2017]]), Klisz_Verbräuche[[#This Row],[2017]]*Emissionsfaktoren[[#This Row],[2017]]/1000, 0)</f>
        <v>0</v>
      </c>
      <c r="H154" s="15">
        <f>IF(ISNUMBER(Klisz_Verbräuche[[#This Row],[2018]]), Klisz_Verbräuche[[#This Row],[2018]]*Emissionsfaktoren[[#This Row],[2018]]/1000, 0)</f>
        <v>0</v>
      </c>
      <c r="I154" s="15">
        <f>IF(ISNUMBER(Klisz_Verbräuche[[#This Row],[2019]]), Klisz_Verbräuche[[#This Row],[2019]]*Emissionsfaktoren[[#This Row],[2019]]/1000, 0)</f>
        <v>0</v>
      </c>
      <c r="J154" s="15">
        <f>IF(ISNUMBER(Klisz_Verbräuche[[#This Row],[2020]]), Klisz_Verbräuche[[#This Row],[2020]]*Emissionsfaktoren[[#This Row],[2020]]/1000, 0)</f>
        <v>0</v>
      </c>
      <c r="K154" s="15">
        <f>IF(ISNUMBER(Klisz_Verbräuche[[#This Row],[2021]]), Klisz_Verbräuche[[#This Row],[2021]]*Emissionsfaktoren[[#This Row],[2021]]/1000, 0)</f>
        <v>0</v>
      </c>
      <c r="L154" s="15">
        <f>IF(ISNUMBER(Klisz_Verbräuche[[#This Row],[2022]]), Klisz_Verbräuche[[#This Row],[2022]]*Emissionsfaktoren[[#This Row],[2022]]/1000, 0)</f>
        <v>0</v>
      </c>
      <c r="M154" s="15">
        <f>IF(ISNUMBER(Klisz_Verbräuche[[#This Row],[2023]]), Klisz_Verbräuche[[#This Row],[2023]]*Emissionsfaktoren[[#This Row],[2023]]/1000, 0)</f>
        <v>0</v>
      </c>
      <c r="N154" s="15">
        <f>IF(ISNUMBER(Klisz_Verbräuche[[#This Row],[2024]]), Klisz_Verbräuche[[#This Row],[2024]]*Emissionsfaktoren[[#This Row],[2024]]/1000, 0)</f>
        <v>0</v>
      </c>
      <c r="O154" s="15">
        <f>IF(ISNUMBER(Klisz_Verbräuche[[#This Row],[2025]]), Klisz_Verbräuche[[#This Row],[2025]]*Emissionsfaktoren[[#This Row],[2025]]/1000, 0)</f>
        <v>0</v>
      </c>
      <c r="P154" s="15">
        <f>IF(ISNUMBER(Klisz_Verbräuche[[#This Row],[2026]]), Klisz_Verbräuche[[#This Row],[2026]]*Emissionsfaktoren[[#This Row],[2026]]/1000, 0)</f>
        <v>0</v>
      </c>
      <c r="Q154" s="15">
        <f>IF(ISNUMBER(Klisz_Verbräuche[[#This Row],[2027]]), Klisz_Verbräuche[[#This Row],[2027]]*Emissionsfaktoren[[#This Row],[2027]]/1000, 0)</f>
        <v>0</v>
      </c>
      <c r="R154" s="15">
        <f>IF(ISNUMBER(Klisz_Verbräuche[[#This Row],[2028]]), Klisz_Verbräuche[[#This Row],[2028]]*Emissionsfaktoren[[#This Row],[2028]]/1000, 0)</f>
        <v>0</v>
      </c>
      <c r="S154" s="15">
        <f>IF(ISNUMBER(Klisz_Verbräuche[[#This Row],[2029]]), Klisz_Verbräuche[[#This Row],[2029]]*Emissionsfaktoren[[#This Row],[2029]]/1000, 0)</f>
        <v>0</v>
      </c>
      <c r="T154" s="15">
        <f>IF(ISNUMBER(Klisz_Verbräuche[[#This Row],[2030]]), Klisz_Verbräuche[[#This Row],[2030]]*Emissionsfaktoren[[#This Row],[2030]]/1000, 0)</f>
        <v>0</v>
      </c>
      <c r="U154" s="15">
        <f>IF(ISNUMBER(Klisz_Verbräuche[[#This Row],[2035]]), Klisz_Verbräuche[[#This Row],[2035]]*Emissionsfaktoren[[#This Row],[2035]]/1000, 0)</f>
        <v>0</v>
      </c>
      <c r="V154" s="15">
        <f>IF(ISNUMBER(Klisz_Verbräuche[[#This Row],[2040]]), Klisz_Verbräuche[[#This Row],[2040]]*Emissionsfaktoren[[#This Row],[2040]]/1000, 0)</f>
        <v>0</v>
      </c>
      <c r="W154" s="15">
        <f>IF(ISNUMBER(Klisz_Verbräuche[[#This Row],[2045]]), Klisz_Verbräuche[[#This Row],[2045]]*Emissionsfaktoren[[#This Row],[2045]]/1000, 0)</f>
        <v>0</v>
      </c>
      <c r="X154" s="15">
        <f>IF(ISNUMBER(Klisz_Verbräuche[[#This Row],[2050]]), Klisz_Verbräuche[[#This Row],[2050]]*Emissionsfaktoren[[#This Row],[2050]]/1000, 0)</f>
        <v>0</v>
      </c>
    </row>
    <row r="155" spans="2:24" ht="16.5" hidden="1" x14ac:dyDescent="0.45">
      <c r="B155" s="15">
        <v>95</v>
      </c>
      <c r="C155" s="20" t="str">
        <f>Refsz_Verbräuche[[#This Row],[Datenpunkt]]</f>
        <v>Beamer</v>
      </c>
      <c r="D155" t="s">
        <v>208</v>
      </c>
      <c r="E155" s="15">
        <f>IF(ISNUMBER(Klisz_Verbräuche[[#This Row],[2015]]), Klisz_Verbräuche[[#This Row],[2015]]*Emissionsfaktoren[[#This Row],[2015]]/1000, 0)</f>
        <v>0</v>
      </c>
      <c r="F155" s="15">
        <f>IF(ISNUMBER(Klisz_Verbräuche[[#This Row],[2016]]), Klisz_Verbräuche[[#This Row],[2016]]*Emissionsfaktoren[[#This Row],[2016]]/1000, 0)</f>
        <v>0</v>
      </c>
      <c r="G155" s="15">
        <f>IF(ISNUMBER(Klisz_Verbräuche[[#This Row],[2017]]), Klisz_Verbräuche[[#This Row],[2017]]*Emissionsfaktoren[[#This Row],[2017]]/1000, 0)</f>
        <v>0</v>
      </c>
      <c r="H155" s="15">
        <f>IF(ISNUMBER(Klisz_Verbräuche[[#This Row],[2018]]), Klisz_Verbräuche[[#This Row],[2018]]*Emissionsfaktoren[[#This Row],[2018]]/1000, 0)</f>
        <v>0</v>
      </c>
      <c r="I155" s="15">
        <f>IF(ISNUMBER(Klisz_Verbräuche[[#This Row],[2019]]), Klisz_Verbräuche[[#This Row],[2019]]*Emissionsfaktoren[[#This Row],[2019]]/1000, 0)</f>
        <v>0</v>
      </c>
      <c r="J155" s="15">
        <f>IF(ISNUMBER(Klisz_Verbräuche[[#This Row],[2020]]), Klisz_Verbräuche[[#This Row],[2020]]*Emissionsfaktoren[[#This Row],[2020]]/1000, 0)</f>
        <v>0</v>
      </c>
      <c r="K155" s="15">
        <f>IF(ISNUMBER(Klisz_Verbräuche[[#This Row],[2021]]), Klisz_Verbräuche[[#This Row],[2021]]*Emissionsfaktoren[[#This Row],[2021]]/1000, 0)</f>
        <v>0</v>
      </c>
      <c r="L155" s="15">
        <f>IF(ISNUMBER(Klisz_Verbräuche[[#This Row],[2022]]), Klisz_Verbräuche[[#This Row],[2022]]*Emissionsfaktoren[[#This Row],[2022]]/1000, 0)</f>
        <v>0</v>
      </c>
      <c r="M155" s="15">
        <f>IF(ISNUMBER(Klisz_Verbräuche[[#This Row],[2023]]), Klisz_Verbräuche[[#This Row],[2023]]*Emissionsfaktoren[[#This Row],[2023]]/1000, 0)</f>
        <v>0</v>
      </c>
      <c r="N155" s="15">
        <f>IF(ISNUMBER(Klisz_Verbräuche[[#This Row],[2024]]), Klisz_Verbräuche[[#This Row],[2024]]*Emissionsfaktoren[[#This Row],[2024]]/1000, 0)</f>
        <v>0</v>
      </c>
      <c r="O155" s="15">
        <f>IF(ISNUMBER(Klisz_Verbräuche[[#This Row],[2025]]), Klisz_Verbräuche[[#This Row],[2025]]*Emissionsfaktoren[[#This Row],[2025]]/1000, 0)</f>
        <v>0</v>
      </c>
      <c r="P155" s="15">
        <f>IF(ISNUMBER(Klisz_Verbräuche[[#This Row],[2026]]), Klisz_Verbräuche[[#This Row],[2026]]*Emissionsfaktoren[[#This Row],[2026]]/1000, 0)</f>
        <v>0</v>
      </c>
      <c r="Q155" s="15">
        <f>IF(ISNUMBER(Klisz_Verbräuche[[#This Row],[2027]]), Klisz_Verbräuche[[#This Row],[2027]]*Emissionsfaktoren[[#This Row],[2027]]/1000, 0)</f>
        <v>0</v>
      </c>
      <c r="R155" s="15">
        <f>IF(ISNUMBER(Klisz_Verbräuche[[#This Row],[2028]]), Klisz_Verbräuche[[#This Row],[2028]]*Emissionsfaktoren[[#This Row],[2028]]/1000, 0)</f>
        <v>0</v>
      </c>
      <c r="S155" s="15">
        <f>IF(ISNUMBER(Klisz_Verbräuche[[#This Row],[2029]]), Klisz_Verbräuche[[#This Row],[2029]]*Emissionsfaktoren[[#This Row],[2029]]/1000, 0)</f>
        <v>0</v>
      </c>
      <c r="T155" s="15">
        <f>IF(ISNUMBER(Klisz_Verbräuche[[#This Row],[2030]]), Klisz_Verbräuche[[#This Row],[2030]]*Emissionsfaktoren[[#This Row],[2030]]/1000, 0)</f>
        <v>0</v>
      </c>
      <c r="U155" s="15">
        <f>IF(ISNUMBER(Klisz_Verbräuche[[#This Row],[2035]]), Klisz_Verbräuche[[#This Row],[2035]]*Emissionsfaktoren[[#This Row],[2035]]/1000, 0)</f>
        <v>0</v>
      </c>
      <c r="V155" s="15">
        <f>IF(ISNUMBER(Klisz_Verbräuche[[#This Row],[2040]]), Klisz_Verbräuche[[#This Row],[2040]]*Emissionsfaktoren[[#This Row],[2040]]/1000, 0)</f>
        <v>0</v>
      </c>
      <c r="W155" s="15">
        <f>IF(ISNUMBER(Klisz_Verbräuche[[#This Row],[2045]]), Klisz_Verbräuche[[#This Row],[2045]]*Emissionsfaktoren[[#This Row],[2045]]/1000, 0)</f>
        <v>0</v>
      </c>
      <c r="X155" s="15">
        <f>IF(ISNUMBER(Klisz_Verbräuche[[#This Row],[2050]]), Klisz_Verbräuche[[#This Row],[2050]]*Emissionsfaktoren[[#This Row],[2050]]/1000, 0)</f>
        <v>0</v>
      </c>
    </row>
    <row r="156" spans="2:24" ht="16.5" hidden="1" x14ac:dyDescent="0.45">
      <c r="B156" s="15">
        <v>96</v>
      </c>
      <c r="C156" s="20" t="str">
        <f>Refsz_Verbräuche[[#This Row],[Datenpunkt]]</f>
        <v>Notebook/Laptop</v>
      </c>
      <c r="D156" t="s">
        <v>208</v>
      </c>
      <c r="E156" s="15">
        <f>IF(ISNUMBER(Klisz_Verbräuche[[#This Row],[2015]]), Klisz_Verbräuche[[#This Row],[2015]]*Emissionsfaktoren[[#This Row],[2015]]/1000, 0)</f>
        <v>0</v>
      </c>
      <c r="F156" s="15">
        <f>IF(ISNUMBER(Klisz_Verbräuche[[#This Row],[2016]]), Klisz_Verbräuche[[#This Row],[2016]]*Emissionsfaktoren[[#This Row],[2016]]/1000, 0)</f>
        <v>0</v>
      </c>
      <c r="G156" s="15">
        <f>IF(ISNUMBER(Klisz_Verbräuche[[#This Row],[2017]]), Klisz_Verbräuche[[#This Row],[2017]]*Emissionsfaktoren[[#This Row],[2017]]/1000, 0)</f>
        <v>0</v>
      </c>
      <c r="H156" s="15">
        <f>IF(ISNUMBER(Klisz_Verbräuche[[#This Row],[2018]]), Klisz_Verbräuche[[#This Row],[2018]]*Emissionsfaktoren[[#This Row],[2018]]/1000, 0)</f>
        <v>0</v>
      </c>
      <c r="I156" s="15">
        <f>IF(ISNUMBER(Klisz_Verbräuche[[#This Row],[2019]]), Klisz_Verbräuche[[#This Row],[2019]]*Emissionsfaktoren[[#This Row],[2019]]/1000, 0)</f>
        <v>0</v>
      </c>
      <c r="J156" s="15">
        <f>IF(ISNUMBER(Klisz_Verbräuche[[#This Row],[2020]]), Klisz_Verbräuche[[#This Row],[2020]]*Emissionsfaktoren[[#This Row],[2020]]/1000, 0)</f>
        <v>0</v>
      </c>
      <c r="K156" s="15">
        <f>IF(ISNUMBER(Klisz_Verbräuche[[#This Row],[2021]]), Klisz_Verbräuche[[#This Row],[2021]]*Emissionsfaktoren[[#This Row],[2021]]/1000, 0)</f>
        <v>0</v>
      </c>
      <c r="L156" s="15">
        <f>IF(ISNUMBER(Klisz_Verbräuche[[#This Row],[2022]]), Klisz_Verbräuche[[#This Row],[2022]]*Emissionsfaktoren[[#This Row],[2022]]/1000, 0)</f>
        <v>0</v>
      </c>
      <c r="M156" s="15">
        <f>IF(ISNUMBER(Klisz_Verbräuche[[#This Row],[2023]]), Klisz_Verbräuche[[#This Row],[2023]]*Emissionsfaktoren[[#This Row],[2023]]/1000, 0)</f>
        <v>0</v>
      </c>
      <c r="N156" s="15">
        <f>IF(ISNUMBER(Klisz_Verbräuche[[#This Row],[2024]]), Klisz_Verbräuche[[#This Row],[2024]]*Emissionsfaktoren[[#This Row],[2024]]/1000, 0)</f>
        <v>0</v>
      </c>
      <c r="O156" s="15">
        <f>IF(ISNUMBER(Klisz_Verbräuche[[#This Row],[2025]]), Klisz_Verbräuche[[#This Row],[2025]]*Emissionsfaktoren[[#This Row],[2025]]/1000, 0)</f>
        <v>0</v>
      </c>
      <c r="P156" s="15">
        <f>IF(ISNUMBER(Klisz_Verbräuche[[#This Row],[2026]]), Klisz_Verbräuche[[#This Row],[2026]]*Emissionsfaktoren[[#This Row],[2026]]/1000, 0)</f>
        <v>0</v>
      </c>
      <c r="Q156" s="15">
        <f>IF(ISNUMBER(Klisz_Verbräuche[[#This Row],[2027]]), Klisz_Verbräuche[[#This Row],[2027]]*Emissionsfaktoren[[#This Row],[2027]]/1000, 0)</f>
        <v>0</v>
      </c>
      <c r="R156" s="15">
        <f>IF(ISNUMBER(Klisz_Verbräuche[[#This Row],[2028]]), Klisz_Verbräuche[[#This Row],[2028]]*Emissionsfaktoren[[#This Row],[2028]]/1000, 0)</f>
        <v>0</v>
      </c>
      <c r="S156" s="15">
        <f>IF(ISNUMBER(Klisz_Verbräuche[[#This Row],[2029]]), Klisz_Verbräuche[[#This Row],[2029]]*Emissionsfaktoren[[#This Row],[2029]]/1000, 0)</f>
        <v>0</v>
      </c>
      <c r="T156" s="15">
        <f>IF(ISNUMBER(Klisz_Verbräuche[[#This Row],[2030]]), Klisz_Verbräuche[[#This Row],[2030]]*Emissionsfaktoren[[#This Row],[2030]]/1000, 0)</f>
        <v>0</v>
      </c>
      <c r="U156" s="15">
        <f>IF(ISNUMBER(Klisz_Verbräuche[[#This Row],[2035]]), Klisz_Verbräuche[[#This Row],[2035]]*Emissionsfaktoren[[#This Row],[2035]]/1000, 0)</f>
        <v>0</v>
      </c>
      <c r="V156" s="15">
        <f>IF(ISNUMBER(Klisz_Verbräuche[[#This Row],[2040]]), Klisz_Verbräuche[[#This Row],[2040]]*Emissionsfaktoren[[#This Row],[2040]]/1000, 0)</f>
        <v>0</v>
      </c>
      <c r="W156" s="15">
        <f>IF(ISNUMBER(Klisz_Verbräuche[[#This Row],[2045]]), Klisz_Verbräuche[[#This Row],[2045]]*Emissionsfaktoren[[#This Row],[2045]]/1000, 0)</f>
        <v>0</v>
      </c>
      <c r="X156" s="15">
        <f>IF(ISNUMBER(Klisz_Verbräuche[[#This Row],[2050]]), Klisz_Verbräuche[[#This Row],[2050]]*Emissionsfaktoren[[#This Row],[2050]]/1000, 0)</f>
        <v>0</v>
      </c>
    </row>
    <row r="157" spans="2:24" ht="16.5" hidden="1" x14ac:dyDescent="0.45">
      <c r="B157" s="15">
        <v>97</v>
      </c>
      <c r="C157" s="20" t="str">
        <f>Refsz_Verbräuche[[#This Row],[Datenpunkt]]</f>
        <v>Desktop-PC mit Monitor</v>
      </c>
      <c r="D157" t="s">
        <v>208</v>
      </c>
      <c r="E157" s="15">
        <f>IF(ISNUMBER(Klisz_Verbräuche[[#This Row],[2015]]), Klisz_Verbräuche[[#This Row],[2015]]*Emissionsfaktoren[[#This Row],[2015]]/1000, 0)</f>
        <v>0</v>
      </c>
      <c r="F157" s="15">
        <f>IF(ISNUMBER(Klisz_Verbräuche[[#This Row],[2016]]), Klisz_Verbräuche[[#This Row],[2016]]*Emissionsfaktoren[[#This Row],[2016]]/1000, 0)</f>
        <v>0</v>
      </c>
      <c r="G157" s="15">
        <f>IF(ISNUMBER(Klisz_Verbräuche[[#This Row],[2017]]), Klisz_Verbräuche[[#This Row],[2017]]*Emissionsfaktoren[[#This Row],[2017]]/1000, 0)</f>
        <v>0</v>
      </c>
      <c r="H157" s="15">
        <f>IF(ISNUMBER(Klisz_Verbräuche[[#This Row],[2018]]), Klisz_Verbräuche[[#This Row],[2018]]*Emissionsfaktoren[[#This Row],[2018]]/1000, 0)</f>
        <v>0</v>
      </c>
      <c r="I157" s="15">
        <f>IF(ISNUMBER(Klisz_Verbräuche[[#This Row],[2019]]), Klisz_Verbräuche[[#This Row],[2019]]*Emissionsfaktoren[[#This Row],[2019]]/1000, 0)</f>
        <v>0</v>
      </c>
      <c r="J157" s="15">
        <f>IF(ISNUMBER(Klisz_Verbräuche[[#This Row],[2020]]), Klisz_Verbräuche[[#This Row],[2020]]*Emissionsfaktoren[[#This Row],[2020]]/1000, 0)</f>
        <v>0</v>
      </c>
      <c r="K157" s="15">
        <f>IF(ISNUMBER(Klisz_Verbräuche[[#This Row],[2021]]), Klisz_Verbräuche[[#This Row],[2021]]*Emissionsfaktoren[[#This Row],[2021]]/1000, 0)</f>
        <v>0</v>
      </c>
      <c r="L157" s="15">
        <f>IF(ISNUMBER(Klisz_Verbräuche[[#This Row],[2022]]), Klisz_Verbräuche[[#This Row],[2022]]*Emissionsfaktoren[[#This Row],[2022]]/1000, 0)</f>
        <v>0</v>
      </c>
      <c r="M157" s="15">
        <f>IF(ISNUMBER(Klisz_Verbräuche[[#This Row],[2023]]), Klisz_Verbräuche[[#This Row],[2023]]*Emissionsfaktoren[[#This Row],[2023]]/1000, 0)</f>
        <v>0</v>
      </c>
      <c r="N157" s="15">
        <f>IF(ISNUMBER(Klisz_Verbräuche[[#This Row],[2024]]), Klisz_Verbräuche[[#This Row],[2024]]*Emissionsfaktoren[[#This Row],[2024]]/1000, 0)</f>
        <v>0</v>
      </c>
      <c r="O157" s="15">
        <f>IF(ISNUMBER(Klisz_Verbräuche[[#This Row],[2025]]), Klisz_Verbräuche[[#This Row],[2025]]*Emissionsfaktoren[[#This Row],[2025]]/1000, 0)</f>
        <v>0</v>
      </c>
      <c r="P157" s="15">
        <f>IF(ISNUMBER(Klisz_Verbräuche[[#This Row],[2026]]), Klisz_Verbräuche[[#This Row],[2026]]*Emissionsfaktoren[[#This Row],[2026]]/1000, 0)</f>
        <v>0</v>
      </c>
      <c r="Q157" s="15">
        <f>IF(ISNUMBER(Klisz_Verbräuche[[#This Row],[2027]]), Klisz_Verbräuche[[#This Row],[2027]]*Emissionsfaktoren[[#This Row],[2027]]/1000, 0)</f>
        <v>0</v>
      </c>
      <c r="R157" s="15">
        <f>IF(ISNUMBER(Klisz_Verbräuche[[#This Row],[2028]]), Klisz_Verbräuche[[#This Row],[2028]]*Emissionsfaktoren[[#This Row],[2028]]/1000, 0)</f>
        <v>0</v>
      </c>
      <c r="S157" s="15">
        <f>IF(ISNUMBER(Klisz_Verbräuche[[#This Row],[2029]]), Klisz_Verbräuche[[#This Row],[2029]]*Emissionsfaktoren[[#This Row],[2029]]/1000, 0)</f>
        <v>0</v>
      </c>
      <c r="T157" s="15">
        <f>IF(ISNUMBER(Klisz_Verbräuche[[#This Row],[2030]]), Klisz_Verbräuche[[#This Row],[2030]]*Emissionsfaktoren[[#This Row],[2030]]/1000, 0)</f>
        <v>0</v>
      </c>
      <c r="U157" s="15">
        <f>IF(ISNUMBER(Klisz_Verbräuche[[#This Row],[2035]]), Klisz_Verbräuche[[#This Row],[2035]]*Emissionsfaktoren[[#This Row],[2035]]/1000, 0)</f>
        <v>0</v>
      </c>
      <c r="V157" s="15">
        <f>IF(ISNUMBER(Klisz_Verbräuche[[#This Row],[2040]]), Klisz_Verbräuche[[#This Row],[2040]]*Emissionsfaktoren[[#This Row],[2040]]/1000, 0)</f>
        <v>0</v>
      </c>
      <c r="W157" s="15">
        <f>IF(ISNUMBER(Klisz_Verbräuche[[#This Row],[2045]]), Klisz_Verbräuche[[#This Row],[2045]]*Emissionsfaktoren[[#This Row],[2045]]/1000, 0)</f>
        <v>0</v>
      </c>
      <c r="X157" s="15">
        <f>IF(ISNUMBER(Klisz_Verbräuche[[#This Row],[2050]]), Klisz_Verbräuche[[#This Row],[2050]]*Emissionsfaktoren[[#This Row],[2050]]/1000, 0)</f>
        <v>0</v>
      </c>
    </row>
    <row r="158" spans="2:24" ht="16.5" hidden="1" x14ac:dyDescent="0.45">
      <c r="B158" s="15">
        <v>98</v>
      </c>
      <c r="C158" s="20" t="str">
        <f>Refsz_Verbräuche[[#This Row],[Datenpunkt]]</f>
        <v>Docking-Station</v>
      </c>
      <c r="D158" t="s">
        <v>208</v>
      </c>
      <c r="E158" s="15">
        <f>IF(ISNUMBER(Klisz_Verbräuche[[#This Row],[2015]]), Klisz_Verbräuche[[#This Row],[2015]]*Emissionsfaktoren[[#This Row],[2015]]/1000, 0)</f>
        <v>0</v>
      </c>
      <c r="F158" s="15">
        <f>IF(ISNUMBER(Klisz_Verbräuche[[#This Row],[2016]]), Klisz_Verbräuche[[#This Row],[2016]]*Emissionsfaktoren[[#This Row],[2016]]/1000, 0)</f>
        <v>0</v>
      </c>
      <c r="G158" s="15">
        <f>IF(ISNUMBER(Klisz_Verbräuche[[#This Row],[2017]]), Klisz_Verbräuche[[#This Row],[2017]]*Emissionsfaktoren[[#This Row],[2017]]/1000, 0)</f>
        <v>0</v>
      </c>
      <c r="H158" s="15">
        <f>IF(ISNUMBER(Klisz_Verbräuche[[#This Row],[2018]]), Klisz_Verbräuche[[#This Row],[2018]]*Emissionsfaktoren[[#This Row],[2018]]/1000, 0)</f>
        <v>0</v>
      </c>
      <c r="I158" s="15">
        <f>IF(ISNUMBER(Klisz_Verbräuche[[#This Row],[2019]]), Klisz_Verbräuche[[#This Row],[2019]]*Emissionsfaktoren[[#This Row],[2019]]/1000, 0)</f>
        <v>0</v>
      </c>
      <c r="J158" s="15">
        <f>IF(ISNUMBER(Klisz_Verbräuche[[#This Row],[2020]]), Klisz_Verbräuche[[#This Row],[2020]]*Emissionsfaktoren[[#This Row],[2020]]/1000, 0)</f>
        <v>0</v>
      </c>
      <c r="K158" s="15">
        <f>IF(ISNUMBER(Klisz_Verbräuche[[#This Row],[2021]]), Klisz_Verbräuche[[#This Row],[2021]]*Emissionsfaktoren[[#This Row],[2021]]/1000, 0)</f>
        <v>0</v>
      </c>
      <c r="L158" s="15">
        <f>IF(ISNUMBER(Klisz_Verbräuche[[#This Row],[2022]]), Klisz_Verbräuche[[#This Row],[2022]]*Emissionsfaktoren[[#This Row],[2022]]/1000, 0)</f>
        <v>0</v>
      </c>
      <c r="M158" s="15">
        <f>IF(ISNUMBER(Klisz_Verbräuche[[#This Row],[2023]]), Klisz_Verbräuche[[#This Row],[2023]]*Emissionsfaktoren[[#This Row],[2023]]/1000, 0)</f>
        <v>0</v>
      </c>
      <c r="N158" s="15">
        <f>IF(ISNUMBER(Klisz_Verbräuche[[#This Row],[2024]]), Klisz_Verbräuche[[#This Row],[2024]]*Emissionsfaktoren[[#This Row],[2024]]/1000, 0)</f>
        <v>0</v>
      </c>
      <c r="O158" s="15">
        <f>IF(ISNUMBER(Klisz_Verbräuche[[#This Row],[2025]]), Klisz_Verbräuche[[#This Row],[2025]]*Emissionsfaktoren[[#This Row],[2025]]/1000, 0)</f>
        <v>0</v>
      </c>
      <c r="P158" s="15">
        <f>IF(ISNUMBER(Klisz_Verbräuche[[#This Row],[2026]]), Klisz_Verbräuche[[#This Row],[2026]]*Emissionsfaktoren[[#This Row],[2026]]/1000, 0)</f>
        <v>0</v>
      </c>
      <c r="Q158" s="15">
        <f>IF(ISNUMBER(Klisz_Verbräuche[[#This Row],[2027]]), Klisz_Verbräuche[[#This Row],[2027]]*Emissionsfaktoren[[#This Row],[2027]]/1000, 0)</f>
        <v>0</v>
      </c>
      <c r="R158" s="15">
        <f>IF(ISNUMBER(Klisz_Verbräuche[[#This Row],[2028]]), Klisz_Verbräuche[[#This Row],[2028]]*Emissionsfaktoren[[#This Row],[2028]]/1000, 0)</f>
        <v>0</v>
      </c>
      <c r="S158" s="15">
        <f>IF(ISNUMBER(Klisz_Verbräuche[[#This Row],[2029]]), Klisz_Verbräuche[[#This Row],[2029]]*Emissionsfaktoren[[#This Row],[2029]]/1000, 0)</f>
        <v>0</v>
      </c>
      <c r="T158" s="15">
        <f>IF(ISNUMBER(Klisz_Verbräuche[[#This Row],[2030]]), Klisz_Verbräuche[[#This Row],[2030]]*Emissionsfaktoren[[#This Row],[2030]]/1000, 0)</f>
        <v>0</v>
      </c>
      <c r="U158" s="15">
        <f>IF(ISNUMBER(Klisz_Verbräuche[[#This Row],[2035]]), Klisz_Verbräuche[[#This Row],[2035]]*Emissionsfaktoren[[#This Row],[2035]]/1000, 0)</f>
        <v>0</v>
      </c>
      <c r="V158" s="15">
        <f>IF(ISNUMBER(Klisz_Verbräuche[[#This Row],[2040]]), Klisz_Verbräuche[[#This Row],[2040]]*Emissionsfaktoren[[#This Row],[2040]]/1000, 0)</f>
        <v>0</v>
      </c>
      <c r="W158" s="15">
        <f>IF(ISNUMBER(Klisz_Verbräuche[[#This Row],[2045]]), Klisz_Verbräuche[[#This Row],[2045]]*Emissionsfaktoren[[#This Row],[2045]]/1000, 0)</f>
        <v>0</v>
      </c>
      <c r="X158" s="15">
        <f>IF(ISNUMBER(Klisz_Verbräuche[[#This Row],[2050]]), Klisz_Verbräuche[[#This Row],[2050]]*Emissionsfaktoren[[#This Row],[2050]]/1000, 0)</f>
        <v>0</v>
      </c>
    </row>
    <row r="159" spans="2:24" ht="16.5" hidden="1" x14ac:dyDescent="0.45">
      <c r="B159" s="15">
        <v>99</v>
      </c>
      <c r="C159" s="20" t="str">
        <f>Refsz_Verbräuche[[#This Row],[Datenpunkt]]</f>
        <v>Laserdrucker</v>
      </c>
      <c r="D159" t="s">
        <v>208</v>
      </c>
      <c r="E159" s="15">
        <f>IF(ISNUMBER(Klisz_Verbräuche[[#This Row],[2015]]), Klisz_Verbräuche[[#This Row],[2015]]*Emissionsfaktoren[[#This Row],[2015]]/1000, 0)</f>
        <v>0</v>
      </c>
      <c r="F159" s="15">
        <f>IF(ISNUMBER(Klisz_Verbräuche[[#This Row],[2016]]), Klisz_Verbräuche[[#This Row],[2016]]*Emissionsfaktoren[[#This Row],[2016]]/1000, 0)</f>
        <v>0</v>
      </c>
      <c r="G159" s="15">
        <f>IF(ISNUMBER(Klisz_Verbräuche[[#This Row],[2017]]), Klisz_Verbräuche[[#This Row],[2017]]*Emissionsfaktoren[[#This Row],[2017]]/1000, 0)</f>
        <v>0</v>
      </c>
      <c r="H159" s="15">
        <f>IF(ISNUMBER(Klisz_Verbräuche[[#This Row],[2018]]), Klisz_Verbräuche[[#This Row],[2018]]*Emissionsfaktoren[[#This Row],[2018]]/1000, 0)</f>
        <v>0</v>
      </c>
      <c r="I159" s="15">
        <f>IF(ISNUMBER(Klisz_Verbräuche[[#This Row],[2019]]), Klisz_Verbräuche[[#This Row],[2019]]*Emissionsfaktoren[[#This Row],[2019]]/1000, 0)</f>
        <v>0</v>
      </c>
      <c r="J159" s="15">
        <f>IF(ISNUMBER(Klisz_Verbräuche[[#This Row],[2020]]), Klisz_Verbräuche[[#This Row],[2020]]*Emissionsfaktoren[[#This Row],[2020]]/1000, 0)</f>
        <v>0</v>
      </c>
      <c r="K159" s="15">
        <f>IF(ISNUMBER(Klisz_Verbräuche[[#This Row],[2021]]), Klisz_Verbräuche[[#This Row],[2021]]*Emissionsfaktoren[[#This Row],[2021]]/1000, 0)</f>
        <v>0</v>
      </c>
      <c r="L159" s="15">
        <f>IF(ISNUMBER(Klisz_Verbräuche[[#This Row],[2022]]), Klisz_Verbräuche[[#This Row],[2022]]*Emissionsfaktoren[[#This Row],[2022]]/1000, 0)</f>
        <v>0</v>
      </c>
      <c r="M159" s="15">
        <f>IF(ISNUMBER(Klisz_Verbräuche[[#This Row],[2023]]), Klisz_Verbräuche[[#This Row],[2023]]*Emissionsfaktoren[[#This Row],[2023]]/1000, 0)</f>
        <v>0</v>
      </c>
      <c r="N159" s="15">
        <f>IF(ISNUMBER(Klisz_Verbräuche[[#This Row],[2024]]), Klisz_Verbräuche[[#This Row],[2024]]*Emissionsfaktoren[[#This Row],[2024]]/1000, 0)</f>
        <v>0</v>
      </c>
      <c r="O159" s="15">
        <f>IF(ISNUMBER(Klisz_Verbräuche[[#This Row],[2025]]), Klisz_Verbräuche[[#This Row],[2025]]*Emissionsfaktoren[[#This Row],[2025]]/1000, 0)</f>
        <v>0</v>
      </c>
      <c r="P159" s="15">
        <f>IF(ISNUMBER(Klisz_Verbräuche[[#This Row],[2026]]), Klisz_Verbräuche[[#This Row],[2026]]*Emissionsfaktoren[[#This Row],[2026]]/1000, 0)</f>
        <v>0</v>
      </c>
      <c r="Q159" s="15">
        <f>IF(ISNUMBER(Klisz_Verbräuche[[#This Row],[2027]]), Klisz_Verbräuche[[#This Row],[2027]]*Emissionsfaktoren[[#This Row],[2027]]/1000, 0)</f>
        <v>0</v>
      </c>
      <c r="R159" s="15">
        <f>IF(ISNUMBER(Klisz_Verbräuche[[#This Row],[2028]]), Klisz_Verbräuche[[#This Row],[2028]]*Emissionsfaktoren[[#This Row],[2028]]/1000, 0)</f>
        <v>0</v>
      </c>
      <c r="S159" s="15">
        <f>IF(ISNUMBER(Klisz_Verbräuche[[#This Row],[2029]]), Klisz_Verbräuche[[#This Row],[2029]]*Emissionsfaktoren[[#This Row],[2029]]/1000, 0)</f>
        <v>0</v>
      </c>
      <c r="T159" s="15">
        <f>IF(ISNUMBER(Klisz_Verbräuche[[#This Row],[2030]]), Klisz_Verbräuche[[#This Row],[2030]]*Emissionsfaktoren[[#This Row],[2030]]/1000, 0)</f>
        <v>0</v>
      </c>
      <c r="U159" s="15">
        <f>IF(ISNUMBER(Klisz_Verbräuche[[#This Row],[2035]]), Klisz_Verbräuche[[#This Row],[2035]]*Emissionsfaktoren[[#This Row],[2035]]/1000, 0)</f>
        <v>0</v>
      </c>
      <c r="V159" s="15">
        <f>IF(ISNUMBER(Klisz_Verbräuche[[#This Row],[2040]]), Klisz_Verbräuche[[#This Row],[2040]]*Emissionsfaktoren[[#This Row],[2040]]/1000, 0)</f>
        <v>0</v>
      </c>
      <c r="W159" s="15">
        <f>IF(ISNUMBER(Klisz_Verbräuche[[#This Row],[2045]]), Klisz_Verbräuche[[#This Row],[2045]]*Emissionsfaktoren[[#This Row],[2045]]/1000, 0)</f>
        <v>0</v>
      </c>
      <c r="X159" s="15">
        <f>IF(ISNUMBER(Klisz_Verbräuche[[#This Row],[2050]]), Klisz_Verbräuche[[#This Row],[2050]]*Emissionsfaktoren[[#This Row],[2050]]/1000, 0)</f>
        <v>0</v>
      </c>
    </row>
    <row r="160" spans="2:24" ht="16.5" hidden="1" x14ac:dyDescent="0.45">
      <c r="B160" s="15">
        <v>100</v>
      </c>
      <c r="C160" s="20" t="str">
        <f>Refsz_Verbräuche[[#This Row],[Datenpunkt]]</f>
        <v>Multifunktionsdrucker klein (31 x 44 x 42 cm)</v>
      </c>
      <c r="D160" t="s">
        <v>208</v>
      </c>
      <c r="E160" s="15">
        <f>IF(ISNUMBER(Klisz_Verbräuche[[#This Row],[2015]]), Klisz_Verbräuche[[#This Row],[2015]]*Emissionsfaktoren[[#This Row],[2015]]/1000, 0)</f>
        <v>0</v>
      </c>
      <c r="F160" s="15">
        <f>IF(ISNUMBER(Klisz_Verbräuche[[#This Row],[2016]]), Klisz_Verbräuche[[#This Row],[2016]]*Emissionsfaktoren[[#This Row],[2016]]/1000, 0)</f>
        <v>0</v>
      </c>
      <c r="G160" s="15">
        <f>IF(ISNUMBER(Klisz_Verbräuche[[#This Row],[2017]]), Klisz_Verbräuche[[#This Row],[2017]]*Emissionsfaktoren[[#This Row],[2017]]/1000, 0)</f>
        <v>0</v>
      </c>
      <c r="H160" s="15">
        <f>IF(ISNUMBER(Klisz_Verbräuche[[#This Row],[2018]]), Klisz_Verbräuche[[#This Row],[2018]]*Emissionsfaktoren[[#This Row],[2018]]/1000, 0)</f>
        <v>0</v>
      </c>
      <c r="I160" s="15">
        <f>IF(ISNUMBER(Klisz_Verbräuche[[#This Row],[2019]]), Klisz_Verbräuche[[#This Row],[2019]]*Emissionsfaktoren[[#This Row],[2019]]/1000, 0)</f>
        <v>0</v>
      </c>
      <c r="J160" s="15">
        <f>IF(ISNUMBER(Klisz_Verbräuche[[#This Row],[2020]]), Klisz_Verbräuche[[#This Row],[2020]]*Emissionsfaktoren[[#This Row],[2020]]/1000, 0)</f>
        <v>0</v>
      </c>
      <c r="K160" s="15">
        <f>IF(ISNUMBER(Klisz_Verbräuche[[#This Row],[2021]]), Klisz_Verbräuche[[#This Row],[2021]]*Emissionsfaktoren[[#This Row],[2021]]/1000, 0)</f>
        <v>0</v>
      </c>
      <c r="L160" s="15">
        <f>IF(ISNUMBER(Klisz_Verbräuche[[#This Row],[2022]]), Klisz_Verbräuche[[#This Row],[2022]]*Emissionsfaktoren[[#This Row],[2022]]/1000, 0)</f>
        <v>0</v>
      </c>
      <c r="M160" s="15">
        <f>IF(ISNUMBER(Klisz_Verbräuche[[#This Row],[2023]]), Klisz_Verbräuche[[#This Row],[2023]]*Emissionsfaktoren[[#This Row],[2023]]/1000, 0)</f>
        <v>0</v>
      </c>
      <c r="N160" s="15">
        <f>IF(ISNUMBER(Klisz_Verbräuche[[#This Row],[2024]]), Klisz_Verbräuche[[#This Row],[2024]]*Emissionsfaktoren[[#This Row],[2024]]/1000, 0)</f>
        <v>0</v>
      </c>
      <c r="O160" s="15">
        <f>IF(ISNUMBER(Klisz_Verbräuche[[#This Row],[2025]]), Klisz_Verbräuche[[#This Row],[2025]]*Emissionsfaktoren[[#This Row],[2025]]/1000, 0)</f>
        <v>0</v>
      </c>
      <c r="P160" s="15">
        <f>IF(ISNUMBER(Klisz_Verbräuche[[#This Row],[2026]]), Klisz_Verbräuche[[#This Row],[2026]]*Emissionsfaktoren[[#This Row],[2026]]/1000, 0)</f>
        <v>0</v>
      </c>
      <c r="Q160" s="15">
        <f>IF(ISNUMBER(Klisz_Verbräuche[[#This Row],[2027]]), Klisz_Verbräuche[[#This Row],[2027]]*Emissionsfaktoren[[#This Row],[2027]]/1000, 0)</f>
        <v>0</v>
      </c>
      <c r="R160" s="15">
        <f>IF(ISNUMBER(Klisz_Verbräuche[[#This Row],[2028]]), Klisz_Verbräuche[[#This Row],[2028]]*Emissionsfaktoren[[#This Row],[2028]]/1000, 0)</f>
        <v>0</v>
      </c>
      <c r="S160" s="15">
        <f>IF(ISNUMBER(Klisz_Verbräuche[[#This Row],[2029]]), Klisz_Verbräuche[[#This Row],[2029]]*Emissionsfaktoren[[#This Row],[2029]]/1000, 0)</f>
        <v>0</v>
      </c>
      <c r="T160" s="15">
        <f>IF(ISNUMBER(Klisz_Verbräuche[[#This Row],[2030]]), Klisz_Verbräuche[[#This Row],[2030]]*Emissionsfaktoren[[#This Row],[2030]]/1000, 0)</f>
        <v>0</v>
      </c>
      <c r="U160" s="15">
        <f>IF(ISNUMBER(Klisz_Verbräuche[[#This Row],[2035]]), Klisz_Verbräuche[[#This Row],[2035]]*Emissionsfaktoren[[#This Row],[2035]]/1000, 0)</f>
        <v>0</v>
      </c>
      <c r="V160" s="15">
        <f>IF(ISNUMBER(Klisz_Verbräuche[[#This Row],[2040]]), Klisz_Verbräuche[[#This Row],[2040]]*Emissionsfaktoren[[#This Row],[2040]]/1000, 0)</f>
        <v>0</v>
      </c>
      <c r="W160" s="15">
        <f>IF(ISNUMBER(Klisz_Verbräuche[[#This Row],[2045]]), Klisz_Verbräuche[[#This Row],[2045]]*Emissionsfaktoren[[#This Row],[2045]]/1000, 0)</f>
        <v>0</v>
      </c>
      <c r="X160" s="15">
        <f>IF(ISNUMBER(Klisz_Verbräuche[[#This Row],[2050]]), Klisz_Verbräuche[[#This Row],[2050]]*Emissionsfaktoren[[#This Row],[2050]]/1000, 0)</f>
        <v>0</v>
      </c>
    </row>
    <row r="161" spans="2:24" ht="16.5" hidden="1" x14ac:dyDescent="0.45">
      <c r="B161" s="15">
        <v>101</v>
      </c>
      <c r="C161" s="20" t="str">
        <f>Refsz_Verbräuche[[#This Row],[Datenpunkt]]</f>
        <v>Multifunktionsdrucker mittel (54 x 56 x 52 cm)</v>
      </c>
      <c r="D161" t="s">
        <v>208</v>
      </c>
      <c r="E161" s="15">
        <f>IF(ISNUMBER(Klisz_Verbräuche[[#This Row],[2015]]), Klisz_Verbräuche[[#This Row],[2015]]*Emissionsfaktoren[[#This Row],[2015]]/1000, 0)</f>
        <v>0</v>
      </c>
      <c r="F161" s="15">
        <f>IF(ISNUMBER(Klisz_Verbräuche[[#This Row],[2016]]), Klisz_Verbräuche[[#This Row],[2016]]*Emissionsfaktoren[[#This Row],[2016]]/1000, 0)</f>
        <v>0</v>
      </c>
      <c r="G161" s="15">
        <f>IF(ISNUMBER(Klisz_Verbräuche[[#This Row],[2017]]), Klisz_Verbräuche[[#This Row],[2017]]*Emissionsfaktoren[[#This Row],[2017]]/1000, 0)</f>
        <v>0</v>
      </c>
      <c r="H161" s="15">
        <f>IF(ISNUMBER(Klisz_Verbräuche[[#This Row],[2018]]), Klisz_Verbräuche[[#This Row],[2018]]*Emissionsfaktoren[[#This Row],[2018]]/1000, 0)</f>
        <v>0</v>
      </c>
      <c r="I161" s="15">
        <f>IF(ISNUMBER(Klisz_Verbräuche[[#This Row],[2019]]), Klisz_Verbräuche[[#This Row],[2019]]*Emissionsfaktoren[[#This Row],[2019]]/1000, 0)</f>
        <v>0</v>
      </c>
      <c r="J161" s="15">
        <f>IF(ISNUMBER(Klisz_Verbräuche[[#This Row],[2020]]), Klisz_Verbräuche[[#This Row],[2020]]*Emissionsfaktoren[[#This Row],[2020]]/1000, 0)</f>
        <v>0</v>
      </c>
      <c r="K161" s="15">
        <f>IF(ISNUMBER(Klisz_Verbräuche[[#This Row],[2021]]), Klisz_Verbräuche[[#This Row],[2021]]*Emissionsfaktoren[[#This Row],[2021]]/1000, 0)</f>
        <v>0</v>
      </c>
      <c r="L161" s="15">
        <f>IF(ISNUMBER(Klisz_Verbräuche[[#This Row],[2022]]), Klisz_Verbräuche[[#This Row],[2022]]*Emissionsfaktoren[[#This Row],[2022]]/1000, 0)</f>
        <v>0</v>
      </c>
      <c r="M161" s="15">
        <f>IF(ISNUMBER(Klisz_Verbräuche[[#This Row],[2023]]), Klisz_Verbräuche[[#This Row],[2023]]*Emissionsfaktoren[[#This Row],[2023]]/1000, 0)</f>
        <v>0</v>
      </c>
      <c r="N161" s="15">
        <f>IF(ISNUMBER(Klisz_Verbräuche[[#This Row],[2024]]), Klisz_Verbräuche[[#This Row],[2024]]*Emissionsfaktoren[[#This Row],[2024]]/1000, 0)</f>
        <v>0</v>
      </c>
      <c r="O161" s="15">
        <f>IF(ISNUMBER(Klisz_Verbräuche[[#This Row],[2025]]), Klisz_Verbräuche[[#This Row],[2025]]*Emissionsfaktoren[[#This Row],[2025]]/1000, 0)</f>
        <v>0</v>
      </c>
      <c r="P161" s="15">
        <f>IF(ISNUMBER(Klisz_Verbräuche[[#This Row],[2026]]), Klisz_Verbräuche[[#This Row],[2026]]*Emissionsfaktoren[[#This Row],[2026]]/1000, 0)</f>
        <v>0</v>
      </c>
      <c r="Q161" s="15">
        <f>IF(ISNUMBER(Klisz_Verbräuche[[#This Row],[2027]]), Klisz_Verbräuche[[#This Row],[2027]]*Emissionsfaktoren[[#This Row],[2027]]/1000, 0)</f>
        <v>0</v>
      </c>
      <c r="R161" s="15">
        <f>IF(ISNUMBER(Klisz_Verbräuche[[#This Row],[2028]]), Klisz_Verbräuche[[#This Row],[2028]]*Emissionsfaktoren[[#This Row],[2028]]/1000, 0)</f>
        <v>0</v>
      </c>
      <c r="S161" s="15">
        <f>IF(ISNUMBER(Klisz_Verbräuche[[#This Row],[2029]]), Klisz_Verbräuche[[#This Row],[2029]]*Emissionsfaktoren[[#This Row],[2029]]/1000, 0)</f>
        <v>0</v>
      </c>
      <c r="T161" s="15">
        <f>IF(ISNUMBER(Klisz_Verbräuche[[#This Row],[2030]]), Klisz_Verbräuche[[#This Row],[2030]]*Emissionsfaktoren[[#This Row],[2030]]/1000, 0)</f>
        <v>0</v>
      </c>
      <c r="U161" s="15">
        <f>IF(ISNUMBER(Klisz_Verbräuche[[#This Row],[2035]]), Klisz_Verbräuche[[#This Row],[2035]]*Emissionsfaktoren[[#This Row],[2035]]/1000, 0)</f>
        <v>0</v>
      </c>
      <c r="V161" s="15">
        <f>IF(ISNUMBER(Klisz_Verbräuche[[#This Row],[2040]]), Klisz_Verbräuche[[#This Row],[2040]]*Emissionsfaktoren[[#This Row],[2040]]/1000, 0)</f>
        <v>0</v>
      </c>
      <c r="W161" s="15">
        <f>IF(ISNUMBER(Klisz_Verbräuche[[#This Row],[2045]]), Klisz_Verbräuche[[#This Row],[2045]]*Emissionsfaktoren[[#This Row],[2045]]/1000, 0)</f>
        <v>0</v>
      </c>
      <c r="X161" s="15">
        <f>IF(ISNUMBER(Klisz_Verbräuche[[#This Row],[2050]]), Klisz_Verbräuche[[#This Row],[2050]]*Emissionsfaktoren[[#This Row],[2050]]/1000, 0)</f>
        <v>0</v>
      </c>
    </row>
    <row r="162" spans="2:24" ht="16.5" hidden="1" x14ac:dyDescent="0.45">
      <c r="B162" s="15">
        <v>102</v>
      </c>
      <c r="C162" s="20" t="str">
        <f>Refsz_Verbräuche[[#This Row],[Datenpunkt]]</f>
        <v>Multifunktionsdrucker groß (114 x 65 x 59 cm)</v>
      </c>
      <c r="D162" t="s">
        <v>208</v>
      </c>
      <c r="E162" s="15">
        <f>IF(ISNUMBER(Klisz_Verbräuche[[#This Row],[2015]]), Klisz_Verbräuche[[#This Row],[2015]]*Emissionsfaktoren[[#This Row],[2015]]/1000, 0)</f>
        <v>0</v>
      </c>
      <c r="F162" s="15">
        <f>IF(ISNUMBER(Klisz_Verbräuche[[#This Row],[2016]]), Klisz_Verbräuche[[#This Row],[2016]]*Emissionsfaktoren[[#This Row],[2016]]/1000, 0)</f>
        <v>0</v>
      </c>
      <c r="G162" s="15">
        <f>IF(ISNUMBER(Klisz_Verbräuche[[#This Row],[2017]]), Klisz_Verbräuche[[#This Row],[2017]]*Emissionsfaktoren[[#This Row],[2017]]/1000, 0)</f>
        <v>0</v>
      </c>
      <c r="H162" s="15">
        <f>IF(ISNUMBER(Klisz_Verbräuche[[#This Row],[2018]]), Klisz_Verbräuche[[#This Row],[2018]]*Emissionsfaktoren[[#This Row],[2018]]/1000, 0)</f>
        <v>0</v>
      </c>
      <c r="I162" s="15">
        <f>IF(ISNUMBER(Klisz_Verbräuche[[#This Row],[2019]]), Klisz_Verbräuche[[#This Row],[2019]]*Emissionsfaktoren[[#This Row],[2019]]/1000, 0)</f>
        <v>0</v>
      </c>
      <c r="J162" s="15">
        <f>IF(ISNUMBER(Klisz_Verbräuche[[#This Row],[2020]]), Klisz_Verbräuche[[#This Row],[2020]]*Emissionsfaktoren[[#This Row],[2020]]/1000, 0)</f>
        <v>0</v>
      </c>
      <c r="K162" s="15">
        <f>IF(ISNUMBER(Klisz_Verbräuche[[#This Row],[2021]]), Klisz_Verbräuche[[#This Row],[2021]]*Emissionsfaktoren[[#This Row],[2021]]/1000, 0)</f>
        <v>0</v>
      </c>
      <c r="L162" s="15">
        <f>IF(ISNUMBER(Klisz_Verbräuche[[#This Row],[2022]]), Klisz_Verbräuche[[#This Row],[2022]]*Emissionsfaktoren[[#This Row],[2022]]/1000, 0)</f>
        <v>0</v>
      </c>
      <c r="M162" s="15">
        <f>IF(ISNUMBER(Klisz_Verbräuche[[#This Row],[2023]]), Klisz_Verbräuche[[#This Row],[2023]]*Emissionsfaktoren[[#This Row],[2023]]/1000, 0)</f>
        <v>0</v>
      </c>
      <c r="N162" s="15">
        <f>IF(ISNUMBER(Klisz_Verbräuche[[#This Row],[2024]]), Klisz_Verbräuche[[#This Row],[2024]]*Emissionsfaktoren[[#This Row],[2024]]/1000, 0)</f>
        <v>0</v>
      </c>
      <c r="O162" s="15">
        <f>IF(ISNUMBER(Klisz_Verbräuche[[#This Row],[2025]]), Klisz_Verbräuche[[#This Row],[2025]]*Emissionsfaktoren[[#This Row],[2025]]/1000, 0)</f>
        <v>0</v>
      </c>
      <c r="P162" s="15">
        <f>IF(ISNUMBER(Klisz_Verbräuche[[#This Row],[2026]]), Klisz_Verbräuche[[#This Row],[2026]]*Emissionsfaktoren[[#This Row],[2026]]/1000, 0)</f>
        <v>0</v>
      </c>
      <c r="Q162" s="15">
        <f>IF(ISNUMBER(Klisz_Verbräuche[[#This Row],[2027]]), Klisz_Verbräuche[[#This Row],[2027]]*Emissionsfaktoren[[#This Row],[2027]]/1000, 0)</f>
        <v>0</v>
      </c>
      <c r="R162" s="15">
        <f>IF(ISNUMBER(Klisz_Verbräuche[[#This Row],[2028]]), Klisz_Verbräuche[[#This Row],[2028]]*Emissionsfaktoren[[#This Row],[2028]]/1000, 0)</f>
        <v>0</v>
      </c>
      <c r="S162" s="15">
        <f>IF(ISNUMBER(Klisz_Verbräuche[[#This Row],[2029]]), Klisz_Verbräuche[[#This Row],[2029]]*Emissionsfaktoren[[#This Row],[2029]]/1000, 0)</f>
        <v>0</v>
      </c>
      <c r="T162" s="15">
        <f>IF(ISNUMBER(Klisz_Verbräuche[[#This Row],[2030]]), Klisz_Verbräuche[[#This Row],[2030]]*Emissionsfaktoren[[#This Row],[2030]]/1000, 0)</f>
        <v>0</v>
      </c>
      <c r="U162" s="15">
        <f>IF(ISNUMBER(Klisz_Verbräuche[[#This Row],[2035]]), Klisz_Verbräuche[[#This Row],[2035]]*Emissionsfaktoren[[#This Row],[2035]]/1000, 0)</f>
        <v>0</v>
      </c>
      <c r="V162" s="15">
        <f>IF(ISNUMBER(Klisz_Verbräuche[[#This Row],[2040]]), Klisz_Verbräuche[[#This Row],[2040]]*Emissionsfaktoren[[#This Row],[2040]]/1000, 0)</f>
        <v>0</v>
      </c>
      <c r="W162" s="15">
        <f>IF(ISNUMBER(Klisz_Verbräuche[[#This Row],[2045]]), Klisz_Verbräuche[[#This Row],[2045]]*Emissionsfaktoren[[#This Row],[2045]]/1000, 0)</f>
        <v>0</v>
      </c>
      <c r="X162" s="15">
        <f>IF(ISNUMBER(Klisz_Verbräuche[[#This Row],[2050]]), Klisz_Verbräuche[[#This Row],[2050]]*Emissionsfaktoren[[#This Row],[2050]]/1000, 0)</f>
        <v>0</v>
      </c>
    </row>
    <row r="163" spans="2:24" ht="16.5" hidden="1" x14ac:dyDescent="0.45">
      <c r="B163" s="15">
        <v>103</v>
      </c>
      <c r="C163" s="20" t="str">
        <f>Refsz_Verbräuche[[#This Row],[Datenpunkt]]</f>
        <v>Toner</v>
      </c>
      <c r="D163" t="s">
        <v>208</v>
      </c>
      <c r="E163" s="15">
        <f>IF(ISNUMBER(Klisz_Verbräuche[[#This Row],[2015]]), Klisz_Verbräuche[[#This Row],[2015]]*Emissionsfaktoren[[#This Row],[2015]]/1000, 0)</f>
        <v>0</v>
      </c>
      <c r="F163" s="15">
        <f>IF(ISNUMBER(Klisz_Verbräuche[[#This Row],[2016]]), Klisz_Verbräuche[[#This Row],[2016]]*Emissionsfaktoren[[#This Row],[2016]]/1000, 0)</f>
        <v>0</v>
      </c>
      <c r="G163" s="15">
        <f>IF(ISNUMBER(Klisz_Verbräuche[[#This Row],[2017]]), Klisz_Verbräuche[[#This Row],[2017]]*Emissionsfaktoren[[#This Row],[2017]]/1000, 0)</f>
        <v>0</v>
      </c>
      <c r="H163" s="15">
        <f>IF(ISNUMBER(Klisz_Verbräuche[[#This Row],[2018]]), Klisz_Verbräuche[[#This Row],[2018]]*Emissionsfaktoren[[#This Row],[2018]]/1000, 0)</f>
        <v>0</v>
      </c>
      <c r="I163" s="15">
        <f>IF(ISNUMBER(Klisz_Verbräuche[[#This Row],[2019]]), Klisz_Verbräuche[[#This Row],[2019]]*Emissionsfaktoren[[#This Row],[2019]]/1000, 0)</f>
        <v>0</v>
      </c>
      <c r="J163" s="15">
        <f>IF(ISNUMBER(Klisz_Verbräuche[[#This Row],[2020]]), Klisz_Verbräuche[[#This Row],[2020]]*Emissionsfaktoren[[#This Row],[2020]]/1000, 0)</f>
        <v>0</v>
      </c>
      <c r="K163" s="15">
        <f>IF(ISNUMBER(Klisz_Verbräuche[[#This Row],[2021]]), Klisz_Verbräuche[[#This Row],[2021]]*Emissionsfaktoren[[#This Row],[2021]]/1000, 0)</f>
        <v>0</v>
      </c>
      <c r="L163" s="15">
        <f>IF(ISNUMBER(Klisz_Verbräuche[[#This Row],[2022]]), Klisz_Verbräuche[[#This Row],[2022]]*Emissionsfaktoren[[#This Row],[2022]]/1000, 0)</f>
        <v>0</v>
      </c>
      <c r="M163" s="15">
        <f>IF(ISNUMBER(Klisz_Verbräuche[[#This Row],[2023]]), Klisz_Verbräuche[[#This Row],[2023]]*Emissionsfaktoren[[#This Row],[2023]]/1000, 0)</f>
        <v>0</v>
      </c>
      <c r="N163" s="15">
        <f>IF(ISNUMBER(Klisz_Verbräuche[[#This Row],[2024]]), Klisz_Verbräuche[[#This Row],[2024]]*Emissionsfaktoren[[#This Row],[2024]]/1000, 0)</f>
        <v>0</v>
      </c>
      <c r="O163" s="15">
        <f>IF(ISNUMBER(Klisz_Verbräuche[[#This Row],[2025]]), Klisz_Verbräuche[[#This Row],[2025]]*Emissionsfaktoren[[#This Row],[2025]]/1000, 0)</f>
        <v>0</v>
      </c>
      <c r="P163" s="15">
        <f>IF(ISNUMBER(Klisz_Verbräuche[[#This Row],[2026]]), Klisz_Verbräuche[[#This Row],[2026]]*Emissionsfaktoren[[#This Row],[2026]]/1000, 0)</f>
        <v>0</v>
      </c>
      <c r="Q163" s="15">
        <f>IF(ISNUMBER(Klisz_Verbräuche[[#This Row],[2027]]), Klisz_Verbräuche[[#This Row],[2027]]*Emissionsfaktoren[[#This Row],[2027]]/1000, 0)</f>
        <v>0</v>
      </c>
      <c r="R163" s="15">
        <f>IF(ISNUMBER(Klisz_Verbräuche[[#This Row],[2028]]), Klisz_Verbräuche[[#This Row],[2028]]*Emissionsfaktoren[[#This Row],[2028]]/1000, 0)</f>
        <v>0</v>
      </c>
      <c r="S163" s="15">
        <f>IF(ISNUMBER(Klisz_Verbräuche[[#This Row],[2029]]), Klisz_Verbräuche[[#This Row],[2029]]*Emissionsfaktoren[[#This Row],[2029]]/1000, 0)</f>
        <v>0</v>
      </c>
      <c r="T163" s="15">
        <f>IF(ISNUMBER(Klisz_Verbräuche[[#This Row],[2030]]), Klisz_Verbräuche[[#This Row],[2030]]*Emissionsfaktoren[[#This Row],[2030]]/1000, 0)</f>
        <v>0</v>
      </c>
      <c r="U163" s="15">
        <f>IF(ISNUMBER(Klisz_Verbräuche[[#This Row],[2035]]), Klisz_Verbräuche[[#This Row],[2035]]*Emissionsfaktoren[[#This Row],[2035]]/1000, 0)</f>
        <v>0</v>
      </c>
      <c r="V163" s="15">
        <f>IF(ISNUMBER(Klisz_Verbräuche[[#This Row],[2040]]), Klisz_Verbräuche[[#This Row],[2040]]*Emissionsfaktoren[[#This Row],[2040]]/1000, 0)</f>
        <v>0</v>
      </c>
      <c r="W163" s="15">
        <f>IF(ISNUMBER(Klisz_Verbräuche[[#This Row],[2045]]), Klisz_Verbräuche[[#This Row],[2045]]*Emissionsfaktoren[[#This Row],[2045]]/1000, 0)</f>
        <v>0</v>
      </c>
      <c r="X163" s="15">
        <f>IF(ISNUMBER(Klisz_Verbräuche[[#This Row],[2050]]), Klisz_Verbräuche[[#This Row],[2050]]*Emissionsfaktoren[[#This Row],[2050]]/1000, 0)</f>
        <v>0</v>
      </c>
    </row>
    <row r="164" spans="2:24" ht="16.5" hidden="1" x14ac:dyDescent="0.45">
      <c r="B164" s="15">
        <v>104</v>
      </c>
      <c r="C164" s="20">
        <f>Refsz_Verbräuche[[#This Row],[Datenpunkt]]</f>
        <v>0</v>
      </c>
      <c r="D164" t="s">
        <v>208</v>
      </c>
      <c r="E164" s="15">
        <f>IF(ISNUMBER(Klisz_Verbräuche[[#This Row],[2015]]), Klisz_Verbräuche[[#This Row],[2015]]*Emissionsfaktoren[[#This Row],[2015]]/1000, 0)</f>
        <v>0</v>
      </c>
      <c r="F164" s="15">
        <f>IF(ISNUMBER(Klisz_Verbräuche[[#This Row],[2016]]), Klisz_Verbräuche[[#This Row],[2016]]*Emissionsfaktoren[[#This Row],[2016]]/1000, 0)</f>
        <v>0</v>
      </c>
      <c r="G164" s="15">
        <f>IF(ISNUMBER(Klisz_Verbräuche[[#This Row],[2017]]), Klisz_Verbräuche[[#This Row],[2017]]*Emissionsfaktoren[[#This Row],[2017]]/1000, 0)</f>
        <v>0</v>
      </c>
      <c r="H164" s="15">
        <f>IF(ISNUMBER(Klisz_Verbräuche[[#This Row],[2018]]), Klisz_Verbräuche[[#This Row],[2018]]*Emissionsfaktoren[[#This Row],[2018]]/1000, 0)</f>
        <v>0</v>
      </c>
      <c r="I164" s="15">
        <f>IF(ISNUMBER(Klisz_Verbräuche[[#This Row],[2019]]), Klisz_Verbräuche[[#This Row],[2019]]*Emissionsfaktoren[[#This Row],[2019]]/1000, 0)</f>
        <v>0</v>
      </c>
      <c r="J164" s="15">
        <f>IF(ISNUMBER(Klisz_Verbräuche[[#This Row],[2020]]), Klisz_Verbräuche[[#This Row],[2020]]*Emissionsfaktoren[[#This Row],[2020]]/1000, 0)</f>
        <v>0</v>
      </c>
      <c r="K164" s="15">
        <f>IF(ISNUMBER(Klisz_Verbräuche[[#This Row],[2021]]), Klisz_Verbräuche[[#This Row],[2021]]*Emissionsfaktoren[[#This Row],[2021]]/1000, 0)</f>
        <v>0</v>
      </c>
      <c r="L164" s="15">
        <f>IF(ISNUMBER(Klisz_Verbräuche[[#This Row],[2022]]), Klisz_Verbräuche[[#This Row],[2022]]*Emissionsfaktoren[[#This Row],[2022]]/1000, 0)</f>
        <v>0</v>
      </c>
      <c r="M164" s="15">
        <f>IF(ISNUMBER(Klisz_Verbräuche[[#This Row],[2023]]), Klisz_Verbräuche[[#This Row],[2023]]*Emissionsfaktoren[[#This Row],[2023]]/1000, 0)</f>
        <v>0</v>
      </c>
      <c r="N164" s="15">
        <f>IF(ISNUMBER(Klisz_Verbräuche[[#This Row],[2024]]), Klisz_Verbräuche[[#This Row],[2024]]*Emissionsfaktoren[[#This Row],[2024]]/1000, 0)</f>
        <v>0</v>
      </c>
      <c r="O164" s="15">
        <f>IF(ISNUMBER(Klisz_Verbräuche[[#This Row],[2025]]), Klisz_Verbräuche[[#This Row],[2025]]*Emissionsfaktoren[[#This Row],[2025]]/1000, 0)</f>
        <v>0</v>
      </c>
      <c r="P164" s="15">
        <f>IF(ISNUMBER(Klisz_Verbräuche[[#This Row],[2026]]), Klisz_Verbräuche[[#This Row],[2026]]*Emissionsfaktoren[[#This Row],[2026]]/1000, 0)</f>
        <v>0</v>
      </c>
      <c r="Q164" s="15">
        <f>IF(ISNUMBER(Klisz_Verbräuche[[#This Row],[2027]]), Klisz_Verbräuche[[#This Row],[2027]]*Emissionsfaktoren[[#This Row],[2027]]/1000, 0)</f>
        <v>0</v>
      </c>
      <c r="R164" s="15">
        <f>IF(ISNUMBER(Klisz_Verbräuche[[#This Row],[2028]]), Klisz_Verbräuche[[#This Row],[2028]]*Emissionsfaktoren[[#This Row],[2028]]/1000, 0)</f>
        <v>0</v>
      </c>
      <c r="S164" s="15">
        <f>IF(ISNUMBER(Klisz_Verbräuche[[#This Row],[2029]]), Klisz_Verbräuche[[#This Row],[2029]]*Emissionsfaktoren[[#This Row],[2029]]/1000, 0)</f>
        <v>0</v>
      </c>
      <c r="T164" s="15">
        <f>IF(ISNUMBER(Klisz_Verbräuche[[#This Row],[2030]]), Klisz_Verbräuche[[#This Row],[2030]]*Emissionsfaktoren[[#This Row],[2030]]/1000, 0)</f>
        <v>0</v>
      </c>
      <c r="U164" s="15">
        <f>IF(ISNUMBER(Klisz_Verbräuche[[#This Row],[2035]]), Klisz_Verbräuche[[#This Row],[2035]]*Emissionsfaktoren[[#This Row],[2035]]/1000, 0)</f>
        <v>0</v>
      </c>
      <c r="V164" s="15">
        <f>IF(ISNUMBER(Klisz_Verbräuche[[#This Row],[2040]]), Klisz_Verbräuche[[#This Row],[2040]]*Emissionsfaktoren[[#This Row],[2040]]/1000, 0)</f>
        <v>0</v>
      </c>
      <c r="W164" s="15">
        <f>IF(ISNUMBER(Klisz_Verbräuche[[#This Row],[2045]]), Klisz_Verbräuche[[#This Row],[2045]]*Emissionsfaktoren[[#This Row],[2045]]/1000, 0)</f>
        <v>0</v>
      </c>
      <c r="X164" s="15">
        <f>IF(ISNUMBER(Klisz_Verbräuche[[#This Row],[2050]]), Klisz_Verbräuche[[#This Row],[2050]]*Emissionsfaktoren[[#This Row],[2050]]/1000, 0)</f>
        <v>0</v>
      </c>
    </row>
    <row r="165" spans="2:24" ht="16.5" hidden="1" x14ac:dyDescent="0.45">
      <c r="B165" s="15">
        <v>105</v>
      </c>
      <c r="C165" s="20" t="str">
        <f>Refsz_Verbräuche[[#This Row],[Datenpunkt]]</f>
        <v>Bioabfall, Grünschnitt (Kompostierung)</v>
      </c>
      <c r="D165" t="s">
        <v>208</v>
      </c>
      <c r="E165" s="15">
        <f>IF(ISNUMBER(Klisz_Verbräuche[[#This Row],[2015]]), Klisz_Verbräuche[[#This Row],[2015]]*Emissionsfaktoren[[#This Row],[2015]]/1000, 0)</f>
        <v>0</v>
      </c>
      <c r="F165" s="15">
        <f>IF(ISNUMBER(Klisz_Verbräuche[[#This Row],[2016]]), Klisz_Verbräuche[[#This Row],[2016]]*Emissionsfaktoren[[#This Row],[2016]]/1000, 0)</f>
        <v>0</v>
      </c>
      <c r="G165" s="15">
        <f>IF(ISNUMBER(Klisz_Verbräuche[[#This Row],[2017]]), Klisz_Verbräuche[[#This Row],[2017]]*Emissionsfaktoren[[#This Row],[2017]]/1000, 0)</f>
        <v>0</v>
      </c>
      <c r="H165" s="15">
        <f>IF(ISNUMBER(Klisz_Verbräuche[[#This Row],[2018]]), Klisz_Verbräuche[[#This Row],[2018]]*Emissionsfaktoren[[#This Row],[2018]]/1000, 0)</f>
        <v>0</v>
      </c>
      <c r="I165" s="15">
        <f>IF(ISNUMBER(Klisz_Verbräuche[[#This Row],[2019]]), Klisz_Verbräuche[[#This Row],[2019]]*Emissionsfaktoren[[#This Row],[2019]]/1000, 0)</f>
        <v>0</v>
      </c>
      <c r="J165" s="15">
        <f>IF(ISNUMBER(Klisz_Verbräuche[[#This Row],[2020]]), Klisz_Verbräuche[[#This Row],[2020]]*Emissionsfaktoren[[#This Row],[2020]]/1000, 0)</f>
        <v>0</v>
      </c>
      <c r="K165" s="15">
        <f>IF(ISNUMBER(Klisz_Verbräuche[[#This Row],[2021]]), Klisz_Verbräuche[[#This Row],[2021]]*Emissionsfaktoren[[#This Row],[2021]]/1000, 0)</f>
        <v>0</v>
      </c>
      <c r="L165" s="15">
        <f>IF(ISNUMBER(Klisz_Verbräuche[[#This Row],[2022]]), Klisz_Verbräuche[[#This Row],[2022]]*Emissionsfaktoren[[#This Row],[2022]]/1000, 0)</f>
        <v>0</v>
      </c>
      <c r="M165" s="15">
        <f>IF(ISNUMBER(Klisz_Verbräuche[[#This Row],[2023]]), Klisz_Verbräuche[[#This Row],[2023]]*Emissionsfaktoren[[#This Row],[2023]]/1000, 0)</f>
        <v>0</v>
      </c>
      <c r="N165" s="15">
        <f>IF(ISNUMBER(Klisz_Verbräuche[[#This Row],[2024]]), Klisz_Verbräuche[[#This Row],[2024]]*Emissionsfaktoren[[#This Row],[2024]]/1000, 0)</f>
        <v>0</v>
      </c>
      <c r="O165" s="15">
        <f>IF(ISNUMBER(Klisz_Verbräuche[[#This Row],[2025]]), Klisz_Verbräuche[[#This Row],[2025]]*Emissionsfaktoren[[#This Row],[2025]]/1000, 0)</f>
        <v>0</v>
      </c>
      <c r="P165" s="15">
        <f>IF(ISNUMBER(Klisz_Verbräuche[[#This Row],[2026]]), Klisz_Verbräuche[[#This Row],[2026]]*Emissionsfaktoren[[#This Row],[2026]]/1000, 0)</f>
        <v>0</v>
      </c>
      <c r="Q165" s="15">
        <f>IF(ISNUMBER(Klisz_Verbräuche[[#This Row],[2027]]), Klisz_Verbräuche[[#This Row],[2027]]*Emissionsfaktoren[[#This Row],[2027]]/1000, 0)</f>
        <v>0</v>
      </c>
      <c r="R165" s="15">
        <f>IF(ISNUMBER(Klisz_Verbräuche[[#This Row],[2028]]), Klisz_Verbräuche[[#This Row],[2028]]*Emissionsfaktoren[[#This Row],[2028]]/1000, 0)</f>
        <v>0</v>
      </c>
      <c r="S165" s="15">
        <f>IF(ISNUMBER(Klisz_Verbräuche[[#This Row],[2029]]), Klisz_Verbräuche[[#This Row],[2029]]*Emissionsfaktoren[[#This Row],[2029]]/1000, 0)</f>
        <v>0</v>
      </c>
      <c r="T165" s="15">
        <f>IF(ISNUMBER(Klisz_Verbräuche[[#This Row],[2030]]), Klisz_Verbräuche[[#This Row],[2030]]*Emissionsfaktoren[[#This Row],[2030]]/1000, 0)</f>
        <v>0</v>
      </c>
      <c r="U165" s="15">
        <f>IF(ISNUMBER(Klisz_Verbräuche[[#This Row],[2035]]), Klisz_Verbräuche[[#This Row],[2035]]*Emissionsfaktoren[[#This Row],[2035]]/1000, 0)</f>
        <v>0</v>
      </c>
      <c r="V165" s="15">
        <f>IF(ISNUMBER(Klisz_Verbräuche[[#This Row],[2040]]), Klisz_Verbräuche[[#This Row],[2040]]*Emissionsfaktoren[[#This Row],[2040]]/1000, 0)</f>
        <v>0</v>
      </c>
      <c r="W165" s="15">
        <f>IF(ISNUMBER(Klisz_Verbräuche[[#This Row],[2045]]), Klisz_Verbräuche[[#This Row],[2045]]*Emissionsfaktoren[[#This Row],[2045]]/1000, 0)</f>
        <v>0</v>
      </c>
      <c r="X165" s="15">
        <f>IF(ISNUMBER(Klisz_Verbräuche[[#This Row],[2050]]), Klisz_Verbräuche[[#This Row],[2050]]*Emissionsfaktoren[[#This Row],[2050]]/1000, 0)</f>
        <v>0</v>
      </c>
    </row>
    <row r="166" spans="2:24" ht="16.5" hidden="1" x14ac:dyDescent="0.45">
      <c r="B166" s="15">
        <v>106</v>
      </c>
      <c r="C166" s="20" t="str">
        <f>Refsz_Verbräuche[[#This Row],[Datenpunkt]]</f>
        <v>Bioabfall (Verbrennung)</v>
      </c>
      <c r="D166" t="s">
        <v>208</v>
      </c>
      <c r="E166" s="15">
        <f>IF(ISNUMBER(Klisz_Verbräuche[[#This Row],[2015]]), Klisz_Verbräuche[[#This Row],[2015]]*Emissionsfaktoren[[#This Row],[2015]]/1000, 0)</f>
        <v>0</v>
      </c>
      <c r="F166" s="15">
        <f>IF(ISNUMBER(Klisz_Verbräuche[[#This Row],[2016]]), Klisz_Verbräuche[[#This Row],[2016]]*Emissionsfaktoren[[#This Row],[2016]]/1000, 0)</f>
        <v>0</v>
      </c>
      <c r="G166" s="15">
        <f>IF(ISNUMBER(Klisz_Verbräuche[[#This Row],[2017]]), Klisz_Verbräuche[[#This Row],[2017]]*Emissionsfaktoren[[#This Row],[2017]]/1000, 0)</f>
        <v>0</v>
      </c>
      <c r="H166" s="15">
        <f>IF(ISNUMBER(Klisz_Verbräuche[[#This Row],[2018]]), Klisz_Verbräuche[[#This Row],[2018]]*Emissionsfaktoren[[#This Row],[2018]]/1000, 0)</f>
        <v>0</v>
      </c>
      <c r="I166" s="15">
        <f>IF(ISNUMBER(Klisz_Verbräuche[[#This Row],[2019]]), Klisz_Verbräuche[[#This Row],[2019]]*Emissionsfaktoren[[#This Row],[2019]]/1000, 0)</f>
        <v>0</v>
      </c>
      <c r="J166" s="15">
        <f>IF(ISNUMBER(Klisz_Verbräuche[[#This Row],[2020]]), Klisz_Verbräuche[[#This Row],[2020]]*Emissionsfaktoren[[#This Row],[2020]]/1000, 0)</f>
        <v>0</v>
      </c>
      <c r="K166" s="15">
        <f>IF(ISNUMBER(Klisz_Verbräuche[[#This Row],[2021]]), Klisz_Verbräuche[[#This Row],[2021]]*Emissionsfaktoren[[#This Row],[2021]]/1000, 0)</f>
        <v>0</v>
      </c>
      <c r="L166" s="15">
        <f>IF(ISNUMBER(Klisz_Verbräuche[[#This Row],[2022]]), Klisz_Verbräuche[[#This Row],[2022]]*Emissionsfaktoren[[#This Row],[2022]]/1000, 0)</f>
        <v>0</v>
      </c>
      <c r="M166" s="15">
        <f>IF(ISNUMBER(Klisz_Verbräuche[[#This Row],[2023]]), Klisz_Verbräuche[[#This Row],[2023]]*Emissionsfaktoren[[#This Row],[2023]]/1000, 0)</f>
        <v>0</v>
      </c>
      <c r="N166" s="15">
        <f>IF(ISNUMBER(Klisz_Verbräuche[[#This Row],[2024]]), Klisz_Verbräuche[[#This Row],[2024]]*Emissionsfaktoren[[#This Row],[2024]]/1000, 0)</f>
        <v>0</v>
      </c>
      <c r="O166" s="15">
        <f>IF(ISNUMBER(Klisz_Verbräuche[[#This Row],[2025]]), Klisz_Verbräuche[[#This Row],[2025]]*Emissionsfaktoren[[#This Row],[2025]]/1000, 0)</f>
        <v>0</v>
      </c>
      <c r="P166" s="15">
        <f>IF(ISNUMBER(Klisz_Verbräuche[[#This Row],[2026]]), Klisz_Verbräuche[[#This Row],[2026]]*Emissionsfaktoren[[#This Row],[2026]]/1000, 0)</f>
        <v>0</v>
      </c>
      <c r="Q166" s="15">
        <f>IF(ISNUMBER(Klisz_Verbräuche[[#This Row],[2027]]), Klisz_Verbräuche[[#This Row],[2027]]*Emissionsfaktoren[[#This Row],[2027]]/1000, 0)</f>
        <v>0</v>
      </c>
      <c r="R166" s="15">
        <f>IF(ISNUMBER(Klisz_Verbräuche[[#This Row],[2028]]), Klisz_Verbräuche[[#This Row],[2028]]*Emissionsfaktoren[[#This Row],[2028]]/1000, 0)</f>
        <v>0</v>
      </c>
      <c r="S166" s="15">
        <f>IF(ISNUMBER(Klisz_Verbräuche[[#This Row],[2029]]), Klisz_Verbräuche[[#This Row],[2029]]*Emissionsfaktoren[[#This Row],[2029]]/1000, 0)</f>
        <v>0</v>
      </c>
      <c r="T166" s="15">
        <f>IF(ISNUMBER(Klisz_Verbräuche[[#This Row],[2030]]), Klisz_Verbräuche[[#This Row],[2030]]*Emissionsfaktoren[[#This Row],[2030]]/1000, 0)</f>
        <v>0</v>
      </c>
      <c r="U166" s="15">
        <f>IF(ISNUMBER(Klisz_Verbräuche[[#This Row],[2035]]), Klisz_Verbräuche[[#This Row],[2035]]*Emissionsfaktoren[[#This Row],[2035]]/1000, 0)</f>
        <v>0</v>
      </c>
      <c r="V166" s="15">
        <f>IF(ISNUMBER(Klisz_Verbräuche[[#This Row],[2040]]), Klisz_Verbräuche[[#This Row],[2040]]*Emissionsfaktoren[[#This Row],[2040]]/1000, 0)</f>
        <v>0</v>
      </c>
      <c r="W166" s="15">
        <f>IF(ISNUMBER(Klisz_Verbräuche[[#This Row],[2045]]), Klisz_Verbräuche[[#This Row],[2045]]*Emissionsfaktoren[[#This Row],[2045]]/1000, 0)</f>
        <v>0</v>
      </c>
      <c r="X166" s="15">
        <f>IF(ISNUMBER(Klisz_Verbräuche[[#This Row],[2050]]), Klisz_Verbräuche[[#This Row],[2050]]*Emissionsfaktoren[[#This Row],[2050]]/1000, 0)</f>
        <v>0</v>
      </c>
    </row>
    <row r="167" spans="2:24" ht="16.5" hidden="1" x14ac:dyDescent="0.45">
      <c r="B167" s="15">
        <v>107</v>
      </c>
      <c r="C167" s="20" t="str">
        <f>Refsz_Verbräuche[[#This Row],[Datenpunkt]]</f>
        <v>Papierabfall</v>
      </c>
      <c r="D167" t="s">
        <v>208</v>
      </c>
      <c r="E167" s="15">
        <f>IF(ISNUMBER(Klisz_Verbräuche[[#This Row],[2015]]), Klisz_Verbräuche[[#This Row],[2015]]*Emissionsfaktoren[[#This Row],[2015]]/1000, 0)</f>
        <v>0</v>
      </c>
      <c r="F167" s="15">
        <f>IF(ISNUMBER(Klisz_Verbräuche[[#This Row],[2016]]), Klisz_Verbräuche[[#This Row],[2016]]*Emissionsfaktoren[[#This Row],[2016]]/1000, 0)</f>
        <v>0</v>
      </c>
      <c r="G167" s="15">
        <f>IF(ISNUMBER(Klisz_Verbräuche[[#This Row],[2017]]), Klisz_Verbräuche[[#This Row],[2017]]*Emissionsfaktoren[[#This Row],[2017]]/1000, 0)</f>
        <v>0</v>
      </c>
      <c r="H167" s="15">
        <f>IF(ISNUMBER(Klisz_Verbräuche[[#This Row],[2018]]), Klisz_Verbräuche[[#This Row],[2018]]*Emissionsfaktoren[[#This Row],[2018]]/1000, 0)</f>
        <v>0</v>
      </c>
      <c r="I167" s="15">
        <f>IF(ISNUMBER(Klisz_Verbräuche[[#This Row],[2019]]), Klisz_Verbräuche[[#This Row],[2019]]*Emissionsfaktoren[[#This Row],[2019]]/1000, 0)</f>
        <v>0</v>
      </c>
      <c r="J167" s="15">
        <f>IF(ISNUMBER(Klisz_Verbräuche[[#This Row],[2020]]), Klisz_Verbräuche[[#This Row],[2020]]*Emissionsfaktoren[[#This Row],[2020]]/1000, 0)</f>
        <v>0</v>
      </c>
      <c r="K167" s="15">
        <f>IF(ISNUMBER(Klisz_Verbräuche[[#This Row],[2021]]), Klisz_Verbräuche[[#This Row],[2021]]*Emissionsfaktoren[[#This Row],[2021]]/1000, 0)</f>
        <v>0</v>
      </c>
      <c r="L167" s="15">
        <f>IF(ISNUMBER(Klisz_Verbräuche[[#This Row],[2022]]), Klisz_Verbräuche[[#This Row],[2022]]*Emissionsfaktoren[[#This Row],[2022]]/1000, 0)</f>
        <v>0</v>
      </c>
      <c r="M167" s="15">
        <f>IF(ISNUMBER(Klisz_Verbräuche[[#This Row],[2023]]), Klisz_Verbräuche[[#This Row],[2023]]*Emissionsfaktoren[[#This Row],[2023]]/1000, 0)</f>
        <v>0</v>
      </c>
      <c r="N167" s="15">
        <f>IF(ISNUMBER(Klisz_Verbräuche[[#This Row],[2024]]), Klisz_Verbräuche[[#This Row],[2024]]*Emissionsfaktoren[[#This Row],[2024]]/1000, 0)</f>
        <v>0</v>
      </c>
      <c r="O167" s="15">
        <f>IF(ISNUMBER(Klisz_Verbräuche[[#This Row],[2025]]), Klisz_Verbräuche[[#This Row],[2025]]*Emissionsfaktoren[[#This Row],[2025]]/1000, 0)</f>
        <v>0</v>
      </c>
      <c r="P167" s="15">
        <f>IF(ISNUMBER(Klisz_Verbräuche[[#This Row],[2026]]), Klisz_Verbräuche[[#This Row],[2026]]*Emissionsfaktoren[[#This Row],[2026]]/1000, 0)</f>
        <v>0</v>
      </c>
      <c r="Q167" s="15">
        <f>IF(ISNUMBER(Klisz_Verbräuche[[#This Row],[2027]]), Klisz_Verbräuche[[#This Row],[2027]]*Emissionsfaktoren[[#This Row],[2027]]/1000, 0)</f>
        <v>0</v>
      </c>
      <c r="R167" s="15">
        <f>IF(ISNUMBER(Klisz_Verbräuche[[#This Row],[2028]]), Klisz_Verbräuche[[#This Row],[2028]]*Emissionsfaktoren[[#This Row],[2028]]/1000, 0)</f>
        <v>0</v>
      </c>
      <c r="S167" s="15">
        <f>IF(ISNUMBER(Klisz_Verbräuche[[#This Row],[2029]]), Klisz_Verbräuche[[#This Row],[2029]]*Emissionsfaktoren[[#This Row],[2029]]/1000, 0)</f>
        <v>0</v>
      </c>
      <c r="T167" s="15">
        <f>IF(ISNUMBER(Klisz_Verbräuche[[#This Row],[2030]]), Klisz_Verbräuche[[#This Row],[2030]]*Emissionsfaktoren[[#This Row],[2030]]/1000, 0)</f>
        <v>0</v>
      </c>
      <c r="U167" s="15">
        <f>IF(ISNUMBER(Klisz_Verbräuche[[#This Row],[2035]]), Klisz_Verbräuche[[#This Row],[2035]]*Emissionsfaktoren[[#This Row],[2035]]/1000, 0)</f>
        <v>0</v>
      </c>
      <c r="V167" s="15">
        <f>IF(ISNUMBER(Klisz_Verbräuche[[#This Row],[2040]]), Klisz_Verbräuche[[#This Row],[2040]]*Emissionsfaktoren[[#This Row],[2040]]/1000, 0)</f>
        <v>0</v>
      </c>
      <c r="W167" s="15">
        <f>IF(ISNUMBER(Klisz_Verbräuche[[#This Row],[2045]]), Klisz_Verbräuche[[#This Row],[2045]]*Emissionsfaktoren[[#This Row],[2045]]/1000, 0)</f>
        <v>0</v>
      </c>
      <c r="X167" s="15">
        <f>IF(ISNUMBER(Klisz_Verbräuche[[#This Row],[2050]]), Klisz_Verbräuche[[#This Row],[2050]]*Emissionsfaktoren[[#This Row],[2050]]/1000, 0)</f>
        <v>0</v>
      </c>
    </row>
    <row r="168" spans="2:24" ht="16.5" hidden="1" x14ac:dyDescent="0.45">
      <c r="B168" s="15">
        <v>108</v>
      </c>
      <c r="C168" s="20" t="str">
        <f>Refsz_Verbräuche[[#This Row],[Datenpunkt]]</f>
        <v>Plastik- und Verpackungsabfall</v>
      </c>
      <c r="D168" t="s">
        <v>208</v>
      </c>
      <c r="E168" s="15">
        <f>IF(ISNUMBER(Klisz_Verbräuche[[#This Row],[2015]]), Klisz_Verbräuche[[#This Row],[2015]]*Emissionsfaktoren[[#This Row],[2015]]/1000, 0)</f>
        <v>0</v>
      </c>
      <c r="F168" s="15">
        <f>IF(ISNUMBER(Klisz_Verbräuche[[#This Row],[2016]]), Klisz_Verbräuche[[#This Row],[2016]]*Emissionsfaktoren[[#This Row],[2016]]/1000, 0)</f>
        <v>0</v>
      </c>
      <c r="G168" s="15">
        <f>IF(ISNUMBER(Klisz_Verbräuche[[#This Row],[2017]]), Klisz_Verbräuche[[#This Row],[2017]]*Emissionsfaktoren[[#This Row],[2017]]/1000, 0)</f>
        <v>0</v>
      </c>
      <c r="H168" s="15">
        <f>IF(ISNUMBER(Klisz_Verbräuche[[#This Row],[2018]]), Klisz_Verbräuche[[#This Row],[2018]]*Emissionsfaktoren[[#This Row],[2018]]/1000, 0)</f>
        <v>0</v>
      </c>
      <c r="I168" s="15">
        <f>IF(ISNUMBER(Klisz_Verbräuche[[#This Row],[2019]]), Klisz_Verbräuche[[#This Row],[2019]]*Emissionsfaktoren[[#This Row],[2019]]/1000, 0)</f>
        <v>0</v>
      </c>
      <c r="J168" s="15">
        <f>IF(ISNUMBER(Klisz_Verbräuche[[#This Row],[2020]]), Klisz_Verbräuche[[#This Row],[2020]]*Emissionsfaktoren[[#This Row],[2020]]/1000, 0)</f>
        <v>0</v>
      </c>
      <c r="K168" s="15">
        <f>IF(ISNUMBER(Klisz_Verbräuche[[#This Row],[2021]]), Klisz_Verbräuche[[#This Row],[2021]]*Emissionsfaktoren[[#This Row],[2021]]/1000, 0)</f>
        <v>0</v>
      </c>
      <c r="L168" s="15">
        <f>IF(ISNUMBER(Klisz_Verbräuche[[#This Row],[2022]]), Klisz_Verbräuche[[#This Row],[2022]]*Emissionsfaktoren[[#This Row],[2022]]/1000, 0)</f>
        <v>0</v>
      </c>
      <c r="M168" s="15">
        <f>IF(ISNUMBER(Klisz_Verbräuche[[#This Row],[2023]]), Klisz_Verbräuche[[#This Row],[2023]]*Emissionsfaktoren[[#This Row],[2023]]/1000, 0)</f>
        <v>0</v>
      </c>
      <c r="N168" s="15">
        <f>IF(ISNUMBER(Klisz_Verbräuche[[#This Row],[2024]]), Klisz_Verbräuche[[#This Row],[2024]]*Emissionsfaktoren[[#This Row],[2024]]/1000, 0)</f>
        <v>0</v>
      </c>
      <c r="O168" s="15">
        <f>IF(ISNUMBER(Klisz_Verbräuche[[#This Row],[2025]]), Klisz_Verbräuche[[#This Row],[2025]]*Emissionsfaktoren[[#This Row],[2025]]/1000, 0)</f>
        <v>0</v>
      </c>
      <c r="P168" s="15">
        <f>IF(ISNUMBER(Klisz_Verbräuche[[#This Row],[2026]]), Klisz_Verbräuche[[#This Row],[2026]]*Emissionsfaktoren[[#This Row],[2026]]/1000, 0)</f>
        <v>0</v>
      </c>
      <c r="Q168" s="15">
        <f>IF(ISNUMBER(Klisz_Verbräuche[[#This Row],[2027]]), Klisz_Verbräuche[[#This Row],[2027]]*Emissionsfaktoren[[#This Row],[2027]]/1000, 0)</f>
        <v>0</v>
      </c>
      <c r="R168" s="15">
        <f>IF(ISNUMBER(Klisz_Verbräuche[[#This Row],[2028]]), Klisz_Verbräuche[[#This Row],[2028]]*Emissionsfaktoren[[#This Row],[2028]]/1000, 0)</f>
        <v>0</v>
      </c>
      <c r="S168" s="15">
        <f>IF(ISNUMBER(Klisz_Verbräuche[[#This Row],[2029]]), Klisz_Verbräuche[[#This Row],[2029]]*Emissionsfaktoren[[#This Row],[2029]]/1000, 0)</f>
        <v>0</v>
      </c>
      <c r="T168" s="15">
        <f>IF(ISNUMBER(Klisz_Verbräuche[[#This Row],[2030]]), Klisz_Verbräuche[[#This Row],[2030]]*Emissionsfaktoren[[#This Row],[2030]]/1000, 0)</f>
        <v>0</v>
      </c>
      <c r="U168" s="15">
        <f>IF(ISNUMBER(Klisz_Verbräuche[[#This Row],[2035]]), Klisz_Verbräuche[[#This Row],[2035]]*Emissionsfaktoren[[#This Row],[2035]]/1000, 0)</f>
        <v>0</v>
      </c>
      <c r="V168" s="15">
        <f>IF(ISNUMBER(Klisz_Verbräuche[[#This Row],[2040]]), Klisz_Verbräuche[[#This Row],[2040]]*Emissionsfaktoren[[#This Row],[2040]]/1000, 0)</f>
        <v>0</v>
      </c>
      <c r="W168" s="15">
        <f>IF(ISNUMBER(Klisz_Verbräuche[[#This Row],[2045]]), Klisz_Verbräuche[[#This Row],[2045]]*Emissionsfaktoren[[#This Row],[2045]]/1000, 0)</f>
        <v>0</v>
      </c>
      <c r="X168" s="15">
        <f>IF(ISNUMBER(Klisz_Verbräuche[[#This Row],[2050]]), Klisz_Verbräuche[[#This Row],[2050]]*Emissionsfaktoren[[#This Row],[2050]]/1000, 0)</f>
        <v>0</v>
      </c>
    </row>
    <row r="169" spans="2:24" ht="16.5" hidden="1" x14ac:dyDescent="0.45">
      <c r="B169" s="15">
        <v>109</v>
      </c>
      <c r="C169" s="20" t="str">
        <f>Refsz_Verbräuche[[#This Row],[Datenpunkt]]</f>
        <v>Restmüll</v>
      </c>
      <c r="D169" t="s">
        <v>208</v>
      </c>
      <c r="E169" s="15">
        <f>IF(ISNUMBER(Klisz_Verbräuche[[#This Row],[2015]]), Klisz_Verbräuche[[#This Row],[2015]]*Emissionsfaktoren[[#This Row],[2015]]/1000, 0)</f>
        <v>0</v>
      </c>
      <c r="F169" s="15">
        <f>IF(ISNUMBER(Klisz_Verbräuche[[#This Row],[2016]]), Klisz_Verbräuche[[#This Row],[2016]]*Emissionsfaktoren[[#This Row],[2016]]/1000, 0)</f>
        <v>0</v>
      </c>
      <c r="G169" s="15">
        <f>IF(ISNUMBER(Klisz_Verbräuche[[#This Row],[2017]]), Klisz_Verbräuche[[#This Row],[2017]]*Emissionsfaktoren[[#This Row],[2017]]/1000, 0)</f>
        <v>0</v>
      </c>
      <c r="H169" s="15">
        <f>IF(ISNUMBER(Klisz_Verbräuche[[#This Row],[2018]]), Klisz_Verbräuche[[#This Row],[2018]]*Emissionsfaktoren[[#This Row],[2018]]/1000, 0)</f>
        <v>0</v>
      </c>
      <c r="I169" s="15">
        <f>IF(ISNUMBER(Klisz_Verbräuche[[#This Row],[2019]]), Klisz_Verbräuche[[#This Row],[2019]]*Emissionsfaktoren[[#This Row],[2019]]/1000, 0)</f>
        <v>0</v>
      </c>
      <c r="J169" s="15">
        <f>IF(ISNUMBER(Klisz_Verbräuche[[#This Row],[2020]]), Klisz_Verbräuche[[#This Row],[2020]]*Emissionsfaktoren[[#This Row],[2020]]/1000, 0)</f>
        <v>0</v>
      </c>
      <c r="K169" s="15">
        <f>IF(ISNUMBER(Klisz_Verbräuche[[#This Row],[2021]]), Klisz_Verbräuche[[#This Row],[2021]]*Emissionsfaktoren[[#This Row],[2021]]/1000, 0)</f>
        <v>0</v>
      </c>
      <c r="L169" s="15">
        <f>IF(ISNUMBER(Klisz_Verbräuche[[#This Row],[2022]]), Klisz_Verbräuche[[#This Row],[2022]]*Emissionsfaktoren[[#This Row],[2022]]/1000, 0)</f>
        <v>0</v>
      </c>
      <c r="M169" s="15">
        <f>IF(ISNUMBER(Klisz_Verbräuche[[#This Row],[2023]]), Klisz_Verbräuche[[#This Row],[2023]]*Emissionsfaktoren[[#This Row],[2023]]/1000, 0)</f>
        <v>0</v>
      </c>
      <c r="N169" s="15">
        <f>IF(ISNUMBER(Klisz_Verbräuche[[#This Row],[2024]]), Klisz_Verbräuche[[#This Row],[2024]]*Emissionsfaktoren[[#This Row],[2024]]/1000, 0)</f>
        <v>0</v>
      </c>
      <c r="O169" s="15">
        <f>IF(ISNUMBER(Klisz_Verbräuche[[#This Row],[2025]]), Klisz_Verbräuche[[#This Row],[2025]]*Emissionsfaktoren[[#This Row],[2025]]/1000, 0)</f>
        <v>0</v>
      </c>
      <c r="P169" s="15">
        <f>IF(ISNUMBER(Klisz_Verbräuche[[#This Row],[2026]]), Klisz_Verbräuche[[#This Row],[2026]]*Emissionsfaktoren[[#This Row],[2026]]/1000, 0)</f>
        <v>0</v>
      </c>
      <c r="Q169" s="15">
        <f>IF(ISNUMBER(Klisz_Verbräuche[[#This Row],[2027]]), Klisz_Verbräuche[[#This Row],[2027]]*Emissionsfaktoren[[#This Row],[2027]]/1000, 0)</f>
        <v>0</v>
      </c>
      <c r="R169" s="15">
        <f>IF(ISNUMBER(Klisz_Verbräuche[[#This Row],[2028]]), Klisz_Verbräuche[[#This Row],[2028]]*Emissionsfaktoren[[#This Row],[2028]]/1000, 0)</f>
        <v>0</v>
      </c>
      <c r="S169" s="15">
        <f>IF(ISNUMBER(Klisz_Verbräuche[[#This Row],[2029]]), Klisz_Verbräuche[[#This Row],[2029]]*Emissionsfaktoren[[#This Row],[2029]]/1000, 0)</f>
        <v>0</v>
      </c>
      <c r="T169" s="15">
        <f>IF(ISNUMBER(Klisz_Verbräuche[[#This Row],[2030]]), Klisz_Verbräuche[[#This Row],[2030]]*Emissionsfaktoren[[#This Row],[2030]]/1000, 0)</f>
        <v>0</v>
      </c>
      <c r="U169" s="15">
        <f>IF(ISNUMBER(Klisz_Verbräuche[[#This Row],[2035]]), Klisz_Verbräuche[[#This Row],[2035]]*Emissionsfaktoren[[#This Row],[2035]]/1000, 0)</f>
        <v>0</v>
      </c>
      <c r="V169" s="15">
        <f>IF(ISNUMBER(Klisz_Verbräuche[[#This Row],[2040]]), Klisz_Verbräuche[[#This Row],[2040]]*Emissionsfaktoren[[#This Row],[2040]]/1000, 0)</f>
        <v>0</v>
      </c>
      <c r="W169" s="15">
        <f>IF(ISNUMBER(Klisz_Verbräuche[[#This Row],[2045]]), Klisz_Verbräuche[[#This Row],[2045]]*Emissionsfaktoren[[#This Row],[2045]]/1000, 0)</f>
        <v>0</v>
      </c>
      <c r="X169" s="15">
        <f>IF(ISNUMBER(Klisz_Verbräuche[[#This Row],[2050]]), Klisz_Verbräuche[[#This Row],[2050]]*Emissionsfaktoren[[#This Row],[2050]]/1000, 0)</f>
        <v>0</v>
      </c>
    </row>
    <row r="170" spans="2:24" ht="16.5" hidden="1" x14ac:dyDescent="0.45">
      <c r="B170" s="15">
        <v>110</v>
      </c>
      <c r="C170" s="20" t="str">
        <f>Refsz_Verbräuche[[#This Row],[Datenpunkt]]</f>
        <v>Sperrmüll</v>
      </c>
      <c r="D170" t="s">
        <v>208</v>
      </c>
      <c r="E170" s="15">
        <f>IF(ISNUMBER(Klisz_Verbräuche[[#This Row],[2015]]), Klisz_Verbräuche[[#This Row],[2015]]*Emissionsfaktoren[[#This Row],[2015]]/1000, 0)</f>
        <v>0</v>
      </c>
      <c r="F170" s="15">
        <f>IF(ISNUMBER(Klisz_Verbräuche[[#This Row],[2016]]), Klisz_Verbräuche[[#This Row],[2016]]*Emissionsfaktoren[[#This Row],[2016]]/1000, 0)</f>
        <v>0</v>
      </c>
      <c r="G170" s="15">
        <f>IF(ISNUMBER(Klisz_Verbräuche[[#This Row],[2017]]), Klisz_Verbräuche[[#This Row],[2017]]*Emissionsfaktoren[[#This Row],[2017]]/1000, 0)</f>
        <v>0</v>
      </c>
      <c r="H170" s="15">
        <f>IF(ISNUMBER(Klisz_Verbräuche[[#This Row],[2018]]), Klisz_Verbräuche[[#This Row],[2018]]*Emissionsfaktoren[[#This Row],[2018]]/1000, 0)</f>
        <v>0</v>
      </c>
      <c r="I170" s="15">
        <f>IF(ISNUMBER(Klisz_Verbräuche[[#This Row],[2019]]), Klisz_Verbräuche[[#This Row],[2019]]*Emissionsfaktoren[[#This Row],[2019]]/1000, 0)</f>
        <v>0</v>
      </c>
      <c r="J170" s="15">
        <f>IF(ISNUMBER(Klisz_Verbräuche[[#This Row],[2020]]), Klisz_Verbräuche[[#This Row],[2020]]*Emissionsfaktoren[[#This Row],[2020]]/1000, 0)</f>
        <v>0</v>
      </c>
      <c r="K170" s="15">
        <f>IF(ISNUMBER(Klisz_Verbräuche[[#This Row],[2021]]), Klisz_Verbräuche[[#This Row],[2021]]*Emissionsfaktoren[[#This Row],[2021]]/1000, 0)</f>
        <v>0</v>
      </c>
      <c r="L170" s="15">
        <f>IF(ISNUMBER(Klisz_Verbräuche[[#This Row],[2022]]), Klisz_Verbräuche[[#This Row],[2022]]*Emissionsfaktoren[[#This Row],[2022]]/1000, 0)</f>
        <v>0</v>
      </c>
      <c r="M170" s="15">
        <f>IF(ISNUMBER(Klisz_Verbräuche[[#This Row],[2023]]), Klisz_Verbräuche[[#This Row],[2023]]*Emissionsfaktoren[[#This Row],[2023]]/1000, 0)</f>
        <v>0</v>
      </c>
      <c r="N170" s="15">
        <f>IF(ISNUMBER(Klisz_Verbräuche[[#This Row],[2024]]), Klisz_Verbräuche[[#This Row],[2024]]*Emissionsfaktoren[[#This Row],[2024]]/1000, 0)</f>
        <v>0</v>
      </c>
      <c r="O170" s="15">
        <f>IF(ISNUMBER(Klisz_Verbräuche[[#This Row],[2025]]), Klisz_Verbräuche[[#This Row],[2025]]*Emissionsfaktoren[[#This Row],[2025]]/1000, 0)</f>
        <v>0</v>
      </c>
      <c r="P170" s="15">
        <f>IF(ISNUMBER(Klisz_Verbräuche[[#This Row],[2026]]), Klisz_Verbräuche[[#This Row],[2026]]*Emissionsfaktoren[[#This Row],[2026]]/1000, 0)</f>
        <v>0</v>
      </c>
      <c r="Q170" s="15">
        <f>IF(ISNUMBER(Klisz_Verbräuche[[#This Row],[2027]]), Klisz_Verbräuche[[#This Row],[2027]]*Emissionsfaktoren[[#This Row],[2027]]/1000, 0)</f>
        <v>0</v>
      </c>
      <c r="R170" s="15">
        <f>IF(ISNUMBER(Klisz_Verbräuche[[#This Row],[2028]]), Klisz_Verbräuche[[#This Row],[2028]]*Emissionsfaktoren[[#This Row],[2028]]/1000, 0)</f>
        <v>0</v>
      </c>
      <c r="S170" s="15">
        <f>IF(ISNUMBER(Klisz_Verbräuche[[#This Row],[2029]]), Klisz_Verbräuche[[#This Row],[2029]]*Emissionsfaktoren[[#This Row],[2029]]/1000, 0)</f>
        <v>0</v>
      </c>
      <c r="T170" s="15">
        <f>IF(ISNUMBER(Klisz_Verbräuche[[#This Row],[2030]]), Klisz_Verbräuche[[#This Row],[2030]]*Emissionsfaktoren[[#This Row],[2030]]/1000, 0)</f>
        <v>0</v>
      </c>
      <c r="U170" s="15">
        <f>IF(ISNUMBER(Klisz_Verbräuche[[#This Row],[2035]]), Klisz_Verbräuche[[#This Row],[2035]]*Emissionsfaktoren[[#This Row],[2035]]/1000, 0)</f>
        <v>0</v>
      </c>
      <c r="V170" s="15">
        <f>IF(ISNUMBER(Klisz_Verbräuche[[#This Row],[2040]]), Klisz_Verbräuche[[#This Row],[2040]]*Emissionsfaktoren[[#This Row],[2040]]/1000, 0)</f>
        <v>0</v>
      </c>
      <c r="W170" s="15">
        <f>IF(ISNUMBER(Klisz_Verbräuche[[#This Row],[2045]]), Klisz_Verbräuche[[#This Row],[2045]]*Emissionsfaktoren[[#This Row],[2045]]/1000, 0)</f>
        <v>0</v>
      </c>
      <c r="X170" s="15">
        <f>IF(ISNUMBER(Klisz_Verbräuche[[#This Row],[2050]]), Klisz_Verbräuche[[#This Row],[2050]]*Emissionsfaktoren[[#This Row],[2050]]/1000, 0)</f>
        <v>0</v>
      </c>
    </row>
    <row r="171" spans="2:24" ht="16.5" hidden="1" x14ac:dyDescent="0.45">
      <c r="B171" s="15">
        <v>111</v>
      </c>
      <c r="C171" s="20" t="str">
        <f>Refsz_Verbräuche[[#This Row],[Datenpunkt]]</f>
        <v>Altholz</v>
      </c>
      <c r="D171" t="s">
        <v>208</v>
      </c>
      <c r="E171" s="15">
        <f>IF(ISNUMBER(Klisz_Verbräuche[[#This Row],[2015]]), Klisz_Verbräuche[[#This Row],[2015]]*Emissionsfaktoren[[#This Row],[2015]]/1000, 0)</f>
        <v>0</v>
      </c>
      <c r="F171" s="15">
        <f>IF(ISNUMBER(Klisz_Verbräuche[[#This Row],[2016]]), Klisz_Verbräuche[[#This Row],[2016]]*Emissionsfaktoren[[#This Row],[2016]]/1000, 0)</f>
        <v>0</v>
      </c>
      <c r="G171" s="15">
        <f>IF(ISNUMBER(Klisz_Verbräuche[[#This Row],[2017]]), Klisz_Verbräuche[[#This Row],[2017]]*Emissionsfaktoren[[#This Row],[2017]]/1000, 0)</f>
        <v>0</v>
      </c>
      <c r="H171" s="15">
        <f>IF(ISNUMBER(Klisz_Verbräuche[[#This Row],[2018]]), Klisz_Verbräuche[[#This Row],[2018]]*Emissionsfaktoren[[#This Row],[2018]]/1000, 0)</f>
        <v>0</v>
      </c>
      <c r="I171" s="15">
        <f>IF(ISNUMBER(Klisz_Verbräuche[[#This Row],[2019]]), Klisz_Verbräuche[[#This Row],[2019]]*Emissionsfaktoren[[#This Row],[2019]]/1000, 0)</f>
        <v>0</v>
      </c>
      <c r="J171" s="15">
        <f>IF(ISNUMBER(Klisz_Verbräuche[[#This Row],[2020]]), Klisz_Verbräuche[[#This Row],[2020]]*Emissionsfaktoren[[#This Row],[2020]]/1000, 0)</f>
        <v>0</v>
      </c>
      <c r="K171" s="15">
        <f>IF(ISNUMBER(Klisz_Verbräuche[[#This Row],[2021]]), Klisz_Verbräuche[[#This Row],[2021]]*Emissionsfaktoren[[#This Row],[2021]]/1000, 0)</f>
        <v>0</v>
      </c>
      <c r="L171" s="15">
        <f>IF(ISNUMBER(Klisz_Verbräuche[[#This Row],[2022]]), Klisz_Verbräuche[[#This Row],[2022]]*Emissionsfaktoren[[#This Row],[2022]]/1000, 0)</f>
        <v>0</v>
      </c>
      <c r="M171" s="15">
        <f>IF(ISNUMBER(Klisz_Verbräuche[[#This Row],[2023]]), Klisz_Verbräuche[[#This Row],[2023]]*Emissionsfaktoren[[#This Row],[2023]]/1000, 0)</f>
        <v>0</v>
      </c>
      <c r="N171" s="15">
        <f>IF(ISNUMBER(Klisz_Verbräuche[[#This Row],[2024]]), Klisz_Verbräuche[[#This Row],[2024]]*Emissionsfaktoren[[#This Row],[2024]]/1000, 0)</f>
        <v>0</v>
      </c>
      <c r="O171" s="15">
        <f>IF(ISNUMBER(Klisz_Verbräuche[[#This Row],[2025]]), Klisz_Verbräuche[[#This Row],[2025]]*Emissionsfaktoren[[#This Row],[2025]]/1000, 0)</f>
        <v>0</v>
      </c>
      <c r="P171" s="15">
        <f>IF(ISNUMBER(Klisz_Verbräuche[[#This Row],[2026]]), Klisz_Verbräuche[[#This Row],[2026]]*Emissionsfaktoren[[#This Row],[2026]]/1000, 0)</f>
        <v>0</v>
      </c>
      <c r="Q171" s="15">
        <f>IF(ISNUMBER(Klisz_Verbräuche[[#This Row],[2027]]), Klisz_Verbräuche[[#This Row],[2027]]*Emissionsfaktoren[[#This Row],[2027]]/1000, 0)</f>
        <v>0</v>
      </c>
      <c r="R171" s="15">
        <f>IF(ISNUMBER(Klisz_Verbräuche[[#This Row],[2028]]), Klisz_Verbräuche[[#This Row],[2028]]*Emissionsfaktoren[[#This Row],[2028]]/1000, 0)</f>
        <v>0</v>
      </c>
      <c r="S171" s="15">
        <f>IF(ISNUMBER(Klisz_Verbräuche[[#This Row],[2029]]), Klisz_Verbräuche[[#This Row],[2029]]*Emissionsfaktoren[[#This Row],[2029]]/1000, 0)</f>
        <v>0</v>
      </c>
      <c r="T171" s="15">
        <f>IF(ISNUMBER(Klisz_Verbräuche[[#This Row],[2030]]), Klisz_Verbräuche[[#This Row],[2030]]*Emissionsfaktoren[[#This Row],[2030]]/1000, 0)</f>
        <v>0</v>
      </c>
      <c r="U171" s="15">
        <f>IF(ISNUMBER(Klisz_Verbräuche[[#This Row],[2035]]), Klisz_Verbräuche[[#This Row],[2035]]*Emissionsfaktoren[[#This Row],[2035]]/1000, 0)</f>
        <v>0</v>
      </c>
      <c r="V171" s="15">
        <f>IF(ISNUMBER(Klisz_Verbräuche[[#This Row],[2040]]), Klisz_Verbräuche[[#This Row],[2040]]*Emissionsfaktoren[[#This Row],[2040]]/1000, 0)</f>
        <v>0</v>
      </c>
      <c r="W171" s="15">
        <f>IF(ISNUMBER(Klisz_Verbräuche[[#This Row],[2045]]), Klisz_Verbräuche[[#This Row],[2045]]*Emissionsfaktoren[[#This Row],[2045]]/1000, 0)</f>
        <v>0</v>
      </c>
      <c r="X171" s="15">
        <f>IF(ISNUMBER(Klisz_Verbräuche[[#This Row],[2050]]), Klisz_Verbräuche[[#This Row],[2050]]*Emissionsfaktoren[[#This Row],[2050]]/1000, 0)</f>
        <v>0</v>
      </c>
    </row>
    <row r="172" spans="2:24" ht="16.5" hidden="1" x14ac:dyDescent="0.45">
      <c r="B172" s="15">
        <v>112</v>
      </c>
      <c r="C172" s="20" t="str">
        <f>Refsz_Verbräuche[[#This Row],[Datenpunkt]]</f>
        <v>Altglas</v>
      </c>
      <c r="D172" t="s">
        <v>208</v>
      </c>
      <c r="E172" s="15">
        <f>IF(ISNUMBER(Klisz_Verbräuche[[#This Row],[2015]]), Klisz_Verbräuche[[#This Row],[2015]]*Emissionsfaktoren[[#This Row],[2015]]/1000, 0)</f>
        <v>0</v>
      </c>
      <c r="F172" s="15">
        <f>IF(ISNUMBER(Klisz_Verbräuche[[#This Row],[2016]]), Klisz_Verbräuche[[#This Row],[2016]]*Emissionsfaktoren[[#This Row],[2016]]/1000, 0)</f>
        <v>0</v>
      </c>
      <c r="G172" s="15">
        <f>IF(ISNUMBER(Klisz_Verbräuche[[#This Row],[2017]]), Klisz_Verbräuche[[#This Row],[2017]]*Emissionsfaktoren[[#This Row],[2017]]/1000, 0)</f>
        <v>0</v>
      </c>
      <c r="H172" s="15">
        <f>IF(ISNUMBER(Klisz_Verbräuche[[#This Row],[2018]]), Klisz_Verbräuche[[#This Row],[2018]]*Emissionsfaktoren[[#This Row],[2018]]/1000, 0)</f>
        <v>0</v>
      </c>
      <c r="I172" s="15">
        <f>IF(ISNUMBER(Klisz_Verbräuche[[#This Row],[2019]]), Klisz_Verbräuche[[#This Row],[2019]]*Emissionsfaktoren[[#This Row],[2019]]/1000, 0)</f>
        <v>0</v>
      </c>
      <c r="J172" s="15">
        <f>IF(ISNUMBER(Klisz_Verbräuche[[#This Row],[2020]]), Klisz_Verbräuche[[#This Row],[2020]]*Emissionsfaktoren[[#This Row],[2020]]/1000, 0)</f>
        <v>0</v>
      </c>
      <c r="K172" s="15">
        <f>IF(ISNUMBER(Klisz_Verbräuche[[#This Row],[2021]]), Klisz_Verbräuche[[#This Row],[2021]]*Emissionsfaktoren[[#This Row],[2021]]/1000, 0)</f>
        <v>0</v>
      </c>
      <c r="L172" s="15">
        <f>IF(ISNUMBER(Klisz_Verbräuche[[#This Row],[2022]]), Klisz_Verbräuche[[#This Row],[2022]]*Emissionsfaktoren[[#This Row],[2022]]/1000, 0)</f>
        <v>0</v>
      </c>
      <c r="M172" s="15">
        <f>IF(ISNUMBER(Klisz_Verbräuche[[#This Row],[2023]]), Klisz_Verbräuche[[#This Row],[2023]]*Emissionsfaktoren[[#This Row],[2023]]/1000, 0)</f>
        <v>0</v>
      </c>
      <c r="N172" s="15">
        <f>IF(ISNUMBER(Klisz_Verbräuche[[#This Row],[2024]]), Klisz_Verbräuche[[#This Row],[2024]]*Emissionsfaktoren[[#This Row],[2024]]/1000, 0)</f>
        <v>0</v>
      </c>
      <c r="O172" s="15">
        <f>IF(ISNUMBER(Klisz_Verbräuche[[#This Row],[2025]]), Klisz_Verbräuche[[#This Row],[2025]]*Emissionsfaktoren[[#This Row],[2025]]/1000, 0)</f>
        <v>0</v>
      </c>
      <c r="P172" s="15">
        <f>IF(ISNUMBER(Klisz_Verbräuche[[#This Row],[2026]]), Klisz_Verbräuche[[#This Row],[2026]]*Emissionsfaktoren[[#This Row],[2026]]/1000, 0)</f>
        <v>0</v>
      </c>
      <c r="Q172" s="15">
        <f>IF(ISNUMBER(Klisz_Verbräuche[[#This Row],[2027]]), Klisz_Verbräuche[[#This Row],[2027]]*Emissionsfaktoren[[#This Row],[2027]]/1000, 0)</f>
        <v>0</v>
      </c>
      <c r="R172" s="15">
        <f>IF(ISNUMBER(Klisz_Verbräuche[[#This Row],[2028]]), Klisz_Verbräuche[[#This Row],[2028]]*Emissionsfaktoren[[#This Row],[2028]]/1000, 0)</f>
        <v>0</v>
      </c>
      <c r="S172" s="15">
        <f>IF(ISNUMBER(Klisz_Verbräuche[[#This Row],[2029]]), Klisz_Verbräuche[[#This Row],[2029]]*Emissionsfaktoren[[#This Row],[2029]]/1000, 0)</f>
        <v>0</v>
      </c>
      <c r="T172" s="15">
        <f>IF(ISNUMBER(Klisz_Verbräuche[[#This Row],[2030]]), Klisz_Verbräuche[[#This Row],[2030]]*Emissionsfaktoren[[#This Row],[2030]]/1000, 0)</f>
        <v>0</v>
      </c>
      <c r="U172" s="15">
        <f>IF(ISNUMBER(Klisz_Verbräuche[[#This Row],[2035]]), Klisz_Verbräuche[[#This Row],[2035]]*Emissionsfaktoren[[#This Row],[2035]]/1000, 0)</f>
        <v>0</v>
      </c>
      <c r="V172" s="15">
        <f>IF(ISNUMBER(Klisz_Verbräuche[[#This Row],[2040]]), Klisz_Verbräuche[[#This Row],[2040]]*Emissionsfaktoren[[#This Row],[2040]]/1000, 0)</f>
        <v>0</v>
      </c>
      <c r="W172" s="15">
        <f>IF(ISNUMBER(Klisz_Verbräuche[[#This Row],[2045]]), Klisz_Verbräuche[[#This Row],[2045]]*Emissionsfaktoren[[#This Row],[2045]]/1000, 0)</f>
        <v>0</v>
      </c>
      <c r="X172" s="15">
        <f>IF(ISNUMBER(Klisz_Verbräuche[[#This Row],[2050]]), Klisz_Verbräuche[[#This Row],[2050]]*Emissionsfaktoren[[#This Row],[2050]]/1000, 0)</f>
        <v>0</v>
      </c>
    </row>
    <row r="173" spans="2:24" ht="16.5" hidden="1" x14ac:dyDescent="0.45">
      <c r="B173" s="15">
        <v>113</v>
      </c>
      <c r="C173" s="20" t="str">
        <f>Refsz_Verbräuche[[#This Row],[Datenpunkt]]</f>
        <v>E-Großgeräte (Abfall)</v>
      </c>
      <c r="D173" t="s">
        <v>208</v>
      </c>
      <c r="E173" s="15">
        <f>IF(ISNUMBER(Klisz_Verbräuche[[#This Row],[2015]]), Klisz_Verbräuche[[#This Row],[2015]]*Emissionsfaktoren[[#This Row],[2015]]/1000, 0)</f>
        <v>0</v>
      </c>
      <c r="F173" s="15">
        <f>IF(ISNUMBER(Klisz_Verbräuche[[#This Row],[2016]]), Klisz_Verbräuche[[#This Row],[2016]]*Emissionsfaktoren[[#This Row],[2016]]/1000, 0)</f>
        <v>0</v>
      </c>
      <c r="G173" s="15">
        <f>IF(ISNUMBER(Klisz_Verbräuche[[#This Row],[2017]]), Klisz_Verbräuche[[#This Row],[2017]]*Emissionsfaktoren[[#This Row],[2017]]/1000, 0)</f>
        <v>0</v>
      </c>
      <c r="H173" s="15">
        <f>IF(ISNUMBER(Klisz_Verbräuche[[#This Row],[2018]]), Klisz_Verbräuche[[#This Row],[2018]]*Emissionsfaktoren[[#This Row],[2018]]/1000, 0)</f>
        <v>0</v>
      </c>
      <c r="I173" s="15">
        <f>IF(ISNUMBER(Klisz_Verbräuche[[#This Row],[2019]]), Klisz_Verbräuche[[#This Row],[2019]]*Emissionsfaktoren[[#This Row],[2019]]/1000, 0)</f>
        <v>0</v>
      </c>
      <c r="J173" s="15">
        <f>IF(ISNUMBER(Klisz_Verbräuche[[#This Row],[2020]]), Klisz_Verbräuche[[#This Row],[2020]]*Emissionsfaktoren[[#This Row],[2020]]/1000, 0)</f>
        <v>0</v>
      </c>
      <c r="K173" s="15">
        <f>IF(ISNUMBER(Klisz_Verbräuche[[#This Row],[2021]]), Klisz_Verbräuche[[#This Row],[2021]]*Emissionsfaktoren[[#This Row],[2021]]/1000, 0)</f>
        <v>0</v>
      </c>
      <c r="L173" s="15">
        <f>IF(ISNUMBER(Klisz_Verbräuche[[#This Row],[2022]]), Klisz_Verbräuche[[#This Row],[2022]]*Emissionsfaktoren[[#This Row],[2022]]/1000, 0)</f>
        <v>0</v>
      </c>
      <c r="M173" s="15">
        <f>IF(ISNUMBER(Klisz_Verbräuche[[#This Row],[2023]]), Klisz_Verbräuche[[#This Row],[2023]]*Emissionsfaktoren[[#This Row],[2023]]/1000, 0)</f>
        <v>0</v>
      </c>
      <c r="N173" s="15">
        <f>IF(ISNUMBER(Klisz_Verbräuche[[#This Row],[2024]]), Klisz_Verbräuche[[#This Row],[2024]]*Emissionsfaktoren[[#This Row],[2024]]/1000, 0)</f>
        <v>0</v>
      </c>
      <c r="O173" s="15">
        <f>IF(ISNUMBER(Klisz_Verbräuche[[#This Row],[2025]]), Klisz_Verbräuche[[#This Row],[2025]]*Emissionsfaktoren[[#This Row],[2025]]/1000, 0)</f>
        <v>0</v>
      </c>
      <c r="P173" s="15">
        <f>IF(ISNUMBER(Klisz_Verbräuche[[#This Row],[2026]]), Klisz_Verbräuche[[#This Row],[2026]]*Emissionsfaktoren[[#This Row],[2026]]/1000, 0)</f>
        <v>0</v>
      </c>
      <c r="Q173" s="15">
        <f>IF(ISNUMBER(Klisz_Verbräuche[[#This Row],[2027]]), Klisz_Verbräuche[[#This Row],[2027]]*Emissionsfaktoren[[#This Row],[2027]]/1000, 0)</f>
        <v>0</v>
      </c>
      <c r="R173" s="15">
        <f>IF(ISNUMBER(Klisz_Verbräuche[[#This Row],[2028]]), Klisz_Verbräuche[[#This Row],[2028]]*Emissionsfaktoren[[#This Row],[2028]]/1000, 0)</f>
        <v>0</v>
      </c>
      <c r="S173" s="15">
        <f>IF(ISNUMBER(Klisz_Verbräuche[[#This Row],[2029]]), Klisz_Verbräuche[[#This Row],[2029]]*Emissionsfaktoren[[#This Row],[2029]]/1000, 0)</f>
        <v>0</v>
      </c>
      <c r="T173" s="15">
        <f>IF(ISNUMBER(Klisz_Verbräuche[[#This Row],[2030]]), Klisz_Verbräuche[[#This Row],[2030]]*Emissionsfaktoren[[#This Row],[2030]]/1000, 0)</f>
        <v>0</v>
      </c>
      <c r="U173" s="15">
        <f>IF(ISNUMBER(Klisz_Verbräuche[[#This Row],[2035]]), Klisz_Verbräuche[[#This Row],[2035]]*Emissionsfaktoren[[#This Row],[2035]]/1000, 0)</f>
        <v>0</v>
      </c>
      <c r="V173" s="15">
        <f>IF(ISNUMBER(Klisz_Verbräuche[[#This Row],[2040]]), Klisz_Verbräuche[[#This Row],[2040]]*Emissionsfaktoren[[#This Row],[2040]]/1000, 0)</f>
        <v>0</v>
      </c>
      <c r="W173" s="15">
        <f>IF(ISNUMBER(Klisz_Verbräuche[[#This Row],[2045]]), Klisz_Verbräuche[[#This Row],[2045]]*Emissionsfaktoren[[#This Row],[2045]]/1000, 0)</f>
        <v>0</v>
      </c>
      <c r="X173" s="15">
        <f>IF(ISNUMBER(Klisz_Verbräuche[[#This Row],[2050]]), Klisz_Verbräuche[[#This Row],[2050]]*Emissionsfaktoren[[#This Row],[2050]]/1000, 0)</f>
        <v>0</v>
      </c>
    </row>
    <row r="174" spans="2:24" ht="16.5" hidden="1" x14ac:dyDescent="0.45">
      <c r="B174" s="15">
        <v>114</v>
      </c>
      <c r="C174" s="20" t="str">
        <f>Refsz_Verbräuche[[#This Row],[Datenpunkt]]</f>
        <v>Metalle (Abfall)</v>
      </c>
      <c r="D174" t="s">
        <v>208</v>
      </c>
      <c r="E174" s="15">
        <f>IF(ISNUMBER(Klisz_Verbräuche[[#This Row],[2015]]), Klisz_Verbräuche[[#This Row],[2015]]*Emissionsfaktoren[[#This Row],[2015]]/1000, 0)</f>
        <v>0</v>
      </c>
      <c r="F174" s="15">
        <f>IF(ISNUMBER(Klisz_Verbräuche[[#This Row],[2016]]), Klisz_Verbräuche[[#This Row],[2016]]*Emissionsfaktoren[[#This Row],[2016]]/1000, 0)</f>
        <v>0</v>
      </c>
      <c r="G174" s="15">
        <f>IF(ISNUMBER(Klisz_Verbräuche[[#This Row],[2017]]), Klisz_Verbräuche[[#This Row],[2017]]*Emissionsfaktoren[[#This Row],[2017]]/1000, 0)</f>
        <v>0</v>
      </c>
      <c r="H174" s="15">
        <f>IF(ISNUMBER(Klisz_Verbräuche[[#This Row],[2018]]), Klisz_Verbräuche[[#This Row],[2018]]*Emissionsfaktoren[[#This Row],[2018]]/1000, 0)</f>
        <v>0</v>
      </c>
      <c r="I174" s="15">
        <f>IF(ISNUMBER(Klisz_Verbräuche[[#This Row],[2019]]), Klisz_Verbräuche[[#This Row],[2019]]*Emissionsfaktoren[[#This Row],[2019]]/1000, 0)</f>
        <v>0</v>
      </c>
      <c r="J174" s="15">
        <f>IF(ISNUMBER(Klisz_Verbräuche[[#This Row],[2020]]), Klisz_Verbräuche[[#This Row],[2020]]*Emissionsfaktoren[[#This Row],[2020]]/1000, 0)</f>
        <v>0</v>
      </c>
      <c r="K174" s="15">
        <f>IF(ISNUMBER(Klisz_Verbräuche[[#This Row],[2021]]), Klisz_Verbräuche[[#This Row],[2021]]*Emissionsfaktoren[[#This Row],[2021]]/1000, 0)</f>
        <v>0</v>
      </c>
      <c r="L174" s="15">
        <f>IF(ISNUMBER(Klisz_Verbräuche[[#This Row],[2022]]), Klisz_Verbräuche[[#This Row],[2022]]*Emissionsfaktoren[[#This Row],[2022]]/1000, 0)</f>
        <v>0</v>
      </c>
      <c r="M174" s="15">
        <f>IF(ISNUMBER(Klisz_Verbräuche[[#This Row],[2023]]), Klisz_Verbräuche[[#This Row],[2023]]*Emissionsfaktoren[[#This Row],[2023]]/1000, 0)</f>
        <v>0</v>
      </c>
      <c r="N174" s="15">
        <f>IF(ISNUMBER(Klisz_Verbräuche[[#This Row],[2024]]), Klisz_Verbräuche[[#This Row],[2024]]*Emissionsfaktoren[[#This Row],[2024]]/1000, 0)</f>
        <v>0</v>
      </c>
      <c r="O174" s="15">
        <f>IF(ISNUMBER(Klisz_Verbräuche[[#This Row],[2025]]), Klisz_Verbräuche[[#This Row],[2025]]*Emissionsfaktoren[[#This Row],[2025]]/1000, 0)</f>
        <v>0</v>
      </c>
      <c r="P174" s="15">
        <f>IF(ISNUMBER(Klisz_Verbräuche[[#This Row],[2026]]), Klisz_Verbräuche[[#This Row],[2026]]*Emissionsfaktoren[[#This Row],[2026]]/1000, 0)</f>
        <v>0</v>
      </c>
      <c r="Q174" s="15">
        <f>IF(ISNUMBER(Klisz_Verbräuche[[#This Row],[2027]]), Klisz_Verbräuche[[#This Row],[2027]]*Emissionsfaktoren[[#This Row],[2027]]/1000, 0)</f>
        <v>0</v>
      </c>
      <c r="R174" s="15">
        <f>IF(ISNUMBER(Klisz_Verbräuche[[#This Row],[2028]]), Klisz_Verbräuche[[#This Row],[2028]]*Emissionsfaktoren[[#This Row],[2028]]/1000, 0)</f>
        <v>0</v>
      </c>
      <c r="S174" s="15">
        <f>IF(ISNUMBER(Klisz_Verbräuche[[#This Row],[2029]]), Klisz_Verbräuche[[#This Row],[2029]]*Emissionsfaktoren[[#This Row],[2029]]/1000, 0)</f>
        <v>0</v>
      </c>
      <c r="T174" s="15">
        <f>IF(ISNUMBER(Klisz_Verbräuche[[#This Row],[2030]]), Klisz_Verbräuche[[#This Row],[2030]]*Emissionsfaktoren[[#This Row],[2030]]/1000, 0)</f>
        <v>0</v>
      </c>
      <c r="U174" s="15">
        <f>IF(ISNUMBER(Klisz_Verbräuche[[#This Row],[2035]]), Klisz_Verbräuche[[#This Row],[2035]]*Emissionsfaktoren[[#This Row],[2035]]/1000, 0)</f>
        <v>0</v>
      </c>
      <c r="V174" s="15">
        <f>IF(ISNUMBER(Klisz_Verbräuche[[#This Row],[2040]]), Klisz_Verbräuche[[#This Row],[2040]]*Emissionsfaktoren[[#This Row],[2040]]/1000, 0)</f>
        <v>0</v>
      </c>
      <c r="W174" s="15">
        <f>IF(ISNUMBER(Klisz_Verbräuche[[#This Row],[2045]]), Klisz_Verbräuche[[#This Row],[2045]]*Emissionsfaktoren[[#This Row],[2045]]/1000, 0)</f>
        <v>0</v>
      </c>
      <c r="X174" s="15">
        <f>IF(ISNUMBER(Klisz_Verbräuche[[#This Row],[2050]]), Klisz_Verbräuche[[#This Row],[2050]]*Emissionsfaktoren[[#This Row],[2050]]/1000, 0)</f>
        <v>0</v>
      </c>
    </row>
    <row r="175" spans="2:24" ht="16.5" hidden="1" x14ac:dyDescent="0.45">
      <c r="B175" s="15">
        <v>115</v>
      </c>
      <c r="C175" s="20" t="str">
        <f>Refsz_Verbräuche[[#This Row],[Datenpunkt]]</f>
        <v>Bauschutt</v>
      </c>
      <c r="D175" t="s">
        <v>208</v>
      </c>
      <c r="E175" s="15">
        <f>IF(ISNUMBER(Klisz_Verbräuche[[#This Row],[2015]]), Klisz_Verbräuche[[#This Row],[2015]]*Emissionsfaktoren[[#This Row],[2015]]/1000, 0)</f>
        <v>0</v>
      </c>
      <c r="F175" s="15">
        <f>IF(ISNUMBER(Klisz_Verbräuche[[#This Row],[2016]]), Klisz_Verbräuche[[#This Row],[2016]]*Emissionsfaktoren[[#This Row],[2016]]/1000, 0)</f>
        <v>0</v>
      </c>
      <c r="G175" s="15">
        <f>IF(ISNUMBER(Klisz_Verbräuche[[#This Row],[2017]]), Klisz_Verbräuche[[#This Row],[2017]]*Emissionsfaktoren[[#This Row],[2017]]/1000, 0)</f>
        <v>0</v>
      </c>
      <c r="H175" s="15">
        <f>IF(ISNUMBER(Klisz_Verbräuche[[#This Row],[2018]]), Klisz_Verbräuche[[#This Row],[2018]]*Emissionsfaktoren[[#This Row],[2018]]/1000, 0)</f>
        <v>0</v>
      </c>
      <c r="I175" s="15">
        <f>IF(ISNUMBER(Klisz_Verbräuche[[#This Row],[2019]]), Klisz_Verbräuche[[#This Row],[2019]]*Emissionsfaktoren[[#This Row],[2019]]/1000, 0)</f>
        <v>0</v>
      </c>
      <c r="J175" s="15">
        <f>IF(ISNUMBER(Klisz_Verbräuche[[#This Row],[2020]]), Klisz_Verbräuche[[#This Row],[2020]]*Emissionsfaktoren[[#This Row],[2020]]/1000, 0)</f>
        <v>0</v>
      </c>
      <c r="K175" s="15">
        <f>IF(ISNUMBER(Klisz_Verbräuche[[#This Row],[2021]]), Klisz_Verbräuche[[#This Row],[2021]]*Emissionsfaktoren[[#This Row],[2021]]/1000, 0)</f>
        <v>0</v>
      </c>
      <c r="L175" s="15">
        <f>IF(ISNUMBER(Klisz_Verbräuche[[#This Row],[2022]]), Klisz_Verbräuche[[#This Row],[2022]]*Emissionsfaktoren[[#This Row],[2022]]/1000, 0)</f>
        <v>0</v>
      </c>
      <c r="M175" s="15">
        <f>IF(ISNUMBER(Klisz_Verbräuche[[#This Row],[2023]]), Klisz_Verbräuche[[#This Row],[2023]]*Emissionsfaktoren[[#This Row],[2023]]/1000, 0)</f>
        <v>0</v>
      </c>
      <c r="N175" s="15">
        <f>IF(ISNUMBER(Klisz_Verbräuche[[#This Row],[2024]]), Klisz_Verbräuche[[#This Row],[2024]]*Emissionsfaktoren[[#This Row],[2024]]/1000, 0)</f>
        <v>0</v>
      </c>
      <c r="O175" s="15">
        <f>IF(ISNUMBER(Klisz_Verbräuche[[#This Row],[2025]]), Klisz_Verbräuche[[#This Row],[2025]]*Emissionsfaktoren[[#This Row],[2025]]/1000, 0)</f>
        <v>0</v>
      </c>
      <c r="P175" s="15">
        <f>IF(ISNUMBER(Klisz_Verbräuche[[#This Row],[2026]]), Klisz_Verbräuche[[#This Row],[2026]]*Emissionsfaktoren[[#This Row],[2026]]/1000, 0)</f>
        <v>0</v>
      </c>
      <c r="Q175" s="15">
        <f>IF(ISNUMBER(Klisz_Verbräuche[[#This Row],[2027]]), Klisz_Verbräuche[[#This Row],[2027]]*Emissionsfaktoren[[#This Row],[2027]]/1000, 0)</f>
        <v>0</v>
      </c>
      <c r="R175" s="15">
        <f>IF(ISNUMBER(Klisz_Verbräuche[[#This Row],[2028]]), Klisz_Verbräuche[[#This Row],[2028]]*Emissionsfaktoren[[#This Row],[2028]]/1000, 0)</f>
        <v>0</v>
      </c>
      <c r="S175" s="15">
        <f>IF(ISNUMBER(Klisz_Verbräuche[[#This Row],[2029]]), Klisz_Verbräuche[[#This Row],[2029]]*Emissionsfaktoren[[#This Row],[2029]]/1000, 0)</f>
        <v>0</v>
      </c>
      <c r="T175" s="15">
        <f>IF(ISNUMBER(Klisz_Verbräuche[[#This Row],[2030]]), Klisz_Verbräuche[[#This Row],[2030]]*Emissionsfaktoren[[#This Row],[2030]]/1000, 0)</f>
        <v>0</v>
      </c>
      <c r="U175" s="15">
        <f>IF(ISNUMBER(Klisz_Verbräuche[[#This Row],[2035]]), Klisz_Verbräuche[[#This Row],[2035]]*Emissionsfaktoren[[#This Row],[2035]]/1000, 0)</f>
        <v>0</v>
      </c>
      <c r="V175" s="15">
        <f>IF(ISNUMBER(Klisz_Verbräuche[[#This Row],[2040]]), Klisz_Verbräuche[[#This Row],[2040]]*Emissionsfaktoren[[#This Row],[2040]]/1000, 0)</f>
        <v>0</v>
      </c>
      <c r="W175" s="15">
        <f>IF(ISNUMBER(Klisz_Verbräuche[[#This Row],[2045]]), Klisz_Verbräuche[[#This Row],[2045]]*Emissionsfaktoren[[#This Row],[2045]]/1000, 0)</f>
        <v>0</v>
      </c>
      <c r="X175" s="15">
        <f>IF(ISNUMBER(Klisz_Verbräuche[[#This Row],[2050]]), Klisz_Verbräuche[[#This Row],[2050]]*Emissionsfaktoren[[#This Row],[2050]]/1000, 0)</f>
        <v>0</v>
      </c>
    </row>
    <row r="176" spans="2:24" ht="16.5" hidden="1" x14ac:dyDescent="0.45">
      <c r="B176" s="15">
        <v>116</v>
      </c>
      <c r="C176" s="20">
        <f>Refsz_Verbräuche[[#This Row],[Datenpunkt]]</f>
        <v>0</v>
      </c>
      <c r="D176" t="s">
        <v>208</v>
      </c>
      <c r="E176" s="15">
        <f>IF(ISNUMBER(Klisz_Verbräuche[[#This Row],[2015]]), Klisz_Verbräuche[[#This Row],[2015]]*Emissionsfaktoren[[#This Row],[2015]]/1000, 0)</f>
        <v>0</v>
      </c>
      <c r="F176" s="15">
        <f>IF(ISNUMBER(Klisz_Verbräuche[[#This Row],[2016]]), Klisz_Verbräuche[[#This Row],[2016]]*Emissionsfaktoren[[#This Row],[2016]]/1000, 0)</f>
        <v>0</v>
      </c>
      <c r="G176" s="15">
        <f>IF(ISNUMBER(Klisz_Verbräuche[[#This Row],[2017]]), Klisz_Verbräuche[[#This Row],[2017]]*Emissionsfaktoren[[#This Row],[2017]]/1000, 0)</f>
        <v>0</v>
      </c>
      <c r="H176" s="15">
        <f>IF(ISNUMBER(Klisz_Verbräuche[[#This Row],[2018]]), Klisz_Verbräuche[[#This Row],[2018]]*Emissionsfaktoren[[#This Row],[2018]]/1000, 0)</f>
        <v>0</v>
      </c>
      <c r="I176" s="15">
        <f>IF(ISNUMBER(Klisz_Verbräuche[[#This Row],[2019]]), Klisz_Verbräuche[[#This Row],[2019]]*Emissionsfaktoren[[#This Row],[2019]]/1000, 0)</f>
        <v>0</v>
      </c>
      <c r="J176" s="15">
        <f>IF(ISNUMBER(Klisz_Verbräuche[[#This Row],[2020]]), Klisz_Verbräuche[[#This Row],[2020]]*Emissionsfaktoren[[#This Row],[2020]]/1000, 0)</f>
        <v>0</v>
      </c>
      <c r="K176" s="15">
        <f>IF(ISNUMBER(Klisz_Verbräuche[[#This Row],[2021]]), Klisz_Verbräuche[[#This Row],[2021]]*Emissionsfaktoren[[#This Row],[2021]]/1000, 0)</f>
        <v>0</v>
      </c>
      <c r="L176" s="15">
        <f>IF(ISNUMBER(Klisz_Verbräuche[[#This Row],[2022]]), Klisz_Verbräuche[[#This Row],[2022]]*Emissionsfaktoren[[#This Row],[2022]]/1000, 0)</f>
        <v>0</v>
      </c>
      <c r="M176" s="15">
        <f>IF(ISNUMBER(Klisz_Verbräuche[[#This Row],[2023]]), Klisz_Verbräuche[[#This Row],[2023]]*Emissionsfaktoren[[#This Row],[2023]]/1000, 0)</f>
        <v>0</v>
      </c>
      <c r="N176" s="15">
        <f>IF(ISNUMBER(Klisz_Verbräuche[[#This Row],[2024]]), Klisz_Verbräuche[[#This Row],[2024]]*Emissionsfaktoren[[#This Row],[2024]]/1000, 0)</f>
        <v>0</v>
      </c>
      <c r="O176" s="15">
        <f>IF(ISNUMBER(Klisz_Verbräuche[[#This Row],[2025]]), Klisz_Verbräuche[[#This Row],[2025]]*Emissionsfaktoren[[#This Row],[2025]]/1000, 0)</f>
        <v>0</v>
      </c>
      <c r="P176" s="15">
        <f>IF(ISNUMBER(Klisz_Verbräuche[[#This Row],[2026]]), Klisz_Verbräuche[[#This Row],[2026]]*Emissionsfaktoren[[#This Row],[2026]]/1000, 0)</f>
        <v>0</v>
      </c>
      <c r="Q176" s="15">
        <f>IF(ISNUMBER(Klisz_Verbräuche[[#This Row],[2027]]), Klisz_Verbräuche[[#This Row],[2027]]*Emissionsfaktoren[[#This Row],[2027]]/1000, 0)</f>
        <v>0</v>
      </c>
      <c r="R176" s="15">
        <f>IF(ISNUMBER(Klisz_Verbräuche[[#This Row],[2028]]), Klisz_Verbräuche[[#This Row],[2028]]*Emissionsfaktoren[[#This Row],[2028]]/1000, 0)</f>
        <v>0</v>
      </c>
      <c r="S176" s="15">
        <f>IF(ISNUMBER(Klisz_Verbräuche[[#This Row],[2029]]), Klisz_Verbräuche[[#This Row],[2029]]*Emissionsfaktoren[[#This Row],[2029]]/1000, 0)</f>
        <v>0</v>
      </c>
      <c r="T176" s="15">
        <f>IF(ISNUMBER(Klisz_Verbräuche[[#This Row],[2030]]), Klisz_Verbräuche[[#This Row],[2030]]*Emissionsfaktoren[[#This Row],[2030]]/1000, 0)</f>
        <v>0</v>
      </c>
      <c r="U176" s="15">
        <f>IF(ISNUMBER(Klisz_Verbräuche[[#This Row],[2035]]), Klisz_Verbräuche[[#This Row],[2035]]*Emissionsfaktoren[[#This Row],[2035]]/1000, 0)</f>
        <v>0</v>
      </c>
      <c r="V176" s="15">
        <f>IF(ISNUMBER(Klisz_Verbräuche[[#This Row],[2040]]), Klisz_Verbräuche[[#This Row],[2040]]*Emissionsfaktoren[[#This Row],[2040]]/1000, 0)</f>
        <v>0</v>
      </c>
      <c r="W176" s="15">
        <f>IF(ISNUMBER(Klisz_Verbräuche[[#This Row],[2045]]), Klisz_Verbräuche[[#This Row],[2045]]*Emissionsfaktoren[[#This Row],[2045]]/1000, 0)</f>
        <v>0</v>
      </c>
      <c r="X176" s="15">
        <f>IF(ISNUMBER(Klisz_Verbräuche[[#This Row],[2050]]), Klisz_Verbräuche[[#This Row],[2050]]*Emissionsfaktoren[[#This Row],[2050]]/1000, 0)</f>
        <v>0</v>
      </c>
    </row>
    <row r="177" spans="2:24" ht="16.5" hidden="1" x14ac:dyDescent="0.45">
      <c r="B177" s="15">
        <v>117</v>
      </c>
      <c r="C177" s="20" t="str">
        <f>Refsz_Verbräuche[[#This Row],[Datenpunkt]]</f>
        <v>Branntkalk</v>
      </c>
      <c r="D177" t="s">
        <v>208</v>
      </c>
      <c r="E177" s="15">
        <f>IF(ISNUMBER(Klisz_Verbräuche[[#This Row],[2015]]), Klisz_Verbräuche[[#This Row],[2015]]*Emissionsfaktoren[[#This Row],[2015]]/1000, 0)</f>
        <v>0</v>
      </c>
      <c r="F177" s="15">
        <f>IF(ISNUMBER(Klisz_Verbräuche[[#This Row],[2016]]), Klisz_Verbräuche[[#This Row],[2016]]*Emissionsfaktoren[[#This Row],[2016]]/1000, 0)</f>
        <v>0</v>
      </c>
      <c r="G177" s="15">
        <f>IF(ISNUMBER(Klisz_Verbräuche[[#This Row],[2017]]), Klisz_Verbräuche[[#This Row],[2017]]*Emissionsfaktoren[[#This Row],[2017]]/1000, 0)</f>
        <v>0</v>
      </c>
      <c r="H177" s="15">
        <f>IF(ISNUMBER(Klisz_Verbräuche[[#This Row],[2018]]), Klisz_Verbräuche[[#This Row],[2018]]*Emissionsfaktoren[[#This Row],[2018]]/1000, 0)</f>
        <v>0</v>
      </c>
      <c r="I177" s="15">
        <f>IF(ISNUMBER(Klisz_Verbräuche[[#This Row],[2019]]), Klisz_Verbräuche[[#This Row],[2019]]*Emissionsfaktoren[[#This Row],[2019]]/1000, 0)</f>
        <v>0</v>
      </c>
      <c r="J177" s="15">
        <f>IF(ISNUMBER(Klisz_Verbräuche[[#This Row],[2020]]), Klisz_Verbräuche[[#This Row],[2020]]*Emissionsfaktoren[[#This Row],[2020]]/1000, 0)</f>
        <v>0</v>
      </c>
      <c r="K177" s="15">
        <f>IF(ISNUMBER(Klisz_Verbräuche[[#This Row],[2021]]), Klisz_Verbräuche[[#This Row],[2021]]*Emissionsfaktoren[[#This Row],[2021]]/1000, 0)</f>
        <v>0</v>
      </c>
      <c r="L177" s="15">
        <f>IF(ISNUMBER(Klisz_Verbräuche[[#This Row],[2022]]), Klisz_Verbräuche[[#This Row],[2022]]*Emissionsfaktoren[[#This Row],[2022]]/1000, 0)</f>
        <v>0</v>
      </c>
      <c r="M177" s="15">
        <f>IF(ISNUMBER(Klisz_Verbräuche[[#This Row],[2023]]), Klisz_Verbräuche[[#This Row],[2023]]*Emissionsfaktoren[[#This Row],[2023]]/1000, 0)</f>
        <v>0</v>
      </c>
      <c r="N177" s="15">
        <f>IF(ISNUMBER(Klisz_Verbräuche[[#This Row],[2024]]), Klisz_Verbräuche[[#This Row],[2024]]*Emissionsfaktoren[[#This Row],[2024]]/1000, 0)</f>
        <v>0</v>
      </c>
      <c r="O177" s="15">
        <f>IF(ISNUMBER(Klisz_Verbräuche[[#This Row],[2025]]), Klisz_Verbräuche[[#This Row],[2025]]*Emissionsfaktoren[[#This Row],[2025]]/1000, 0)</f>
        <v>0</v>
      </c>
      <c r="P177" s="15">
        <f>IF(ISNUMBER(Klisz_Verbräuche[[#This Row],[2026]]), Klisz_Verbräuche[[#This Row],[2026]]*Emissionsfaktoren[[#This Row],[2026]]/1000, 0)</f>
        <v>0</v>
      </c>
      <c r="Q177" s="15">
        <f>IF(ISNUMBER(Klisz_Verbräuche[[#This Row],[2027]]), Klisz_Verbräuche[[#This Row],[2027]]*Emissionsfaktoren[[#This Row],[2027]]/1000, 0)</f>
        <v>0</v>
      </c>
      <c r="R177" s="15">
        <f>IF(ISNUMBER(Klisz_Verbräuche[[#This Row],[2028]]), Klisz_Verbräuche[[#This Row],[2028]]*Emissionsfaktoren[[#This Row],[2028]]/1000, 0)</f>
        <v>0</v>
      </c>
      <c r="S177" s="15">
        <f>IF(ISNUMBER(Klisz_Verbräuche[[#This Row],[2029]]), Klisz_Verbräuche[[#This Row],[2029]]*Emissionsfaktoren[[#This Row],[2029]]/1000, 0)</f>
        <v>0</v>
      </c>
      <c r="T177" s="15">
        <f>IF(ISNUMBER(Klisz_Verbräuche[[#This Row],[2030]]), Klisz_Verbräuche[[#This Row],[2030]]*Emissionsfaktoren[[#This Row],[2030]]/1000, 0)</f>
        <v>0</v>
      </c>
      <c r="U177" s="15">
        <f>IF(ISNUMBER(Klisz_Verbräuche[[#This Row],[2035]]), Klisz_Verbräuche[[#This Row],[2035]]*Emissionsfaktoren[[#This Row],[2035]]/1000, 0)</f>
        <v>0</v>
      </c>
      <c r="V177" s="15">
        <f>IF(ISNUMBER(Klisz_Verbräuche[[#This Row],[2040]]), Klisz_Verbräuche[[#This Row],[2040]]*Emissionsfaktoren[[#This Row],[2040]]/1000, 0)</f>
        <v>0</v>
      </c>
      <c r="W177" s="15">
        <f>IF(ISNUMBER(Klisz_Verbräuche[[#This Row],[2045]]), Klisz_Verbräuche[[#This Row],[2045]]*Emissionsfaktoren[[#This Row],[2045]]/1000, 0)</f>
        <v>0</v>
      </c>
      <c r="X177" s="15">
        <f>IF(ISNUMBER(Klisz_Verbräuche[[#This Row],[2050]]), Klisz_Verbräuche[[#This Row],[2050]]*Emissionsfaktoren[[#This Row],[2050]]/1000, 0)</f>
        <v>0</v>
      </c>
    </row>
    <row r="178" spans="2:24" ht="16.5" hidden="1" x14ac:dyDescent="0.45">
      <c r="B178" s="15">
        <v>118</v>
      </c>
      <c r="C178" s="20" t="str">
        <f>Refsz_Verbräuche[[#This Row],[Datenpunkt]]</f>
        <v>Gips</v>
      </c>
      <c r="D178" t="s">
        <v>208</v>
      </c>
      <c r="E178" s="15">
        <f>IF(ISNUMBER(Klisz_Verbräuche[[#This Row],[2015]]), Klisz_Verbräuche[[#This Row],[2015]]*Emissionsfaktoren[[#This Row],[2015]]/1000, 0)</f>
        <v>0</v>
      </c>
      <c r="F178" s="15">
        <f>IF(ISNUMBER(Klisz_Verbräuche[[#This Row],[2016]]), Klisz_Verbräuche[[#This Row],[2016]]*Emissionsfaktoren[[#This Row],[2016]]/1000, 0)</f>
        <v>0</v>
      </c>
      <c r="G178" s="15">
        <f>IF(ISNUMBER(Klisz_Verbräuche[[#This Row],[2017]]), Klisz_Verbräuche[[#This Row],[2017]]*Emissionsfaktoren[[#This Row],[2017]]/1000, 0)</f>
        <v>0</v>
      </c>
      <c r="H178" s="15">
        <f>IF(ISNUMBER(Klisz_Verbräuche[[#This Row],[2018]]), Klisz_Verbräuche[[#This Row],[2018]]*Emissionsfaktoren[[#This Row],[2018]]/1000, 0)</f>
        <v>0</v>
      </c>
      <c r="I178" s="15">
        <f>IF(ISNUMBER(Klisz_Verbräuche[[#This Row],[2019]]), Klisz_Verbräuche[[#This Row],[2019]]*Emissionsfaktoren[[#This Row],[2019]]/1000, 0)</f>
        <v>0</v>
      </c>
      <c r="J178" s="15">
        <f>IF(ISNUMBER(Klisz_Verbräuche[[#This Row],[2020]]), Klisz_Verbräuche[[#This Row],[2020]]*Emissionsfaktoren[[#This Row],[2020]]/1000, 0)</f>
        <v>0</v>
      </c>
      <c r="K178" s="15">
        <f>IF(ISNUMBER(Klisz_Verbräuche[[#This Row],[2021]]), Klisz_Verbräuche[[#This Row],[2021]]*Emissionsfaktoren[[#This Row],[2021]]/1000, 0)</f>
        <v>0</v>
      </c>
      <c r="L178" s="15">
        <f>IF(ISNUMBER(Klisz_Verbräuche[[#This Row],[2022]]), Klisz_Verbräuche[[#This Row],[2022]]*Emissionsfaktoren[[#This Row],[2022]]/1000, 0)</f>
        <v>0</v>
      </c>
      <c r="M178" s="15">
        <f>IF(ISNUMBER(Klisz_Verbräuche[[#This Row],[2023]]), Klisz_Verbräuche[[#This Row],[2023]]*Emissionsfaktoren[[#This Row],[2023]]/1000, 0)</f>
        <v>0</v>
      </c>
      <c r="N178" s="15">
        <f>IF(ISNUMBER(Klisz_Verbräuche[[#This Row],[2024]]), Klisz_Verbräuche[[#This Row],[2024]]*Emissionsfaktoren[[#This Row],[2024]]/1000, 0)</f>
        <v>0</v>
      </c>
      <c r="O178" s="15">
        <f>IF(ISNUMBER(Klisz_Verbräuche[[#This Row],[2025]]), Klisz_Verbräuche[[#This Row],[2025]]*Emissionsfaktoren[[#This Row],[2025]]/1000, 0)</f>
        <v>0</v>
      </c>
      <c r="P178" s="15">
        <f>IF(ISNUMBER(Klisz_Verbräuche[[#This Row],[2026]]), Klisz_Verbräuche[[#This Row],[2026]]*Emissionsfaktoren[[#This Row],[2026]]/1000, 0)</f>
        <v>0</v>
      </c>
      <c r="Q178" s="15">
        <f>IF(ISNUMBER(Klisz_Verbräuche[[#This Row],[2027]]), Klisz_Verbräuche[[#This Row],[2027]]*Emissionsfaktoren[[#This Row],[2027]]/1000, 0)</f>
        <v>0</v>
      </c>
      <c r="R178" s="15">
        <f>IF(ISNUMBER(Klisz_Verbräuche[[#This Row],[2028]]), Klisz_Verbräuche[[#This Row],[2028]]*Emissionsfaktoren[[#This Row],[2028]]/1000, 0)</f>
        <v>0</v>
      </c>
      <c r="S178" s="15">
        <f>IF(ISNUMBER(Klisz_Verbräuche[[#This Row],[2029]]), Klisz_Verbräuche[[#This Row],[2029]]*Emissionsfaktoren[[#This Row],[2029]]/1000, 0)</f>
        <v>0</v>
      </c>
      <c r="T178" s="15">
        <f>IF(ISNUMBER(Klisz_Verbräuche[[#This Row],[2030]]), Klisz_Verbräuche[[#This Row],[2030]]*Emissionsfaktoren[[#This Row],[2030]]/1000, 0)</f>
        <v>0</v>
      </c>
      <c r="U178" s="15">
        <f>IF(ISNUMBER(Klisz_Verbräuche[[#This Row],[2035]]), Klisz_Verbräuche[[#This Row],[2035]]*Emissionsfaktoren[[#This Row],[2035]]/1000, 0)</f>
        <v>0</v>
      </c>
      <c r="V178" s="15">
        <f>IF(ISNUMBER(Klisz_Verbräuche[[#This Row],[2040]]), Klisz_Verbräuche[[#This Row],[2040]]*Emissionsfaktoren[[#This Row],[2040]]/1000, 0)</f>
        <v>0</v>
      </c>
      <c r="W178" s="15">
        <f>IF(ISNUMBER(Klisz_Verbräuche[[#This Row],[2045]]), Klisz_Verbräuche[[#This Row],[2045]]*Emissionsfaktoren[[#This Row],[2045]]/1000, 0)</f>
        <v>0</v>
      </c>
      <c r="X178" s="15">
        <f>IF(ISNUMBER(Klisz_Verbräuche[[#This Row],[2050]]), Klisz_Verbräuche[[#This Row],[2050]]*Emissionsfaktoren[[#This Row],[2050]]/1000, 0)</f>
        <v>0</v>
      </c>
    </row>
    <row r="179" spans="2:24" ht="16.5" hidden="1" x14ac:dyDescent="0.45">
      <c r="B179" s="15">
        <v>119</v>
      </c>
      <c r="C179" s="20" t="str">
        <f>Refsz_Verbräuche[[#This Row],[Datenpunkt]]</f>
        <v>Gipsplatte</v>
      </c>
      <c r="D179" t="s">
        <v>208</v>
      </c>
      <c r="E179" s="15">
        <f>IF(ISNUMBER(Klisz_Verbräuche[[#This Row],[2015]]), Klisz_Verbräuche[[#This Row],[2015]]*Emissionsfaktoren[[#This Row],[2015]]/1000, 0)</f>
        <v>0</v>
      </c>
      <c r="F179" s="15">
        <f>IF(ISNUMBER(Klisz_Verbräuche[[#This Row],[2016]]), Klisz_Verbräuche[[#This Row],[2016]]*Emissionsfaktoren[[#This Row],[2016]]/1000, 0)</f>
        <v>0</v>
      </c>
      <c r="G179" s="15">
        <f>IF(ISNUMBER(Klisz_Verbräuche[[#This Row],[2017]]), Klisz_Verbräuche[[#This Row],[2017]]*Emissionsfaktoren[[#This Row],[2017]]/1000, 0)</f>
        <v>0</v>
      </c>
      <c r="H179" s="15">
        <f>IF(ISNUMBER(Klisz_Verbräuche[[#This Row],[2018]]), Klisz_Verbräuche[[#This Row],[2018]]*Emissionsfaktoren[[#This Row],[2018]]/1000, 0)</f>
        <v>0</v>
      </c>
      <c r="I179" s="15">
        <f>IF(ISNUMBER(Klisz_Verbräuche[[#This Row],[2019]]), Klisz_Verbräuche[[#This Row],[2019]]*Emissionsfaktoren[[#This Row],[2019]]/1000, 0)</f>
        <v>0</v>
      </c>
      <c r="J179" s="15">
        <f>IF(ISNUMBER(Klisz_Verbräuche[[#This Row],[2020]]), Klisz_Verbräuche[[#This Row],[2020]]*Emissionsfaktoren[[#This Row],[2020]]/1000, 0)</f>
        <v>0</v>
      </c>
      <c r="K179" s="15">
        <f>IF(ISNUMBER(Klisz_Verbräuche[[#This Row],[2021]]), Klisz_Verbräuche[[#This Row],[2021]]*Emissionsfaktoren[[#This Row],[2021]]/1000, 0)</f>
        <v>0</v>
      </c>
      <c r="L179" s="15">
        <f>IF(ISNUMBER(Klisz_Verbräuche[[#This Row],[2022]]), Klisz_Verbräuche[[#This Row],[2022]]*Emissionsfaktoren[[#This Row],[2022]]/1000, 0)</f>
        <v>0</v>
      </c>
      <c r="M179" s="15">
        <f>IF(ISNUMBER(Klisz_Verbräuche[[#This Row],[2023]]), Klisz_Verbräuche[[#This Row],[2023]]*Emissionsfaktoren[[#This Row],[2023]]/1000, 0)</f>
        <v>0</v>
      </c>
      <c r="N179" s="15">
        <f>IF(ISNUMBER(Klisz_Verbräuche[[#This Row],[2024]]), Klisz_Verbräuche[[#This Row],[2024]]*Emissionsfaktoren[[#This Row],[2024]]/1000, 0)</f>
        <v>0</v>
      </c>
      <c r="O179" s="15">
        <f>IF(ISNUMBER(Klisz_Verbräuche[[#This Row],[2025]]), Klisz_Verbräuche[[#This Row],[2025]]*Emissionsfaktoren[[#This Row],[2025]]/1000, 0)</f>
        <v>0</v>
      </c>
      <c r="P179" s="15">
        <f>IF(ISNUMBER(Klisz_Verbräuche[[#This Row],[2026]]), Klisz_Verbräuche[[#This Row],[2026]]*Emissionsfaktoren[[#This Row],[2026]]/1000, 0)</f>
        <v>0</v>
      </c>
      <c r="Q179" s="15">
        <f>IF(ISNUMBER(Klisz_Verbräuche[[#This Row],[2027]]), Klisz_Verbräuche[[#This Row],[2027]]*Emissionsfaktoren[[#This Row],[2027]]/1000, 0)</f>
        <v>0</v>
      </c>
      <c r="R179" s="15">
        <f>IF(ISNUMBER(Klisz_Verbräuche[[#This Row],[2028]]), Klisz_Verbräuche[[#This Row],[2028]]*Emissionsfaktoren[[#This Row],[2028]]/1000, 0)</f>
        <v>0</v>
      </c>
      <c r="S179" s="15">
        <f>IF(ISNUMBER(Klisz_Verbräuche[[#This Row],[2029]]), Klisz_Verbräuche[[#This Row],[2029]]*Emissionsfaktoren[[#This Row],[2029]]/1000, 0)</f>
        <v>0</v>
      </c>
      <c r="T179" s="15">
        <f>IF(ISNUMBER(Klisz_Verbräuche[[#This Row],[2030]]), Klisz_Verbräuche[[#This Row],[2030]]*Emissionsfaktoren[[#This Row],[2030]]/1000, 0)</f>
        <v>0</v>
      </c>
      <c r="U179" s="15">
        <f>IF(ISNUMBER(Klisz_Verbräuche[[#This Row],[2035]]), Klisz_Verbräuche[[#This Row],[2035]]*Emissionsfaktoren[[#This Row],[2035]]/1000, 0)</f>
        <v>0</v>
      </c>
      <c r="V179" s="15">
        <f>IF(ISNUMBER(Klisz_Verbräuche[[#This Row],[2040]]), Klisz_Verbräuche[[#This Row],[2040]]*Emissionsfaktoren[[#This Row],[2040]]/1000, 0)</f>
        <v>0</v>
      </c>
      <c r="W179" s="15">
        <f>IF(ISNUMBER(Klisz_Verbräuche[[#This Row],[2045]]), Klisz_Verbräuche[[#This Row],[2045]]*Emissionsfaktoren[[#This Row],[2045]]/1000, 0)</f>
        <v>0</v>
      </c>
      <c r="X179" s="15">
        <f>IF(ISNUMBER(Klisz_Verbräuche[[#This Row],[2050]]), Klisz_Verbräuche[[#This Row],[2050]]*Emissionsfaktoren[[#This Row],[2050]]/1000, 0)</f>
        <v>0</v>
      </c>
    </row>
    <row r="180" spans="2:24" ht="16.5" hidden="1" x14ac:dyDescent="0.45">
      <c r="B180" s="15">
        <v>120</v>
      </c>
      <c r="C180" s="20" t="str">
        <f>Refsz_Verbräuche[[#This Row],[Datenpunkt]]</f>
        <v>Glas (flach)</v>
      </c>
      <c r="D180" t="s">
        <v>208</v>
      </c>
      <c r="E180" s="15">
        <f>IF(ISNUMBER(Klisz_Verbräuche[[#This Row],[2015]]), Klisz_Verbräuche[[#This Row],[2015]]*Emissionsfaktoren[[#This Row],[2015]]/1000, 0)</f>
        <v>0</v>
      </c>
      <c r="F180" s="15">
        <f>IF(ISNUMBER(Klisz_Verbräuche[[#This Row],[2016]]), Klisz_Verbräuche[[#This Row],[2016]]*Emissionsfaktoren[[#This Row],[2016]]/1000, 0)</f>
        <v>0</v>
      </c>
      <c r="G180" s="15">
        <f>IF(ISNUMBER(Klisz_Verbräuche[[#This Row],[2017]]), Klisz_Verbräuche[[#This Row],[2017]]*Emissionsfaktoren[[#This Row],[2017]]/1000, 0)</f>
        <v>0</v>
      </c>
      <c r="H180" s="15">
        <f>IF(ISNUMBER(Klisz_Verbräuche[[#This Row],[2018]]), Klisz_Verbräuche[[#This Row],[2018]]*Emissionsfaktoren[[#This Row],[2018]]/1000, 0)</f>
        <v>0</v>
      </c>
      <c r="I180" s="15">
        <f>IF(ISNUMBER(Klisz_Verbräuche[[#This Row],[2019]]), Klisz_Verbräuche[[#This Row],[2019]]*Emissionsfaktoren[[#This Row],[2019]]/1000, 0)</f>
        <v>0</v>
      </c>
      <c r="J180" s="15">
        <f>IF(ISNUMBER(Klisz_Verbräuche[[#This Row],[2020]]), Klisz_Verbräuche[[#This Row],[2020]]*Emissionsfaktoren[[#This Row],[2020]]/1000, 0)</f>
        <v>0</v>
      </c>
      <c r="K180" s="15">
        <f>IF(ISNUMBER(Klisz_Verbräuche[[#This Row],[2021]]), Klisz_Verbräuche[[#This Row],[2021]]*Emissionsfaktoren[[#This Row],[2021]]/1000, 0)</f>
        <v>0</v>
      </c>
      <c r="L180" s="15">
        <f>IF(ISNUMBER(Klisz_Verbräuche[[#This Row],[2022]]), Klisz_Verbräuche[[#This Row],[2022]]*Emissionsfaktoren[[#This Row],[2022]]/1000, 0)</f>
        <v>0</v>
      </c>
      <c r="M180" s="15">
        <f>IF(ISNUMBER(Klisz_Verbräuche[[#This Row],[2023]]), Klisz_Verbräuche[[#This Row],[2023]]*Emissionsfaktoren[[#This Row],[2023]]/1000, 0)</f>
        <v>0</v>
      </c>
      <c r="N180" s="15">
        <f>IF(ISNUMBER(Klisz_Verbräuche[[#This Row],[2024]]), Klisz_Verbräuche[[#This Row],[2024]]*Emissionsfaktoren[[#This Row],[2024]]/1000, 0)</f>
        <v>0</v>
      </c>
      <c r="O180" s="15">
        <f>IF(ISNUMBER(Klisz_Verbräuche[[#This Row],[2025]]), Klisz_Verbräuche[[#This Row],[2025]]*Emissionsfaktoren[[#This Row],[2025]]/1000, 0)</f>
        <v>0</v>
      </c>
      <c r="P180" s="15">
        <f>IF(ISNUMBER(Klisz_Verbräuche[[#This Row],[2026]]), Klisz_Verbräuche[[#This Row],[2026]]*Emissionsfaktoren[[#This Row],[2026]]/1000, 0)</f>
        <v>0</v>
      </c>
      <c r="Q180" s="15">
        <f>IF(ISNUMBER(Klisz_Verbräuche[[#This Row],[2027]]), Klisz_Verbräuche[[#This Row],[2027]]*Emissionsfaktoren[[#This Row],[2027]]/1000, 0)</f>
        <v>0</v>
      </c>
      <c r="R180" s="15">
        <f>IF(ISNUMBER(Klisz_Verbräuche[[#This Row],[2028]]), Klisz_Verbräuche[[#This Row],[2028]]*Emissionsfaktoren[[#This Row],[2028]]/1000, 0)</f>
        <v>0</v>
      </c>
      <c r="S180" s="15">
        <f>IF(ISNUMBER(Klisz_Verbräuche[[#This Row],[2029]]), Klisz_Verbräuche[[#This Row],[2029]]*Emissionsfaktoren[[#This Row],[2029]]/1000, 0)</f>
        <v>0</v>
      </c>
      <c r="T180" s="15">
        <f>IF(ISNUMBER(Klisz_Verbräuche[[#This Row],[2030]]), Klisz_Verbräuche[[#This Row],[2030]]*Emissionsfaktoren[[#This Row],[2030]]/1000, 0)</f>
        <v>0</v>
      </c>
      <c r="U180" s="15">
        <f>IF(ISNUMBER(Klisz_Verbräuche[[#This Row],[2035]]), Klisz_Verbräuche[[#This Row],[2035]]*Emissionsfaktoren[[#This Row],[2035]]/1000, 0)</f>
        <v>0</v>
      </c>
      <c r="V180" s="15">
        <f>IF(ISNUMBER(Klisz_Verbräuche[[#This Row],[2040]]), Klisz_Verbräuche[[#This Row],[2040]]*Emissionsfaktoren[[#This Row],[2040]]/1000, 0)</f>
        <v>0</v>
      </c>
      <c r="W180" s="15">
        <f>IF(ISNUMBER(Klisz_Verbräuche[[#This Row],[2045]]), Klisz_Verbräuche[[#This Row],[2045]]*Emissionsfaktoren[[#This Row],[2045]]/1000, 0)</f>
        <v>0</v>
      </c>
      <c r="X180" s="15">
        <f>IF(ISNUMBER(Klisz_Verbräuche[[#This Row],[2050]]), Klisz_Verbräuche[[#This Row],[2050]]*Emissionsfaktoren[[#This Row],[2050]]/1000, 0)</f>
        <v>0</v>
      </c>
    </row>
    <row r="181" spans="2:24" ht="16.5" hidden="1" x14ac:dyDescent="0.45">
      <c r="B181" s="15">
        <v>121</v>
      </c>
      <c r="C181" s="20" t="str">
        <f>Refsz_Verbräuche[[#This Row],[Datenpunkt]]</f>
        <v>Gussasphalt</v>
      </c>
      <c r="D181" t="s">
        <v>208</v>
      </c>
      <c r="E181" s="15">
        <f>IF(ISNUMBER(Klisz_Verbräuche[[#This Row],[2015]]), Klisz_Verbräuche[[#This Row],[2015]]*Emissionsfaktoren[[#This Row],[2015]]/1000, 0)</f>
        <v>0</v>
      </c>
      <c r="F181" s="15">
        <f>IF(ISNUMBER(Klisz_Verbräuche[[#This Row],[2016]]), Klisz_Verbräuche[[#This Row],[2016]]*Emissionsfaktoren[[#This Row],[2016]]/1000, 0)</f>
        <v>0</v>
      </c>
      <c r="G181" s="15">
        <f>IF(ISNUMBER(Klisz_Verbräuche[[#This Row],[2017]]), Klisz_Verbräuche[[#This Row],[2017]]*Emissionsfaktoren[[#This Row],[2017]]/1000, 0)</f>
        <v>0</v>
      </c>
      <c r="H181" s="15">
        <f>IF(ISNUMBER(Klisz_Verbräuche[[#This Row],[2018]]), Klisz_Verbräuche[[#This Row],[2018]]*Emissionsfaktoren[[#This Row],[2018]]/1000, 0)</f>
        <v>0</v>
      </c>
      <c r="I181" s="15">
        <f>IF(ISNUMBER(Klisz_Verbräuche[[#This Row],[2019]]), Klisz_Verbräuche[[#This Row],[2019]]*Emissionsfaktoren[[#This Row],[2019]]/1000, 0)</f>
        <v>0</v>
      </c>
      <c r="J181" s="15">
        <f>IF(ISNUMBER(Klisz_Verbräuche[[#This Row],[2020]]), Klisz_Verbräuche[[#This Row],[2020]]*Emissionsfaktoren[[#This Row],[2020]]/1000, 0)</f>
        <v>0</v>
      </c>
      <c r="K181" s="15">
        <f>IF(ISNUMBER(Klisz_Verbräuche[[#This Row],[2021]]), Klisz_Verbräuche[[#This Row],[2021]]*Emissionsfaktoren[[#This Row],[2021]]/1000, 0)</f>
        <v>0</v>
      </c>
      <c r="L181" s="15">
        <f>IF(ISNUMBER(Klisz_Verbräuche[[#This Row],[2022]]), Klisz_Verbräuche[[#This Row],[2022]]*Emissionsfaktoren[[#This Row],[2022]]/1000, 0)</f>
        <v>0</v>
      </c>
      <c r="M181" s="15">
        <f>IF(ISNUMBER(Klisz_Verbräuche[[#This Row],[2023]]), Klisz_Verbräuche[[#This Row],[2023]]*Emissionsfaktoren[[#This Row],[2023]]/1000, 0)</f>
        <v>0</v>
      </c>
      <c r="N181" s="15">
        <f>IF(ISNUMBER(Klisz_Verbräuche[[#This Row],[2024]]), Klisz_Verbräuche[[#This Row],[2024]]*Emissionsfaktoren[[#This Row],[2024]]/1000, 0)</f>
        <v>0</v>
      </c>
      <c r="O181" s="15">
        <f>IF(ISNUMBER(Klisz_Verbräuche[[#This Row],[2025]]), Klisz_Verbräuche[[#This Row],[2025]]*Emissionsfaktoren[[#This Row],[2025]]/1000, 0)</f>
        <v>0</v>
      </c>
      <c r="P181" s="15">
        <f>IF(ISNUMBER(Klisz_Verbräuche[[#This Row],[2026]]), Klisz_Verbräuche[[#This Row],[2026]]*Emissionsfaktoren[[#This Row],[2026]]/1000, 0)</f>
        <v>0</v>
      </c>
      <c r="Q181" s="15">
        <f>IF(ISNUMBER(Klisz_Verbräuche[[#This Row],[2027]]), Klisz_Verbräuche[[#This Row],[2027]]*Emissionsfaktoren[[#This Row],[2027]]/1000, 0)</f>
        <v>0</v>
      </c>
      <c r="R181" s="15">
        <f>IF(ISNUMBER(Klisz_Verbräuche[[#This Row],[2028]]), Klisz_Verbräuche[[#This Row],[2028]]*Emissionsfaktoren[[#This Row],[2028]]/1000, 0)</f>
        <v>0</v>
      </c>
      <c r="S181" s="15">
        <f>IF(ISNUMBER(Klisz_Verbräuche[[#This Row],[2029]]), Klisz_Verbräuche[[#This Row],[2029]]*Emissionsfaktoren[[#This Row],[2029]]/1000, 0)</f>
        <v>0</v>
      </c>
      <c r="T181" s="15">
        <f>IF(ISNUMBER(Klisz_Verbräuche[[#This Row],[2030]]), Klisz_Verbräuche[[#This Row],[2030]]*Emissionsfaktoren[[#This Row],[2030]]/1000, 0)</f>
        <v>0</v>
      </c>
      <c r="U181" s="15">
        <f>IF(ISNUMBER(Klisz_Verbräuche[[#This Row],[2035]]), Klisz_Verbräuche[[#This Row],[2035]]*Emissionsfaktoren[[#This Row],[2035]]/1000, 0)</f>
        <v>0</v>
      </c>
      <c r="V181" s="15">
        <f>IF(ISNUMBER(Klisz_Verbräuche[[#This Row],[2040]]), Klisz_Verbräuche[[#This Row],[2040]]*Emissionsfaktoren[[#This Row],[2040]]/1000, 0)</f>
        <v>0</v>
      </c>
      <c r="W181" s="15">
        <f>IF(ISNUMBER(Klisz_Verbräuche[[#This Row],[2045]]), Klisz_Verbräuche[[#This Row],[2045]]*Emissionsfaktoren[[#This Row],[2045]]/1000, 0)</f>
        <v>0</v>
      </c>
      <c r="X181" s="15">
        <f>IF(ISNUMBER(Klisz_Verbräuche[[#This Row],[2050]]), Klisz_Verbräuche[[#This Row],[2050]]*Emissionsfaktoren[[#This Row],[2050]]/1000, 0)</f>
        <v>0</v>
      </c>
    </row>
    <row r="182" spans="2:24" ht="16.5" hidden="1" x14ac:dyDescent="0.45">
      <c r="B182" s="15">
        <v>122</v>
      </c>
      <c r="C182" s="20" t="str">
        <f>Refsz_Verbräuche[[#This Row],[Datenpunkt]]</f>
        <v>Kalksandstein</v>
      </c>
      <c r="D182" t="s">
        <v>208</v>
      </c>
      <c r="E182" s="15">
        <f>IF(ISNUMBER(Klisz_Verbräuche[[#This Row],[2015]]), Klisz_Verbräuche[[#This Row],[2015]]*Emissionsfaktoren[[#This Row],[2015]]/1000, 0)</f>
        <v>0</v>
      </c>
      <c r="F182" s="15">
        <f>IF(ISNUMBER(Klisz_Verbräuche[[#This Row],[2016]]), Klisz_Verbräuche[[#This Row],[2016]]*Emissionsfaktoren[[#This Row],[2016]]/1000, 0)</f>
        <v>0</v>
      </c>
      <c r="G182" s="15">
        <f>IF(ISNUMBER(Klisz_Verbräuche[[#This Row],[2017]]), Klisz_Verbräuche[[#This Row],[2017]]*Emissionsfaktoren[[#This Row],[2017]]/1000, 0)</f>
        <v>0</v>
      </c>
      <c r="H182" s="15">
        <f>IF(ISNUMBER(Klisz_Verbräuche[[#This Row],[2018]]), Klisz_Verbräuche[[#This Row],[2018]]*Emissionsfaktoren[[#This Row],[2018]]/1000, 0)</f>
        <v>0</v>
      </c>
      <c r="I182" s="15">
        <f>IF(ISNUMBER(Klisz_Verbräuche[[#This Row],[2019]]), Klisz_Verbräuche[[#This Row],[2019]]*Emissionsfaktoren[[#This Row],[2019]]/1000, 0)</f>
        <v>0</v>
      </c>
      <c r="J182" s="15">
        <f>IF(ISNUMBER(Klisz_Verbräuche[[#This Row],[2020]]), Klisz_Verbräuche[[#This Row],[2020]]*Emissionsfaktoren[[#This Row],[2020]]/1000, 0)</f>
        <v>0</v>
      </c>
      <c r="K182" s="15">
        <f>IF(ISNUMBER(Klisz_Verbräuche[[#This Row],[2021]]), Klisz_Verbräuche[[#This Row],[2021]]*Emissionsfaktoren[[#This Row],[2021]]/1000, 0)</f>
        <v>0</v>
      </c>
      <c r="L182" s="15">
        <f>IF(ISNUMBER(Klisz_Verbräuche[[#This Row],[2022]]), Klisz_Verbräuche[[#This Row],[2022]]*Emissionsfaktoren[[#This Row],[2022]]/1000, 0)</f>
        <v>0</v>
      </c>
      <c r="M182" s="15">
        <f>IF(ISNUMBER(Klisz_Verbräuche[[#This Row],[2023]]), Klisz_Verbräuche[[#This Row],[2023]]*Emissionsfaktoren[[#This Row],[2023]]/1000, 0)</f>
        <v>0</v>
      </c>
      <c r="N182" s="15">
        <f>IF(ISNUMBER(Klisz_Verbräuche[[#This Row],[2024]]), Klisz_Verbräuche[[#This Row],[2024]]*Emissionsfaktoren[[#This Row],[2024]]/1000, 0)</f>
        <v>0</v>
      </c>
      <c r="O182" s="15">
        <f>IF(ISNUMBER(Klisz_Verbräuche[[#This Row],[2025]]), Klisz_Verbräuche[[#This Row],[2025]]*Emissionsfaktoren[[#This Row],[2025]]/1000, 0)</f>
        <v>0</v>
      </c>
      <c r="P182" s="15">
        <f>IF(ISNUMBER(Klisz_Verbräuche[[#This Row],[2026]]), Klisz_Verbräuche[[#This Row],[2026]]*Emissionsfaktoren[[#This Row],[2026]]/1000, 0)</f>
        <v>0</v>
      </c>
      <c r="Q182" s="15">
        <f>IF(ISNUMBER(Klisz_Verbräuche[[#This Row],[2027]]), Klisz_Verbräuche[[#This Row],[2027]]*Emissionsfaktoren[[#This Row],[2027]]/1000, 0)</f>
        <v>0</v>
      </c>
      <c r="R182" s="15">
        <f>IF(ISNUMBER(Klisz_Verbräuche[[#This Row],[2028]]), Klisz_Verbräuche[[#This Row],[2028]]*Emissionsfaktoren[[#This Row],[2028]]/1000, 0)</f>
        <v>0</v>
      </c>
      <c r="S182" s="15">
        <f>IF(ISNUMBER(Klisz_Verbräuche[[#This Row],[2029]]), Klisz_Verbräuche[[#This Row],[2029]]*Emissionsfaktoren[[#This Row],[2029]]/1000, 0)</f>
        <v>0</v>
      </c>
      <c r="T182" s="15">
        <f>IF(ISNUMBER(Klisz_Verbräuche[[#This Row],[2030]]), Klisz_Verbräuche[[#This Row],[2030]]*Emissionsfaktoren[[#This Row],[2030]]/1000, 0)</f>
        <v>0</v>
      </c>
      <c r="U182" s="15">
        <f>IF(ISNUMBER(Klisz_Verbräuche[[#This Row],[2035]]), Klisz_Verbräuche[[#This Row],[2035]]*Emissionsfaktoren[[#This Row],[2035]]/1000, 0)</f>
        <v>0</v>
      </c>
      <c r="V182" s="15">
        <f>IF(ISNUMBER(Klisz_Verbräuche[[#This Row],[2040]]), Klisz_Verbräuche[[#This Row],[2040]]*Emissionsfaktoren[[#This Row],[2040]]/1000, 0)</f>
        <v>0</v>
      </c>
      <c r="W182" s="15">
        <f>IF(ISNUMBER(Klisz_Verbräuche[[#This Row],[2045]]), Klisz_Verbräuche[[#This Row],[2045]]*Emissionsfaktoren[[#This Row],[2045]]/1000, 0)</f>
        <v>0</v>
      </c>
      <c r="X182" s="15">
        <f>IF(ISNUMBER(Klisz_Verbräuche[[#This Row],[2050]]), Klisz_Verbräuche[[#This Row],[2050]]*Emissionsfaktoren[[#This Row],[2050]]/1000, 0)</f>
        <v>0</v>
      </c>
    </row>
    <row r="183" spans="2:24" ht="16.5" hidden="1" x14ac:dyDescent="0.45">
      <c r="B183" s="15">
        <v>123</v>
      </c>
      <c r="C183" s="20" t="str">
        <f>Refsz_Verbräuche[[#This Row],[Datenpunkt]]</f>
        <v>Porenbetonstein</v>
      </c>
      <c r="D183" t="s">
        <v>208</v>
      </c>
      <c r="E183" s="15">
        <f>IF(ISNUMBER(Klisz_Verbräuche[[#This Row],[2015]]), Klisz_Verbräuche[[#This Row],[2015]]*Emissionsfaktoren[[#This Row],[2015]]/1000, 0)</f>
        <v>0</v>
      </c>
      <c r="F183" s="15">
        <f>IF(ISNUMBER(Klisz_Verbräuche[[#This Row],[2016]]), Klisz_Verbräuche[[#This Row],[2016]]*Emissionsfaktoren[[#This Row],[2016]]/1000, 0)</f>
        <v>0</v>
      </c>
      <c r="G183" s="15">
        <f>IF(ISNUMBER(Klisz_Verbräuche[[#This Row],[2017]]), Klisz_Verbräuche[[#This Row],[2017]]*Emissionsfaktoren[[#This Row],[2017]]/1000, 0)</f>
        <v>0</v>
      </c>
      <c r="H183" s="15">
        <f>IF(ISNUMBER(Klisz_Verbräuche[[#This Row],[2018]]), Klisz_Verbräuche[[#This Row],[2018]]*Emissionsfaktoren[[#This Row],[2018]]/1000, 0)</f>
        <v>0</v>
      </c>
      <c r="I183" s="15">
        <f>IF(ISNUMBER(Klisz_Verbräuche[[#This Row],[2019]]), Klisz_Verbräuche[[#This Row],[2019]]*Emissionsfaktoren[[#This Row],[2019]]/1000, 0)</f>
        <v>0</v>
      </c>
      <c r="J183" s="15">
        <f>IF(ISNUMBER(Klisz_Verbräuche[[#This Row],[2020]]), Klisz_Verbräuche[[#This Row],[2020]]*Emissionsfaktoren[[#This Row],[2020]]/1000, 0)</f>
        <v>0</v>
      </c>
      <c r="K183" s="15">
        <f>IF(ISNUMBER(Klisz_Verbräuche[[#This Row],[2021]]), Klisz_Verbräuche[[#This Row],[2021]]*Emissionsfaktoren[[#This Row],[2021]]/1000, 0)</f>
        <v>0</v>
      </c>
      <c r="L183" s="15">
        <f>IF(ISNUMBER(Klisz_Verbräuche[[#This Row],[2022]]), Klisz_Verbräuche[[#This Row],[2022]]*Emissionsfaktoren[[#This Row],[2022]]/1000, 0)</f>
        <v>0</v>
      </c>
      <c r="M183" s="15">
        <f>IF(ISNUMBER(Klisz_Verbräuche[[#This Row],[2023]]), Klisz_Verbräuche[[#This Row],[2023]]*Emissionsfaktoren[[#This Row],[2023]]/1000, 0)</f>
        <v>0</v>
      </c>
      <c r="N183" s="15">
        <f>IF(ISNUMBER(Klisz_Verbräuche[[#This Row],[2024]]), Klisz_Verbräuche[[#This Row],[2024]]*Emissionsfaktoren[[#This Row],[2024]]/1000, 0)</f>
        <v>0</v>
      </c>
      <c r="O183" s="15">
        <f>IF(ISNUMBER(Klisz_Verbräuche[[#This Row],[2025]]), Klisz_Verbräuche[[#This Row],[2025]]*Emissionsfaktoren[[#This Row],[2025]]/1000, 0)</f>
        <v>0</v>
      </c>
      <c r="P183" s="15">
        <f>IF(ISNUMBER(Klisz_Verbräuche[[#This Row],[2026]]), Klisz_Verbräuche[[#This Row],[2026]]*Emissionsfaktoren[[#This Row],[2026]]/1000, 0)</f>
        <v>0</v>
      </c>
      <c r="Q183" s="15">
        <f>IF(ISNUMBER(Klisz_Verbräuche[[#This Row],[2027]]), Klisz_Verbräuche[[#This Row],[2027]]*Emissionsfaktoren[[#This Row],[2027]]/1000, 0)</f>
        <v>0</v>
      </c>
      <c r="R183" s="15">
        <f>IF(ISNUMBER(Klisz_Verbräuche[[#This Row],[2028]]), Klisz_Verbräuche[[#This Row],[2028]]*Emissionsfaktoren[[#This Row],[2028]]/1000, 0)</f>
        <v>0</v>
      </c>
      <c r="S183" s="15">
        <f>IF(ISNUMBER(Klisz_Verbräuche[[#This Row],[2029]]), Klisz_Verbräuche[[#This Row],[2029]]*Emissionsfaktoren[[#This Row],[2029]]/1000, 0)</f>
        <v>0</v>
      </c>
      <c r="T183" s="15">
        <f>IF(ISNUMBER(Klisz_Verbräuche[[#This Row],[2030]]), Klisz_Verbräuche[[#This Row],[2030]]*Emissionsfaktoren[[#This Row],[2030]]/1000, 0)</f>
        <v>0</v>
      </c>
      <c r="U183" s="15">
        <f>IF(ISNUMBER(Klisz_Verbräuche[[#This Row],[2035]]), Klisz_Verbräuche[[#This Row],[2035]]*Emissionsfaktoren[[#This Row],[2035]]/1000, 0)</f>
        <v>0</v>
      </c>
      <c r="V183" s="15">
        <f>IF(ISNUMBER(Klisz_Verbräuche[[#This Row],[2040]]), Klisz_Verbräuche[[#This Row],[2040]]*Emissionsfaktoren[[#This Row],[2040]]/1000, 0)</f>
        <v>0</v>
      </c>
      <c r="W183" s="15">
        <f>IF(ISNUMBER(Klisz_Verbräuche[[#This Row],[2045]]), Klisz_Verbräuche[[#This Row],[2045]]*Emissionsfaktoren[[#This Row],[2045]]/1000, 0)</f>
        <v>0</v>
      </c>
      <c r="X183" s="15">
        <f>IF(ISNUMBER(Klisz_Verbräuche[[#This Row],[2050]]), Klisz_Verbräuche[[#This Row],[2050]]*Emissionsfaktoren[[#This Row],[2050]]/1000, 0)</f>
        <v>0</v>
      </c>
    </row>
    <row r="184" spans="2:24" ht="16.5" hidden="1" x14ac:dyDescent="0.45">
      <c r="B184" s="15">
        <v>124</v>
      </c>
      <c r="C184" s="20" t="str">
        <f>Refsz_Verbräuche[[#This Row],[Datenpunkt]]</f>
        <v>Steinwolle</v>
      </c>
      <c r="D184" t="s">
        <v>208</v>
      </c>
      <c r="E184" s="15">
        <f>IF(ISNUMBER(Klisz_Verbräuche[[#This Row],[2015]]), Klisz_Verbräuche[[#This Row],[2015]]*Emissionsfaktoren[[#This Row],[2015]]/1000, 0)</f>
        <v>0</v>
      </c>
      <c r="F184" s="15">
        <f>IF(ISNUMBER(Klisz_Verbräuche[[#This Row],[2016]]), Klisz_Verbräuche[[#This Row],[2016]]*Emissionsfaktoren[[#This Row],[2016]]/1000, 0)</f>
        <v>0</v>
      </c>
      <c r="G184" s="15">
        <f>IF(ISNUMBER(Klisz_Verbräuche[[#This Row],[2017]]), Klisz_Verbräuche[[#This Row],[2017]]*Emissionsfaktoren[[#This Row],[2017]]/1000, 0)</f>
        <v>0</v>
      </c>
      <c r="H184" s="15">
        <f>IF(ISNUMBER(Klisz_Verbräuche[[#This Row],[2018]]), Klisz_Verbräuche[[#This Row],[2018]]*Emissionsfaktoren[[#This Row],[2018]]/1000, 0)</f>
        <v>0</v>
      </c>
      <c r="I184" s="15">
        <f>IF(ISNUMBER(Klisz_Verbräuche[[#This Row],[2019]]), Klisz_Verbräuche[[#This Row],[2019]]*Emissionsfaktoren[[#This Row],[2019]]/1000, 0)</f>
        <v>0</v>
      </c>
      <c r="J184" s="15">
        <f>IF(ISNUMBER(Klisz_Verbräuche[[#This Row],[2020]]), Klisz_Verbräuche[[#This Row],[2020]]*Emissionsfaktoren[[#This Row],[2020]]/1000, 0)</f>
        <v>0</v>
      </c>
      <c r="K184" s="15">
        <f>IF(ISNUMBER(Klisz_Verbräuche[[#This Row],[2021]]), Klisz_Verbräuche[[#This Row],[2021]]*Emissionsfaktoren[[#This Row],[2021]]/1000, 0)</f>
        <v>0</v>
      </c>
      <c r="L184" s="15">
        <f>IF(ISNUMBER(Klisz_Verbräuche[[#This Row],[2022]]), Klisz_Verbräuche[[#This Row],[2022]]*Emissionsfaktoren[[#This Row],[2022]]/1000, 0)</f>
        <v>0</v>
      </c>
      <c r="M184" s="15">
        <f>IF(ISNUMBER(Klisz_Verbräuche[[#This Row],[2023]]), Klisz_Verbräuche[[#This Row],[2023]]*Emissionsfaktoren[[#This Row],[2023]]/1000, 0)</f>
        <v>0</v>
      </c>
      <c r="N184" s="15">
        <f>IF(ISNUMBER(Klisz_Verbräuche[[#This Row],[2024]]), Klisz_Verbräuche[[#This Row],[2024]]*Emissionsfaktoren[[#This Row],[2024]]/1000, 0)</f>
        <v>0</v>
      </c>
      <c r="O184" s="15">
        <f>IF(ISNUMBER(Klisz_Verbräuche[[#This Row],[2025]]), Klisz_Verbräuche[[#This Row],[2025]]*Emissionsfaktoren[[#This Row],[2025]]/1000, 0)</f>
        <v>0</v>
      </c>
      <c r="P184" s="15">
        <f>IF(ISNUMBER(Klisz_Verbräuche[[#This Row],[2026]]), Klisz_Verbräuche[[#This Row],[2026]]*Emissionsfaktoren[[#This Row],[2026]]/1000, 0)</f>
        <v>0</v>
      </c>
      <c r="Q184" s="15">
        <f>IF(ISNUMBER(Klisz_Verbräuche[[#This Row],[2027]]), Klisz_Verbräuche[[#This Row],[2027]]*Emissionsfaktoren[[#This Row],[2027]]/1000, 0)</f>
        <v>0</v>
      </c>
      <c r="R184" s="15">
        <f>IF(ISNUMBER(Klisz_Verbräuche[[#This Row],[2028]]), Klisz_Verbräuche[[#This Row],[2028]]*Emissionsfaktoren[[#This Row],[2028]]/1000, 0)</f>
        <v>0</v>
      </c>
      <c r="S184" s="15">
        <f>IF(ISNUMBER(Klisz_Verbräuche[[#This Row],[2029]]), Klisz_Verbräuche[[#This Row],[2029]]*Emissionsfaktoren[[#This Row],[2029]]/1000, 0)</f>
        <v>0</v>
      </c>
      <c r="T184" s="15">
        <f>IF(ISNUMBER(Klisz_Verbräuche[[#This Row],[2030]]), Klisz_Verbräuche[[#This Row],[2030]]*Emissionsfaktoren[[#This Row],[2030]]/1000, 0)</f>
        <v>0</v>
      </c>
      <c r="U184" s="15">
        <f>IF(ISNUMBER(Klisz_Verbräuche[[#This Row],[2035]]), Klisz_Verbräuche[[#This Row],[2035]]*Emissionsfaktoren[[#This Row],[2035]]/1000, 0)</f>
        <v>0</v>
      </c>
      <c r="V184" s="15">
        <f>IF(ISNUMBER(Klisz_Verbräuche[[#This Row],[2040]]), Klisz_Verbräuche[[#This Row],[2040]]*Emissionsfaktoren[[#This Row],[2040]]/1000, 0)</f>
        <v>0</v>
      </c>
      <c r="W184" s="15">
        <f>IF(ISNUMBER(Klisz_Verbräuche[[#This Row],[2045]]), Klisz_Verbräuche[[#This Row],[2045]]*Emissionsfaktoren[[#This Row],[2045]]/1000, 0)</f>
        <v>0</v>
      </c>
      <c r="X184" s="15">
        <f>IF(ISNUMBER(Klisz_Verbräuche[[#This Row],[2050]]), Klisz_Verbräuche[[#This Row],[2050]]*Emissionsfaktoren[[#This Row],[2050]]/1000, 0)</f>
        <v>0</v>
      </c>
    </row>
    <row r="185" spans="2:24" ht="16.5" hidden="1" x14ac:dyDescent="0.45">
      <c r="B185" s="15">
        <v>125</v>
      </c>
      <c r="C185" s="20" t="str">
        <f>Refsz_Verbräuche[[#This Row],[Datenpunkt]]</f>
        <v>Tonziegel (fürs Dach)</v>
      </c>
      <c r="D185" t="s">
        <v>208</v>
      </c>
      <c r="E185" s="15">
        <f>IF(ISNUMBER(Klisz_Verbräuche[[#This Row],[2015]]), Klisz_Verbräuche[[#This Row],[2015]]*Emissionsfaktoren[[#This Row],[2015]]/1000, 0)</f>
        <v>0</v>
      </c>
      <c r="F185" s="15">
        <f>IF(ISNUMBER(Klisz_Verbräuche[[#This Row],[2016]]), Klisz_Verbräuche[[#This Row],[2016]]*Emissionsfaktoren[[#This Row],[2016]]/1000, 0)</f>
        <v>0</v>
      </c>
      <c r="G185" s="15">
        <f>IF(ISNUMBER(Klisz_Verbräuche[[#This Row],[2017]]), Klisz_Verbräuche[[#This Row],[2017]]*Emissionsfaktoren[[#This Row],[2017]]/1000, 0)</f>
        <v>0</v>
      </c>
      <c r="H185" s="15">
        <f>IF(ISNUMBER(Klisz_Verbräuche[[#This Row],[2018]]), Klisz_Verbräuche[[#This Row],[2018]]*Emissionsfaktoren[[#This Row],[2018]]/1000, 0)</f>
        <v>0</v>
      </c>
      <c r="I185" s="15">
        <f>IF(ISNUMBER(Klisz_Verbräuche[[#This Row],[2019]]), Klisz_Verbräuche[[#This Row],[2019]]*Emissionsfaktoren[[#This Row],[2019]]/1000, 0)</f>
        <v>0</v>
      </c>
      <c r="J185" s="15">
        <f>IF(ISNUMBER(Klisz_Verbräuche[[#This Row],[2020]]), Klisz_Verbräuche[[#This Row],[2020]]*Emissionsfaktoren[[#This Row],[2020]]/1000, 0)</f>
        <v>0</v>
      </c>
      <c r="K185" s="15">
        <f>IF(ISNUMBER(Klisz_Verbräuche[[#This Row],[2021]]), Klisz_Verbräuche[[#This Row],[2021]]*Emissionsfaktoren[[#This Row],[2021]]/1000, 0)</f>
        <v>0</v>
      </c>
      <c r="L185" s="15">
        <f>IF(ISNUMBER(Klisz_Verbräuche[[#This Row],[2022]]), Klisz_Verbräuche[[#This Row],[2022]]*Emissionsfaktoren[[#This Row],[2022]]/1000, 0)</f>
        <v>0</v>
      </c>
      <c r="M185" s="15">
        <f>IF(ISNUMBER(Klisz_Verbräuche[[#This Row],[2023]]), Klisz_Verbräuche[[#This Row],[2023]]*Emissionsfaktoren[[#This Row],[2023]]/1000, 0)</f>
        <v>0</v>
      </c>
      <c r="N185" s="15">
        <f>IF(ISNUMBER(Klisz_Verbräuche[[#This Row],[2024]]), Klisz_Verbräuche[[#This Row],[2024]]*Emissionsfaktoren[[#This Row],[2024]]/1000, 0)</f>
        <v>0</v>
      </c>
      <c r="O185" s="15">
        <f>IF(ISNUMBER(Klisz_Verbräuche[[#This Row],[2025]]), Klisz_Verbräuche[[#This Row],[2025]]*Emissionsfaktoren[[#This Row],[2025]]/1000, 0)</f>
        <v>0</v>
      </c>
      <c r="P185" s="15">
        <f>IF(ISNUMBER(Klisz_Verbräuche[[#This Row],[2026]]), Klisz_Verbräuche[[#This Row],[2026]]*Emissionsfaktoren[[#This Row],[2026]]/1000, 0)</f>
        <v>0</v>
      </c>
      <c r="Q185" s="15">
        <f>IF(ISNUMBER(Klisz_Verbräuche[[#This Row],[2027]]), Klisz_Verbräuche[[#This Row],[2027]]*Emissionsfaktoren[[#This Row],[2027]]/1000, 0)</f>
        <v>0</v>
      </c>
      <c r="R185" s="15">
        <f>IF(ISNUMBER(Klisz_Verbräuche[[#This Row],[2028]]), Klisz_Verbräuche[[#This Row],[2028]]*Emissionsfaktoren[[#This Row],[2028]]/1000, 0)</f>
        <v>0</v>
      </c>
      <c r="S185" s="15">
        <f>IF(ISNUMBER(Klisz_Verbräuche[[#This Row],[2029]]), Klisz_Verbräuche[[#This Row],[2029]]*Emissionsfaktoren[[#This Row],[2029]]/1000, 0)</f>
        <v>0</v>
      </c>
      <c r="T185" s="15">
        <f>IF(ISNUMBER(Klisz_Verbräuche[[#This Row],[2030]]), Klisz_Verbräuche[[#This Row],[2030]]*Emissionsfaktoren[[#This Row],[2030]]/1000, 0)</f>
        <v>0</v>
      </c>
      <c r="U185" s="15">
        <f>IF(ISNUMBER(Klisz_Verbräuche[[#This Row],[2035]]), Klisz_Verbräuche[[#This Row],[2035]]*Emissionsfaktoren[[#This Row],[2035]]/1000, 0)</f>
        <v>0</v>
      </c>
      <c r="V185" s="15">
        <f>IF(ISNUMBER(Klisz_Verbräuche[[#This Row],[2040]]), Klisz_Verbräuche[[#This Row],[2040]]*Emissionsfaktoren[[#This Row],[2040]]/1000, 0)</f>
        <v>0</v>
      </c>
      <c r="W185" s="15">
        <f>IF(ISNUMBER(Klisz_Verbräuche[[#This Row],[2045]]), Klisz_Verbräuche[[#This Row],[2045]]*Emissionsfaktoren[[#This Row],[2045]]/1000, 0)</f>
        <v>0</v>
      </c>
      <c r="X185" s="15">
        <f>IF(ISNUMBER(Klisz_Verbräuche[[#This Row],[2050]]), Klisz_Verbräuche[[#This Row],[2050]]*Emissionsfaktoren[[#This Row],[2050]]/1000, 0)</f>
        <v>0</v>
      </c>
    </row>
    <row r="186" spans="2:24" ht="16.5" hidden="1" x14ac:dyDescent="0.45">
      <c r="B186" s="15">
        <v>126</v>
      </c>
      <c r="C186" s="20" t="str">
        <f>Refsz_Verbräuche[[#This Row],[Datenpunkt]]</f>
        <v>Zement (Portland)</v>
      </c>
      <c r="D186" t="s">
        <v>208</v>
      </c>
      <c r="E186" s="15">
        <f>IF(ISNUMBER(Klisz_Verbräuche[[#This Row],[2015]]), Klisz_Verbräuche[[#This Row],[2015]]*Emissionsfaktoren[[#This Row],[2015]]/1000, 0)</f>
        <v>0</v>
      </c>
      <c r="F186" s="15">
        <f>IF(ISNUMBER(Klisz_Verbräuche[[#This Row],[2016]]), Klisz_Verbräuche[[#This Row],[2016]]*Emissionsfaktoren[[#This Row],[2016]]/1000, 0)</f>
        <v>0</v>
      </c>
      <c r="G186" s="15">
        <f>IF(ISNUMBER(Klisz_Verbräuche[[#This Row],[2017]]), Klisz_Verbräuche[[#This Row],[2017]]*Emissionsfaktoren[[#This Row],[2017]]/1000, 0)</f>
        <v>0</v>
      </c>
      <c r="H186" s="15">
        <f>IF(ISNUMBER(Klisz_Verbräuche[[#This Row],[2018]]), Klisz_Verbräuche[[#This Row],[2018]]*Emissionsfaktoren[[#This Row],[2018]]/1000, 0)</f>
        <v>0</v>
      </c>
      <c r="I186" s="15">
        <f>IF(ISNUMBER(Klisz_Verbräuche[[#This Row],[2019]]), Klisz_Verbräuche[[#This Row],[2019]]*Emissionsfaktoren[[#This Row],[2019]]/1000, 0)</f>
        <v>0</v>
      </c>
      <c r="J186" s="15">
        <f>IF(ISNUMBER(Klisz_Verbräuche[[#This Row],[2020]]), Klisz_Verbräuche[[#This Row],[2020]]*Emissionsfaktoren[[#This Row],[2020]]/1000, 0)</f>
        <v>0</v>
      </c>
      <c r="K186" s="15">
        <f>IF(ISNUMBER(Klisz_Verbräuche[[#This Row],[2021]]), Klisz_Verbräuche[[#This Row],[2021]]*Emissionsfaktoren[[#This Row],[2021]]/1000, 0)</f>
        <v>0</v>
      </c>
      <c r="L186" s="15">
        <f>IF(ISNUMBER(Klisz_Verbräuche[[#This Row],[2022]]), Klisz_Verbräuche[[#This Row],[2022]]*Emissionsfaktoren[[#This Row],[2022]]/1000, 0)</f>
        <v>0</v>
      </c>
      <c r="M186" s="15">
        <f>IF(ISNUMBER(Klisz_Verbräuche[[#This Row],[2023]]), Klisz_Verbräuche[[#This Row],[2023]]*Emissionsfaktoren[[#This Row],[2023]]/1000, 0)</f>
        <v>0</v>
      </c>
      <c r="N186" s="15">
        <f>IF(ISNUMBER(Klisz_Verbräuche[[#This Row],[2024]]), Klisz_Verbräuche[[#This Row],[2024]]*Emissionsfaktoren[[#This Row],[2024]]/1000, 0)</f>
        <v>0</v>
      </c>
      <c r="O186" s="15">
        <f>IF(ISNUMBER(Klisz_Verbräuche[[#This Row],[2025]]), Klisz_Verbräuche[[#This Row],[2025]]*Emissionsfaktoren[[#This Row],[2025]]/1000, 0)</f>
        <v>0</v>
      </c>
      <c r="P186" s="15">
        <f>IF(ISNUMBER(Klisz_Verbräuche[[#This Row],[2026]]), Klisz_Verbräuche[[#This Row],[2026]]*Emissionsfaktoren[[#This Row],[2026]]/1000, 0)</f>
        <v>0</v>
      </c>
      <c r="Q186" s="15">
        <f>IF(ISNUMBER(Klisz_Verbräuche[[#This Row],[2027]]), Klisz_Verbräuche[[#This Row],[2027]]*Emissionsfaktoren[[#This Row],[2027]]/1000, 0)</f>
        <v>0</v>
      </c>
      <c r="R186" s="15">
        <f>IF(ISNUMBER(Klisz_Verbräuche[[#This Row],[2028]]), Klisz_Verbräuche[[#This Row],[2028]]*Emissionsfaktoren[[#This Row],[2028]]/1000, 0)</f>
        <v>0</v>
      </c>
      <c r="S186" s="15">
        <f>IF(ISNUMBER(Klisz_Verbräuche[[#This Row],[2029]]), Klisz_Verbräuche[[#This Row],[2029]]*Emissionsfaktoren[[#This Row],[2029]]/1000, 0)</f>
        <v>0</v>
      </c>
      <c r="T186" s="15">
        <f>IF(ISNUMBER(Klisz_Verbräuche[[#This Row],[2030]]), Klisz_Verbräuche[[#This Row],[2030]]*Emissionsfaktoren[[#This Row],[2030]]/1000, 0)</f>
        <v>0</v>
      </c>
      <c r="U186" s="15">
        <f>IF(ISNUMBER(Klisz_Verbräuche[[#This Row],[2035]]), Klisz_Verbräuche[[#This Row],[2035]]*Emissionsfaktoren[[#This Row],[2035]]/1000, 0)</f>
        <v>0</v>
      </c>
      <c r="V186" s="15">
        <f>IF(ISNUMBER(Klisz_Verbräuche[[#This Row],[2040]]), Klisz_Verbräuche[[#This Row],[2040]]*Emissionsfaktoren[[#This Row],[2040]]/1000, 0)</f>
        <v>0</v>
      </c>
      <c r="W186" s="15">
        <f>IF(ISNUMBER(Klisz_Verbräuche[[#This Row],[2045]]), Klisz_Verbräuche[[#This Row],[2045]]*Emissionsfaktoren[[#This Row],[2045]]/1000, 0)</f>
        <v>0</v>
      </c>
      <c r="X186" s="15">
        <f>IF(ISNUMBER(Klisz_Verbräuche[[#This Row],[2050]]), Klisz_Verbräuche[[#This Row],[2050]]*Emissionsfaktoren[[#This Row],[2050]]/1000, 0)</f>
        <v>0</v>
      </c>
    </row>
    <row r="187" spans="2:24" ht="16.5" hidden="1" x14ac:dyDescent="0.45">
      <c r="B187" s="15">
        <v>127</v>
      </c>
      <c r="C187" s="20" t="str">
        <f>Refsz_Verbräuche[[#This Row],[Datenpunkt]]</f>
        <v>Kies</v>
      </c>
      <c r="D187" t="s">
        <v>208</v>
      </c>
      <c r="E187" s="15">
        <f>IF(ISNUMBER(Klisz_Verbräuche[[#This Row],[2015]]), Klisz_Verbräuche[[#This Row],[2015]]*Emissionsfaktoren[[#This Row],[2015]]/1000, 0)</f>
        <v>0</v>
      </c>
      <c r="F187" s="15">
        <f>IF(ISNUMBER(Klisz_Verbräuche[[#This Row],[2016]]), Klisz_Verbräuche[[#This Row],[2016]]*Emissionsfaktoren[[#This Row],[2016]]/1000, 0)</f>
        <v>0</v>
      </c>
      <c r="G187" s="15">
        <f>IF(ISNUMBER(Klisz_Verbräuche[[#This Row],[2017]]), Klisz_Verbräuche[[#This Row],[2017]]*Emissionsfaktoren[[#This Row],[2017]]/1000, 0)</f>
        <v>0</v>
      </c>
      <c r="H187" s="15">
        <f>IF(ISNUMBER(Klisz_Verbräuche[[#This Row],[2018]]), Klisz_Verbräuche[[#This Row],[2018]]*Emissionsfaktoren[[#This Row],[2018]]/1000, 0)</f>
        <v>0</v>
      </c>
      <c r="I187" s="15">
        <f>IF(ISNUMBER(Klisz_Verbräuche[[#This Row],[2019]]), Klisz_Verbräuche[[#This Row],[2019]]*Emissionsfaktoren[[#This Row],[2019]]/1000, 0)</f>
        <v>0</v>
      </c>
      <c r="J187" s="15">
        <f>IF(ISNUMBER(Klisz_Verbräuche[[#This Row],[2020]]), Klisz_Verbräuche[[#This Row],[2020]]*Emissionsfaktoren[[#This Row],[2020]]/1000, 0)</f>
        <v>0</v>
      </c>
      <c r="K187" s="15">
        <f>IF(ISNUMBER(Klisz_Verbräuche[[#This Row],[2021]]), Klisz_Verbräuche[[#This Row],[2021]]*Emissionsfaktoren[[#This Row],[2021]]/1000, 0)</f>
        <v>0</v>
      </c>
      <c r="L187" s="15">
        <f>IF(ISNUMBER(Klisz_Verbräuche[[#This Row],[2022]]), Klisz_Verbräuche[[#This Row],[2022]]*Emissionsfaktoren[[#This Row],[2022]]/1000, 0)</f>
        <v>0</v>
      </c>
      <c r="M187" s="15">
        <f>IF(ISNUMBER(Klisz_Verbräuche[[#This Row],[2023]]), Klisz_Verbräuche[[#This Row],[2023]]*Emissionsfaktoren[[#This Row],[2023]]/1000, 0)</f>
        <v>0</v>
      </c>
      <c r="N187" s="15">
        <f>IF(ISNUMBER(Klisz_Verbräuche[[#This Row],[2024]]), Klisz_Verbräuche[[#This Row],[2024]]*Emissionsfaktoren[[#This Row],[2024]]/1000, 0)</f>
        <v>0</v>
      </c>
      <c r="O187" s="15">
        <f>IF(ISNUMBER(Klisz_Verbräuche[[#This Row],[2025]]), Klisz_Verbräuche[[#This Row],[2025]]*Emissionsfaktoren[[#This Row],[2025]]/1000, 0)</f>
        <v>0</v>
      </c>
      <c r="P187" s="15">
        <f>IF(ISNUMBER(Klisz_Verbräuche[[#This Row],[2026]]), Klisz_Verbräuche[[#This Row],[2026]]*Emissionsfaktoren[[#This Row],[2026]]/1000, 0)</f>
        <v>0</v>
      </c>
      <c r="Q187" s="15">
        <f>IF(ISNUMBER(Klisz_Verbräuche[[#This Row],[2027]]), Klisz_Verbräuche[[#This Row],[2027]]*Emissionsfaktoren[[#This Row],[2027]]/1000, 0)</f>
        <v>0</v>
      </c>
      <c r="R187" s="15">
        <f>IF(ISNUMBER(Klisz_Verbräuche[[#This Row],[2028]]), Klisz_Verbräuche[[#This Row],[2028]]*Emissionsfaktoren[[#This Row],[2028]]/1000, 0)</f>
        <v>0</v>
      </c>
      <c r="S187" s="15">
        <f>IF(ISNUMBER(Klisz_Verbräuche[[#This Row],[2029]]), Klisz_Verbräuche[[#This Row],[2029]]*Emissionsfaktoren[[#This Row],[2029]]/1000, 0)</f>
        <v>0</v>
      </c>
      <c r="T187" s="15">
        <f>IF(ISNUMBER(Klisz_Verbräuche[[#This Row],[2030]]), Klisz_Verbräuche[[#This Row],[2030]]*Emissionsfaktoren[[#This Row],[2030]]/1000, 0)</f>
        <v>0</v>
      </c>
      <c r="U187" s="15">
        <f>IF(ISNUMBER(Klisz_Verbräuche[[#This Row],[2035]]), Klisz_Verbräuche[[#This Row],[2035]]*Emissionsfaktoren[[#This Row],[2035]]/1000, 0)</f>
        <v>0</v>
      </c>
      <c r="V187" s="15">
        <f>IF(ISNUMBER(Klisz_Verbräuche[[#This Row],[2040]]), Klisz_Verbräuche[[#This Row],[2040]]*Emissionsfaktoren[[#This Row],[2040]]/1000, 0)</f>
        <v>0</v>
      </c>
      <c r="W187" s="15">
        <f>IF(ISNUMBER(Klisz_Verbräuche[[#This Row],[2045]]), Klisz_Verbräuche[[#This Row],[2045]]*Emissionsfaktoren[[#This Row],[2045]]/1000, 0)</f>
        <v>0</v>
      </c>
      <c r="X187" s="15">
        <f>IF(ISNUMBER(Klisz_Verbräuche[[#This Row],[2050]]), Klisz_Verbräuche[[#This Row],[2050]]*Emissionsfaktoren[[#This Row],[2050]]/1000, 0)</f>
        <v>0</v>
      </c>
    </row>
    <row r="188" spans="2:24" ht="16.5" hidden="1" x14ac:dyDescent="0.45">
      <c r="B188" s="15">
        <v>128</v>
      </c>
      <c r="C188" s="20" t="str">
        <f>Refsz_Verbräuche[[#This Row],[Datenpunkt]]</f>
        <v>Sand</v>
      </c>
      <c r="D188" t="s">
        <v>208</v>
      </c>
      <c r="E188" s="15">
        <f>IF(ISNUMBER(Klisz_Verbräuche[[#This Row],[2015]]), Klisz_Verbräuche[[#This Row],[2015]]*Emissionsfaktoren[[#This Row],[2015]]/1000, 0)</f>
        <v>0</v>
      </c>
      <c r="F188" s="15">
        <f>IF(ISNUMBER(Klisz_Verbräuche[[#This Row],[2016]]), Klisz_Verbräuche[[#This Row],[2016]]*Emissionsfaktoren[[#This Row],[2016]]/1000, 0)</f>
        <v>0</v>
      </c>
      <c r="G188" s="15">
        <f>IF(ISNUMBER(Klisz_Verbräuche[[#This Row],[2017]]), Klisz_Verbräuche[[#This Row],[2017]]*Emissionsfaktoren[[#This Row],[2017]]/1000, 0)</f>
        <v>0</v>
      </c>
      <c r="H188" s="15">
        <f>IF(ISNUMBER(Klisz_Verbräuche[[#This Row],[2018]]), Klisz_Verbräuche[[#This Row],[2018]]*Emissionsfaktoren[[#This Row],[2018]]/1000, 0)</f>
        <v>0</v>
      </c>
      <c r="I188" s="15">
        <f>IF(ISNUMBER(Klisz_Verbräuche[[#This Row],[2019]]), Klisz_Verbräuche[[#This Row],[2019]]*Emissionsfaktoren[[#This Row],[2019]]/1000, 0)</f>
        <v>0</v>
      </c>
      <c r="J188" s="15">
        <f>IF(ISNUMBER(Klisz_Verbräuche[[#This Row],[2020]]), Klisz_Verbräuche[[#This Row],[2020]]*Emissionsfaktoren[[#This Row],[2020]]/1000, 0)</f>
        <v>0</v>
      </c>
      <c r="K188" s="15">
        <f>IF(ISNUMBER(Klisz_Verbräuche[[#This Row],[2021]]), Klisz_Verbräuche[[#This Row],[2021]]*Emissionsfaktoren[[#This Row],[2021]]/1000, 0)</f>
        <v>0</v>
      </c>
      <c r="L188" s="15">
        <f>IF(ISNUMBER(Klisz_Verbräuche[[#This Row],[2022]]), Klisz_Verbräuche[[#This Row],[2022]]*Emissionsfaktoren[[#This Row],[2022]]/1000, 0)</f>
        <v>0</v>
      </c>
      <c r="M188" s="15">
        <f>IF(ISNUMBER(Klisz_Verbräuche[[#This Row],[2023]]), Klisz_Verbräuche[[#This Row],[2023]]*Emissionsfaktoren[[#This Row],[2023]]/1000, 0)</f>
        <v>0</v>
      </c>
      <c r="N188" s="15">
        <f>IF(ISNUMBER(Klisz_Verbräuche[[#This Row],[2024]]), Klisz_Verbräuche[[#This Row],[2024]]*Emissionsfaktoren[[#This Row],[2024]]/1000, 0)</f>
        <v>0</v>
      </c>
      <c r="O188" s="15">
        <f>IF(ISNUMBER(Klisz_Verbräuche[[#This Row],[2025]]), Klisz_Verbräuche[[#This Row],[2025]]*Emissionsfaktoren[[#This Row],[2025]]/1000, 0)</f>
        <v>0</v>
      </c>
      <c r="P188" s="15">
        <f>IF(ISNUMBER(Klisz_Verbräuche[[#This Row],[2026]]), Klisz_Verbräuche[[#This Row],[2026]]*Emissionsfaktoren[[#This Row],[2026]]/1000, 0)</f>
        <v>0</v>
      </c>
      <c r="Q188" s="15">
        <f>IF(ISNUMBER(Klisz_Verbräuche[[#This Row],[2027]]), Klisz_Verbräuche[[#This Row],[2027]]*Emissionsfaktoren[[#This Row],[2027]]/1000, 0)</f>
        <v>0</v>
      </c>
      <c r="R188" s="15">
        <f>IF(ISNUMBER(Klisz_Verbräuche[[#This Row],[2028]]), Klisz_Verbräuche[[#This Row],[2028]]*Emissionsfaktoren[[#This Row],[2028]]/1000, 0)</f>
        <v>0</v>
      </c>
      <c r="S188" s="15">
        <f>IF(ISNUMBER(Klisz_Verbräuche[[#This Row],[2029]]), Klisz_Verbräuche[[#This Row],[2029]]*Emissionsfaktoren[[#This Row],[2029]]/1000, 0)</f>
        <v>0</v>
      </c>
      <c r="T188" s="15">
        <f>IF(ISNUMBER(Klisz_Verbräuche[[#This Row],[2030]]), Klisz_Verbräuche[[#This Row],[2030]]*Emissionsfaktoren[[#This Row],[2030]]/1000, 0)</f>
        <v>0</v>
      </c>
      <c r="U188" s="15">
        <f>IF(ISNUMBER(Klisz_Verbräuche[[#This Row],[2035]]), Klisz_Verbräuche[[#This Row],[2035]]*Emissionsfaktoren[[#This Row],[2035]]/1000, 0)</f>
        <v>0</v>
      </c>
      <c r="V188" s="15">
        <f>IF(ISNUMBER(Klisz_Verbräuche[[#This Row],[2040]]), Klisz_Verbräuche[[#This Row],[2040]]*Emissionsfaktoren[[#This Row],[2040]]/1000, 0)</f>
        <v>0</v>
      </c>
      <c r="W188" s="15">
        <f>IF(ISNUMBER(Klisz_Verbräuche[[#This Row],[2045]]), Klisz_Verbräuche[[#This Row],[2045]]*Emissionsfaktoren[[#This Row],[2045]]/1000, 0)</f>
        <v>0</v>
      </c>
      <c r="X188" s="15">
        <f>IF(ISNUMBER(Klisz_Verbräuche[[#This Row],[2050]]), Klisz_Verbräuche[[#This Row],[2050]]*Emissionsfaktoren[[#This Row],[2050]]/1000, 0)</f>
        <v>0</v>
      </c>
    </row>
    <row r="189" spans="2:24" ht="16.5" hidden="1" x14ac:dyDescent="0.45">
      <c r="B189" s="15">
        <v>129</v>
      </c>
      <c r="C189" s="20" t="str">
        <f>Refsz_Verbräuche[[#This Row],[Datenpunkt]]</f>
        <v>Kupferdraht</v>
      </c>
      <c r="D189" t="s">
        <v>208</v>
      </c>
      <c r="E189" s="15">
        <f>IF(ISNUMBER(Klisz_Verbräuche[[#This Row],[2015]]), Klisz_Verbräuche[[#This Row],[2015]]*Emissionsfaktoren[[#This Row],[2015]]/1000, 0)</f>
        <v>0</v>
      </c>
      <c r="F189" s="15">
        <f>IF(ISNUMBER(Klisz_Verbräuche[[#This Row],[2016]]), Klisz_Verbräuche[[#This Row],[2016]]*Emissionsfaktoren[[#This Row],[2016]]/1000, 0)</f>
        <v>0</v>
      </c>
      <c r="G189" s="15">
        <f>IF(ISNUMBER(Klisz_Verbräuche[[#This Row],[2017]]), Klisz_Verbräuche[[#This Row],[2017]]*Emissionsfaktoren[[#This Row],[2017]]/1000, 0)</f>
        <v>0</v>
      </c>
      <c r="H189" s="15">
        <f>IF(ISNUMBER(Klisz_Verbräuche[[#This Row],[2018]]), Klisz_Verbräuche[[#This Row],[2018]]*Emissionsfaktoren[[#This Row],[2018]]/1000, 0)</f>
        <v>0</v>
      </c>
      <c r="I189" s="15">
        <f>IF(ISNUMBER(Klisz_Verbräuche[[#This Row],[2019]]), Klisz_Verbräuche[[#This Row],[2019]]*Emissionsfaktoren[[#This Row],[2019]]/1000, 0)</f>
        <v>0</v>
      </c>
      <c r="J189" s="15">
        <f>IF(ISNUMBER(Klisz_Verbräuche[[#This Row],[2020]]), Klisz_Verbräuche[[#This Row],[2020]]*Emissionsfaktoren[[#This Row],[2020]]/1000, 0)</f>
        <v>0</v>
      </c>
      <c r="K189" s="15">
        <f>IF(ISNUMBER(Klisz_Verbräuche[[#This Row],[2021]]), Klisz_Verbräuche[[#This Row],[2021]]*Emissionsfaktoren[[#This Row],[2021]]/1000, 0)</f>
        <v>0</v>
      </c>
      <c r="L189" s="15">
        <f>IF(ISNUMBER(Klisz_Verbräuche[[#This Row],[2022]]), Klisz_Verbräuche[[#This Row],[2022]]*Emissionsfaktoren[[#This Row],[2022]]/1000, 0)</f>
        <v>0</v>
      </c>
      <c r="M189" s="15">
        <f>IF(ISNUMBER(Klisz_Verbräuche[[#This Row],[2023]]), Klisz_Verbräuche[[#This Row],[2023]]*Emissionsfaktoren[[#This Row],[2023]]/1000, 0)</f>
        <v>0</v>
      </c>
      <c r="N189" s="15">
        <f>IF(ISNUMBER(Klisz_Verbräuche[[#This Row],[2024]]), Klisz_Verbräuche[[#This Row],[2024]]*Emissionsfaktoren[[#This Row],[2024]]/1000, 0)</f>
        <v>0</v>
      </c>
      <c r="O189" s="15">
        <f>IF(ISNUMBER(Klisz_Verbräuche[[#This Row],[2025]]), Klisz_Verbräuche[[#This Row],[2025]]*Emissionsfaktoren[[#This Row],[2025]]/1000, 0)</f>
        <v>0</v>
      </c>
      <c r="P189" s="15">
        <f>IF(ISNUMBER(Klisz_Verbräuche[[#This Row],[2026]]), Klisz_Verbräuche[[#This Row],[2026]]*Emissionsfaktoren[[#This Row],[2026]]/1000, 0)</f>
        <v>0</v>
      </c>
      <c r="Q189" s="15">
        <f>IF(ISNUMBER(Klisz_Verbräuche[[#This Row],[2027]]), Klisz_Verbräuche[[#This Row],[2027]]*Emissionsfaktoren[[#This Row],[2027]]/1000, 0)</f>
        <v>0</v>
      </c>
      <c r="R189" s="15">
        <f>IF(ISNUMBER(Klisz_Verbräuche[[#This Row],[2028]]), Klisz_Verbräuche[[#This Row],[2028]]*Emissionsfaktoren[[#This Row],[2028]]/1000, 0)</f>
        <v>0</v>
      </c>
      <c r="S189" s="15">
        <f>IF(ISNUMBER(Klisz_Verbräuche[[#This Row],[2029]]), Klisz_Verbräuche[[#This Row],[2029]]*Emissionsfaktoren[[#This Row],[2029]]/1000, 0)</f>
        <v>0</v>
      </c>
      <c r="T189" s="15">
        <f>IF(ISNUMBER(Klisz_Verbräuche[[#This Row],[2030]]), Klisz_Verbräuche[[#This Row],[2030]]*Emissionsfaktoren[[#This Row],[2030]]/1000, 0)</f>
        <v>0</v>
      </c>
      <c r="U189" s="15">
        <f>IF(ISNUMBER(Klisz_Verbräuche[[#This Row],[2035]]), Klisz_Verbräuche[[#This Row],[2035]]*Emissionsfaktoren[[#This Row],[2035]]/1000, 0)</f>
        <v>0</v>
      </c>
      <c r="V189" s="15">
        <f>IF(ISNUMBER(Klisz_Verbräuche[[#This Row],[2040]]), Klisz_Verbräuche[[#This Row],[2040]]*Emissionsfaktoren[[#This Row],[2040]]/1000, 0)</f>
        <v>0</v>
      </c>
      <c r="W189" s="15">
        <f>IF(ISNUMBER(Klisz_Verbräuche[[#This Row],[2045]]), Klisz_Verbräuche[[#This Row],[2045]]*Emissionsfaktoren[[#This Row],[2045]]/1000, 0)</f>
        <v>0</v>
      </c>
      <c r="X189" s="15">
        <f>IF(ISNUMBER(Klisz_Verbräuche[[#This Row],[2050]]), Klisz_Verbräuche[[#This Row],[2050]]*Emissionsfaktoren[[#This Row],[2050]]/1000, 0)</f>
        <v>0</v>
      </c>
    </row>
    <row r="190" spans="2:24" ht="16.5" hidden="1" x14ac:dyDescent="0.45">
      <c r="B190" s="15">
        <v>130</v>
      </c>
      <c r="C190" s="20" t="str">
        <f>Refsz_Verbräuche[[#This Row],[Datenpunkt]]</f>
        <v>Kupferrohr</v>
      </c>
      <c r="D190" t="s">
        <v>208</v>
      </c>
      <c r="E190" s="15">
        <f>IF(ISNUMBER(Klisz_Verbräuche[[#This Row],[2015]]), Klisz_Verbräuche[[#This Row],[2015]]*Emissionsfaktoren[[#This Row],[2015]]/1000, 0)</f>
        <v>0</v>
      </c>
      <c r="F190" s="15">
        <f>IF(ISNUMBER(Klisz_Verbräuche[[#This Row],[2016]]), Klisz_Verbräuche[[#This Row],[2016]]*Emissionsfaktoren[[#This Row],[2016]]/1000, 0)</f>
        <v>0</v>
      </c>
      <c r="G190" s="15">
        <f>IF(ISNUMBER(Klisz_Verbräuche[[#This Row],[2017]]), Klisz_Verbräuche[[#This Row],[2017]]*Emissionsfaktoren[[#This Row],[2017]]/1000, 0)</f>
        <v>0</v>
      </c>
      <c r="H190" s="15">
        <f>IF(ISNUMBER(Klisz_Verbräuche[[#This Row],[2018]]), Klisz_Verbräuche[[#This Row],[2018]]*Emissionsfaktoren[[#This Row],[2018]]/1000, 0)</f>
        <v>0</v>
      </c>
      <c r="I190" s="15">
        <f>IF(ISNUMBER(Klisz_Verbräuche[[#This Row],[2019]]), Klisz_Verbräuche[[#This Row],[2019]]*Emissionsfaktoren[[#This Row],[2019]]/1000, 0)</f>
        <v>0</v>
      </c>
      <c r="J190" s="15">
        <f>IF(ISNUMBER(Klisz_Verbräuche[[#This Row],[2020]]), Klisz_Verbräuche[[#This Row],[2020]]*Emissionsfaktoren[[#This Row],[2020]]/1000, 0)</f>
        <v>0</v>
      </c>
      <c r="K190" s="15">
        <f>IF(ISNUMBER(Klisz_Verbräuche[[#This Row],[2021]]), Klisz_Verbräuche[[#This Row],[2021]]*Emissionsfaktoren[[#This Row],[2021]]/1000, 0)</f>
        <v>0</v>
      </c>
      <c r="L190" s="15">
        <f>IF(ISNUMBER(Klisz_Verbräuche[[#This Row],[2022]]), Klisz_Verbräuche[[#This Row],[2022]]*Emissionsfaktoren[[#This Row],[2022]]/1000, 0)</f>
        <v>0</v>
      </c>
      <c r="M190" s="15">
        <f>IF(ISNUMBER(Klisz_Verbräuche[[#This Row],[2023]]), Klisz_Verbräuche[[#This Row],[2023]]*Emissionsfaktoren[[#This Row],[2023]]/1000, 0)</f>
        <v>0</v>
      </c>
      <c r="N190" s="15">
        <f>IF(ISNUMBER(Klisz_Verbräuche[[#This Row],[2024]]), Klisz_Verbräuche[[#This Row],[2024]]*Emissionsfaktoren[[#This Row],[2024]]/1000, 0)</f>
        <v>0</v>
      </c>
      <c r="O190" s="15">
        <f>IF(ISNUMBER(Klisz_Verbräuche[[#This Row],[2025]]), Klisz_Verbräuche[[#This Row],[2025]]*Emissionsfaktoren[[#This Row],[2025]]/1000, 0)</f>
        <v>0</v>
      </c>
      <c r="P190" s="15">
        <f>IF(ISNUMBER(Klisz_Verbräuche[[#This Row],[2026]]), Klisz_Verbräuche[[#This Row],[2026]]*Emissionsfaktoren[[#This Row],[2026]]/1000, 0)</f>
        <v>0</v>
      </c>
      <c r="Q190" s="15">
        <f>IF(ISNUMBER(Klisz_Verbräuche[[#This Row],[2027]]), Klisz_Verbräuche[[#This Row],[2027]]*Emissionsfaktoren[[#This Row],[2027]]/1000, 0)</f>
        <v>0</v>
      </c>
      <c r="R190" s="15">
        <f>IF(ISNUMBER(Klisz_Verbräuche[[#This Row],[2028]]), Klisz_Verbräuche[[#This Row],[2028]]*Emissionsfaktoren[[#This Row],[2028]]/1000, 0)</f>
        <v>0</v>
      </c>
      <c r="S190" s="15">
        <f>IF(ISNUMBER(Klisz_Verbräuche[[#This Row],[2029]]), Klisz_Verbräuche[[#This Row],[2029]]*Emissionsfaktoren[[#This Row],[2029]]/1000, 0)</f>
        <v>0</v>
      </c>
      <c r="T190" s="15">
        <f>IF(ISNUMBER(Klisz_Verbräuche[[#This Row],[2030]]), Klisz_Verbräuche[[#This Row],[2030]]*Emissionsfaktoren[[#This Row],[2030]]/1000, 0)</f>
        <v>0</v>
      </c>
      <c r="U190" s="15">
        <f>IF(ISNUMBER(Klisz_Verbräuche[[#This Row],[2035]]), Klisz_Verbräuche[[#This Row],[2035]]*Emissionsfaktoren[[#This Row],[2035]]/1000, 0)</f>
        <v>0</v>
      </c>
      <c r="V190" s="15">
        <f>IF(ISNUMBER(Klisz_Verbräuche[[#This Row],[2040]]), Klisz_Verbräuche[[#This Row],[2040]]*Emissionsfaktoren[[#This Row],[2040]]/1000, 0)</f>
        <v>0</v>
      </c>
      <c r="W190" s="15">
        <f>IF(ISNUMBER(Klisz_Verbräuche[[#This Row],[2045]]), Klisz_Verbräuche[[#This Row],[2045]]*Emissionsfaktoren[[#This Row],[2045]]/1000, 0)</f>
        <v>0</v>
      </c>
      <c r="X190" s="15">
        <f>IF(ISNUMBER(Klisz_Verbräuche[[#This Row],[2050]]), Klisz_Verbräuche[[#This Row],[2050]]*Emissionsfaktoren[[#This Row],[2050]]/1000, 0)</f>
        <v>0</v>
      </c>
    </row>
    <row r="191" spans="2:24" ht="16.5" hidden="1" x14ac:dyDescent="0.45">
      <c r="B191" s="15">
        <v>131</v>
      </c>
      <c r="C191" s="20" t="str">
        <f>Refsz_Verbräuche[[#This Row],[Datenpunkt]]</f>
        <v>Stahl-Blech</v>
      </c>
      <c r="D191" t="s">
        <v>208</v>
      </c>
      <c r="E191" s="15">
        <f>IF(ISNUMBER(Klisz_Verbräuche[[#This Row],[2015]]), Klisz_Verbräuche[[#This Row],[2015]]*Emissionsfaktoren[[#This Row],[2015]]/1000, 0)</f>
        <v>0</v>
      </c>
      <c r="F191" s="15">
        <f>IF(ISNUMBER(Klisz_Verbräuche[[#This Row],[2016]]), Klisz_Verbräuche[[#This Row],[2016]]*Emissionsfaktoren[[#This Row],[2016]]/1000, 0)</f>
        <v>0</v>
      </c>
      <c r="G191" s="15">
        <f>IF(ISNUMBER(Klisz_Verbräuche[[#This Row],[2017]]), Klisz_Verbräuche[[#This Row],[2017]]*Emissionsfaktoren[[#This Row],[2017]]/1000, 0)</f>
        <v>0</v>
      </c>
      <c r="H191" s="15">
        <f>IF(ISNUMBER(Klisz_Verbräuche[[#This Row],[2018]]), Klisz_Verbräuche[[#This Row],[2018]]*Emissionsfaktoren[[#This Row],[2018]]/1000, 0)</f>
        <v>0</v>
      </c>
      <c r="I191" s="15">
        <f>IF(ISNUMBER(Klisz_Verbräuche[[#This Row],[2019]]), Klisz_Verbräuche[[#This Row],[2019]]*Emissionsfaktoren[[#This Row],[2019]]/1000, 0)</f>
        <v>0</v>
      </c>
      <c r="J191" s="15">
        <f>IF(ISNUMBER(Klisz_Verbräuche[[#This Row],[2020]]), Klisz_Verbräuche[[#This Row],[2020]]*Emissionsfaktoren[[#This Row],[2020]]/1000, 0)</f>
        <v>0</v>
      </c>
      <c r="K191" s="15">
        <f>IF(ISNUMBER(Klisz_Verbräuche[[#This Row],[2021]]), Klisz_Verbräuche[[#This Row],[2021]]*Emissionsfaktoren[[#This Row],[2021]]/1000, 0)</f>
        <v>0</v>
      </c>
      <c r="L191" s="15">
        <f>IF(ISNUMBER(Klisz_Verbräuche[[#This Row],[2022]]), Klisz_Verbräuche[[#This Row],[2022]]*Emissionsfaktoren[[#This Row],[2022]]/1000, 0)</f>
        <v>0</v>
      </c>
      <c r="M191" s="15">
        <f>IF(ISNUMBER(Klisz_Verbräuche[[#This Row],[2023]]), Klisz_Verbräuche[[#This Row],[2023]]*Emissionsfaktoren[[#This Row],[2023]]/1000, 0)</f>
        <v>0</v>
      </c>
      <c r="N191" s="15">
        <f>IF(ISNUMBER(Klisz_Verbräuche[[#This Row],[2024]]), Klisz_Verbräuche[[#This Row],[2024]]*Emissionsfaktoren[[#This Row],[2024]]/1000, 0)</f>
        <v>0</v>
      </c>
      <c r="O191" s="15">
        <f>IF(ISNUMBER(Klisz_Verbräuche[[#This Row],[2025]]), Klisz_Verbräuche[[#This Row],[2025]]*Emissionsfaktoren[[#This Row],[2025]]/1000, 0)</f>
        <v>0</v>
      </c>
      <c r="P191" s="15">
        <f>IF(ISNUMBER(Klisz_Verbräuche[[#This Row],[2026]]), Klisz_Verbräuche[[#This Row],[2026]]*Emissionsfaktoren[[#This Row],[2026]]/1000, 0)</f>
        <v>0</v>
      </c>
      <c r="Q191" s="15">
        <f>IF(ISNUMBER(Klisz_Verbräuche[[#This Row],[2027]]), Klisz_Verbräuche[[#This Row],[2027]]*Emissionsfaktoren[[#This Row],[2027]]/1000, 0)</f>
        <v>0</v>
      </c>
      <c r="R191" s="15">
        <f>IF(ISNUMBER(Klisz_Verbräuche[[#This Row],[2028]]), Klisz_Verbräuche[[#This Row],[2028]]*Emissionsfaktoren[[#This Row],[2028]]/1000, 0)</f>
        <v>0</v>
      </c>
      <c r="S191" s="15">
        <f>IF(ISNUMBER(Klisz_Verbräuche[[#This Row],[2029]]), Klisz_Verbräuche[[#This Row],[2029]]*Emissionsfaktoren[[#This Row],[2029]]/1000, 0)</f>
        <v>0</v>
      </c>
      <c r="T191" s="15">
        <f>IF(ISNUMBER(Klisz_Verbräuche[[#This Row],[2030]]), Klisz_Verbräuche[[#This Row],[2030]]*Emissionsfaktoren[[#This Row],[2030]]/1000, 0)</f>
        <v>0</v>
      </c>
      <c r="U191" s="15">
        <f>IF(ISNUMBER(Klisz_Verbräuche[[#This Row],[2035]]), Klisz_Verbräuche[[#This Row],[2035]]*Emissionsfaktoren[[#This Row],[2035]]/1000, 0)</f>
        <v>0</v>
      </c>
      <c r="V191" s="15">
        <f>IF(ISNUMBER(Klisz_Verbräuche[[#This Row],[2040]]), Klisz_Verbräuche[[#This Row],[2040]]*Emissionsfaktoren[[#This Row],[2040]]/1000, 0)</f>
        <v>0</v>
      </c>
      <c r="W191" s="15">
        <f>IF(ISNUMBER(Klisz_Verbräuche[[#This Row],[2045]]), Klisz_Verbräuche[[#This Row],[2045]]*Emissionsfaktoren[[#This Row],[2045]]/1000, 0)</f>
        <v>0</v>
      </c>
      <c r="X191" s="15">
        <f>IF(ISNUMBER(Klisz_Verbräuche[[#This Row],[2050]]), Klisz_Verbräuche[[#This Row],[2050]]*Emissionsfaktoren[[#This Row],[2050]]/1000, 0)</f>
        <v>0</v>
      </c>
    </row>
    <row r="192" spans="2:24" ht="16.5" hidden="1" x14ac:dyDescent="0.45">
      <c r="B192" s="15">
        <v>132</v>
      </c>
      <c r="C192" s="20" t="str">
        <f>Refsz_Verbräuche[[#This Row],[Datenpunkt]]</f>
        <v>Stahl-Blech verzinkt</v>
      </c>
      <c r="D192" t="s">
        <v>208</v>
      </c>
      <c r="E192" s="15">
        <f>IF(ISNUMBER(Klisz_Verbräuche[[#This Row],[2015]]), Klisz_Verbräuche[[#This Row],[2015]]*Emissionsfaktoren[[#This Row],[2015]]/1000, 0)</f>
        <v>0</v>
      </c>
      <c r="F192" s="15">
        <f>IF(ISNUMBER(Klisz_Verbräuche[[#This Row],[2016]]), Klisz_Verbräuche[[#This Row],[2016]]*Emissionsfaktoren[[#This Row],[2016]]/1000, 0)</f>
        <v>0</v>
      </c>
      <c r="G192" s="15">
        <f>IF(ISNUMBER(Klisz_Verbräuche[[#This Row],[2017]]), Klisz_Verbräuche[[#This Row],[2017]]*Emissionsfaktoren[[#This Row],[2017]]/1000, 0)</f>
        <v>0</v>
      </c>
      <c r="H192" s="15">
        <f>IF(ISNUMBER(Klisz_Verbräuche[[#This Row],[2018]]), Klisz_Verbräuche[[#This Row],[2018]]*Emissionsfaktoren[[#This Row],[2018]]/1000, 0)</f>
        <v>0</v>
      </c>
      <c r="I192" s="15">
        <f>IF(ISNUMBER(Klisz_Verbräuche[[#This Row],[2019]]), Klisz_Verbräuche[[#This Row],[2019]]*Emissionsfaktoren[[#This Row],[2019]]/1000, 0)</f>
        <v>0</v>
      </c>
      <c r="J192" s="15">
        <f>IF(ISNUMBER(Klisz_Verbräuche[[#This Row],[2020]]), Klisz_Verbräuche[[#This Row],[2020]]*Emissionsfaktoren[[#This Row],[2020]]/1000, 0)</f>
        <v>0</v>
      </c>
      <c r="K192" s="15">
        <f>IF(ISNUMBER(Klisz_Verbräuche[[#This Row],[2021]]), Klisz_Verbräuche[[#This Row],[2021]]*Emissionsfaktoren[[#This Row],[2021]]/1000, 0)</f>
        <v>0</v>
      </c>
      <c r="L192" s="15">
        <f>IF(ISNUMBER(Klisz_Verbräuche[[#This Row],[2022]]), Klisz_Verbräuche[[#This Row],[2022]]*Emissionsfaktoren[[#This Row],[2022]]/1000, 0)</f>
        <v>0</v>
      </c>
      <c r="M192" s="15">
        <f>IF(ISNUMBER(Klisz_Verbräuche[[#This Row],[2023]]), Klisz_Verbräuche[[#This Row],[2023]]*Emissionsfaktoren[[#This Row],[2023]]/1000, 0)</f>
        <v>0</v>
      </c>
      <c r="N192" s="15">
        <f>IF(ISNUMBER(Klisz_Verbräuche[[#This Row],[2024]]), Klisz_Verbräuche[[#This Row],[2024]]*Emissionsfaktoren[[#This Row],[2024]]/1000, 0)</f>
        <v>0</v>
      </c>
      <c r="O192" s="15">
        <f>IF(ISNUMBER(Klisz_Verbräuche[[#This Row],[2025]]), Klisz_Verbräuche[[#This Row],[2025]]*Emissionsfaktoren[[#This Row],[2025]]/1000, 0)</f>
        <v>0</v>
      </c>
      <c r="P192" s="15">
        <f>IF(ISNUMBER(Klisz_Verbräuche[[#This Row],[2026]]), Klisz_Verbräuche[[#This Row],[2026]]*Emissionsfaktoren[[#This Row],[2026]]/1000, 0)</f>
        <v>0</v>
      </c>
      <c r="Q192" s="15">
        <f>IF(ISNUMBER(Klisz_Verbräuche[[#This Row],[2027]]), Klisz_Verbräuche[[#This Row],[2027]]*Emissionsfaktoren[[#This Row],[2027]]/1000, 0)</f>
        <v>0</v>
      </c>
      <c r="R192" s="15">
        <f>IF(ISNUMBER(Klisz_Verbräuche[[#This Row],[2028]]), Klisz_Verbräuche[[#This Row],[2028]]*Emissionsfaktoren[[#This Row],[2028]]/1000, 0)</f>
        <v>0</v>
      </c>
      <c r="S192" s="15">
        <f>IF(ISNUMBER(Klisz_Verbräuche[[#This Row],[2029]]), Klisz_Verbräuche[[#This Row],[2029]]*Emissionsfaktoren[[#This Row],[2029]]/1000, 0)</f>
        <v>0</v>
      </c>
      <c r="T192" s="15">
        <f>IF(ISNUMBER(Klisz_Verbräuche[[#This Row],[2030]]), Klisz_Verbräuche[[#This Row],[2030]]*Emissionsfaktoren[[#This Row],[2030]]/1000, 0)</f>
        <v>0</v>
      </c>
      <c r="U192" s="15">
        <f>IF(ISNUMBER(Klisz_Verbräuche[[#This Row],[2035]]), Klisz_Verbräuche[[#This Row],[2035]]*Emissionsfaktoren[[#This Row],[2035]]/1000, 0)</f>
        <v>0</v>
      </c>
      <c r="V192" s="15">
        <f>IF(ISNUMBER(Klisz_Verbräuche[[#This Row],[2040]]), Klisz_Verbräuche[[#This Row],[2040]]*Emissionsfaktoren[[#This Row],[2040]]/1000, 0)</f>
        <v>0</v>
      </c>
      <c r="W192" s="15">
        <f>IF(ISNUMBER(Klisz_Verbräuche[[#This Row],[2045]]), Klisz_Verbräuche[[#This Row],[2045]]*Emissionsfaktoren[[#This Row],[2045]]/1000, 0)</f>
        <v>0</v>
      </c>
      <c r="X192" s="15">
        <f>IF(ISNUMBER(Klisz_Verbräuche[[#This Row],[2050]]), Klisz_Verbräuche[[#This Row],[2050]]*Emissionsfaktoren[[#This Row],[2050]]/1000, 0)</f>
        <v>0</v>
      </c>
    </row>
    <row r="193" spans="2:24" ht="16.5" hidden="1" x14ac:dyDescent="0.45">
      <c r="B193" s="15">
        <v>133</v>
      </c>
      <c r="C193" s="20" t="str">
        <f>Refsz_Verbräuche[[#This Row],[Datenpunkt]]</f>
        <v>Stahl-Elektro</v>
      </c>
      <c r="D193" t="s">
        <v>208</v>
      </c>
      <c r="E193" s="15">
        <f>IF(ISNUMBER(Klisz_Verbräuche[[#This Row],[2015]]), Klisz_Verbräuche[[#This Row],[2015]]*Emissionsfaktoren[[#This Row],[2015]]/1000, 0)</f>
        <v>0</v>
      </c>
      <c r="F193" s="15">
        <f>IF(ISNUMBER(Klisz_Verbräuche[[#This Row],[2016]]), Klisz_Verbräuche[[#This Row],[2016]]*Emissionsfaktoren[[#This Row],[2016]]/1000, 0)</f>
        <v>0</v>
      </c>
      <c r="G193" s="15">
        <f>IF(ISNUMBER(Klisz_Verbräuche[[#This Row],[2017]]), Klisz_Verbräuche[[#This Row],[2017]]*Emissionsfaktoren[[#This Row],[2017]]/1000, 0)</f>
        <v>0</v>
      </c>
      <c r="H193" s="15">
        <f>IF(ISNUMBER(Klisz_Verbräuche[[#This Row],[2018]]), Klisz_Verbräuche[[#This Row],[2018]]*Emissionsfaktoren[[#This Row],[2018]]/1000, 0)</f>
        <v>0</v>
      </c>
      <c r="I193" s="15">
        <f>IF(ISNUMBER(Klisz_Verbräuche[[#This Row],[2019]]), Klisz_Verbräuche[[#This Row],[2019]]*Emissionsfaktoren[[#This Row],[2019]]/1000, 0)</f>
        <v>0</v>
      </c>
      <c r="J193" s="15">
        <f>IF(ISNUMBER(Klisz_Verbräuche[[#This Row],[2020]]), Klisz_Verbräuche[[#This Row],[2020]]*Emissionsfaktoren[[#This Row],[2020]]/1000, 0)</f>
        <v>0</v>
      </c>
      <c r="K193" s="15">
        <f>IF(ISNUMBER(Klisz_Verbräuche[[#This Row],[2021]]), Klisz_Verbräuche[[#This Row],[2021]]*Emissionsfaktoren[[#This Row],[2021]]/1000, 0)</f>
        <v>0</v>
      </c>
      <c r="L193" s="15">
        <f>IF(ISNUMBER(Klisz_Verbräuche[[#This Row],[2022]]), Klisz_Verbräuche[[#This Row],[2022]]*Emissionsfaktoren[[#This Row],[2022]]/1000, 0)</f>
        <v>0</v>
      </c>
      <c r="M193" s="15">
        <f>IF(ISNUMBER(Klisz_Verbräuche[[#This Row],[2023]]), Klisz_Verbräuche[[#This Row],[2023]]*Emissionsfaktoren[[#This Row],[2023]]/1000, 0)</f>
        <v>0</v>
      </c>
      <c r="N193" s="15">
        <f>IF(ISNUMBER(Klisz_Verbräuche[[#This Row],[2024]]), Klisz_Verbräuche[[#This Row],[2024]]*Emissionsfaktoren[[#This Row],[2024]]/1000, 0)</f>
        <v>0</v>
      </c>
      <c r="O193" s="15">
        <f>IF(ISNUMBER(Klisz_Verbräuche[[#This Row],[2025]]), Klisz_Verbräuche[[#This Row],[2025]]*Emissionsfaktoren[[#This Row],[2025]]/1000, 0)</f>
        <v>0</v>
      </c>
      <c r="P193" s="15">
        <f>IF(ISNUMBER(Klisz_Verbräuche[[#This Row],[2026]]), Klisz_Verbräuche[[#This Row],[2026]]*Emissionsfaktoren[[#This Row],[2026]]/1000, 0)</f>
        <v>0</v>
      </c>
      <c r="Q193" s="15">
        <f>IF(ISNUMBER(Klisz_Verbräuche[[#This Row],[2027]]), Klisz_Verbräuche[[#This Row],[2027]]*Emissionsfaktoren[[#This Row],[2027]]/1000, 0)</f>
        <v>0</v>
      </c>
      <c r="R193" s="15">
        <f>IF(ISNUMBER(Klisz_Verbräuche[[#This Row],[2028]]), Klisz_Verbräuche[[#This Row],[2028]]*Emissionsfaktoren[[#This Row],[2028]]/1000, 0)</f>
        <v>0</v>
      </c>
      <c r="S193" s="15">
        <f>IF(ISNUMBER(Klisz_Verbräuche[[#This Row],[2029]]), Klisz_Verbräuche[[#This Row],[2029]]*Emissionsfaktoren[[#This Row],[2029]]/1000, 0)</f>
        <v>0</v>
      </c>
      <c r="T193" s="15">
        <f>IF(ISNUMBER(Klisz_Verbräuche[[#This Row],[2030]]), Klisz_Verbräuche[[#This Row],[2030]]*Emissionsfaktoren[[#This Row],[2030]]/1000, 0)</f>
        <v>0</v>
      </c>
      <c r="U193" s="15">
        <f>IF(ISNUMBER(Klisz_Verbräuche[[#This Row],[2035]]), Klisz_Verbräuche[[#This Row],[2035]]*Emissionsfaktoren[[#This Row],[2035]]/1000, 0)</f>
        <v>0</v>
      </c>
      <c r="V193" s="15">
        <f>IF(ISNUMBER(Klisz_Verbräuche[[#This Row],[2040]]), Klisz_Verbräuche[[#This Row],[2040]]*Emissionsfaktoren[[#This Row],[2040]]/1000, 0)</f>
        <v>0</v>
      </c>
      <c r="W193" s="15">
        <f>IF(ISNUMBER(Klisz_Verbräuche[[#This Row],[2045]]), Klisz_Verbräuche[[#This Row],[2045]]*Emissionsfaktoren[[#This Row],[2045]]/1000, 0)</f>
        <v>0</v>
      </c>
      <c r="X193" s="15">
        <f>IF(ISNUMBER(Klisz_Verbräuche[[#This Row],[2050]]), Klisz_Verbräuche[[#This Row],[2050]]*Emissionsfaktoren[[#This Row],[2050]]/1000, 0)</f>
        <v>0</v>
      </c>
    </row>
    <row r="194" spans="2:24" ht="16.5" hidden="1" x14ac:dyDescent="0.45">
      <c r="B194" s="15">
        <v>134</v>
      </c>
      <c r="C194" s="20" t="str">
        <f>Refsz_Verbräuche[[#This Row],[Datenpunkt]]</f>
        <v>Stahl-mix</v>
      </c>
      <c r="D194" t="s">
        <v>208</v>
      </c>
      <c r="E194" s="15">
        <f>IF(ISNUMBER(Klisz_Verbräuche[[#This Row],[2015]]), Klisz_Verbräuche[[#This Row],[2015]]*Emissionsfaktoren[[#This Row],[2015]]/1000, 0)</f>
        <v>0</v>
      </c>
      <c r="F194" s="15">
        <f>IF(ISNUMBER(Klisz_Verbräuche[[#This Row],[2016]]), Klisz_Verbräuche[[#This Row],[2016]]*Emissionsfaktoren[[#This Row],[2016]]/1000, 0)</f>
        <v>0</v>
      </c>
      <c r="G194" s="15">
        <f>IF(ISNUMBER(Klisz_Verbräuche[[#This Row],[2017]]), Klisz_Verbräuche[[#This Row],[2017]]*Emissionsfaktoren[[#This Row],[2017]]/1000, 0)</f>
        <v>0</v>
      </c>
      <c r="H194" s="15">
        <f>IF(ISNUMBER(Klisz_Verbräuche[[#This Row],[2018]]), Klisz_Verbräuche[[#This Row],[2018]]*Emissionsfaktoren[[#This Row],[2018]]/1000, 0)</f>
        <v>0</v>
      </c>
      <c r="I194" s="15">
        <f>IF(ISNUMBER(Klisz_Verbräuche[[#This Row],[2019]]), Klisz_Verbräuche[[#This Row],[2019]]*Emissionsfaktoren[[#This Row],[2019]]/1000, 0)</f>
        <v>0</v>
      </c>
      <c r="J194" s="15">
        <f>IF(ISNUMBER(Klisz_Verbräuche[[#This Row],[2020]]), Klisz_Verbräuche[[#This Row],[2020]]*Emissionsfaktoren[[#This Row],[2020]]/1000, 0)</f>
        <v>0</v>
      </c>
      <c r="K194" s="15">
        <f>IF(ISNUMBER(Klisz_Verbräuche[[#This Row],[2021]]), Klisz_Verbräuche[[#This Row],[2021]]*Emissionsfaktoren[[#This Row],[2021]]/1000, 0)</f>
        <v>0</v>
      </c>
      <c r="L194" s="15">
        <f>IF(ISNUMBER(Klisz_Verbräuche[[#This Row],[2022]]), Klisz_Verbräuche[[#This Row],[2022]]*Emissionsfaktoren[[#This Row],[2022]]/1000, 0)</f>
        <v>0</v>
      </c>
      <c r="M194" s="15">
        <f>IF(ISNUMBER(Klisz_Verbräuche[[#This Row],[2023]]), Klisz_Verbräuche[[#This Row],[2023]]*Emissionsfaktoren[[#This Row],[2023]]/1000, 0)</f>
        <v>0</v>
      </c>
      <c r="N194" s="15">
        <f>IF(ISNUMBER(Klisz_Verbräuche[[#This Row],[2024]]), Klisz_Verbräuche[[#This Row],[2024]]*Emissionsfaktoren[[#This Row],[2024]]/1000, 0)</f>
        <v>0</v>
      </c>
      <c r="O194" s="15">
        <f>IF(ISNUMBER(Klisz_Verbräuche[[#This Row],[2025]]), Klisz_Verbräuche[[#This Row],[2025]]*Emissionsfaktoren[[#This Row],[2025]]/1000, 0)</f>
        <v>0</v>
      </c>
      <c r="P194" s="15">
        <f>IF(ISNUMBER(Klisz_Verbräuche[[#This Row],[2026]]), Klisz_Verbräuche[[#This Row],[2026]]*Emissionsfaktoren[[#This Row],[2026]]/1000, 0)</f>
        <v>0</v>
      </c>
      <c r="Q194" s="15">
        <f>IF(ISNUMBER(Klisz_Verbräuche[[#This Row],[2027]]), Klisz_Verbräuche[[#This Row],[2027]]*Emissionsfaktoren[[#This Row],[2027]]/1000, 0)</f>
        <v>0</v>
      </c>
      <c r="R194" s="15">
        <f>IF(ISNUMBER(Klisz_Verbräuche[[#This Row],[2028]]), Klisz_Verbräuche[[#This Row],[2028]]*Emissionsfaktoren[[#This Row],[2028]]/1000, 0)</f>
        <v>0</v>
      </c>
      <c r="S194" s="15">
        <f>IF(ISNUMBER(Klisz_Verbräuche[[#This Row],[2029]]), Klisz_Verbräuche[[#This Row],[2029]]*Emissionsfaktoren[[#This Row],[2029]]/1000, 0)</f>
        <v>0</v>
      </c>
      <c r="T194" s="15">
        <f>IF(ISNUMBER(Klisz_Verbräuche[[#This Row],[2030]]), Klisz_Verbräuche[[#This Row],[2030]]*Emissionsfaktoren[[#This Row],[2030]]/1000, 0)</f>
        <v>0</v>
      </c>
      <c r="U194" s="15">
        <f>IF(ISNUMBER(Klisz_Verbräuche[[#This Row],[2035]]), Klisz_Verbräuche[[#This Row],[2035]]*Emissionsfaktoren[[#This Row],[2035]]/1000, 0)</f>
        <v>0</v>
      </c>
      <c r="V194" s="15">
        <f>IF(ISNUMBER(Klisz_Verbräuche[[#This Row],[2040]]), Klisz_Verbräuche[[#This Row],[2040]]*Emissionsfaktoren[[#This Row],[2040]]/1000, 0)</f>
        <v>0</v>
      </c>
      <c r="W194" s="15">
        <f>IF(ISNUMBER(Klisz_Verbräuche[[#This Row],[2045]]), Klisz_Verbräuche[[#This Row],[2045]]*Emissionsfaktoren[[#This Row],[2045]]/1000, 0)</f>
        <v>0</v>
      </c>
      <c r="X194" s="15">
        <f>IF(ISNUMBER(Klisz_Verbräuche[[#This Row],[2050]]), Klisz_Verbräuche[[#This Row],[2050]]*Emissionsfaktoren[[#This Row],[2050]]/1000, 0)</f>
        <v>0</v>
      </c>
    </row>
    <row r="195" spans="2:24" ht="16.5" hidden="1" x14ac:dyDescent="0.45">
      <c r="B195" s="15">
        <v>135</v>
      </c>
      <c r="C195" s="20" t="str">
        <f>Refsz_Verbräuche[[#This Row],[Datenpunkt]]</f>
        <v>Beton</v>
      </c>
      <c r="D195" t="s">
        <v>208</v>
      </c>
      <c r="E195" s="15">
        <f>IF(ISNUMBER(Klisz_Verbräuche[[#This Row],[2015]]), Klisz_Verbräuche[[#This Row],[2015]]*Emissionsfaktoren[[#This Row],[2015]]/1000, 0)</f>
        <v>0</v>
      </c>
      <c r="F195" s="15">
        <f>IF(ISNUMBER(Klisz_Verbräuche[[#This Row],[2016]]), Klisz_Verbräuche[[#This Row],[2016]]*Emissionsfaktoren[[#This Row],[2016]]/1000, 0)</f>
        <v>0</v>
      </c>
      <c r="G195" s="15">
        <f>IF(ISNUMBER(Klisz_Verbräuche[[#This Row],[2017]]), Klisz_Verbräuche[[#This Row],[2017]]*Emissionsfaktoren[[#This Row],[2017]]/1000, 0)</f>
        <v>0</v>
      </c>
      <c r="H195" s="15">
        <f>IF(ISNUMBER(Klisz_Verbräuche[[#This Row],[2018]]), Klisz_Verbräuche[[#This Row],[2018]]*Emissionsfaktoren[[#This Row],[2018]]/1000, 0)</f>
        <v>0</v>
      </c>
      <c r="I195" s="15">
        <f>IF(ISNUMBER(Klisz_Verbräuche[[#This Row],[2019]]), Klisz_Verbräuche[[#This Row],[2019]]*Emissionsfaktoren[[#This Row],[2019]]/1000, 0)</f>
        <v>0</v>
      </c>
      <c r="J195" s="15">
        <f>IF(ISNUMBER(Klisz_Verbräuche[[#This Row],[2020]]), Klisz_Verbräuche[[#This Row],[2020]]*Emissionsfaktoren[[#This Row],[2020]]/1000, 0)</f>
        <v>0</v>
      </c>
      <c r="K195" s="15">
        <f>IF(ISNUMBER(Klisz_Verbräuche[[#This Row],[2021]]), Klisz_Verbräuche[[#This Row],[2021]]*Emissionsfaktoren[[#This Row],[2021]]/1000, 0)</f>
        <v>0</v>
      </c>
      <c r="L195" s="15">
        <f>IF(ISNUMBER(Klisz_Verbräuche[[#This Row],[2022]]), Klisz_Verbräuche[[#This Row],[2022]]*Emissionsfaktoren[[#This Row],[2022]]/1000, 0)</f>
        <v>0</v>
      </c>
      <c r="M195" s="15">
        <f>IF(ISNUMBER(Klisz_Verbräuche[[#This Row],[2023]]), Klisz_Verbräuche[[#This Row],[2023]]*Emissionsfaktoren[[#This Row],[2023]]/1000, 0)</f>
        <v>0</v>
      </c>
      <c r="N195" s="15">
        <f>IF(ISNUMBER(Klisz_Verbräuche[[#This Row],[2024]]), Klisz_Verbräuche[[#This Row],[2024]]*Emissionsfaktoren[[#This Row],[2024]]/1000, 0)</f>
        <v>0</v>
      </c>
      <c r="O195" s="15">
        <f>IF(ISNUMBER(Klisz_Verbräuche[[#This Row],[2025]]), Klisz_Verbräuche[[#This Row],[2025]]*Emissionsfaktoren[[#This Row],[2025]]/1000, 0)</f>
        <v>0</v>
      </c>
      <c r="P195" s="15">
        <f>IF(ISNUMBER(Klisz_Verbräuche[[#This Row],[2026]]), Klisz_Verbräuche[[#This Row],[2026]]*Emissionsfaktoren[[#This Row],[2026]]/1000, 0)</f>
        <v>0</v>
      </c>
      <c r="Q195" s="15">
        <f>IF(ISNUMBER(Klisz_Verbräuche[[#This Row],[2027]]), Klisz_Verbräuche[[#This Row],[2027]]*Emissionsfaktoren[[#This Row],[2027]]/1000, 0)</f>
        <v>0</v>
      </c>
      <c r="R195" s="15">
        <f>IF(ISNUMBER(Klisz_Verbräuche[[#This Row],[2028]]), Klisz_Verbräuche[[#This Row],[2028]]*Emissionsfaktoren[[#This Row],[2028]]/1000, 0)</f>
        <v>0</v>
      </c>
      <c r="S195" s="15">
        <f>IF(ISNUMBER(Klisz_Verbräuche[[#This Row],[2029]]), Klisz_Verbräuche[[#This Row],[2029]]*Emissionsfaktoren[[#This Row],[2029]]/1000, 0)</f>
        <v>0</v>
      </c>
      <c r="T195" s="15">
        <f>IF(ISNUMBER(Klisz_Verbräuche[[#This Row],[2030]]), Klisz_Verbräuche[[#This Row],[2030]]*Emissionsfaktoren[[#This Row],[2030]]/1000, 0)</f>
        <v>0</v>
      </c>
      <c r="U195" s="15">
        <f>IF(ISNUMBER(Klisz_Verbräuche[[#This Row],[2035]]), Klisz_Verbräuche[[#This Row],[2035]]*Emissionsfaktoren[[#This Row],[2035]]/1000, 0)</f>
        <v>0</v>
      </c>
      <c r="V195" s="15">
        <f>IF(ISNUMBER(Klisz_Verbräuche[[#This Row],[2040]]), Klisz_Verbräuche[[#This Row],[2040]]*Emissionsfaktoren[[#This Row],[2040]]/1000, 0)</f>
        <v>0</v>
      </c>
      <c r="W195" s="15">
        <f>IF(ISNUMBER(Klisz_Verbräuche[[#This Row],[2045]]), Klisz_Verbräuche[[#This Row],[2045]]*Emissionsfaktoren[[#This Row],[2045]]/1000, 0)</f>
        <v>0</v>
      </c>
      <c r="X195" s="15">
        <f>IF(ISNUMBER(Klisz_Verbräuche[[#This Row],[2050]]), Klisz_Verbräuche[[#This Row],[2050]]*Emissionsfaktoren[[#This Row],[2050]]/1000, 0)</f>
        <v>0</v>
      </c>
    </row>
    <row r="196" spans="2:24" ht="16.5" hidden="1" x14ac:dyDescent="0.45">
      <c r="B196" s="15">
        <v>136</v>
      </c>
      <c r="C196" s="20" t="str">
        <f>Refsz_Verbräuche[[#This Row],[Datenpunkt]]</f>
        <v>Glaswolle</v>
      </c>
      <c r="D196" t="s">
        <v>208</v>
      </c>
      <c r="E196" s="15">
        <f>IF(ISNUMBER(Klisz_Verbräuche[[#This Row],[2015]]), Klisz_Verbräuche[[#This Row],[2015]]*Emissionsfaktoren[[#This Row],[2015]]/1000, 0)</f>
        <v>0</v>
      </c>
      <c r="F196" s="15">
        <f>IF(ISNUMBER(Klisz_Verbräuche[[#This Row],[2016]]), Klisz_Verbräuche[[#This Row],[2016]]*Emissionsfaktoren[[#This Row],[2016]]/1000, 0)</f>
        <v>0</v>
      </c>
      <c r="G196" s="15">
        <f>IF(ISNUMBER(Klisz_Verbräuche[[#This Row],[2017]]), Klisz_Verbräuche[[#This Row],[2017]]*Emissionsfaktoren[[#This Row],[2017]]/1000, 0)</f>
        <v>0</v>
      </c>
      <c r="H196" s="15">
        <f>IF(ISNUMBER(Klisz_Verbräuche[[#This Row],[2018]]), Klisz_Verbräuche[[#This Row],[2018]]*Emissionsfaktoren[[#This Row],[2018]]/1000, 0)</f>
        <v>0</v>
      </c>
      <c r="I196" s="15">
        <f>IF(ISNUMBER(Klisz_Verbräuche[[#This Row],[2019]]), Klisz_Verbräuche[[#This Row],[2019]]*Emissionsfaktoren[[#This Row],[2019]]/1000, 0)</f>
        <v>0</v>
      </c>
      <c r="J196" s="15">
        <f>IF(ISNUMBER(Klisz_Verbräuche[[#This Row],[2020]]), Klisz_Verbräuche[[#This Row],[2020]]*Emissionsfaktoren[[#This Row],[2020]]/1000, 0)</f>
        <v>0</v>
      </c>
      <c r="K196" s="15">
        <f>IF(ISNUMBER(Klisz_Verbräuche[[#This Row],[2021]]), Klisz_Verbräuche[[#This Row],[2021]]*Emissionsfaktoren[[#This Row],[2021]]/1000, 0)</f>
        <v>0</v>
      </c>
      <c r="L196" s="15">
        <f>IF(ISNUMBER(Klisz_Verbräuche[[#This Row],[2022]]), Klisz_Verbräuche[[#This Row],[2022]]*Emissionsfaktoren[[#This Row],[2022]]/1000, 0)</f>
        <v>0</v>
      </c>
      <c r="M196" s="15">
        <f>IF(ISNUMBER(Klisz_Verbräuche[[#This Row],[2023]]), Klisz_Verbräuche[[#This Row],[2023]]*Emissionsfaktoren[[#This Row],[2023]]/1000, 0)</f>
        <v>0</v>
      </c>
      <c r="N196" s="15">
        <f>IF(ISNUMBER(Klisz_Verbräuche[[#This Row],[2024]]), Klisz_Verbräuche[[#This Row],[2024]]*Emissionsfaktoren[[#This Row],[2024]]/1000, 0)</f>
        <v>0</v>
      </c>
      <c r="O196" s="15">
        <f>IF(ISNUMBER(Klisz_Verbräuche[[#This Row],[2025]]), Klisz_Verbräuche[[#This Row],[2025]]*Emissionsfaktoren[[#This Row],[2025]]/1000, 0)</f>
        <v>0</v>
      </c>
      <c r="P196" s="15">
        <f>IF(ISNUMBER(Klisz_Verbräuche[[#This Row],[2026]]), Klisz_Verbräuche[[#This Row],[2026]]*Emissionsfaktoren[[#This Row],[2026]]/1000, 0)</f>
        <v>0</v>
      </c>
      <c r="Q196" s="15">
        <f>IF(ISNUMBER(Klisz_Verbräuche[[#This Row],[2027]]), Klisz_Verbräuche[[#This Row],[2027]]*Emissionsfaktoren[[#This Row],[2027]]/1000, 0)</f>
        <v>0</v>
      </c>
      <c r="R196" s="15">
        <f>IF(ISNUMBER(Klisz_Verbräuche[[#This Row],[2028]]), Klisz_Verbräuche[[#This Row],[2028]]*Emissionsfaktoren[[#This Row],[2028]]/1000, 0)</f>
        <v>0</v>
      </c>
      <c r="S196" s="15">
        <f>IF(ISNUMBER(Klisz_Verbräuche[[#This Row],[2029]]), Klisz_Verbräuche[[#This Row],[2029]]*Emissionsfaktoren[[#This Row],[2029]]/1000, 0)</f>
        <v>0</v>
      </c>
      <c r="T196" s="15">
        <f>IF(ISNUMBER(Klisz_Verbräuche[[#This Row],[2030]]), Klisz_Verbräuche[[#This Row],[2030]]*Emissionsfaktoren[[#This Row],[2030]]/1000, 0)</f>
        <v>0</v>
      </c>
      <c r="U196" s="15">
        <f>IF(ISNUMBER(Klisz_Verbräuche[[#This Row],[2035]]), Klisz_Verbräuche[[#This Row],[2035]]*Emissionsfaktoren[[#This Row],[2035]]/1000, 0)</f>
        <v>0</v>
      </c>
      <c r="V196" s="15">
        <f>IF(ISNUMBER(Klisz_Verbräuche[[#This Row],[2040]]), Klisz_Verbräuche[[#This Row],[2040]]*Emissionsfaktoren[[#This Row],[2040]]/1000, 0)</f>
        <v>0</v>
      </c>
      <c r="W196" s="15">
        <f>IF(ISNUMBER(Klisz_Verbräuche[[#This Row],[2045]]), Klisz_Verbräuche[[#This Row],[2045]]*Emissionsfaktoren[[#This Row],[2045]]/1000, 0)</f>
        <v>0</v>
      </c>
      <c r="X196" s="15">
        <f>IF(ISNUMBER(Klisz_Verbräuche[[#This Row],[2050]]), Klisz_Verbräuche[[#This Row],[2050]]*Emissionsfaktoren[[#This Row],[2050]]/1000, 0)</f>
        <v>0</v>
      </c>
    </row>
    <row r="197" spans="2:24" ht="16.5" hidden="1" x14ac:dyDescent="0.45">
      <c r="B197" s="15">
        <v>137</v>
      </c>
      <c r="C197" s="20" t="str">
        <f>Refsz_Verbräuche[[#This Row],[Datenpunkt]]</f>
        <v>Konstruktionsvollholz</v>
      </c>
      <c r="D197" t="s">
        <v>208</v>
      </c>
      <c r="E197" s="15">
        <f>IF(ISNUMBER(Klisz_Verbräuche[[#This Row],[2015]]), Klisz_Verbräuche[[#This Row],[2015]]*Emissionsfaktoren[[#This Row],[2015]]/1000, 0)</f>
        <v>0</v>
      </c>
      <c r="F197" s="15">
        <f>IF(ISNUMBER(Klisz_Verbräuche[[#This Row],[2016]]), Klisz_Verbräuche[[#This Row],[2016]]*Emissionsfaktoren[[#This Row],[2016]]/1000, 0)</f>
        <v>0</v>
      </c>
      <c r="G197" s="15">
        <f>IF(ISNUMBER(Klisz_Verbräuche[[#This Row],[2017]]), Klisz_Verbräuche[[#This Row],[2017]]*Emissionsfaktoren[[#This Row],[2017]]/1000, 0)</f>
        <v>0</v>
      </c>
      <c r="H197" s="15">
        <f>IF(ISNUMBER(Klisz_Verbräuche[[#This Row],[2018]]), Klisz_Verbräuche[[#This Row],[2018]]*Emissionsfaktoren[[#This Row],[2018]]/1000, 0)</f>
        <v>0</v>
      </c>
      <c r="I197" s="15">
        <f>IF(ISNUMBER(Klisz_Verbräuche[[#This Row],[2019]]), Klisz_Verbräuche[[#This Row],[2019]]*Emissionsfaktoren[[#This Row],[2019]]/1000, 0)</f>
        <v>0</v>
      </c>
      <c r="J197" s="15">
        <f>IF(ISNUMBER(Klisz_Verbräuche[[#This Row],[2020]]), Klisz_Verbräuche[[#This Row],[2020]]*Emissionsfaktoren[[#This Row],[2020]]/1000, 0)</f>
        <v>0</v>
      </c>
      <c r="K197" s="15">
        <f>IF(ISNUMBER(Klisz_Verbräuche[[#This Row],[2021]]), Klisz_Verbräuche[[#This Row],[2021]]*Emissionsfaktoren[[#This Row],[2021]]/1000, 0)</f>
        <v>0</v>
      </c>
      <c r="L197" s="15">
        <f>IF(ISNUMBER(Klisz_Verbräuche[[#This Row],[2022]]), Klisz_Verbräuche[[#This Row],[2022]]*Emissionsfaktoren[[#This Row],[2022]]/1000, 0)</f>
        <v>0</v>
      </c>
      <c r="M197" s="15">
        <f>IF(ISNUMBER(Klisz_Verbräuche[[#This Row],[2023]]), Klisz_Verbräuche[[#This Row],[2023]]*Emissionsfaktoren[[#This Row],[2023]]/1000, 0)</f>
        <v>0</v>
      </c>
      <c r="N197" s="15">
        <f>IF(ISNUMBER(Klisz_Verbräuche[[#This Row],[2024]]), Klisz_Verbräuche[[#This Row],[2024]]*Emissionsfaktoren[[#This Row],[2024]]/1000, 0)</f>
        <v>0</v>
      </c>
      <c r="O197" s="15">
        <f>IF(ISNUMBER(Klisz_Verbräuche[[#This Row],[2025]]), Klisz_Verbräuche[[#This Row],[2025]]*Emissionsfaktoren[[#This Row],[2025]]/1000, 0)</f>
        <v>0</v>
      </c>
      <c r="P197" s="15">
        <f>IF(ISNUMBER(Klisz_Verbräuche[[#This Row],[2026]]), Klisz_Verbräuche[[#This Row],[2026]]*Emissionsfaktoren[[#This Row],[2026]]/1000, 0)</f>
        <v>0</v>
      </c>
      <c r="Q197" s="15">
        <f>IF(ISNUMBER(Klisz_Verbräuche[[#This Row],[2027]]), Klisz_Verbräuche[[#This Row],[2027]]*Emissionsfaktoren[[#This Row],[2027]]/1000, 0)</f>
        <v>0</v>
      </c>
      <c r="R197" s="15">
        <f>IF(ISNUMBER(Klisz_Verbräuche[[#This Row],[2028]]), Klisz_Verbräuche[[#This Row],[2028]]*Emissionsfaktoren[[#This Row],[2028]]/1000, 0)</f>
        <v>0</v>
      </c>
      <c r="S197" s="15">
        <f>IF(ISNUMBER(Klisz_Verbräuche[[#This Row],[2029]]), Klisz_Verbräuche[[#This Row],[2029]]*Emissionsfaktoren[[#This Row],[2029]]/1000, 0)</f>
        <v>0</v>
      </c>
      <c r="T197" s="15">
        <f>IF(ISNUMBER(Klisz_Verbräuche[[#This Row],[2030]]), Klisz_Verbräuche[[#This Row],[2030]]*Emissionsfaktoren[[#This Row],[2030]]/1000, 0)</f>
        <v>0</v>
      </c>
      <c r="U197" s="15">
        <f>IF(ISNUMBER(Klisz_Verbräuche[[#This Row],[2035]]), Klisz_Verbräuche[[#This Row],[2035]]*Emissionsfaktoren[[#This Row],[2035]]/1000, 0)</f>
        <v>0</v>
      </c>
      <c r="V197" s="15">
        <f>IF(ISNUMBER(Klisz_Verbräuche[[#This Row],[2040]]), Klisz_Verbräuche[[#This Row],[2040]]*Emissionsfaktoren[[#This Row],[2040]]/1000, 0)</f>
        <v>0</v>
      </c>
      <c r="W197" s="15">
        <f>IF(ISNUMBER(Klisz_Verbräuche[[#This Row],[2045]]), Klisz_Verbräuche[[#This Row],[2045]]*Emissionsfaktoren[[#This Row],[2045]]/1000, 0)</f>
        <v>0</v>
      </c>
      <c r="X197" s="15">
        <f>IF(ISNUMBER(Klisz_Verbräuche[[#This Row],[2050]]), Klisz_Verbräuche[[#This Row],[2050]]*Emissionsfaktoren[[#This Row],[2050]]/1000, 0)</f>
        <v>0</v>
      </c>
    </row>
    <row r="198" spans="2:24" ht="16.5" hidden="1" x14ac:dyDescent="0.45">
      <c r="B198" s="15">
        <v>138</v>
      </c>
      <c r="C198" s="20" t="str">
        <f>Refsz_Verbräuche[[#This Row],[Datenpunkt]]</f>
        <v>Spanplatte</v>
      </c>
      <c r="D198" t="s">
        <v>208</v>
      </c>
      <c r="E198" s="15">
        <f>IF(ISNUMBER(Klisz_Verbräuche[[#This Row],[2015]]), Klisz_Verbräuche[[#This Row],[2015]]*Emissionsfaktoren[[#This Row],[2015]]/1000, 0)</f>
        <v>0</v>
      </c>
      <c r="F198" s="15">
        <f>IF(ISNUMBER(Klisz_Verbräuche[[#This Row],[2016]]), Klisz_Verbräuche[[#This Row],[2016]]*Emissionsfaktoren[[#This Row],[2016]]/1000, 0)</f>
        <v>0</v>
      </c>
      <c r="G198" s="15">
        <f>IF(ISNUMBER(Klisz_Verbräuche[[#This Row],[2017]]), Klisz_Verbräuche[[#This Row],[2017]]*Emissionsfaktoren[[#This Row],[2017]]/1000, 0)</f>
        <v>0</v>
      </c>
      <c r="H198" s="15">
        <f>IF(ISNUMBER(Klisz_Verbräuche[[#This Row],[2018]]), Klisz_Verbräuche[[#This Row],[2018]]*Emissionsfaktoren[[#This Row],[2018]]/1000, 0)</f>
        <v>0</v>
      </c>
      <c r="I198" s="15">
        <f>IF(ISNUMBER(Klisz_Verbräuche[[#This Row],[2019]]), Klisz_Verbräuche[[#This Row],[2019]]*Emissionsfaktoren[[#This Row],[2019]]/1000, 0)</f>
        <v>0</v>
      </c>
      <c r="J198" s="15">
        <f>IF(ISNUMBER(Klisz_Verbräuche[[#This Row],[2020]]), Klisz_Verbräuche[[#This Row],[2020]]*Emissionsfaktoren[[#This Row],[2020]]/1000, 0)</f>
        <v>0</v>
      </c>
      <c r="K198" s="15">
        <f>IF(ISNUMBER(Klisz_Verbräuche[[#This Row],[2021]]), Klisz_Verbräuche[[#This Row],[2021]]*Emissionsfaktoren[[#This Row],[2021]]/1000, 0)</f>
        <v>0</v>
      </c>
      <c r="L198" s="15">
        <f>IF(ISNUMBER(Klisz_Verbräuche[[#This Row],[2022]]), Klisz_Verbräuche[[#This Row],[2022]]*Emissionsfaktoren[[#This Row],[2022]]/1000, 0)</f>
        <v>0</v>
      </c>
      <c r="M198" s="15">
        <f>IF(ISNUMBER(Klisz_Verbräuche[[#This Row],[2023]]), Klisz_Verbräuche[[#This Row],[2023]]*Emissionsfaktoren[[#This Row],[2023]]/1000, 0)</f>
        <v>0</v>
      </c>
      <c r="N198" s="15">
        <f>IF(ISNUMBER(Klisz_Verbräuche[[#This Row],[2024]]), Klisz_Verbräuche[[#This Row],[2024]]*Emissionsfaktoren[[#This Row],[2024]]/1000, 0)</f>
        <v>0</v>
      </c>
      <c r="O198" s="15">
        <f>IF(ISNUMBER(Klisz_Verbräuche[[#This Row],[2025]]), Klisz_Verbräuche[[#This Row],[2025]]*Emissionsfaktoren[[#This Row],[2025]]/1000, 0)</f>
        <v>0</v>
      </c>
      <c r="P198" s="15">
        <f>IF(ISNUMBER(Klisz_Verbräuche[[#This Row],[2026]]), Klisz_Verbräuche[[#This Row],[2026]]*Emissionsfaktoren[[#This Row],[2026]]/1000, 0)</f>
        <v>0</v>
      </c>
      <c r="Q198" s="15">
        <f>IF(ISNUMBER(Klisz_Verbräuche[[#This Row],[2027]]), Klisz_Verbräuche[[#This Row],[2027]]*Emissionsfaktoren[[#This Row],[2027]]/1000, 0)</f>
        <v>0</v>
      </c>
      <c r="R198" s="15">
        <f>IF(ISNUMBER(Klisz_Verbräuche[[#This Row],[2028]]), Klisz_Verbräuche[[#This Row],[2028]]*Emissionsfaktoren[[#This Row],[2028]]/1000, 0)</f>
        <v>0</v>
      </c>
      <c r="S198" s="15">
        <f>IF(ISNUMBER(Klisz_Verbräuche[[#This Row],[2029]]), Klisz_Verbräuche[[#This Row],[2029]]*Emissionsfaktoren[[#This Row],[2029]]/1000, 0)</f>
        <v>0</v>
      </c>
      <c r="T198" s="15">
        <f>IF(ISNUMBER(Klisz_Verbräuche[[#This Row],[2030]]), Klisz_Verbräuche[[#This Row],[2030]]*Emissionsfaktoren[[#This Row],[2030]]/1000, 0)</f>
        <v>0</v>
      </c>
      <c r="U198" s="15">
        <f>IF(ISNUMBER(Klisz_Verbräuche[[#This Row],[2035]]), Klisz_Verbräuche[[#This Row],[2035]]*Emissionsfaktoren[[#This Row],[2035]]/1000, 0)</f>
        <v>0</v>
      </c>
      <c r="V198" s="15">
        <f>IF(ISNUMBER(Klisz_Verbräuche[[#This Row],[2040]]), Klisz_Verbräuche[[#This Row],[2040]]*Emissionsfaktoren[[#This Row],[2040]]/1000, 0)</f>
        <v>0</v>
      </c>
      <c r="W198" s="15">
        <f>IF(ISNUMBER(Klisz_Verbräuche[[#This Row],[2045]]), Klisz_Verbräuche[[#This Row],[2045]]*Emissionsfaktoren[[#This Row],[2045]]/1000, 0)</f>
        <v>0</v>
      </c>
      <c r="X198" s="15">
        <f>IF(ISNUMBER(Klisz_Verbräuche[[#This Row],[2050]]), Klisz_Verbräuche[[#This Row],[2050]]*Emissionsfaktoren[[#This Row],[2050]]/1000, 0)</f>
        <v>0</v>
      </c>
    </row>
    <row r="199" spans="2:24" ht="16.5" hidden="1" x14ac:dyDescent="0.45">
      <c r="B199" s="15">
        <v>139</v>
      </c>
      <c r="C199" s="20" t="str">
        <f>Refsz_Verbräuche[[#This Row],[Datenpunkt]]</f>
        <v>Perlit</v>
      </c>
      <c r="D199" t="s">
        <v>208</v>
      </c>
      <c r="E199" s="15">
        <f>IF(ISNUMBER(Klisz_Verbräuche[[#This Row],[2015]]), Klisz_Verbräuche[[#This Row],[2015]]*Emissionsfaktoren[[#This Row],[2015]]/1000, 0)</f>
        <v>0</v>
      </c>
      <c r="F199" s="15">
        <f>IF(ISNUMBER(Klisz_Verbräuche[[#This Row],[2016]]), Klisz_Verbräuche[[#This Row],[2016]]*Emissionsfaktoren[[#This Row],[2016]]/1000, 0)</f>
        <v>0</v>
      </c>
      <c r="G199" s="15">
        <f>IF(ISNUMBER(Klisz_Verbräuche[[#This Row],[2017]]), Klisz_Verbräuche[[#This Row],[2017]]*Emissionsfaktoren[[#This Row],[2017]]/1000, 0)</f>
        <v>0</v>
      </c>
      <c r="H199" s="15">
        <f>IF(ISNUMBER(Klisz_Verbräuche[[#This Row],[2018]]), Klisz_Verbräuche[[#This Row],[2018]]*Emissionsfaktoren[[#This Row],[2018]]/1000, 0)</f>
        <v>0</v>
      </c>
      <c r="I199" s="15">
        <f>IF(ISNUMBER(Klisz_Verbräuche[[#This Row],[2019]]), Klisz_Verbräuche[[#This Row],[2019]]*Emissionsfaktoren[[#This Row],[2019]]/1000, 0)</f>
        <v>0</v>
      </c>
      <c r="J199" s="15">
        <f>IF(ISNUMBER(Klisz_Verbräuche[[#This Row],[2020]]), Klisz_Verbräuche[[#This Row],[2020]]*Emissionsfaktoren[[#This Row],[2020]]/1000, 0)</f>
        <v>0</v>
      </c>
      <c r="K199" s="15">
        <f>IF(ISNUMBER(Klisz_Verbräuche[[#This Row],[2021]]), Klisz_Verbräuche[[#This Row],[2021]]*Emissionsfaktoren[[#This Row],[2021]]/1000, 0)</f>
        <v>0</v>
      </c>
      <c r="L199" s="15">
        <f>IF(ISNUMBER(Klisz_Verbräuche[[#This Row],[2022]]), Klisz_Verbräuche[[#This Row],[2022]]*Emissionsfaktoren[[#This Row],[2022]]/1000, 0)</f>
        <v>0</v>
      </c>
      <c r="M199" s="15">
        <f>IF(ISNUMBER(Klisz_Verbräuche[[#This Row],[2023]]), Klisz_Verbräuche[[#This Row],[2023]]*Emissionsfaktoren[[#This Row],[2023]]/1000, 0)</f>
        <v>0</v>
      </c>
      <c r="N199" s="15">
        <f>IF(ISNUMBER(Klisz_Verbräuche[[#This Row],[2024]]), Klisz_Verbräuche[[#This Row],[2024]]*Emissionsfaktoren[[#This Row],[2024]]/1000, 0)</f>
        <v>0</v>
      </c>
      <c r="O199" s="15">
        <f>IF(ISNUMBER(Klisz_Verbräuche[[#This Row],[2025]]), Klisz_Verbräuche[[#This Row],[2025]]*Emissionsfaktoren[[#This Row],[2025]]/1000, 0)</f>
        <v>0</v>
      </c>
      <c r="P199" s="15">
        <f>IF(ISNUMBER(Klisz_Verbräuche[[#This Row],[2026]]), Klisz_Verbräuche[[#This Row],[2026]]*Emissionsfaktoren[[#This Row],[2026]]/1000, 0)</f>
        <v>0</v>
      </c>
      <c r="Q199" s="15">
        <f>IF(ISNUMBER(Klisz_Verbräuche[[#This Row],[2027]]), Klisz_Verbräuche[[#This Row],[2027]]*Emissionsfaktoren[[#This Row],[2027]]/1000, 0)</f>
        <v>0</v>
      </c>
      <c r="R199" s="15">
        <f>IF(ISNUMBER(Klisz_Verbräuche[[#This Row],[2028]]), Klisz_Verbräuche[[#This Row],[2028]]*Emissionsfaktoren[[#This Row],[2028]]/1000, 0)</f>
        <v>0</v>
      </c>
      <c r="S199" s="15">
        <f>IF(ISNUMBER(Klisz_Verbräuche[[#This Row],[2029]]), Klisz_Verbräuche[[#This Row],[2029]]*Emissionsfaktoren[[#This Row],[2029]]/1000, 0)</f>
        <v>0</v>
      </c>
      <c r="T199" s="15">
        <f>IF(ISNUMBER(Klisz_Verbräuche[[#This Row],[2030]]), Klisz_Verbräuche[[#This Row],[2030]]*Emissionsfaktoren[[#This Row],[2030]]/1000, 0)</f>
        <v>0</v>
      </c>
      <c r="U199" s="15">
        <f>IF(ISNUMBER(Klisz_Verbräuche[[#This Row],[2035]]), Klisz_Verbräuche[[#This Row],[2035]]*Emissionsfaktoren[[#This Row],[2035]]/1000, 0)</f>
        <v>0</v>
      </c>
      <c r="V199" s="15">
        <f>IF(ISNUMBER(Klisz_Verbräuche[[#This Row],[2040]]), Klisz_Verbräuche[[#This Row],[2040]]*Emissionsfaktoren[[#This Row],[2040]]/1000, 0)</f>
        <v>0</v>
      </c>
      <c r="W199" s="15">
        <f>IF(ISNUMBER(Klisz_Verbräuche[[#This Row],[2045]]), Klisz_Verbräuche[[#This Row],[2045]]*Emissionsfaktoren[[#This Row],[2045]]/1000, 0)</f>
        <v>0</v>
      </c>
      <c r="X199" s="15">
        <f>IF(ISNUMBER(Klisz_Verbräuche[[#This Row],[2050]]), Klisz_Verbräuche[[#This Row],[2050]]*Emissionsfaktoren[[#This Row],[2050]]/1000, 0)</f>
        <v>0</v>
      </c>
    </row>
    <row r="200" spans="2:24" ht="16.5" hidden="1" x14ac:dyDescent="0.45">
      <c r="B200" s="15">
        <v>140</v>
      </c>
      <c r="C200" s="20" t="str">
        <f>Refsz_Verbräuche[[#This Row],[Datenpunkt]]</f>
        <v>Stahlbeton Fertigteil Decke (20cm Dicke)</v>
      </c>
      <c r="D200" t="s">
        <v>208</v>
      </c>
      <c r="E200" s="15">
        <f>IF(ISNUMBER(Klisz_Verbräuche[[#This Row],[2015]]), Klisz_Verbräuche[[#This Row],[2015]]*Emissionsfaktoren[[#This Row],[2015]]/1000, 0)</f>
        <v>0</v>
      </c>
      <c r="F200" s="15">
        <f>IF(ISNUMBER(Klisz_Verbräuche[[#This Row],[2016]]), Klisz_Verbräuche[[#This Row],[2016]]*Emissionsfaktoren[[#This Row],[2016]]/1000, 0)</f>
        <v>0</v>
      </c>
      <c r="G200" s="15">
        <f>IF(ISNUMBER(Klisz_Verbräuche[[#This Row],[2017]]), Klisz_Verbräuche[[#This Row],[2017]]*Emissionsfaktoren[[#This Row],[2017]]/1000, 0)</f>
        <v>0</v>
      </c>
      <c r="H200" s="15">
        <f>IF(ISNUMBER(Klisz_Verbräuche[[#This Row],[2018]]), Klisz_Verbräuche[[#This Row],[2018]]*Emissionsfaktoren[[#This Row],[2018]]/1000, 0)</f>
        <v>0</v>
      </c>
      <c r="I200" s="15">
        <f>IF(ISNUMBER(Klisz_Verbräuche[[#This Row],[2019]]), Klisz_Verbräuche[[#This Row],[2019]]*Emissionsfaktoren[[#This Row],[2019]]/1000, 0)</f>
        <v>0</v>
      </c>
      <c r="J200" s="15">
        <f>IF(ISNUMBER(Klisz_Verbräuche[[#This Row],[2020]]), Klisz_Verbräuche[[#This Row],[2020]]*Emissionsfaktoren[[#This Row],[2020]]/1000, 0)</f>
        <v>0</v>
      </c>
      <c r="K200" s="15">
        <f>IF(ISNUMBER(Klisz_Verbräuche[[#This Row],[2021]]), Klisz_Verbräuche[[#This Row],[2021]]*Emissionsfaktoren[[#This Row],[2021]]/1000, 0)</f>
        <v>0</v>
      </c>
      <c r="L200" s="15">
        <f>IF(ISNUMBER(Klisz_Verbräuche[[#This Row],[2022]]), Klisz_Verbräuche[[#This Row],[2022]]*Emissionsfaktoren[[#This Row],[2022]]/1000, 0)</f>
        <v>0</v>
      </c>
      <c r="M200" s="15">
        <f>IF(ISNUMBER(Klisz_Verbräuche[[#This Row],[2023]]), Klisz_Verbräuche[[#This Row],[2023]]*Emissionsfaktoren[[#This Row],[2023]]/1000, 0)</f>
        <v>0</v>
      </c>
      <c r="N200" s="15">
        <f>IF(ISNUMBER(Klisz_Verbräuche[[#This Row],[2024]]), Klisz_Verbräuche[[#This Row],[2024]]*Emissionsfaktoren[[#This Row],[2024]]/1000, 0)</f>
        <v>0</v>
      </c>
      <c r="O200" s="15">
        <f>IF(ISNUMBER(Klisz_Verbräuche[[#This Row],[2025]]), Klisz_Verbräuche[[#This Row],[2025]]*Emissionsfaktoren[[#This Row],[2025]]/1000, 0)</f>
        <v>0</v>
      </c>
      <c r="P200" s="15">
        <f>IF(ISNUMBER(Klisz_Verbräuche[[#This Row],[2026]]), Klisz_Verbräuche[[#This Row],[2026]]*Emissionsfaktoren[[#This Row],[2026]]/1000, 0)</f>
        <v>0</v>
      </c>
      <c r="Q200" s="15">
        <f>IF(ISNUMBER(Klisz_Verbräuche[[#This Row],[2027]]), Klisz_Verbräuche[[#This Row],[2027]]*Emissionsfaktoren[[#This Row],[2027]]/1000, 0)</f>
        <v>0</v>
      </c>
      <c r="R200" s="15">
        <f>IF(ISNUMBER(Klisz_Verbräuche[[#This Row],[2028]]), Klisz_Verbräuche[[#This Row],[2028]]*Emissionsfaktoren[[#This Row],[2028]]/1000, 0)</f>
        <v>0</v>
      </c>
      <c r="S200" s="15">
        <f>IF(ISNUMBER(Klisz_Verbräuche[[#This Row],[2029]]), Klisz_Verbräuche[[#This Row],[2029]]*Emissionsfaktoren[[#This Row],[2029]]/1000, 0)</f>
        <v>0</v>
      </c>
      <c r="T200" s="15">
        <f>IF(ISNUMBER(Klisz_Verbräuche[[#This Row],[2030]]), Klisz_Verbräuche[[#This Row],[2030]]*Emissionsfaktoren[[#This Row],[2030]]/1000, 0)</f>
        <v>0</v>
      </c>
      <c r="U200" s="15">
        <f>IF(ISNUMBER(Klisz_Verbräuche[[#This Row],[2035]]), Klisz_Verbräuche[[#This Row],[2035]]*Emissionsfaktoren[[#This Row],[2035]]/1000, 0)</f>
        <v>0</v>
      </c>
      <c r="V200" s="15">
        <f>IF(ISNUMBER(Klisz_Verbräuche[[#This Row],[2040]]), Klisz_Verbräuche[[#This Row],[2040]]*Emissionsfaktoren[[#This Row],[2040]]/1000, 0)</f>
        <v>0</v>
      </c>
      <c r="W200" s="15">
        <f>IF(ISNUMBER(Klisz_Verbräuche[[#This Row],[2045]]), Klisz_Verbräuche[[#This Row],[2045]]*Emissionsfaktoren[[#This Row],[2045]]/1000, 0)</f>
        <v>0</v>
      </c>
      <c r="X200" s="15">
        <f>IF(ISNUMBER(Klisz_Verbräuche[[#This Row],[2050]]), Klisz_Verbräuche[[#This Row],[2050]]*Emissionsfaktoren[[#This Row],[2050]]/1000, 0)</f>
        <v>0</v>
      </c>
    </row>
    <row r="201" spans="2:24" ht="16.5" hidden="1" x14ac:dyDescent="0.45">
      <c r="B201" s="15">
        <v>141</v>
      </c>
      <c r="C201" s="20" t="str">
        <f>Refsz_Verbräuche[[#This Row],[Datenpunkt]]</f>
        <v>Stahlbeton Fertigteil Wand (12cm Dicke)</v>
      </c>
      <c r="D201" t="s">
        <v>208</v>
      </c>
      <c r="E201" s="15">
        <f>IF(ISNUMBER(Klisz_Verbräuche[[#This Row],[2015]]), Klisz_Verbräuche[[#This Row],[2015]]*Emissionsfaktoren[[#This Row],[2015]]/1000, 0)</f>
        <v>0</v>
      </c>
      <c r="F201" s="15">
        <f>IF(ISNUMBER(Klisz_Verbräuche[[#This Row],[2016]]), Klisz_Verbräuche[[#This Row],[2016]]*Emissionsfaktoren[[#This Row],[2016]]/1000, 0)</f>
        <v>0</v>
      </c>
      <c r="G201" s="15">
        <f>IF(ISNUMBER(Klisz_Verbräuche[[#This Row],[2017]]), Klisz_Verbräuche[[#This Row],[2017]]*Emissionsfaktoren[[#This Row],[2017]]/1000, 0)</f>
        <v>0</v>
      </c>
      <c r="H201" s="15">
        <f>IF(ISNUMBER(Klisz_Verbräuche[[#This Row],[2018]]), Klisz_Verbräuche[[#This Row],[2018]]*Emissionsfaktoren[[#This Row],[2018]]/1000, 0)</f>
        <v>0</v>
      </c>
      <c r="I201" s="15">
        <f>IF(ISNUMBER(Klisz_Verbräuche[[#This Row],[2019]]), Klisz_Verbräuche[[#This Row],[2019]]*Emissionsfaktoren[[#This Row],[2019]]/1000, 0)</f>
        <v>0</v>
      </c>
      <c r="J201" s="15">
        <f>IF(ISNUMBER(Klisz_Verbräuche[[#This Row],[2020]]), Klisz_Verbräuche[[#This Row],[2020]]*Emissionsfaktoren[[#This Row],[2020]]/1000, 0)</f>
        <v>0</v>
      </c>
      <c r="K201" s="15">
        <f>IF(ISNUMBER(Klisz_Verbräuche[[#This Row],[2021]]), Klisz_Verbräuche[[#This Row],[2021]]*Emissionsfaktoren[[#This Row],[2021]]/1000, 0)</f>
        <v>0</v>
      </c>
      <c r="L201" s="15">
        <f>IF(ISNUMBER(Klisz_Verbräuche[[#This Row],[2022]]), Klisz_Verbräuche[[#This Row],[2022]]*Emissionsfaktoren[[#This Row],[2022]]/1000, 0)</f>
        <v>0</v>
      </c>
      <c r="M201" s="15">
        <f>IF(ISNUMBER(Klisz_Verbräuche[[#This Row],[2023]]), Klisz_Verbräuche[[#This Row],[2023]]*Emissionsfaktoren[[#This Row],[2023]]/1000, 0)</f>
        <v>0</v>
      </c>
      <c r="N201" s="15">
        <f>IF(ISNUMBER(Klisz_Verbräuche[[#This Row],[2024]]), Klisz_Verbräuche[[#This Row],[2024]]*Emissionsfaktoren[[#This Row],[2024]]/1000, 0)</f>
        <v>0</v>
      </c>
      <c r="O201" s="15">
        <f>IF(ISNUMBER(Klisz_Verbräuche[[#This Row],[2025]]), Klisz_Verbräuche[[#This Row],[2025]]*Emissionsfaktoren[[#This Row],[2025]]/1000, 0)</f>
        <v>0</v>
      </c>
      <c r="P201" s="15">
        <f>IF(ISNUMBER(Klisz_Verbräuche[[#This Row],[2026]]), Klisz_Verbräuche[[#This Row],[2026]]*Emissionsfaktoren[[#This Row],[2026]]/1000, 0)</f>
        <v>0</v>
      </c>
      <c r="Q201" s="15">
        <f>IF(ISNUMBER(Klisz_Verbräuche[[#This Row],[2027]]), Klisz_Verbräuche[[#This Row],[2027]]*Emissionsfaktoren[[#This Row],[2027]]/1000, 0)</f>
        <v>0</v>
      </c>
      <c r="R201" s="15">
        <f>IF(ISNUMBER(Klisz_Verbräuche[[#This Row],[2028]]), Klisz_Verbräuche[[#This Row],[2028]]*Emissionsfaktoren[[#This Row],[2028]]/1000, 0)</f>
        <v>0</v>
      </c>
      <c r="S201" s="15">
        <f>IF(ISNUMBER(Klisz_Verbräuche[[#This Row],[2029]]), Klisz_Verbräuche[[#This Row],[2029]]*Emissionsfaktoren[[#This Row],[2029]]/1000, 0)</f>
        <v>0</v>
      </c>
      <c r="T201" s="15">
        <f>IF(ISNUMBER(Klisz_Verbräuche[[#This Row],[2030]]), Klisz_Verbräuche[[#This Row],[2030]]*Emissionsfaktoren[[#This Row],[2030]]/1000, 0)</f>
        <v>0</v>
      </c>
      <c r="U201" s="15">
        <f>IF(ISNUMBER(Klisz_Verbräuche[[#This Row],[2035]]), Klisz_Verbräuche[[#This Row],[2035]]*Emissionsfaktoren[[#This Row],[2035]]/1000, 0)</f>
        <v>0</v>
      </c>
      <c r="V201" s="15">
        <f>IF(ISNUMBER(Klisz_Verbräuche[[#This Row],[2040]]), Klisz_Verbräuche[[#This Row],[2040]]*Emissionsfaktoren[[#This Row],[2040]]/1000, 0)</f>
        <v>0</v>
      </c>
      <c r="W201" s="15">
        <f>IF(ISNUMBER(Klisz_Verbräuche[[#This Row],[2045]]), Klisz_Verbräuche[[#This Row],[2045]]*Emissionsfaktoren[[#This Row],[2045]]/1000, 0)</f>
        <v>0</v>
      </c>
      <c r="X201" s="15">
        <f>IF(ISNUMBER(Klisz_Verbräuche[[#This Row],[2050]]), Klisz_Verbräuche[[#This Row],[2050]]*Emissionsfaktoren[[#This Row],[2050]]/1000, 0)</f>
        <v>0</v>
      </c>
    </row>
    <row r="202" spans="2:24" ht="16.5" hidden="1" x14ac:dyDescent="0.45">
      <c r="B202" s="15">
        <v>142</v>
      </c>
      <c r="C202" s="20" t="str">
        <f>Refsz_Verbräuche[[#This Row],[Datenpunkt]]</f>
        <v xml:space="preserve">Stahlbeton Fertigteil Treppe (1,1 m Breite, 9 Stufen a 16 cm) </v>
      </c>
      <c r="D202" t="s">
        <v>208</v>
      </c>
      <c r="E202" s="15">
        <f>IF(ISNUMBER(Klisz_Verbräuche[[#This Row],[2015]]), Klisz_Verbräuche[[#This Row],[2015]]*Emissionsfaktoren[[#This Row],[2015]]/1000, 0)</f>
        <v>0</v>
      </c>
      <c r="F202" s="15">
        <f>IF(ISNUMBER(Klisz_Verbräuche[[#This Row],[2016]]), Klisz_Verbräuche[[#This Row],[2016]]*Emissionsfaktoren[[#This Row],[2016]]/1000, 0)</f>
        <v>0</v>
      </c>
      <c r="G202" s="15">
        <f>IF(ISNUMBER(Klisz_Verbräuche[[#This Row],[2017]]), Klisz_Verbräuche[[#This Row],[2017]]*Emissionsfaktoren[[#This Row],[2017]]/1000, 0)</f>
        <v>0</v>
      </c>
      <c r="H202" s="15">
        <f>IF(ISNUMBER(Klisz_Verbräuche[[#This Row],[2018]]), Klisz_Verbräuche[[#This Row],[2018]]*Emissionsfaktoren[[#This Row],[2018]]/1000, 0)</f>
        <v>0</v>
      </c>
      <c r="I202" s="15">
        <f>IF(ISNUMBER(Klisz_Verbräuche[[#This Row],[2019]]), Klisz_Verbräuche[[#This Row],[2019]]*Emissionsfaktoren[[#This Row],[2019]]/1000, 0)</f>
        <v>0</v>
      </c>
      <c r="J202" s="15">
        <f>IF(ISNUMBER(Klisz_Verbräuche[[#This Row],[2020]]), Klisz_Verbräuche[[#This Row],[2020]]*Emissionsfaktoren[[#This Row],[2020]]/1000, 0)</f>
        <v>0</v>
      </c>
      <c r="K202" s="15">
        <f>IF(ISNUMBER(Klisz_Verbräuche[[#This Row],[2021]]), Klisz_Verbräuche[[#This Row],[2021]]*Emissionsfaktoren[[#This Row],[2021]]/1000, 0)</f>
        <v>0</v>
      </c>
      <c r="L202" s="15">
        <f>IF(ISNUMBER(Klisz_Verbräuche[[#This Row],[2022]]), Klisz_Verbräuche[[#This Row],[2022]]*Emissionsfaktoren[[#This Row],[2022]]/1000, 0)</f>
        <v>0</v>
      </c>
      <c r="M202" s="15">
        <f>IF(ISNUMBER(Klisz_Verbräuche[[#This Row],[2023]]), Klisz_Verbräuche[[#This Row],[2023]]*Emissionsfaktoren[[#This Row],[2023]]/1000, 0)</f>
        <v>0</v>
      </c>
      <c r="N202" s="15">
        <f>IF(ISNUMBER(Klisz_Verbräuche[[#This Row],[2024]]), Klisz_Verbräuche[[#This Row],[2024]]*Emissionsfaktoren[[#This Row],[2024]]/1000, 0)</f>
        <v>0</v>
      </c>
      <c r="O202" s="15">
        <f>IF(ISNUMBER(Klisz_Verbräuche[[#This Row],[2025]]), Klisz_Verbräuche[[#This Row],[2025]]*Emissionsfaktoren[[#This Row],[2025]]/1000, 0)</f>
        <v>0</v>
      </c>
      <c r="P202" s="15">
        <f>IF(ISNUMBER(Klisz_Verbräuche[[#This Row],[2026]]), Klisz_Verbräuche[[#This Row],[2026]]*Emissionsfaktoren[[#This Row],[2026]]/1000, 0)</f>
        <v>0</v>
      </c>
      <c r="Q202" s="15">
        <f>IF(ISNUMBER(Klisz_Verbräuche[[#This Row],[2027]]), Klisz_Verbräuche[[#This Row],[2027]]*Emissionsfaktoren[[#This Row],[2027]]/1000, 0)</f>
        <v>0</v>
      </c>
      <c r="R202" s="15">
        <f>IF(ISNUMBER(Klisz_Verbräuche[[#This Row],[2028]]), Klisz_Verbräuche[[#This Row],[2028]]*Emissionsfaktoren[[#This Row],[2028]]/1000, 0)</f>
        <v>0</v>
      </c>
      <c r="S202" s="15">
        <f>IF(ISNUMBER(Klisz_Verbräuche[[#This Row],[2029]]), Klisz_Verbräuche[[#This Row],[2029]]*Emissionsfaktoren[[#This Row],[2029]]/1000, 0)</f>
        <v>0</v>
      </c>
      <c r="T202" s="15">
        <f>IF(ISNUMBER(Klisz_Verbräuche[[#This Row],[2030]]), Klisz_Verbräuche[[#This Row],[2030]]*Emissionsfaktoren[[#This Row],[2030]]/1000, 0)</f>
        <v>0</v>
      </c>
      <c r="U202" s="15">
        <f>IF(ISNUMBER(Klisz_Verbräuche[[#This Row],[2035]]), Klisz_Verbräuche[[#This Row],[2035]]*Emissionsfaktoren[[#This Row],[2035]]/1000, 0)</f>
        <v>0</v>
      </c>
      <c r="V202" s="15">
        <f>IF(ISNUMBER(Klisz_Verbräuche[[#This Row],[2040]]), Klisz_Verbräuche[[#This Row],[2040]]*Emissionsfaktoren[[#This Row],[2040]]/1000, 0)</f>
        <v>0</v>
      </c>
      <c r="W202" s="15">
        <f>IF(ISNUMBER(Klisz_Verbräuche[[#This Row],[2045]]), Klisz_Verbräuche[[#This Row],[2045]]*Emissionsfaktoren[[#This Row],[2045]]/1000, 0)</f>
        <v>0</v>
      </c>
      <c r="X202" s="15">
        <f>IF(ISNUMBER(Klisz_Verbräuche[[#This Row],[2050]]), Klisz_Verbräuche[[#This Row],[2050]]*Emissionsfaktoren[[#This Row],[2050]]/1000, 0)</f>
        <v>0</v>
      </c>
    </row>
    <row r="203" spans="2:24" ht="16.5" hidden="1" x14ac:dyDescent="0.45">
      <c r="B203" s="15">
        <v>143</v>
      </c>
      <c r="C203" s="20" t="str">
        <f>Refsz_Verbräuche[[#This Row],[Datenpunkt]]</f>
        <v>Mineralwolle</v>
      </c>
      <c r="D203" t="s">
        <v>208</v>
      </c>
      <c r="E203" s="15">
        <f>IF(ISNUMBER(Klisz_Verbräuche[[#This Row],[2015]]), Klisz_Verbräuche[[#This Row],[2015]]*Emissionsfaktoren[[#This Row],[2015]]/1000, 0)</f>
        <v>0</v>
      </c>
      <c r="F203" s="15">
        <f>IF(ISNUMBER(Klisz_Verbräuche[[#This Row],[2016]]), Klisz_Verbräuche[[#This Row],[2016]]*Emissionsfaktoren[[#This Row],[2016]]/1000, 0)</f>
        <v>0</v>
      </c>
      <c r="G203" s="15">
        <f>IF(ISNUMBER(Klisz_Verbräuche[[#This Row],[2017]]), Klisz_Verbräuche[[#This Row],[2017]]*Emissionsfaktoren[[#This Row],[2017]]/1000, 0)</f>
        <v>0</v>
      </c>
      <c r="H203" s="15">
        <f>IF(ISNUMBER(Klisz_Verbräuche[[#This Row],[2018]]), Klisz_Verbräuche[[#This Row],[2018]]*Emissionsfaktoren[[#This Row],[2018]]/1000, 0)</f>
        <v>0</v>
      </c>
      <c r="I203" s="15">
        <f>IF(ISNUMBER(Klisz_Verbräuche[[#This Row],[2019]]), Klisz_Verbräuche[[#This Row],[2019]]*Emissionsfaktoren[[#This Row],[2019]]/1000, 0)</f>
        <v>0</v>
      </c>
      <c r="J203" s="15">
        <f>IF(ISNUMBER(Klisz_Verbräuche[[#This Row],[2020]]), Klisz_Verbräuche[[#This Row],[2020]]*Emissionsfaktoren[[#This Row],[2020]]/1000, 0)</f>
        <v>0</v>
      </c>
      <c r="K203" s="15">
        <f>IF(ISNUMBER(Klisz_Verbräuche[[#This Row],[2021]]), Klisz_Verbräuche[[#This Row],[2021]]*Emissionsfaktoren[[#This Row],[2021]]/1000, 0)</f>
        <v>0</v>
      </c>
      <c r="L203" s="15">
        <f>IF(ISNUMBER(Klisz_Verbräuche[[#This Row],[2022]]), Klisz_Verbräuche[[#This Row],[2022]]*Emissionsfaktoren[[#This Row],[2022]]/1000, 0)</f>
        <v>0</v>
      </c>
      <c r="M203" s="15">
        <f>IF(ISNUMBER(Klisz_Verbräuche[[#This Row],[2023]]), Klisz_Verbräuche[[#This Row],[2023]]*Emissionsfaktoren[[#This Row],[2023]]/1000, 0)</f>
        <v>0</v>
      </c>
      <c r="N203" s="15">
        <f>IF(ISNUMBER(Klisz_Verbräuche[[#This Row],[2024]]), Klisz_Verbräuche[[#This Row],[2024]]*Emissionsfaktoren[[#This Row],[2024]]/1000, 0)</f>
        <v>0</v>
      </c>
      <c r="O203" s="15">
        <f>IF(ISNUMBER(Klisz_Verbräuche[[#This Row],[2025]]), Klisz_Verbräuche[[#This Row],[2025]]*Emissionsfaktoren[[#This Row],[2025]]/1000, 0)</f>
        <v>0</v>
      </c>
      <c r="P203" s="15">
        <f>IF(ISNUMBER(Klisz_Verbräuche[[#This Row],[2026]]), Klisz_Verbräuche[[#This Row],[2026]]*Emissionsfaktoren[[#This Row],[2026]]/1000, 0)</f>
        <v>0</v>
      </c>
      <c r="Q203" s="15">
        <f>IF(ISNUMBER(Klisz_Verbräuche[[#This Row],[2027]]), Klisz_Verbräuche[[#This Row],[2027]]*Emissionsfaktoren[[#This Row],[2027]]/1000, 0)</f>
        <v>0</v>
      </c>
      <c r="R203" s="15">
        <f>IF(ISNUMBER(Klisz_Verbräuche[[#This Row],[2028]]), Klisz_Verbräuche[[#This Row],[2028]]*Emissionsfaktoren[[#This Row],[2028]]/1000, 0)</f>
        <v>0</v>
      </c>
      <c r="S203" s="15">
        <f>IF(ISNUMBER(Klisz_Verbräuche[[#This Row],[2029]]), Klisz_Verbräuche[[#This Row],[2029]]*Emissionsfaktoren[[#This Row],[2029]]/1000, 0)</f>
        <v>0</v>
      </c>
      <c r="T203" s="15">
        <f>IF(ISNUMBER(Klisz_Verbräuche[[#This Row],[2030]]), Klisz_Verbräuche[[#This Row],[2030]]*Emissionsfaktoren[[#This Row],[2030]]/1000, 0)</f>
        <v>0</v>
      </c>
      <c r="U203" s="15">
        <f>IF(ISNUMBER(Klisz_Verbräuche[[#This Row],[2035]]), Klisz_Verbräuche[[#This Row],[2035]]*Emissionsfaktoren[[#This Row],[2035]]/1000, 0)</f>
        <v>0</v>
      </c>
      <c r="V203" s="15">
        <f>IF(ISNUMBER(Klisz_Verbräuche[[#This Row],[2040]]), Klisz_Verbräuche[[#This Row],[2040]]*Emissionsfaktoren[[#This Row],[2040]]/1000, 0)</f>
        <v>0</v>
      </c>
      <c r="W203" s="15">
        <f>IF(ISNUMBER(Klisz_Verbräuche[[#This Row],[2045]]), Klisz_Verbräuche[[#This Row],[2045]]*Emissionsfaktoren[[#This Row],[2045]]/1000, 0)</f>
        <v>0</v>
      </c>
      <c r="X203" s="15">
        <f>IF(ISNUMBER(Klisz_Verbräuche[[#This Row],[2050]]), Klisz_Verbräuche[[#This Row],[2050]]*Emissionsfaktoren[[#This Row],[2050]]/1000, 0)</f>
        <v>0</v>
      </c>
    </row>
    <row r="204" spans="2:24" ht="16.5" hidden="1" x14ac:dyDescent="0.45">
      <c r="B204" s="15">
        <v>144</v>
      </c>
      <c r="C204" s="20" t="str">
        <f>Refsz_Verbräuche[[#This Row],[Datenpunkt]]</f>
        <v>Mauerziegel (ungefüllt)</v>
      </c>
      <c r="D204" t="s">
        <v>208</v>
      </c>
      <c r="E204" s="15">
        <f>IF(ISNUMBER(Klisz_Verbräuche[[#This Row],[2015]]), Klisz_Verbräuche[[#This Row],[2015]]*Emissionsfaktoren[[#This Row],[2015]]/1000, 0)</f>
        <v>0</v>
      </c>
      <c r="F204" s="15">
        <f>IF(ISNUMBER(Klisz_Verbräuche[[#This Row],[2016]]), Klisz_Verbräuche[[#This Row],[2016]]*Emissionsfaktoren[[#This Row],[2016]]/1000, 0)</f>
        <v>0</v>
      </c>
      <c r="G204" s="15">
        <f>IF(ISNUMBER(Klisz_Verbräuche[[#This Row],[2017]]), Klisz_Verbräuche[[#This Row],[2017]]*Emissionsfaktoren[[#This Row],[2017]]/1000, 0)</f>
        <v>0</v>
      </c>
      <c r="H204" s="15">
        <f>IF(ISNUMBER(Klisz_Verbräuche[[#This Row],[2018]]), Klisz_Verbräuche[[#This Row],[2018]]*Emissionsfaktoren[[#This Row],[2018]]/1000, 0)</f>
        <v>0</v>
      </c>
      <c r="I204" s="15">
        <f>IF(ISNUMBER(Klisz_Verbräuche[[#This Row],[2019]]), Klisz_Verbräuche[[#This Row],[2019]]*Emissionsfaktoren[[#This Row],[2019]]/1000, 0)</f>
        <v>0</v>
      </c>
      <c r="J204" s="15">
        <f>IF(ISNUMBER(Klisz_Verbräuche[[#This Row],[2020]]), Klisz_Verbräuche[[#This Row],[2020]]*Emissionsfaktoren[[#This Row],[2020]]/1000, 0)</f>
        <v>0</v>
      </c>
      <c r="K204" s="15">
        <f>IF(ISNUMBER(Klisz_Verbräuche[[#This Row],[2021]]), Klisz_Verbräuche[[#This Row],[2021]]*Emissionsfaktoren[[#This Row],[2021]]/1000, 0)</f>
        <v>0</v>
      </c>
      <c r="L204" s="15">
        <f>IF(ISNUMBER(Klisz_Verbräuche[[#This Row],[2022]]), Klisz_Verbräuche[[#This Row],[2022]]*Emissionsfaktoren[[#This Row],[2022]]/1000, 0)</f>
        <v>0</v>
      </c>
      <c r="M204" s="15">
        <f>IF(ISNUMBER(Klisz_Verbräuche[[#This Row],[2023]]), Klisz_Verbräuche[[#This Row],[2023]]*Emissionsfaktoren[[#This Row],[2023]]/1000, 0)</f>
        <v>0</v>
      </c>
      <c r="N204" s="15">
        <f>IF(ISNUMBER(Klisz_Verbräuche[[#This Row],[2024]]), Klisz_Verbräuche[[#This Row],[2024]]*Emissionsfaktoren[[#This Row],[2024]]/1000, 0)</f>
        <v>0</v>
      </c>
      <c r="O204" s="15">
        <f>IF(ISNUMBER(Klisz_Verbräuche[[#This Row],[2025]]), Klisz_Verbräuche[[#This Row],[2025]]*Emissionsfaktoren[[#This Row],[2025]]/1000, 0)</f>
        <v>0</v>
      </c>
      <c r="P204" s="15">
        <f>IF(ISNUMBER(Klisz_Verbräuche[[#This Row],[2026]]), Klisz_Verbräuche[[#This Row],[2026]]*Emissionsfaktoren[[#This Row],[2026]]/1000, 0)</f>
        <v>0</v>
      </c>
      <c r="Q204" s="15">
        <f>IF(ISNUMBER(Klisz_Verbräuche[[#This Row],[2027]]), Klisz_Verbräuche[[#This Row],[2027]]*Emissionsfaktoren[[#This Row],[2027]]/1000, 0)</f>
        <v>0</v>
      </c>
      <c r="R204" s="15">
        <f>IF(ISNUMBER(Klisz_Verbräuche[[#This Row],[2028]]), Klisz_Verbräuche[[#This Row],[2028]]*Emissionsfaktoren[[#This Row],[2028]]/1000, 0)</f>
        <v>0</v>
      </c>
      <c r="S204" s="15">
        <f>IF(ISNUMBER(Klisz_Verbräuche[[#This Row],[2029]]), Klisz_Verbräuche[[#This Row],[2029]]*Emissionsfaktoren[[#This Row],[2029]]/1000, 0)</f>
        <v>0</v>
      </c>
      <c r="T204" s="15">
        <f>IF(ISNUMBER(Klisz_Verbräuche[[#This Row],[2030]]), Klisz_Verbräuche[[#This Row],[2030]]*Emissionsfaktoren[[#This Row],[2030]]/1000, 0)</f>
        <v>0</v>
      </c>
      <c r="U204" s="15">
        <f>IF(ISNUMBER(Klisz_Verbräuche[[#This Row],[2035]]), Klisz_Verbräuche[[#This Row],[2035]]*Emissionsfaktoren[[#This Row],[2035]]/1000, 0)</f>
        <v>0</v>
      </c>
      <c r="V204" s="15">
        <f>IF(ISNUMBER(Klisz_Verbräuche[[#This Row],[2040]]), Klisz_Verbräuche[[#This Row],[2040]]*Emissionsfaktoren[[#This Row],[2040]]/1000, 0)</f>
        <v>0</v>
      </c>
      <c r="W204" s="15">
        <f>IF(ISNUMBER(Klisz_Verbräuche[[#This Row],[2045]]), Klisz_Verbräuche[[#This Row],[2045]]*Emissionsfaktoren[[#This Row],[2045]]/1000, 0)</f>
        <v>0</v>
      </c>
      <c r="X204" s="15">
        <f>IF(ISNUMBER(Klisz_Verbräuche[[#This Row],[2050]]), Klisz_Verbräuche[[#This Row],[2050]]*Emissionsfaktoren[[#This Row],[2050]]/1000, 0)</f>
        <v>0</v>
      </c>
    </row>
    <row r="205" spans="2:24" ht="16.5" hidden="1" x14ac:dyDescent="0.45">
      <c r="B205" s="15">
        <v>145</v>
      </c>
      <c r="C205" s="20">
        <f>Refsz_Verbräuche[[#This Row],[Datenpunkt]]</f>
        <v>0</v>
      </c>
      <c r="D205" t="s">
        <v>208</v>
      </c>
      <c r="E205" s="15">
        <f>IF(ISNUMBER(Klisz_Verbräuche[[#This Row],[2015]]), Klisz_Verbräuche[[#This Row],[2015]]*Emissionsfaktoren[[#This Row],[2015]]/1000, 0)</f>
        <v>0</v>
      </c>
      <c r="F205" s="15">
        <f>IF(ISNUMBER(Klisz_Verbräuche[[#This Row],[2016]]), Klisz_Verbräuche[[#This Row],[2016]]*Emissionsfaktoren[[#This Row],[2016]]/1000, 0)</f>
        <v>0</v>
      </c>
      <c r="G205" s="15">
        <f>IF(ISNUMBER(Klisz_Verbräuche[[#This Row],[2017]]), Klisz_Verbräuche[[#This Row],[2017]]*Emissionsfaktoren[[#This Row],[2017]]/1000, 0)</f>
        <v>0</v>
      </c>
      <c r="H205" s="15">
        <f>IF(ISNUMBER(Klisz_Verbräuche[[#This Row],[2018]]), Klisz_Verbräuche[[#This Row],[2018]]*Emissionsfaktoren[[#This Row],[2018]]/1000, 0)</f>
        <v>0</v>
      </c>
      <c r="I205" s="15">
        <f>IF(ISNUMBER(Klisz_Verbräuche[[#This Row],[2019]]), Klisz_Verbräuche[[#This Row],[2019]]*Emissionsfaktoren[[#This Row],[2019]]/1000, 0)</f>
        <v>0</v>
      </c>
      <c r="J205" s="15">
        <f>IF(ISNUMBER(Klisz_Verbräuche[[#This Row],[2020]]), Klisz_Verbräuche[[#This Row],[2020]]*Emissionsfaktoren[[#This Row],[2020]]/1000, 0)</f>
        <v>0</v>
      </c>
      <c r="K205" s="15">
        <f>IF(ISNUMBER(Klisz_Verbräuche[[#This Row],[2021]]), Klisz_Verbräuche[[#This Row],[2021]]*Emissionsfaktoren[[#This Row],[2021]]/1000, 0)</f>
        <v>0</v>
      </c>
      <c r="L205" s="15">
        <f>IF(ISNUMBER(Klisz_Verbräuche[[#This Row],[2022]]), Klisz_Verbräuche[[#This Row],[2022]]*Emissionsfaktoren[[#This Row],[2022]]/1000, 0)</f>
        <v>0</v>
      </c>
      <c r="M205" s="15">
        <f>IF(ISNUMBER(Klisz_Verbräuche[[#This Row],[2023]]), Klisz_Verbräuche[[#This Row],[2023]]*Emissionsfaktoren[[#This Row],[2023]]/1000, 0)</f>
        <v>0</v>
      </c>
      <c r="N205" s="15">
        <f>IF(ISNUMBER(Klisz_Verbräuche[[#This Row],[2024]]), Klisz_Verbräuche[[#This Row],[2024]]*Emissionsfaktoren[[#This Row],[2024]]/1000, 0)</f>
        <v>0</v>
      </c>
      <c r="O205" s="15">
        <f>IF(ISNUMBER(Klisz_Verbräuche[[#This Row],[2025]]), Klisz_Verbräuche[[#This Row],[2025]]*Emissionsfaktoren[[#This Row],[2025]]/1000, 0)</f>
        <v>0</v>
      </c>
      <c r="P205" s="15">
        <f>IF(ISNUMBER(Klisz_Verbräuche[[#This Row],[2026]]), Klisz_Verbräuche[[#This Row],[2026]]*Emissionsfaktoren[[#This Row],[2026]]/1000, 0)</f>
        <v>0</v>
      </c>
      <c r="Q205" s="15">
        <f>IF(ISNUMBER(Klisz_Verbräuche[[#This Row],[2027]]), Klisz_Verbräuche[[#This Row],[2027]]*Emissionsfaktoren[[#This Row],[2027]]/1000, 0)</f>
        <v>0</v>
      </c>
      <c r="R205" s="15">
        <f>IF(ISNUMBER(Klisz_Verbräuche[[#This Row],[2028]]), Klisz_Verbräuche[[#This Row],[2028]]*Emissionsfaktoren[[#This Row],[2028]]/1000, 0)</f>
        <v>0</v>
      </c>
      <c r="S205" s="15">
        <f>IF(ISNUMBER(Klisz_Verbräuche[[#This Row],[2029]]), Klisz_Verbräuche[[#This Row],[2029]]*Emissionsfaktoren[[#This Row],[2029]]/1000, 0)</f>
        <v>0</v>
      </c>
      <c r="T205" s="15">
        <f>IF(ISNUMBER(Klisz_Verbräuche[[#This Row],[2030]]), Klisz_Verbräuche[[#This Row],[2030]]*Emissionsfaktoren[[#This Row],[2030]]/1000, 0)</f>
        <v>0</v>
      </c>
      <c r="U205" s="15">
        <f>IF(ISNUMBER(Klisz_Verbräuche[[#This Row],[2035]]), Klisz_Verbräuche[[#This Row],[2035]]*Emissionsfaktoren[[#This Row],[2035]]/1000, 0)</f>
        <v>0</v>
      </c>
      <c r="V205" s="15">
        <f>IF(ISNUMBER(Klisz_Verbräuche[[#This Row],[2040]]), Klisz_Verbräuche[[#This Row],[2040]]*Emissionsfaktoren[[#This Row],[2040]]/1000, 0)</f>
        <v>0</v>
      </c>
      <c r="W205" s="15">
        <f>IF(ISNUMBER(Klisz_Verbräuche[[#This Row],[2045]]), Klisz_Verbräuche[[#This Row],[2045]]*Emissionsfaktoren[[#This Row],[2045]]/1000, 0)</f>
        <v>0</v>
      </c>
      <c r="X205" s="15">
        <f>IF(ISNUMBER(Klisz_Verbräuche[[#This Row],[2050]]), Klisz_Verbräuche[[#This Row],[2050]]*Emissionsfaktoren[[#This Row],[2050]]/1000, 0)</f>
        <v>0</v>
      </c>
    </row>
    <row r="206" spans="2:24" ht="16.5" hidden="1" x14ac:dyDescent="0.45">
      <c r="B206" s="15">
        <v>146</v>
      </c>
      <c r="C206" s="20" t="str">
        <f>Refsz_Verbräuche[[#This Row],[Datenpunkt]]</f>
        <v>Holzfaserdämmpatte (flexibe Matte)</v>
      </c>
      <c r="D206" t="s">
        <v>208</v>
      </c>
      <c r="E206" s="15">
        <f>IF(ISNUMBER(Klisz_Verbräuche[[#This Row],[2015]]), Klisz_Verbräuche[[#This Row],[2015]]*Emissionsfaktoren[[#This Row],[2015]]/1000, 0)</f>
        <v>0</v>
      </c>
      <c r="F206" s="15">
        <f>IF(ISNUMBER(Klisz_Verbräuche[[#This Row],[2016]]), Klisz_Verbräuche[[#This Row],[2016]]*Emissionsfaktoren[[#This Row],[2016]]/1000, 0)</f>
        <v>0</v>
      </c>
      <c r="G206" s="15">
        <f>IF(ISNUMBER(Klisz_Verbräuche[[#This Row],[2017]]), Klisz_Verbräuche[[#This Row],[2017]]*Emissionsfaktoren[[#This Row],[2017]]/1000, 0)</f>
        <v>0</v>
      </c>
      <c r="H206" s="15">
        <f>IF(ISNUMBER(Klisz_Verbräuche[[#This Row],[2018]]), Klisz_Verbräuche[[#This Row],[2018]]*Emissionsfaktoren[[#This Row],[2018]]/1000, 0)</f>
        <v>0</v>
      </c>
      <c r="I206" s="15">
        <f>IF(ISNUMBER(Klisz_Verbräuche[[#This Row],[2019]]), Klisz_Verbräuche[[#This Row],[2019]]*Emissionsfaktoren[[#This Row],[2019]]/1000, 0)</f>
        <v>0</v>
      </c>
      <c r="J206" s="15">
        <f>IF(ISNUMBER(Klisz_Verbräuche[[#This Row],[2020]]), Klisz_Verbräuche[[#This Row],[2020]]*Emissionsfaktoren[[#This Row],[2020]]/1000, 0)</f>
        <v>0</v>
      </c>
      <c r="K206" s="15">
        <f>IF(ISNUMBER(Klisz_Verbräuche[[#This Row],[2021]]), Klisz_Verbräuche[[#This Row],[2021]]*Emissionsfaktoren[[#This Row],[2021]]/1000, 0)</f>
        <v>0</v>
      </c>
      <c r="L206" s="15">
        <f>IF(ISNUMBER(Klisz_Verbräuche[[#This Row],[2022]]), Klisz_Verbräuche[[#This Row],[2022]]*Emissionsfaktoren[[#This Row],[2022]]/1000, 0)</f>
        <v>0</v>
      </c>
      <c r="M206" s="15">
        <f>IF(ISNUMBER(Klisz_Verbräuche[[#This Row],[2023]]), Klisz_Verbräuche[[#This Row],[2023]]*Emissionsfaktoren[[#This Row],[2023]]/1000, 0)</f>
        <v>0</v>
      </c>
      <c r="N206" s="15">
        <f>IF(ISNUMBER(Klisz_Verbräuche[[#This Row],[2024]]), Klisz_Verbräuche[[#This Row],[2024]]*Emissionsfaktoren[[#This Row],[2024]]/1000, 0)</f>
        <v>0</v>
      </c>
      <c r="O206" s="15">
        <f>IF(ISNUMBER(Klisz_Verbräuche[[#This Row],[2025]]), Klisz_Verbräuche[[#This Row],[2025]]*Emissionsfaktoren[[#This Row],[2025]]/1000, 0)</f>
        <v>0</v>
      </c>
      <c r="P206" s="15">
        <f>IF(ISNUMBER(Klisz_Verbräuche[[#This Row],[2026]]), Klisz_Verbräuche[[#This Row],[2026]]*Emissionsfaktoren[[#This Row],[2026]]/1000, 0)</f>
        <v>0</v>
      </c>
      <c r="Q206" s="15">
        <f>IF(ISNUMBER(Klisz_Verbräuche[[#This Row],[2027]]), Klisz_Verbräuche[[#This Row],[2027]]*Emissionsfaktoren[[#This Row],[2027]]/1000, 0)</f>
        <v>0</v>
      </c>
      <c r="R206" s="15">
        <f>IF(ISNUMBER(Klisz_Verbräuche[[#This Row],[2028]]), Klisz_Verbräuche[[#This Row],[2028]]*Emissionsfaktoren[[#This Row],[2028]]/1000, 0)</f>
        <v>0</v>
      </c>
      <c r="S206" s="15">
        <f>IF(ISNUMBER(Klisz_Verbräuche[[#This Row],[2029]]), Klisz_Verbräuche[[#This Row],[2029]]*Emissionsfaktoren[[#This Row],[2029]]/1000, 0)</f>
        <v>0</v>
      </c>
      <c r="T206" s="15">
        <f>IF(ISNUMBER(Klisz_Verbräuche[[#This Row],[2030]]), Klisz_Verbräuche[[#This Row],[2030]]*Emissionsfaktoren[[#This Row],[2030]]/1000, 0)</f>
        <v>0</v>
      </c>
      <c r="U206" s="15">
        <f>IF(ISNUMBER(Klisz_Verbräuche[[#This Row],[2035]]), Klisz_Verbräuche[[#This Row],[2035]]*Emissionsfaktoren[[#This Row],[2035]]/1000, 0)</f>
        <v>0</v>
      </c>
      <c r="V206" s="15">
        <f>IF(ISNUMBER(Klisz_Verbräuche[[#This Row],[2040]]), Klisz_Verbräuche[[#This Row],[2040]]*Emissionsfaktoren[[#This Row],[2040]]/1000, 0)</f>
        <v>0</v>
      </c>
      <c r="W206" s="15">
        <f>IF(ISNUMBER(Klisz_Verbräuche[[#This Row],[2045]]), Klisz_Verbräuche[[#This Row],[2045]]*Emissionsfaktoren[[#This Row],[2045]]/1000, 0)</f>
        <v>0</v>
      </c>
      <c r="X206" s="15">
        <f>IF(ISNUMBER(Klisz_Verbräuche[[#This Row],[2050]]), Klisz_Verbräuche[[#This Row],[2050]]*Emissionsfaktoren[[#This Row],[2050]]/1000, 0)</f>
        <v>0</v>
      </c>
    </row>
    <row r="207" spans="2:24" ht="16.5" hidden="1" x14ac:dyDescent="0.45">
      <c r="B207" s="15">
        <v>147</v>
      </c>
      <c r="C207" s="20">
        <f>Refsz_Verbräuche[[#This Row],[Datenpunkt]]</f>
        <v>0</v>
      </c>
      <c r="D207" t="s">
        <v>208</v>
      </c>
      <c r="E207" s="15">
        <f>IF(ISNUMBER(Klisz_Verbräuche[[#This Row],[2015]]), Klisz_Verbräuche[[#This Row],[2015]]*Emissionsfaktoren[[#This Row],[2015]]/1000, 0)</f>
        <v>0</v>
      </c>
      <c r="F207" s="15">
        <f>IF(ISNUMBER(Klisz_Verbräuche[[#This Row],[2016]]), Klisz_Verbräuche[[#This Row],[2016]]*Emissionsfaktoren[[#This Row],[2016]]/1000, 0)</f>
        <v>0</v>
      </c>
      <c r="G207" s="15">
        <f>IF(ISNUMBER(Klisz_Verbräuche[[#This Row],[2017]]), Klisz_Verbräuche[[#This Row],[2017]]*Emissionsfaktoren[[#This Row],[2017]]/1000, 0)</f>
        <v>0</v>
      </c>
      <c r="H207" s="15">
        <f>IF(ISNUMBER(Klisz_Verbräuche[[#This Row],[2018]]), Klisz_Verbräuche[[#This Row],[2018]]*Emissionsfaktoren[[#This Row],[2018]]/1000, 0)</f>
        <v>0</v>
      </c>
      <c r="I207" s="15">
        <f>IF(ISNUMBER(Klisz_Verbräuche[[#This Row],[2019]]), Klisz_Verbräuche[[#This Row],[2019]]*Emissionsfaktoren[[#This Row],[2019]]/1000, 0)</f>
        <v>0</v>
      </c>
      <c r="J207" s="15">
        <f>IF(ISNUMBER(Klisz_Verbräuche[[#This Row],[2020]]), Klisz_Verbräuche[[#This Row],[2020]]*Emissionsfaktoren[[#This Row],[2020]]/1000, 0)</f>
        <v>0</v>
      </c>
      <c r="K207" s="15">
        <f>IF(ISNUMBER(Klisz_Verbräuche[[#This Row],[2021]]), Klisz_Verbräuche[[#This Row],[2021]]*Emissionsfaktoren[[#This Row],[2021]]/1000, 0)</f>
        <v>0</v>
      </c>
      <c r="L207" s="15">
        <f>IF(ISNUMBER(Klisz_Verbräuche[[#This Row],[2022]]), Klisz_Verbräuche[[#This Row],[2022]]*Emissionsfaktoren[[#This Row],[2022]]/1000, 0)</f>
        <v>0</v>
      </c>
      <c r="M207" s="15">
        <f>IF(ISNUMBER(Klisz_Verbräuche[[#This Row],[2023]]), Klisz_Verbräuche[[#This Row],[2023]]*Emissionsfaktoren[[#This Row],[2023]]/1000, 0)</f>
        <v>0</v>
      </c>
      <c r="N207" s="15">
        <f>IF(ISNUMBER(Klisz_Verbräuche[[#This Row],[2024]]), Klisz_Verbräuche[[#This Row],[2024]]*Emissionsfaktoren[[#This Row],[2024]]/1000, 0)</f>
        <v>0</v>
      </c>
      <c r="O207" s="15">
        <f>IF(ISNUMBER(Klisz_Verbräuche[[#This Row],[2025]]), Klisz_Verbräuche[[#This Row],[2025]]*Emissionsfaktoren[[#This Row],[2025]]/1000, 0)</f>
        <v>0</v>
      </c>
      <c r="P207" s="15">
        <f>IF(ISNUMBER(Klisz_Verbräuche[[#This Row],[2026]]), Klisz_Verbräuche[[#This Row],[2026]]*Emissionsfaktoren[[#This Row],[2026]]/1000, 0)</f>
        <v>0</v>
      </c>
      <c r="Q207" s="15">
        <f>IF(ISNUMBER(Klisz_Verbräuche[[#This Row],[2027]]), Klisz_Verbräuche[[#This Row],[2027]]*Emissionsfaktoren[[#This Row],[2027]]/1000, 0)</f>
        <v>0</v>
      </c>
      <c r="R207" s="15">
        <f>IF(ISNUMBER(Klisz_Verbräuche[[#This Row],[2028]]), Klisz_Verbräuche[[#This Row],[2028]]*Emissionsfaktoren[[#This Row],[2028]]/1000, 0)</f>
        <v>0</v>
      </c>
      <c r="S207" s="15">
        <f>IF(ISNUMBER(Klisz_Verbräuche[[#This Row],[2029]]), Klisz_Verbräuche[[#This Row],[2029]]*Emissionsfaktoren[[#This Row],[2029]]/1000, 0)</f>
        <v>0</v>
      </c>
      <c r="T207" s="15">
        <f>IF(ISNUMBER(Klisz_Verbräuche[[#This Row],[2030]]), Klisz_Verbräuche[[#This Row],[2030]]*Emissionsfaktoren[[#This Row],[2030]]/1000, 0)</f>
        <v>0</v>
      </c>
      <c r="U207" s="15">
        <f>IF(ISNUMBER(Klisz_Verbräuche[[#This Row],[2035]]), Klisz_Verbräuche[[#This Row],[2035]]*Emissionsfaktoren[[#This Row],[2035]]/1000, 0)</f>
        <v>0</v>
      </c>
      <c r="V207" s="15">
        <f>IF(ISNUMBER(Klisz_Verbräuche[[#This Row],[2040]]), Klisz_Verbräuche[[#This Row],[2040]]*Emissionsfaktoren[[#This Row],[2040]]/1000, 0)</f>
        <v>0</v>
      </c>
      <c r="W207" s="15">
        <f>IF(ISNUMBER(Klisz_Verbräuche[[#This Row],[2045]]), Klisz_Verbräuche[[#This Row],[2045]]*Emissionsfaktoren[[#This Row],[2045]]/1000, 0)</f>
        <v>0</v>
      </c>
      <c r="X207" s="15">
        <f>IF(ISNUMBER(Klisz_Verbräuche[[#This Row],[2050]]), Klisz_Verbräuche[[#This Row],[2050]]*Emissionsfaktoren[[#This Row],[2050]]/1000, 0)</f>
        <v>0</v>
      </c>
    </row>
    <row r="208" spans="2:24" ht="16.5" hidden="1" x14ac:dyDescent="0.45">
      <c r="B208" s="15">
        <v>148</v>
      </c>
      <c r="C208" s="20" t="str">
        <f>Refsz_Verbräuche[[#This Row],[Datenpunkt]]</f>
        <v>Kompensation</v>
      </c>
      <c r="D208" t="s">
        <v>208</v>
      </c>
      <c r="E208" s="15">
        <f>IF(ISNUMBER(Klisz_Verbräuche[[#This Row],[2015]]), Klisz_Verbräuche[[#This Row],[2015]]*Emissionsfaktoren[[#This Row],[2015]]/1000, 0)</f>
        <v>0</v>
      </c>
      <c r="F208" s="15">
        <f>IF(ISNUMBER(Klisz_Verbräuche[[#This Row],[2016]]), Klisz_Verbräuche[[#This Row],[2016]]*Emissionsfaktoren[[#This Row],[2016]]/1000, 0)</f>
        <v>0</v>
      </c>
      <c r="G208" s="15">
        <f>IF(ISNUMBER(Klisz_Verbräuche[[#This Row],[2017]]), Klisz_Verbräuche[[#This Row],[2017]]*Emissionsfaktoren[[#This Row],[2017]]/1000, 0)</f>
        <v>0</v>
      </c>
      <c r="H208" s="15">
        <f>IF(ISNUMBER(Klisz_Verbräuche[[#This Row],[2018]]), Klisz_Verbräuche[[#This Row],[2018]]*Emissionsfaktoren[[#This Row],[2018]]/1000, 0)</f>
        <v>0</v>
      </c>
      <c r="I208" s="15">
        <f>IF(ISNUMBER(Klisz_Verbräuche[[#This Row],[2019]]), Klisz_Verbräuche[[#This Row],[2019]]*Emissionsfaktoren[[#This Row],[2019]]/1000, 0)</f>
        <v>0</v>
      </c>
      <c r="J208" s="15">
        <f>IF(ISNUMBER(Klisz_Verbräuche[[#This Row],[2020]]), Klisz_Verbräuche[[#This Row],[2020]]*Emissionsfaktoren[[#This Row],[2020]]/1000, 0)</f>
        <v>0</v>
      </c>
      <c r="K208" s="15">
        <f>IF(ISNUMBER(Klisz_Verbräuche[[#This Row],[2021]]), Klisz_Verbräuche[[#This Row],[2021]]*Emissionsfaktoren[[#This Row],[2021]]/1000, 0)</f>
        <v>0</v>
      </c>
      <c r="L208" s="15">
        <f>IF(ISNUMBER(Klisz_Verbräuche[[#This Row],[2022]]), Klisz_Verbräuche[[#This Row],[2022]]*Emissionsfaktoren[[#This Row],[2022]]/1000, 0)</f>
        <v>0</v>
      </c>
      <c r="M208" s="15">
        <f>IF(ISNUMBER(Klisz_Verbräuche[[#This Row],[2023]]), Klisz_Verbräuche[[#This Row],[2023]]*Emissionsfaktoren[[#This Row],[2023]]/1000, 0)</f>
        <v>0</v>
      </c>
      <c r="N208" s="15">
        <f>IF(ISNUMBER(Klisz_Verbräuche[[#This Row],[2024]]), Klisz_Verbräuche[[#This Row],[2024]]*Emissionsfaktoren[[#This Row],[2024]]/1000, 0)</f>
        <v>0</v>
      </c>
      <c r="O208" s="15">
        <f>IF(ISNUMBER(Klisz_Verbräuche[[#This Row],[2025]]), Klisz_Verbräuche[[#This Row],[2025]]*Emissionsfaktoren[[#This Row],[2025]]/1000, 0)</f>
        <v>0</v>
      </c>
      <c r="P208" s="15">
        <f>IF(ISNUMBER(Klisz_Verbräuche[[#This Row],[2026]]), Klisz_Verbräuche[[#This Row],[2026]]*Emissionsfaktoren[[#This Row],[2026]]/1000, 0)</f>
        <v>0</v>
      </c>
      <c r="Q208" s="15">
        <f>IF(ISNUMBER(Klisz_Verbräuche[[#This Row],[2027]]), Klisz_Verbräuche[[#This Row],[2027]]*Emissionsfaktoren[[#This Row],[2027]]/1000, 0)</f>
        <v>0</v>
      </c>
      <c r="R208" s="15">
        <f>IF(ISNUMBER(Klisz_Verbräuche[[#This Row],[2028]]), Klisz_Verbräuche[[#This Row],[2028]]*Emissionsfaktoren[[#This Row],[2028]]/1000, 0)</f>
        <v>0</v>
      </c>
      <c r="S208" s="15">
        <f>IF(ISNUMBER(Klisz_Verbräuche[[#This Row],[2029]]), Klisz_Verbräuche[[#This Row],[2029]]*Emissionsfaktoren[[#This Row],[2029]]/1000, 0)</f>
        <v>0</v>
      </c>
      <c r="T208" s="15">
        <f>IF(ISNUMBER(Klisz_Verbräuche[[#This Row],[2030]]), Klisz_Verbräuche[[#This Row],[2030]]*Emissionsfaktoren[[#This Row],[2030]]/1000, 0)</f>
        <v>0</v>
      </c>
      <c r="U208" s="15">
        <f>IF(ISNUMBER(Klisz_Verbräuche[[#This Row],[2035]]), Klisz_Verbräuche[[#This Row],[2035]]*Emissionsfaktoren[[#This Row],[2035]]/1000, 0)</f>
        <v>0</v>
      </c>
      <c r="V208" s="15">
        <f>IF(ISNUMBER(Klisz_Verbräuche[[#This Row],[2040]]), Klisz_Verbräuche[[#This Row],[2040]]*Emissionsfaktoren[[#This Row],[2040]]/1000, 0)</f>
        <v>0</v>
      </c>
      <c r="W208" s="15">
        <f>IF(ISNUMBER(Klisz_Verbräuche[[#This Row],[2045]]), Klisz_Verbräuche[[#This Row],[2045]]*Emissionsfaktoren[[#This Row],[2045]]/1000, 0)</f>
        <v>0</v>
      </c>
      <c r="X208" s="15">
        <f>IF(ISNUMBER(Klisz_Verbräuche[[#This Row],[2050]]), Klisz_Verbräuche[[#This Row],[2050]]*Emissionsfaktoren[[#This Row],[2050]]/1000, 0)</f>
        <v>0</v>
      </c>
    </row>
    <row r="209" spans="2:24" ht="16.5" hidden="1" x14ac:dyDescent="0.45">
      <c r="B209" s="15">
        <v>149</v>
      </c>
      <c r="C209" s="20">
        <f>Refsz_Verbräuche[[#This Row],[Datenpunkt]]</f>
        <v>0</v>
      </c>
      <c r="D209" t="s">
        <v>208</v>
      </c>
      <c r="E209" s="15">
        <f>IF(ISNUMBER(Klisz_Verbräuche[[#This Row],[2015]]), Klisz_Verbräuche[[#This Row],[2015]]*Emissionsfaktoren[[#This Row],[2015]]/1000, 0)</f>
        <v>0</v>
      </c>
      <c r="F209" s="15">
        <f>IF(ISNUMBER(Klisz_Verbräuche[[#This Row],[2016]]), Klisz_Verbräuche[[#This Row],[2016]]*Emissionsfaktoren[[#This Row],[2016]]/1000, 0)</f>
        <v>0</v>
      </c>
      <c r="G209" s="15">
        <f>IF(ISNUMBER(Klisz_Verbräuche[[#This Row],[2017]]), Klisz_Verbräuche[[#This Row],[2017]]*Emissionsfaktoren[[#This Row],[2017]]/1000, 0)</f>
        <v>0</v>
      </c>
      <c r="H209" s="15">
        <f>IF(ISNUMBER(Klisz_Verbräuche[[#This Row],[2018]]), Klisz_Verbräuche[[#This Row],[2018]]*Emissionsfaktoren[[#This Row],[2018]]/1000, 0)</f>
        <v>0</v>
      </c>
      <c r="I209" s="15">
        <f>IF(ISNUMBER(Klisz_Verbräuche[[#This Row],[2019]]), Klisz_Verbräuche[[#This Row],[2019]]*Emissionsfaktoren[[#This Row],[2019]]/1000, 0)</f>
        <v>0</v>
      </c>
      <c r="J209" s="15">
        <f>IF(ISNUMBER(Klisz_Verbräuche[[#This Row],[2020]]), Klisz_Verbräuche[[#This Row],[2020]]*Emissionsfaktoren[[#This Row],[2020]]/1000, 0)</f>
        <v>0</v>
      </c>
      <c r="K209" s="15">
        <f>IF(ISNUMBER(Klisz_Verbräuche[[#This Row],[2021]]), Klisz_Verbräuche[[#This Row],[2021]]*Emissionsfaktoren[[#This Row],[2021]]/1000, 0)</f>
        <v>0</v>
      </c>
      <c r="L209" s="15">
        <f>IF(ISNUMBER(Klisz_Verbräuche[[#This Row],[2022]]), Klisz_Verbräuche[[#This Row],[2022]]*Emissionsfaktoren[[#This Row],[2022]]/1000, 0)</f>
        <v>0</v>
      </c>
      <c r="M209" s="15">
        <f>IF(ISNUMBER(Klisz_Verbräuche[[#This Row],[2023]]), Klisz_Verbräuche[[#This Row],[2023]]*Emissionsfaktoren[[#This Row],[2023]]/1000, 0)</f>
        <v>0</v>
      </c>
      <c r="N209" s="15">
        <f>IF(ISNUMBER(Klisz_Verbräuche[[#This Row],[2024]]), Klisz_Verbräuche[[#This Row],[2024]]*Emissionsfaktoren[[#This Row],[2024]]/1000, 0)</f>
        <v>0</v>
      </c>
      <c r="O209" s="15">
        <f>IF(ISNUMBER(Klisz_Verbräuche[[#This Row],[2025]]), Klisz_Verbräuche[[#This Row],[2025]]*Emissionsfaktoren[[#This Row],[2025]]/1000, 0)</f>
        <v>0</v>
      </c>
      <c r="P209" s="15">
        <f>IF(ISNUMBER(Klisz_Verbräuche[[#This Row],[2026]]), Klisz_Verbräuche[[#This Row],[2026]]*Emissionsfaktoren[[#This Row],[2026]]/1000, 0)</f>
        <v>0</v>
      </c>
      <c r="Q209" s="15">
        <f>IF(ISNUMBER(Klisz_Verbräuche[[#This Row],[2027]]), Klisz_Verbräuche[[#This Row],[2027]]*Emissionsfaktoren[[#This Row],[2027]]/1000, 0)</f>
        <v>0</v>
      </c>
      <c r="R209" s="15">
        <f>IF(ISNUMBER(Klisz_Verbräuche[[#This Row],[2028]]), Klisz_Verbräuche[[#This Row],[2028]]*Emissionsfaktoren[[#This Row],[2028]]/1000, 0)</f>
        <v>0</v>
      </c>
      <c r="S209" s="15">
        <f>IF(ISNUMBER(Klisz_Verbräuche[[#This Row],[2029]]), Klisz_Verbräuche[[#This Row],[2029]]*Emissionsfaktoren[[#This Row],[2029]]/1000, 0)</f>
        <v>0</v>
      </c>
      <c r="T209" s="15">
        <f>IF(ISNUMBER(Klisz_Verbräuche[[#This Row],[2030]]), Klisz_Verbräuche[[#This Row],[2030]]*Emissionsfaktoren[[#This Row],[2030]]/1000, 0)</f>
        <v>0</v>
      </c>
      <c r="U209" s="15">
        <f>IF(ISNUMBER(Klisz_Verbräuche[[#This Row],[2035]]), Klisz_Verbräuche[[#This Row],[2035]]*Emissionsfaktoren[[#This Row],[2035]]/1000, 0)</f>
        <v>0</v>
      </c>
      <c r="V209" s="15">
        <f>IF(ISNUMBER(Klisz_Verbräuche[[#This Row],[2040]]), Klisz_Verbräuche[[#This Row],[2040]]*Emissionsfaktoren[[#This Row],[2040]]/1000, 0)</f>
        <v>0</v>
      </c>
      <c r="W209" s="15">
        <f>IF(ISNUMBER(Klisz_Verbräuche[[#This Row],[2045]]), Klisz_Verbräuche[[#This Row],[2045]]*Emissionsfaktoren[[#This Row],[2045]]/1000, 0)</f>
        <v>0</v>
      </c>
      <c r="X209" s="15">
        <f>IF(ISNUMBER(Klisz_Verbräuche[[#This Row],[2050]]), Klisz_Verbräuche[[#This Row],[2050]]*Emissionsfaktoren[[#This Row],[2050]]/1000, 0)</f>
        <v>0</v>
      </c>
    </row>
    <row r="210" spans="2:24" ht="16.5" hidden="1" x14ac:dyDescent="0.45">
      <c r="B210" s="15">
        <v>150</v>
      </c>
      <c r="C210" s="20">
        <f>Refsz_Verbräuche[[#This Row],[Datenpunkt]]</f>
        <v>0</v>
      </c>
      <c r="D210" t="s">
        <v>208</v>
      </c>
      <c r="E210" s="15">
        <f>IF(ISNUMBER(Klisz_Verbräuche[[#This Row],[2015]]), Klisz_Verbräuche[[#This Row],[2015]]*Emissionsfaktoren[[#This Row],[2015]]/1000, 0)</f>
        <v>0</v>
      </c>
      <c r="F210" s="15">
        <f>IF(ISNUMBER(Klisz_Verbräuche[[#This Row],[2016]]), Klisz_Verbräuche[[#This Row],[2016]]*Emissionsfaktoren[[#This Row],[2016]]/1000, 0)</f>
        <v>0</v>
      </c>
      <c r="G210" s="15">
        <f>IF(ISNUMBER(Klisz_Verbräuche[[#This Row],[2017]]), Klisz_Verbräuche[[#This Row],[2017]]*Emissionsfaktoren[[#This Row],[2017]]/1000, 0)</f>
        <v>0</v>
      </c>
      <c r="H210" s="15">
        <f>IF(ISNUMBER(Klisz_Verbräuche[[#This Row],[2018]]), Klisz_Verbräuche[[#This Row],[2018]]*Emissionsfaktoren[[#This Row],[2018]]/1000, 0)</f>
        <v>0</v>
      </c>
      <c r="I210" s="15">
        <f>IF(ISNUMBER(Klisz_Verbräuche[[#This Row],[2019]]), Klisz_Verbräuche[[#This Row],[2019]]*Emissionsfaktoren[[#This Row],[2019]]/1000, 0)</f>
        <v>0</v>
      </c>
      <c r="J210" s="15">
        <f>IF(ISNUMBER(Klisz_Verbräuche[[#This Row],[2020]]), Klisz_Verbräuche[[#This Row],[2020]]*Emissionsfaktoren[[#This Row],[2020]]/1000, 0)</f>
        <v>0</v>
      </c>
      <c r="K210" s="15">
        <f>IF(ISNUMBER(Klisz_Verbräuche[[#This Row],[2021]]), Klisz_Verbräuche[[#This Row],[2021]]*Emissionsfaktoren[[#This Row],[2021]]/1000, 0)</f>
        <v>0</v>
      </c>
      <c r="L210" s="15">
        <f>IF(ISNUMBER(Klisz_Verbräuche[[#This Row],[2022]]), Klisz_Verbräuche[[#This Row],[2022]]*Emissionsfaktoren[[#This Row],[2022]]/1000, 0)</f>
        <v>0</v>
      </c>
      <c r="M210" s="15">
        <f>IF(ISNUMBER(Klisz_Verbräuche[[#This Row],[2023]]), Klisz_Verbräuche[[#This Row],[2023]]*Emissionsfaktoren[[#This Row],[2023]]/1000, 0)</f>
        <v>0</v>
      </c>
      <c r="N210" s="15">
        <f>IF(ISNUMBER(Klisz_Verbräuche[[#This Row],[2024]]), Klisz_Verbräuche[[#This Row],[2024]]*Emissionsfaktoren[[#This Row],[2024]]/1000, 0)</f>
        <v>0</v>
      </c>
      <c r="O210" s="15">
        <f>IF(ISNUMBER(Klisz_Verbräuche[[#This Row],[2025]]), Klisz_Verbräuche[[#This Row],[2025]]*Emissionsfaktoren[[#This Row],[2025]]/1000, 0)</f>
        <v>0</v>
      </c>
      <c r="P210" s="15">
        <f>IF(ISNUMBER(Klisz_Verbräuche[[#This Row],[2026]]), Klisz_Verbräuche[[#This Row],[2026]]*Emissionsfaktoren[[#This Row],[2026]]/1000, 0)</f>
        <v>0</v>
      </c>
      <c r="Q210" s="15">
        <f>IF(ISNUMBER(Klisz_Verbräuche[[#This Row],[2027]]), Klisz_Verbräuche[[#This Row],[2027]]*Emissionsfaktoren[[#This Row],[2027]]/1000, 0)</f>
        <v>0</v>
      </c>
      <c r="R210" s="15">
        <f>IF(ISNUMBER(Klisz_Verbräuche[[#This Row],[2028]]), Klisz_Verbräuche[[#This Row],[2028]]*Emissionsfaktoren[[#This Row],[2028]]/1000, 0)</f>
        <v>0</v>
      </c>
      <c r="S210" s="15">
        <f>IF(ISNUMBER(Klisz_Verbräuche[[#This Row],[2029]]), Klisz_Verbräuche[[#This Row],[2029]]*Emissionsfaktoren[[#This Row],[2029]]/1000, 0)</f>
        <v>0</v>
      </c>
      <c r="T210" s="15">
        <f>IF(ISNUMBER(Klisz_Verbräuche[[#This Row],[2030]]), Klisz_Verbräuche[[#This Row],[2030]]*Emissionsfaktoren[[#This Row],[2030]]/1000, 0)</f>
        <v>0</v>
      </c>
      <c r="U210" s="15">
        <f>IF(ISNUMBER(Klisz_Verbräuche[[#This Row],[2035]]), Klisz_Verbräuche[[#This Row],[2035]]*Emissionsfaktoren[[#This Row],[2035]]/1000, 0)</f>
        <v>0</v>
      </c>
      <c r="V210" s="15">
        <f>IF(ISNUMBER(Klisz_Verbräuche[[#This Row],[2040]]), Klisz_Verbräuche[[#This Row],[2040]]*Emissionsfaktoren[[#This Row],[2040]]/1000, 0)</f>
        <v>0</v>
      </c>
      <c r="W210" s="15">
        <f>IF(ISNUMBER(Klisz_Verbräuche[[#This Row],[2045]]), Klisz_Verbräuche[[#This Row],[2045]]*Emissionsfaktoren[[#This Row],[2045]]/1000, 0)</f>
        <v>0</v>
      </c>
      <c r="X210" s="15">
        <f>IF(ISNUMBER(Klisz_Verbräuche[[#This Row],[2050]]), Klisz_Verbräuche[[#This Row],[2050]]*Emissionsfaktoren[[#This Row],[2050]]/1000, 0)</f>
        <v>0</v>
      </c>
    </row>
    <row r="211" spans="2:24" ht="16.5" hidden="1" x14ac:dyDescent="0.45">
      <c r="B211" s="15">
        <v>151</v>
      </c>
      <c r="C211" s="20">
        <f>Refsz_Verbräuche[[#This Row],[Datenpunkt]]</f>
        <v>0</v>
      </c>
      <c r="D211" t="s">
        <v>208</v>
      </c>
      <c r="E211" s="15">
        <f>IF(ISNUMBER(Klisz_Verbräuche[[#This Row],[2015]]), Klisz_Verbräuche[[#This Row],[2015]]*Emissionsfaktoren[[#This Row],[2015]]/1000, 0)</f>
        <v>0</v>
      </c>
      <c r="F211" s="15">
        <f>IF(ISNUMBER(Klisz_Verbräuche[[#This Row],[2016]]), Klisz_Verbräuche[[#This Row],[2016]]*Emissionsfaktoren[[#This Row],[2016]]/1000, 0)</f>
        <v>0</v>
      </c>
      <c r="G211" s="15">
        <f>IF(ISNUMBER(Klisz_Verbräuche[[#This Row],[2017]]), Klisz_Verbräuche[[#This Row],[2017]]*Emissionsfaktoren[[#This Row],[2017]]/1000, 0)</f>
        <v>0</v>
      </c>
      <c r="H211" s="15">
        <f>IF(ISNUMBER(Klisz_Verbräuche[[#This Row],[2018]]), Klisz_Verbräuche[[#This Row],[2018]]*Emissionsfaktoren[[#This Row],[2018]]/1000, 0)</f>
        <v>0</v>
      </c>
      <c r="I211" s="15">
        <f>IF(ISNUMBER(Klisz_Verbräuche[[#This Row],[2019]]), Klisz_Verbräuche[[#This Row],[2019]]*Emissionsfaktoren[[#This Row],[2019]]/1000, 0)</f>
        <v>0</v>
      </c>
      <c r="J211" s="15">
        <f>IF(ISNUMBER(Klisz_Verbräuche[[#This Row],[2020]]), Klisz_Verbräuche[[#This Row],[2020]]*Emissionsfaktoren[[#This Row],[2020]]/1000, 0)</f>
        <v>0</v>
      </c>
      <c r="K211" s="15">
        <f>IF(ISNUMBER(Klisz_Verbräuche[[#This Row],[2021]]), Klisz_Verbräuche[[#This Row],[2021]]*Emissionsfaktoren[[#This Row],[2021]]/1000, 0)</f>
        <v>0</v>
      </c>
      <c r="L211" s="15">
        <f>IF(ISNUMBER(Klisz_Verbräuche[[#This Row],[2022]]), Klisz_Verbräuche[[#This Row],[2022]]*Emissionsfaktoren[[#This Row],[2022]]/1000, 0)</f>
        <v>0</v>
      </c>
      <c r="M211" s="15">
        <f>IF(ISNUMBER(Klisz_Verbräuche[[#This Row],[2023]]), Klisz_Verbräuche[[#This Row],[2023]]*Emissionsfaktoren[[#This Row],[2023]]/1000, 0)</f>
        <v>0</v>
      </c>
      <c r="N211" s="15">
        <f>IF(ISNUMBER(Klisz_Verbräuche[[#This Row],[2024]]), Klisz_Verbräuche[[#This Row],[2024]]*Emissionsfaktoren[[#This Row],[2024]]/1000, 0)</f>
        <v>0</v>
      </c>
      <c r="O211" s="15">
        <f>IF(ISNUMBER(Klisz_Verbräuche[[#This Row],[2025]]), Klisz_Verbräuche[[#This Row],[2025]]*Emissionsfaktoren[[#This Row],[2025]]/1000, 0)</f>
        <v>0</v>
      </c>
      <c r="P211" s="15">
        <f>IF(ISNUMBER(Klisz_Verbräuche[[#This Row],[2026]]), Klisz_Verbräuche[[#This Row],[2026]]*Emissionsfaktoren[[#This Row],[2026]]/1000, 0)</f>
        <v>0</v>
      </c>
      <c r="Q211" s="15">
        <f>IF(ISNUMBER(Klisz_Verbräuche[[#This Row],[2027]]), Klisz_Verbräuche[[#This Row],[2027]]*Emissionsfaktoren[[#This Row],[2027]]/1000, 0)</f>
        <v>0</v>
      </c>
      <c r="R211" s="15">
        <f>IF(ISNUMBER(Klisz_Verbräuche[[#This Row],[2028]]), Klisz_Verbräuche[[#This Row],[2028]]*Emissionsfaktoren[[#This Row],[2028]]/1000, 0)</f>
        <v>0</v>
      </c>
      <c r="S211" s="15">
        <f>IF(ISNUMBER(Klisz_Verbräuche[[#This Row],[2029]]), Klisz_Verbräuche[[#This Row],[2029]]*Emissionsfaktoren[[#This Row],[2029]]/1000, 0)</f>
        <v>0</v>
      </c>
      <c r="T211" s="15">
        <f>IF(ISNUMBER(Klisz_Verbräuche[[#This Row],[2030]]), Klisz_Verbräuche[[#This Row],[2030]]*Emissionsfaktoren[[#This Row],[2030]]/1000, 0)</f>
        <v>0</v>
      </c>
      <c r="U211" s="15">
        <f>IF(ISNUMBER(Klisz_Verbräuche[[#This Row],[2035]]), Klisz_Verbräuche[[#This Row],[2035]]*Emissionsfaktoren[[#This Row],[2035]]/1000, 0)</f>
        <v>0</v>
      </c>
      <c r="V211" s="15">
        <f>IF(ISNUMBER(Klisz_Verbräuche[[#This Row],[2040]]), Klisz_Verbräuche[[#This Row],[2040]]*Emissionsfaktoren[[#This Row],[2040]]/1000, 0)</f>
        <v>0</v>
      </c>
      <c r="W211" s="15">
        <f>IF(ISNUMBER(Klisz_Verbräuche[[#This Row],[2045]]), Klisz_Verbräuche[[#This Row],[2045]]*Emissionsfaktoren[[#This Row],[2045]]/1000, 0)</f>
        <v>0</v>
      </c>
      <c r="X211" s="15">
        <f>IF(ISNUMBER(Klisz_Verbräuche[[#This Row],[2050]]), Klisz_Verbräuche[[#This Row],[2050]]*Emissionsfaktoren[[#This Row],[2050]]/1000, 0)</f>
        <v>0</v>
      </c>
    </row>
    <row r="212" spans="2:24" ht="16.5" hidden="1" x14ac:dyDescent="0.45">
      <c r="B212" s="15">
        <v>152</v>
      </c>
      <c r="C212" s="20">
        <f>Refsz_Verbräuche[[#This Row],[Datenpunkt]]</f>
        <v>0</v>
      </c>
      <c r="D212" t="s">
        <v>208</v>
      </c>
      <c r="E212" s="15">
        <f>IF(ISNUMBER(Klisz_Verbräuche[[#This Row],[2015]]), Klisz_Verbräuche[[#This Row],[2015]]*Emissionsfaktoren[[#This Row],[2015]]/1000, 0)</f>
        <v>0</v>
      </c>
      <c r="F212" s="15">
        <f>IF(ISNUMBER(Klisz_Verbräuche[[#This Row],[2016]]), Klisz_Verbräuche[[#This Row],[2016]]*Emissionsfaktoren[[#This Row],[2016]]/1000, 0)</f>
        <v>0</v>
      </c>
      <c r="G212" s="15">
        <f>IF(ISNUMBER(Klisz_Verbräuche[[#This Row],[2017]]), Klisz_Verbräuche[[#This Row],[2017]]*Emissionsfaktoren[[#This Row],[2017]]/1000, 0)</f>
        <v>0</v>
      </c>
      <c r="H212" s="15">
        <f>IF(ISNUMBER(Klisz_Verbräuche[[#This Row],[2018]]), Klisz_Verbräuche[[#This Row],[2018]]*Emissionsfaktoren[[#This Row],[2018]]/1000, 0)</f>
        <v>0</v>
      </c>
      <c r="I212" s="15">
        <f>IF(ISNUMBER(Klisz_Verbräuche[[#This Row],[2019]]), Klisz_Verbräuche[[#This Row],[2019]]*Emissionsfaktoren[[#This Row],[2019]]/1000, 0)</f>
        <v>0</v>
      </c>
      <c r="J212" s="15">
        <f>IF(ISNUMBER(Klisz_Verbräuche[[#This Row],[2020]]), Klisz_Verbräuche[[#This Row],[2020]]*Emissionsfaktoren[[#This Row],[2020]]/1000, 0)</f>
        <v>0</v>
      </c>
      <c r="K212" s="15">
        <f>IF(ISNUMBER(Klisz_Verbräuche[[#This Row],[2021]]), Klisz_Verbräuche[[#This Row],[2021]]*Emissionsfaktoren[[#This Row],[2021]]/1000, 0)</f>
        <v>0</v>
      </c>
      <c r="L212" s="15">
        <f>IF(ISNUMBER(Klisz_Verbräuche[[#This Row],[2022]]), Klisz_Verbräuche[[#This Row],[2022]]*Emissionsfaktoren[[#This Row],[2022]]/1000, 0)</f>
        <v>0</v>
      </c>
      <c r="M212" s="15">
        <f>IF(ISNUMBER(Klisz_Verbräuche[[#This Row],[2023]]), Klisz_Verbräuche[[#This Row],[2023]]*Emissionsfaktoren[[#This Row],[2023]]/1000, 0)</f>
        <v>0</v>
      </c>
      <c r="N212" s="15">
        <f>IF(ISNUMBER(Klisz_Verbräuche[[#This Row],[2024]]), Klisz_Verbräuche[[#This Row],[2024]]*Emissionsfaktoren[[#This Row],[2024]]/1000, 0)</f>
        <v>0</v>
      </c>
      <c r="O212" s="15">
        <f>IF(ISNUMBER(Klisz_Verbräuche[[#This Row],[2025]]), Klisz_Verbräuche[[#This Row],[2025]]*Emissionsfaktoren[[#This Row],[2025]]/1000, 0)</f>
        <v>0</v>
      </c>
      <c r="P212" s="15">
        <f>IF(ISNUMBER(Klisz_Verbräuche[[#This Row],[2026]]), Klisz_Verbräuche[[#This Row],[2026]]*Emissionsfaktoren[[#This Row],[2026]]/1000, 0)</f>
        <v>0</v>
      </c>
      <c r="Q212" s="15">
        <f>IF(ISNUMBER(Klisz_Verbräuche[[#This Row],[2027]]), Klisz_Verbräuche[[#This Row],[2027]]*Emissionsfaktoren[[#This Row],[2027]]/1000, 0)</f>
        <v>0</v>
      </c>
      <c r="R212" s="15">
        <f>IF(ISNUMBER(Klisz_Verbräuche[[#This Row],[2028]]), Klisz_Verbräuche[[#This Row],[2028]]*Emissionsfaktoren[[#This Row],[2028]]/1000, 0)</f>
        <v>0</v>
      </c>
      <c r="S212" s="15">
        <f>IF(ISNUMBER(Klisz_Verbräuche[[#This Row],[2029]]), Klisz_Verbräuche[[#This Row],[2029]]*Emissionsfaktoren[[#This Row],[2029]]/1000, 0)</f>
        <v>0</v>
      </c>
      <c r="T212" s="15">
        <f>IF(ISNUMBER(Klisz_Verbräuche[[#This Row],[2030]]), Klisz_Verbräuche[[#This Row],[2030]]*Emissionsfaktoren[[#This Row],[2030]]/1000, 0)</f>
        <v>0</v>
      </c>
      <c r="U212" s="15">
        <f>IF(ISNUMBER(Klisz_Verbräuche[[#This Row],[2035]]), Klisz_Verbräuche[[#This Row],[2035]]*Emissionsfaktoren[[#This Row],[2035]]/1000, 0)</f>
        <v>0</v>
      </c>
      <c r="V212" s="15">
        <f>IF(ISNUMBER(Klisz_Verbräuche[[#This Row],[2040]]), Klisz_Verbräuche[[#This Row],[2040]]*Emissionsfaktoren[[#This Row],[2040]]/1000, 0)</f>
        <v>0</v>
      </c>
      <c r="W212" s="15">
        <f>IF(ISNUMBER(Klisz_Verbräuche[[#This Row],[2045]]), Klisz_Verbräuche[[#This Row],[2045]]*Emissionsfaktoren[[#This Row],[2045]]/1000, 0)</f>
        <v>0</v>
      </c>
      <c r="X212" s="15">
        <f>IF(ISNUMBER(Klisz_Verbräuche[[#This Row],[2050]]), Klisz_Verbräuche[[#This Row],[2050]]*Emissionsfaktoren[[#This Row],[2050]]/1000, 0)</f>
        <v>0</v>
      </c>
    </row>
    <row r="213" spans="2:24" ht="16.5" hidden="1" x14ac:dyDescent="0.45">
      <c r="B213" s="15">
        <v>153</v>
      </c>
      <c r="C213" s="20">
        <f>Refsz_Verbräuche[[#This Row],[Datenpunkt]]</f>
        <v>0</v>
      </c>
      <c r="D213" t="s">
        <v>208</v>
      </c>
      <c r="E213" s="15">
        <f>IF(ISNUMBER(Klisz_Verbräuche[[#This Row],[2015]]), Klisz_Verbräuche[[#This Row],[2015]]*Emissionsfaktoren[[#This Row],[2015]]/1000, 0)</f>
        <v>0</v>
      </c>
      <c r="F213" s="15">
        <f>IF(ISNUMBER(Klisz_Verbräuche[[#This Row],[2016]]), Klisz_Verbräuche[[#This Row],[2016]]*Emissionsfaktoren[[#This Row],[2016]]/1000, 0)</f>
        <v>0</v>
      </c>
      <c r="G213" s="15">
        <f>IF(ISNUMBER(Klisz_Verbräuche[[#This Row],[2017]]), Klisz_Verbräuche[[#This Row],[2017]]*Emissionsfaktoren[[#This Row],[2017]]/1000, 0)</f>
        <v>0</v>
      </c>
      <c r="H213" s="15">
        <f>IF(ISNUMBER(Klisz_Verbräuche[[#This Row],[2018]]), Klisz_Verbräuche[[#This Row],[2018]]*Emissionsfaktoren[[#This Row],[2018]]/1000, 0)</f>
        <v>0</v>
      </c>
      <c r="I213" s="15">
        <f>IF(ISNUMBER(Klisz_Verbräuche[[#This Row],[2019]]), Klisz_Verbräuche[[#This Row],[2019]]*Emissionsfaktoren[[#This Row],[2019]]/1000, 0)</f>
        <v>0</v>
      </c>
      <c r="J213" s="15">
        <f>IF(ISNUMBER(Klisz_Verbräuche[[#This Row],[2020]]), Klisz_Verbräuche[[#This Row],[2020]]*Emissionsfaktoren[[#This Row],[2020]]/1000, 0)</f>
        <v>0</v>
      </c>
      <c r="K213" s="15">
        <f>IF(ISNUMBER(Klisz_Verbräuche[[#This Row],[2021]]), Klisz_Verbräuche[[#This Row],[2021]]*Emissionsfaktoren[[#This Row],[2021]]/1000, 0)</f>
        <v>0</v>
      </c>
      <c r="L213" s="15">
        <f>IF(ISNUMBER(Klisz_Verbräuche[[#This Row],[2022]]), Klisz_Verbräuche[[#This Row],[2022]]*Emissionsfaktoren[[#This Row],[2022]]/1000, 0)</f>
        <v>0</v>
      </c>
      <c r="M213" s="15">
        <f>IF(ISNUMBER(Klisz_Verbräuche[[#This Row],[2023]]), Klisz_Verbräuche[[#This Row],[2023]]*Emissionsfaktoren[[#This Row],[2023]]/1000, 0)</f>
        <v>0</v>
      </c>
      <c r="N213" s="15">
        <f>IF(ISNUMBER(Klisz_Verbräuche[[#This Row],[2024]]), Klisz_Verbräuche[[#This Row],[2024]]*Emissionsfaktoren[[#This Row],[2024]]/1000, 0)</f>
        <v>0</v>
      </c>
      <c r="O213" s="15">
        <f>IF(ISNUMBER(Klisz_Verbräuche[[#This Row],[2025]]), Klisz_Verbräuche[[#This Row],[2025]]*Emissionsfaktoren[[#This Row],[2025]]/1000, 0)</f>
        <v>0</v>
      </c>
      <c r="P213" s="15">
        <f>IF(ISNUMBER(Klisz_Verbräuche[[#This Row],[2026]]), Klisz_Verbräuche[[#This Row],[2026]]*Emissionsfaktoren[[#This Row],[2026]]/1000, 0)</f>
        <v>0</v>
      </c>
      <c r="Q213" s="15">
        <f>IF(ISNUMBER(Klisz_Verbräuche[[#This Row],[2027]]), Klisz_Verbräuche[[#This Row],[2027]]*Emissionsfaktoren[[#This Row],[2027]]/1000, 0)</f>
        <v>0</v>
      </c>
      <c r="R213" s="15">
        <f>IF(ISNUMBER(Klisz_Verbräuche[[#This Row],[2028]]), Klisz_Verbräuche[[#This Row],[2028]]*Emissionsfaktoren[[#This Row],[2028]]/1000, 0)</f>
        <v>0</v>
      </c>
      <c r="S213" s="15">
        <f>IF(ISNUMBER(Klisz_Verbräuche[[#This Row],[2029]]), Klisz_Verbräuche[[#This Row],[2029]]*Emissionsfaktoren[[#This Row],[2029]]/1000, 0)</f>
        <v>0</v>
      </c>
      <c r="T213" s="15">
        <f>IF(ISNUMBER(Klisz_Verbräuche[[#This Row],[2030]]), Klisz_Verbräuche[[#This Row],[2030]]*Emissionsfaktoren[[#This Row],[2030]]/1000, 0)</f>
        <v>0</v>
      </c>
      <c r="U213" s="15">
        <f>IF(ISNUMBER(Klisz_Verbräuche[[#This Row],[2035]]), Klisz_Verbräuche[[#This Row],[2035]]*Emissionsfaktoren[[#This Row],[2035]]/1000, 0)</f>
        <v>0</v>
      </c>
      <c r="V213" s="15">
        <f>IF(ISNUMBER(Klisz_Verbräuche[[#This Row],[2040]]), Klisz_Verbräuche[[#This Row],[2040]]*Emissionsfaktoren[[#This Row],[2040]]/1000, 0)</f>
        <v>0</v>
      </c>
      <c r="W213" s="15">
        <f>IF(ISNUMBER(Klisz_Verbräuche[[#This Row],[2045]]), Klisz_Verbräuche[[#This Row],[2045]]*Emissionsfaktoren[[#This Row],[2045]]/1000, 0)</f>
        <v>0</v>
      </c>
      <c r="X213" s="15">
        <f>IF(ISNUMBER(Klisz_Verbräuche[[#This Row],[2050]]), Klisz_Verbräuche[[#This Row],[2050]]*Emissionsfaktoren[[#This Row],[2050]]/1000, 0)</f>
        <v>0</v>
      </c>
    </row>
    <row r="214" spans="2:24" ht="16.5" hidden="1" x14ac:dyDescent="0.45">
      <c r="B214" s="15">
        <v>154</v>
      </c>
      <c r="C214" s="20">
        <f>Refsz_Verbräuche[[#This Row],[Datenpunkt]]</f>
        <v>0</v>
      </c>
      <c r="D214" t="s">
        <v>208</v>
      </c>
      <c r="E214" s="15">
        <f>IF(ISNUMBER(Klisz_Verbräuche[[#This Row],[2015]]), Klisz_Verbräuche[[#This Row],[2015]]*Emissionsfaktoren[[#This Row],[2015]]/1000, 0)</f>
        <v>0</v>
      </c>
      <c r="F214" s="15">
        <f>IF(ISNUMBER(Klisz_Verbräuche[[#This Row],[2016]]), Klisz_Verbräuche[[#This Row],[2016]]*Emissionsfaktoren[[#This Row],[2016]]/1000, 0)</f>
        <v>0</v>
      </c>
      <c r="G214" s="15">
        <f>IF(ISNUMBER(Klisz_Verbräuche[[#This Row],[2017]]), Klisz_Verbräuche[[#This Row],[2017]]*Emissionsfaktoren[[#This Row],[2017]]/1000, 0)</f>
        <v>0</v>
      </c>
      <c r="H214" s="15">
        <f>IF(ISNUMBER(Klisz_Verbräuche[[#This Row],[2018]]), Klisz_Verbräuche[[#This Row],[2018]]*Emissionsfaktoren[[#This Row],[2018]]/1000, 0)</f>
        <v>0</v>
      </c>
      <c r="I214" s="15">
        <f>IF(ISNUMBER(Klisz_Verbräuche[[#This Row],[2019]]), Klisz_Verbräuche[[#This Row],[2019]]*Emissionsfaktoren[[#This Row],[2019]]/1000, 0)</f>
        <v>0</v>
      </c>
      <c r="J214" s="15">
        <f>IF(ISNUMBER(Klisz_Verbräuche[[#This Row],[2020]]), Klisz_Verbräuche[[#This Row],[2020]]*Emissionsfaktoren[[#This Row],[2020]]/1000, 0)</f>
        <v>0</v>
      </c>
      <c r="K214" s="15">
        <f>IF(ISNUMBER(Klisz_Verbräuche[[#This Row],[2021]]), Klisz_Verbräuche[[#This Row],[2021]]*Emissionsfaktoren[[#This Row],[2021]]/1000, 0)</f>
        <v>0</v>
      </c>
      <c r="L214" s="15">
        <f>IF(ISNUMBER(Klisz_Verbräuche[[#This Row],[2022]]), Klisz_Verbräuche[[#This Row],[2022]]*Emissionsfaktoren[[#This Row],[2022]]/1000, 0)</f>
        <v>0</v>
      </c>
      <c r="M214" s="15">
        <f>IF(ISNUMBER(Klisz_Verbräuche[[#This Row],[2023]]), Klisz_Verbräuche[[#This Row],[2023]]*Emissionsfaktoren[[#This Row],[2023]]/1000, 0)</f>
        <v>0</v>
      </c>
      <c r="N214" s="15">
        <f>IF(ISNUMBER(Klisz_Verbräuche[[#This Row],[2024]]), Klisz_Verbräuche[[#This Row],[2024]]*Emissionsfaktoren[[#This Row],[2024]]/1000, 0)</f>
        <v>0</v>
      </c>
      <c r="O214" s="15">
        <f>IF(ISNUMBER(Klisz_Verbräuche[[#This Row],[2025]]), Klisz_Verbräuche[[#This Row],[2025]]*Emissionsfaktoren[[#This Row],[2025]]/1000, 0)</f>
        <v>0</v>
      </c>
      <c r="P214" s="15">
        <f>IF(ISNUMBER(Klisz_Verbräuche[[#This Row],[2026]]), Klisz_Verbräuche[[#This Row],[2026]]*Emissionsfaktoren[[#This Row],[2026]]/1000, 0)</f>
        <v>0</v>
      </c>
      <c r="Q214" s="15">
        <f>IF(ISNUMBER(Klisz_Verbräuche[[#This Row],[2027]]), Klisz_Verbräuche[[#This Row],[2027]]*Emissionsfaktoren[[#This Row],[2027]]/1000, 0)</f>
        <v>0</v>
      </c>
      <c r="R214" s="15">
        <f>IF(ISNUMBER(Klisz_Verbräuche[[#This Row],[2028]]), Klisz_Verbräuche[[#This Row],[2028]]*Emissionsfaktoren[[#This Row],[2028]]/1000, 0)</f>
        <v>0</v>
      </c>
      <c r="S214" s="15">
        <f>IF(ISNUMBER(Klisz_Verbräuche[[#This Row],[2029]]), Klisz_Verbräuche[[#This Row],[2029]]*Emissionsfaktoren[[#This Row],[2029]]/1000, 0)</f>
        <v>0</v>
      </c>
      <c r="T214" s="15">
        <f>IF(ISNUMBER(Klisz_Verbräuche[[#This Row],[2030]]), Klisz_Verbräuche[[#This Row],[2030]]*Emissionsfaktoren[[#This Row],[2030]]/1000, 0)</f>
        <v>0</v>
      </c>
      <c r="U214" s="15">
        <f>IF(ISNUMBER(Klisz_Verbräuche[[#This Row],[2035]]), Klisz_Verbräuche[[#This Row],[2035]]*Emissionsfaktoren[[#This Row],[2035]]/1000, 0)</f>
        <v>0</v>
      </c>
      <c r="V214" s="15">
        <f>IF(ISNUMBER(Klisz_Verbräuche[[#This Row],[2040]]), Klisz_Verbräuche[[#This Row],[2040]]*Emissionsfaktoren[[#This Row],[2040]]/1000, 0)</f>
        <v>0</v>
      </c>
      <c r="W214" s="15">
        <f>IF(ISNUMBER(Klisz_Verbräuche[[#This Row],[2045]]), Klisz_Verbräuche[[#This Row],[2045]]*Emissionsfaktoren[[#This Row],[2045]]/1000, 0)</f>
        <v>0</v>
      </c>
      <c r="X214" s="15">
        <f>IF(ISNUMBER(Klisz_Verbräuche[[#This Row],[2050]]), Klisz_Verbräuche[[#This Row],[2050]]*Emissionsfaktoren[[#This Row],[2050]]/1000, 0)</f>
        <v>0</v>
      </c>
    </row>
    <row r="215" spans="2:24" ht="16.5" hidden="1" x14ac:dyDescent="0.45">
      <c r="B215" s="15">
        <v>155</v>
      </c>
      <c r="C215" s="20">
        <f>Refsz_Verbräuche[[#This Row],[Datenpunkt]]</f>
        <v>0</v>
      </c>
      <c r="D215" t="s">
        <v>208</v>
      </c>
      <c r="E215" s="15">
        <f>IF(ISNUMBER(Klisz_Verbräuche[[#This Row],[2015]]), Klisz_Verbräuche[[#This Row],[2015]]*Emissionsfaktoren[[#This Row],[2015]]/1000, 0)</f>
        <v>0</v>
      </c>
      <c r="F215" s="15">
        <f>IF(ISNUMBER(Klisz_Verbräuche[[#This Row],[2016]]), Klisz_Verbräuche[[#This Row],[2016]]*Emissionsfaktoren[[#This Row],[2016]]/1000, 0)</f>
        <v>0</v>
      </c>
      <c r="G215" s="15">
        <f>IF(ISNUMBER(Klisz_Verbräuche[[#This Row],[2017]]), Klisz_Verbräuche[[#This Row],[2017]]*Emissionsfaktoren[[#This Row],[2017]]/1000, 0)</f>
        <v>0</v>
      </c>
      <c r="H215" s="15">
        <f>IF(ISNUMBER(Klisz_Verbräuche[[#This Row],[2018]]), Klisz_Verbräuche[[#This Row],[2018]]*Emissionsfaktoren[[#This Row],[2018]]/1000, 0)</f>
        <v>0</v>
      </c>
      <c r="I215" s="15">
        <f>IF(ISNUMBER(Klisz_Verbräuche[[#This Row],[2019]]), Klisz_Verbräuche[[#This Row],[2019]]*Emissionsfaktoren[[#This Row],[2019]]/1000, 0)</f>
        <v>0</v>
      </c>
      <c r="J215" s="15">
        <f>IF(ISNUMBER(Klisz_Verbräuche[[#This Row],[2020]]), Klisz_Verbräuche[[#This Row],[2020]]*Emissionsfaktoren[[#This Row],[2020]]/1000, 0)</f>
        <v>0</v>
      </c>
      <c r="K215" s="15">
        <f>IF(ISNUMBER(Klisz_Verbräuche[[#This Row],[2021]]), Klisz_Verbräuche[[#This Row],[2021]]*Emissionsfaktoren[[#This Row],[2021]]/1000, 0)</f>
        <v>0</v>
      </c>
      <c r="L215" s="15">
        <f>IF(ISNUMBER(Klisz_Verbräuche[[#This Row],[2022]]), Klisz_Verbräuche[[#This Row],[2022]]*Emissionsfaktoren[[#This Row],[2022]]/1000, 0)</f>
        <v>0</v>
      </c>
      <c r="M215" s="15">
        <f>IF(ISNUMBER(Klisz_Verbräuche[[#This Row],[2023]]), Klisz_Verbräuche[[#This Row],[2023]]*Emissionsfaktoren[[#This Row],[2023]]/1000, 0)</f>
        <v>0</v>
      </c>
      <c r="N215" s="15">
        <f>IF(ISNUMBER(Klisz_Verbräuche[[#This Row],[2024]]), Klisz_Verbräuche[[#This Row],[2024]]*Emissionsfaktoren[[#This Row],[2024]]/1000, 0)</f>
        <v>0</v>
      </c>
      <c r="O215" s="15">
        <f>IF(ISNUMBER(Klisz_Verbräuche[[#This Row],[2025]]), Klisz_Verbräuche[[#This Row],[2025]]*Emissionsfaktoren[[#This Row],[2025]]/1000, 0)</f>
        <v>0</v>
      </c>
      <c r="P215" s="15">
        <f>IF(ISNUMBER(Klisz_Verbräuche[[#This Row],[2026]]), Klisz_Verbräuche[[#This Row],[2026]]*Emissionsfaktoren[[#This Row],[2026]]/1000, 0)</f>
        <v>0</v>
      </c>
      <c r="Q215" s="15">
        <f>IF(ISNUMBER(Klisz_Verbräuche[[#This Row],[2027]]), Klisz_Verbräuche[[#This Row],[2027]]*Emissionsfaktoren[[#This Row],[2027]]/1000, 0)</f>
        <v>0</v>
      </c>
      <c r="R215" s="15">
        <f>IF(ISNUMBER(Klisz_Verbräuche[[#This Row],[2028]]), Klisz_Verbräuche[[#This Row],[2028]]*Emissionsfaktoren[[#This Row],[2028]]/1000, 0)</f>
        <v>0</v>
      </c>
      <c r="S215" s="15">
        <f>IF(ISNUMBER(Klisz_Verbräuche[[#This Row],[2029]]), Klisz_Verbräuche[[#This Row],[2029]]*Emissionsfaktoren[[#This Row],[2029]]/1000, 0)</f>
        <v>0</v>
      </c>
      <c r="T215" s="15">
        <f>IF(ISNUMBER(Klisz_Verbräuche[[#This Row],[2030]]), Klisz_Verbräuche[[#This Row],[2030]]*Emissionsfaktoren[[#This Row],[2030]]/1000, 0)</f>
        <v>0</v>
      </c>
      <c r="U215" s="15">
        <f>IF(ISNUMBER(Klisz_Verbräuche[[#This Row],[2035]]), Klisz_Verbräuche[[#This Row],[2035]]*Emissionsfaktoren[[#This Row],[2035]]/1000, 0)</f>
        <v>0</v>
      </c>
      <c r="V215" s="15">
        <f>IF(ISNUMBER(Klisz_Verbräuche[[#This Row],[2040]]), Klisz_Verbräuche[[#This Row],[2040]]*Emissionsfaktoren[[#This Row],[2040]]/1000, 0)</f>
        <v>0</v>
      </c>
      <c r="W215" s="15">
        <f>IF(ISNUMBER(Klisz_Verbräuche[[#This Row],[2045]]), Klisz_Verbräuche[[#This Row],[2045]]*Emissionsfaktoren[[#This Row],[2045]]/1000, 0)</f>
        <v>0</v>
      </c>
      <c r="X215" s="15">
        <f>IF(ISNUMBER(Klisz_Verbräuche[[#This Row],[2050]]), Klisz_Verbräuche[[#This Row],[2050]]*Emissionsfaktoren[[#This Row],[2050]]/1000, 0)</f>
        <v>0</v>
      </c>
    </row>
    <row r="216" spans="2:24" ht="16.5" hidden="1" x14ac:dyDescent="0.45">
      <c r="B216" s="15">
        <v>156</v>
      </c>
      <c r="C216" s="20">
        <f>Refsz_Verbräuche[[#This Row],[Datenpunkt]]</f>
        <v>0</v>
      </c>
      <c r="D216" t="s">
        <v>208</v>
      </c>
      <c r="E216" s="15">
        <f>IF(ISNUMBER(Klisz_Verbräuche[[#This Row],[2015]]), Klisz_Verbräuche[[#This Row],[2015]]*Emissionsfaktoren[[#This Row],[2015]]/1000, 0)</f>
        <v>0</v>
      </c>
      <c r="F216" s="15">
        <f>IF(ISNUMBER(Klisz_Verbräuche[[#This Row],[2016]]), Klisz_Verbräuche[[#This Row],[2016]]*Emissionsfaktoren[[#This Row],[2016]]/1000, 0)</f>
        <v>0</v>
      </c>
      <c r="G216" s="15">
        <f>IF(ISNUMBER(Klisz_Verbräuche[[#This Row],[2017]]), Klisz_Verbräuche[[#This Row],[2017]]*Emissionsfaktoren[[#This Row],[2017]]/1000, 0)</f>
        <v>0</v>
      </c>
      <c r="H216" s="15">
        <f>IF(ISNUMBER(Klisz_Verbräuche[[#This Row],[2018]]), Klisz_Verbräuche[[#This Row],[2018]]*Emissionsfaktoren[[#This Row],[2018]]/1000, 0)</f>
        <v>0</v>
      </c>
      <c r="I216" s="15">
        <f>IF(ISNUMBER(Klisz_Verbräuche[[#This Row],[2019]]), Klisz_Verbräuche[[#This Row],[2019]]*Emissionsfaktoren[[#This Row],[2019]]/1000, 0)</f>
        <v>0</v>
      </c>
      <c r="J216" s="15">
        <f>IF(ISNUMBER(Klisz_Verbräuche[[#This Row],[2020]]), Klisz_Verbräuche[[#This Row],[2020]]*Emissionsfaktoren[[#This Row],[2020]]/1000, 0)</f>
        <v>0</v>
      </c>
      <c r="K216" s="15">
        <f>IF(ISNUMBER(Klisz_Verbräuche[[#This Row],[2021]]), Klisz_Verbräuche[[#This Row],[2021]]*Emissionsfaktoren[[#This Row],[2021]]/1000, 0)</f>
        <v>0</v>
      </c>
      <c r="L216" s="15">
        <f>IF(ISNUMBER(Klisz_Verbräuche[[#This Row],[2022]]), Klisz_Verbräuche[[#This Row],[2022]]*Emissionsfaktoren[[#This Row],[2022]]/1000, 0)</f>
        <v>0</v>
      </c>
      <c r="M216" s="15">
        <f>IF(ISNUMBER(Klisz_Verbräuche[[#This Row],[2023]]), Klisz_Verbräuche[[#This Row],[2023]]*Emissionsfaktoren[[#This Row],[2023]]/1000, 0)</f>
        <v>0</v>
      </c>
      <c r="N216" s="15">
        <f>IF(ISNUMBER(Klisz_Verbräuche[[#This Row],[2024]]), Klisz_Verbräuche[[#This Row],[2024]]*Emissionsfaktoren[[#This Row],[2024]]/1000, 0)</f>
        <v>0</v>
      </c>
      <c r="O216" s="15">
        <f>IF(ISNUMBER(Klisz_Verbräuche[[#This Row],[2025]]), Klisz_Verbräuche[[#This Row],[2025]]*Emissionsfaktoren[[#This Row],[2025]]/1000, 0)</f>
        <v>0</v>
      </c>
      <c r="P216" s="15">
        <f>IF(ISNUMBER(Klisz_Verbräuche[[#This Row],[2026]]), Klisz_Verbräuche[[#This Row],[2026]]*Emissionsfaktoren[[#This Row],[2026]]/1000, 0)</f>
        <v>0</v>
      </c>
      <c r="Q216" s="15">
        <f>IF(ISNUMBER(Klisz_Verbräuche[[#This Row],[2027]]), Klisz_Verbräuche[[#This Row],[2027]]*Emissionsfaktoren[[#This Row],[2027]]/1000, 0)</f>
        <v>0</v>
      </c>
      <c r="R216" s="15">
        <f>IF(ISNUMBER(Klisz_Verbräuche[[#This Row],[2028]]), Klisz_Verbräuche[[#This Row],[2028]]*Emissionsfaktoren[[#This Row],[2028]]/1000, 0)</f>
        <v>0</v>
      </c>
      <c r="S216" s="15">
        <f>IF(ISNUMBER(Klisz_Verbräuche[[#This Row],[2029]]), Klisz_Verbräuche[[#This Row],[2029]]*Emissionsfaktoren[[#This Row],[2029]]/1000, 0)</f>
        <v>0</v>
      </c>
      <c r="T216" s="15">
        <f>IF(ISNUMBER(Klisz_Verbräuche[[#This Row],[2030]]), Klisz_Verbräuche[[#This Row],[2030]]*Emissionsfaktoren[[#This Row],[2030]]/1000, 0)</f>
        <v>0</v>
      </c>
      <c r="U216" s="15">
        <f>IF(ISNUMBER(Klisz_Verbräuche[[#This Row],[2035]]), Klisz_Verbräuche[[#This Row],[2035]]*Emissionsfaktoren[[#This Row],[2035]]/1000, 0)</f>
        <v>0</v>
      </c>
      <c r="V216" s="15">
        <f>IF(ISNUMBER(Klisz_Verbräuche[[#This Row],[2040]]), Klisz_Verbräuche[[#This Row],[2040]]*Emissionsfaktoren[[#This Row],[2040]]/1000, 0)</f>
        <v>0</v>
      </c>
      <c r="W216" s="15">
        <f>IF(ISNUMBER(Klisz_Verbräuche[[#This Row],[2045]]), Klisz_Verbräuche[[#This Row],[2045]]*Emissionsfaktoren[[#This Row],[2045]]/1000, 0)</f>
        <v>0</v>
      </c>
      <c r="X216" s="15">
        <f>IF(ISNUMBER(Klisz_Verbräuche[[#This Row],[2050]]), Klisz_Verbräuche[[#This Row],[2050]]*Emissionsfaktoren[[#This Row],[2050]]/1000, 0)</f>
        <v>0</v>
      </c>
    </row>
    <row r="217" spans="2:24" ht="16.5" hidden="1" x14ac:dyDescent="0.45">
      <c r="B217" s="15">
        <v>157</v>
      </c>
      <c r="C217" s="20">
        <f>Refsz_Verbräuche[[#This Row],[Datenpunkt]]</f>
        <v>0</v>
      </c>
      <c r="D217" t="s">
        <v>208</v>
      </c>
      <c r="E217" s="15">
        <f>IF(ISNUMBER(Klisz_Verbräuche[[#This Row],[2015]]), Klisz_Verbräuche[[#This Row],[2015]]*Emissionsfaktoren[[#This Row],[2015]]/1000, 0)</f>
        <v>0</v>
      </c>
      <c r="F217" s="15">
        <f>IF(ISNUMBER(Klisz_Verbräuche[[#This Row],[2016]]), Klisz_Verbräuche[[#This Row],[2016]]*Emissionsfaktoren[[#This Row],[2016]]/1000, 0)</f>
        <v>0</v>
      </c>
      <c r="G217" s="15">
        <f>IF(ISNUMBER(Klisz_Verbräuche[[#This Row],[2017]]), Klisz_Verbräuche[[#This Row],[2017]]*Emissionsfaktoren[[#This Row],[2017]]/1000, 0)</f>
        <v>0</v>
      </c>
      <c r="H217" s="15">
        <f>IF(ISNUMBER(Klisz_Verbräuche[[#This Row],[2018]]), Klisz_Verbräuche[[#This Row],[2018]]*Emissionsfaktoren[[#This Row],[2018]]/1000, 0)</f>
        <v>0</v>
      </c>
      <c r="I217" s="15">
        <f>IF(ISNUMBER(Klisz_Verbräuche[[#This Row],[2019]]), Klisz_Verbräuche[[#This Row],[2019]]*Emissionsfaktoren[[#This Row],[2019]]/1000, 0)</f>
        <v>0</v>
      </c>
      <c r="J217" s="15">
        <f>IF(ISNUMBER(Klisz_Verbräuche[[#This Row],[2020]]), Klisz_Verbräuche[[#This Row],[2020]]*Emissionsfaktoren[[#This Row],[2020]]/1000, 0)</f>
        <v>0</v>
      </c>
      <c r="K217" s="15">
        <f>IF(ISNUMBER(Klisz_Verbräuche[[#This Row],[2021]]), Klisz_Verbräuche[[#This Row],[2021]]*Emissionsfaktoren[[#This Row],[2021]]/1000, 0)</f>
        <v>0</v>
      </c>
      <c r="L217" s="15">
        <f>IF(ISNUMBER(Klisz_Verbräuche[[#This Row],[2022]]), Klisz_Verbräuche[[#This Row],[2022]]*Emissionsfaktoren[[#This Row],[2022]]/1000, 0)</f>
        <v>0</v>
      </c>
      <c r="M217" s="15">
        <f>IF(ISNUMBER(Klisz_Verbräuche[[#This Row],[2023]]), Klisz_Verbräuche[[#This Row],[2023]]*Emissionsfaktoren[[#This Row],[2023]]/1000, 0)</f>
        <v>0</v>
      </c>
      <c r="N217" s="15">
        <f>IF(ISNUMBER(Klisz_Verbräuche[[#This Row],[2024]]), Klisz_Verbräuche[[#This Row],[2024]]*Emissionsfaktoren[[#This Row],[2024]]/1000, 0)</f>
        <v>0</v>
      </c>
      <c r="O217" s="15">
        <f>IF(ISNUMBER(Klisz_Verbräuche[[#This Row],[2025]]), Klisz_Verbräuche[[#This Row],[2025]]*Emissionsfaktoren[[#This Row],[2025]]/1000, 0)</f>
        <v>0</v>
      </c>
      <c r="P217" s="15">
        <f>IF(ISNUMBER(Klisz_Verbräuche[[#This Row],[2026]]), Klisz_Verbräuche[[#This Row],[2026]]*Emissionsfaktoren[[#This Row],[2026]]/1000, 0)</f>
        <v>0</v>
      </c>
      <c r="Q217" s="15">
        <f>IF(ISNUMBER(Klisz_Verbräuche[[#This Row],[2027]]), Klisz_Verbräuche[[#This Row],[2027]]*Emissionsfaktoren[[#This Row],[2027]]/1000, 0)</f>
        <v>0</v>
      </c>
      <c r="R217" s="15">
        <f>IF(ISNUMBER(Klisz_Verbräuche[[#This Row],[2028]]), Klisz_Verbräuche[[#This Row],[2028]]*Emissionsfaktoren[[#This Row],[2028]]/1000, 0)</f>
        <v>0</v>
      </c>
      <c r="S217" s="15">
        <f>IF(ISNUMBER(Klisz_Verbräuche[[#This Row],[2029]]), Klisz_Verbräuche[[#This Row],[2029]]*Emissionsfaktoren[[#This Row],[2029]]/1000, 0)</f>
        <v>0</v>
      </c>
      <c r="T217" s="15">
        <f>IF(ISNUMBER(Klisz_Verbräuche[[#This Row],[2030]]), Klisz_Verbräuche[[#This Row],[2030]]*Emissionsfaktoren[[#This Row],[2030]]/1000, 0)</f>
        <v>0</v>
      </c>
      <c r="U217" s="15">
        <f>IF(ISNUMBER(Klisz_Verbräuche[[#This Row],[2035]]), Klisz_Verbräuche[[#This Row],[2035]]*Emissionsfaktoren[[#This Row],[2035]]/1000, 0)</f>
        <v>0</v>
      </c>
      <c r="V217" s="15">
        <f>IF(ISNUMBER(Klisz_Verbräuche[[#This Row],[2040]]), Klisz_Verbräuche[[#This Row],[2040]]*Emissionsfaktoren[[#This Row],[2040]]/1000, 0)</f>
        <v>0</v>
      </c>
      <c r="W217" s="15">
        <f>IF(ISNUMBER(Klisz_Verbräuche[[#This Row],[2045]]), Klisz_Verbräuche[[#This Row],[2045]]*Emissionsfaktoren[[#This Row],[2045]]/1000, 0)</f>
        <v>0</v>
      </c>
      <c r="X217" s="15">
        <f>IF(ISNUMBER(Klisz_Verbräuche[[#This Row],[2050]]), Klisz_Verbräuche[[#This Row],[2050]]*Emissionsfaktoren[[#This Row],[2050]]/1000, 0)</f>
        <v>0</v>
      </c>
    </row>
    <row r="218" spans="2:24" ht="16.5" hidden="1" x14ac:dyDescent="0.45">
      <c r="B218" s="15">
        <v>158</v>
      </c>
      <c r="C218" s="20">
        <f>Refsz_Verbräuche[[#This Row],[Datenpunkt]]</f>
        <v>0</v>
      </c>
      <c r="D218" t="s">
        <v>208</v>
      </c>
      <c r="E218" s="15">
        <f>IF(ISNUMBER(Klisz_Verbräuche[[#This Row],[2015]]), Klisz_Verbräuche[[#This Row],[2015]]*Emissionsfaktoren[[#This Row],[2015]]/1000, 0)</f>
        <v>0</v>
      </c>
      <c r="F218" s="15">
        <f>IF(ISNUMBER(Klisz_Verbräuche[[#This Row],[2016]]), Klisz_Verbräuche[[#This Row],[2016]]*Emissionsfaktoren[[#This Row],[2016]]/1000, 0)</f>
        <v>0</v>
      </c>
      <c r="G218" s="15">
        <f>IF(ISNUMBER(Klisz_Verbräuche[[#This Row],[2017]]), Klisz_Verbräuche[[#This Row],[2017]]*Emissionsfaktoren[[#This Row],[2017]]/1000, 0)</f>
        <v>0</v>
      </c>
      <c r="H218" s="15">
        <f>IF(ISNUMBER(Klisz_Verbräuche[[#This Row],[2018]]), Klisz_Verbräuche[[#This Row],[2018]]*Emissionsfaktoren[[#This Row],[2018]]/1000, 0)</f>
        <v>0</v>
      </c>
      <c r="I218" s="15">
        <f>IF(ISNUMBER(Klisz_Verbräuche[[#This Row],[2019]]), Klisz_Verbräuche[[#This Row],[2019]]*Emissionsfaktoren[[#This Row],[2019]]/1000, 0)</f>
        <v>0</v>
      </c>
      <c r="J218" s="15">
        <f>IF(ISNUMBER(Klisz_Verbräuche[[#This Row],[2020]]), Klisz_Verbräuche[[#This Row],[2020]]*Emissionsfaktoren[[#This Row],[2020]]/1000, 0)</f>
        <v>0</v>
      </c>
      <c r="K218" s="15">
        <f>IF(ISNUMBER(Klisz_Verbräuche[[#This Row],[2021]]), Klisz_Verbräuche[[#This Row],[2021]]*Emissionsfaktoren[[#This Row],[2021]]/1000, 0)</f>
        <v>0</v>
      </c>
      <c r="L218" s="15">
        <f>IF(ISNUMBER(Klisz_Verbräuche[[#This Row],[2022]]), Klisz_Verbräuche[[#This Row],[2022]]*Emissionsfaktoren[[#This Row],[2022]]/1000, 0)</f>
        <v>0</v>
      </c>
      <c r="M218" s="15">
        <f>IF(ISNUMBER(Klisz_Verbräuche[[#This Row],[2023]]), Klisz_Verbräuche[[#This Row],[2023]]*Emissionsfaktoren[[#This Row],[2023]]/1000, 0)</f>
        <v>0</v>
      </c>
      <c r="N218" s="15">
        <f>IF(ISNUMBER(Klisz_Verbräuche[[#This Row],[2024]]), Klisz_Verbräuche[[#This Row],[2024]]*Emissionsfaktoren[[#This Row],[2024]]/1000, 0)</f>
        <v>0</v>
      </c>
      <c r="O218" s="15">
        <f>IF(ISNUMBER(Klisz_Verbräuche[[#This Row],[2025]]), Klisz_Verbräuche[[#This Row],[2025]]*Emissionsfaktoren[[#This Row],[2025]]/1000, 0)</f>
        <v>0</v>
      </c>
      <c r="P218" s="15">
        <f>IF(ISNUMBER(Klisz_Verbräuche[[#This Row],[2026]]), Klisz_Verbräuche[[#This Row],[2026]]*Emissionsfaktoren[[#This Row],[2026]]/1000, 0)</f>
        <v>0</v>
      </c>
      <c r="Q218" s="15">
        <f>IF(ISNUMBER(Klisz_Verbräuche[[#This Row],[2027]]), Klisz_Verbräuche[[#This Row],[2027]]*Emissionsfaktoren[[#This Row],[2027]]/1000, 0)</f>
        <v>0</v>
      </c>
      <c r="R218" s="15">
        <f>IF(ISNUMBER(Klisz_Verbräuche[[#This Row],[2028]]), Klisz_Verbräuche[[#This Row],[2028]]*Emissionsfaktoren[[#This Row],[2028]]/1000, 0)</f>
        <v>0</v>
      </c>
      <c r="S218" s="15">
        <f>IF(ISNUMBER(Klisz_Verbräuche[[#This Row],[2029]]), Klisz_Verbräuche[[#This Row],[2029]]*Emissionsfaktoren[[#This Row],[2029]]/1000, 0)</f>
        <v>0</v>
      </c>
      <c r="T218" s="15">
        <f>IF(ISNUMBER(Klisz_Verbräuche[[#This Row],[2030]]), Klisz_Verbräuche[[#This Row],[2030]]*Emissionsfaktoren[[#This Row],[2030]]/1000, 0)</f>
        <v>0</v>
      </c>
      <c r="U218" s="15">
        <f>IF(ISNUMBER(Klisz_Verbräuche[[#This Row],[2035]]), Klisz_Verbräuche[[#This Row],[2035]]*Emissionsfaktoren[[#This Row],[2035]]/1000, 0)</f>
        <v>0</v>
      </c>
      <c r="V218" s="15">
        <f>IF(ISNUMBER(Klisz_Verbräuche[[#This Row],[2040]]), Klisz_Verbräuche[[#This Row],[2040]]*Emissionsfaktoren[[#This Row],[2040]]/1000, 0)</f>
        <v>0</v>
      </c>
      <c r="W218" s="15">
        <f>IF(ISNUMBER(Klisz_Verbräuche[[#This Row],[2045]]), Klisz_Verbräuche[[#This Row],[2045]]*Emissionsfaktoren[[#This Row],[2045]]/1000, 0)</f>
        <v>0</v>
      </c>
      <c r="X218" s="15">
        <f>IF(ISNUMBER(Klisz_Verbräuche[[#This Row],[2050]]), Klisz_Verbräuche[[#This Row],[2050]]*Emissionsfaktoren[[#This Row],[2050]]/1000, 0)</f>
        <v>0</v>
      </c>
    </row>
    <row r="219" spans="2:24" ht="16.5" hidden="1" x14ac:dyDescent="0.45">
      <c r="B219" s="15">
        <v>159</v>
      </c>
      <c r="C219" s="20">
        <f>Refsz_Verbräuche[[#This Row],[Datenpunkt]]</f>
        <v>0</v>
      </c>
      <c r="D219" t="s">
        <v>208</v>
      </c>
      <c r="E219" s="15">
        <f>IF(ISNUMBER(Klisz_Verbräuche[[#This Row],[2015]]), Klisz_Verbräuche[[#This Row],[2015]]*Emissionsfaktoren[[#This Row],[2015]]/1000, 0)</f>
        <v>0</v>
      </c>
      <c r="F219" s="15">
        <f>IF(ISNUMBER(Klisz_Verbräuche[[#This Row],[2016]]), Klisz_Verbräuche[[#This Row],[2016]]*Emissionsfaktoren[[#This Row],[2016]]/1000, 0)</f>
        <v>0</v>
      </c>
      <c r="G219" s="15">
        <f>IF(ISNUMBER(Klisz_Verbräuche[[#This Row],[2017]]), Klisz_Verbräuche[[#This Row],[2017]]*Emissionsfaktoren[[#This Row],[2017]]/1000, 0)</f>
        <v>0</v>
      </c>
      <c r="H219" s="15">
        <f>IF(ISNUMBER(Klisz_Verbräuche[[#This Row],[2018]]), Klisz_Verbräuche[[#This Row],[2018]]*Emissionsfaktoren[[#This Row],[2018]]/1000, 0)</f>
        <v>0</v>
      </c>
      <c r="I219" s="15">
        <f>IF(ISNUMBER(Klisz_Verbräuche[[#This Row],[2019]]), Klisz_Verbräuche[[#This Row],[2019]]*Emissionsfaktoren[[#This Row],[2019]]/1000, 0)</f>
        <v>0</v>
      </c>
      <c r="J219" s="15">
        <f>IF(ISNUMBER(Klisz_Verbräuche[[#This Row],[2020]]), Klisz_Verbräuche[[#This Row],[2020]]*Emissionsfaktoren[[#This Row],[2020]]/1000, 0)</f>
        <v>0</v>
      </c>
      <c r="K219" s="15">
        <f>IF(ISNUMBER(Klisz_Verbräuche[[#This Row],[2021]]), Klisz_Verbräuche[[#This Row],[2021]]*Emissionsfaktoren[[#This Row],[2021]]/1000, 0)</f>
        <v>0</v>
      </c>
      <c r="L219" s="15">
        <f>IF(ISNUMBER(Klisz_Verbräuche[[#This Row],[2022]]), Klisz_Verbräuche[[#This Row],[2022]]*Emissionsfaktoren[[#This Row],[2022]]/1000, 0)</f>
        <v>0</v>
      </c>
      <c r="M219" s="15">
        <f>IF(ISNUMBER(Klisz_Verbräuche[[#This Row],[2023]]), Klisz_Verbräuche[[#This Row],[2023]]*Emissionsfaktoren[[#This Row],[2023]]/1000, 0)</f>
        <v>0</v>
      </c>
      <c r="N219" s="15">
        <f>IF(ISNUMBER(Klisz_Verbräuche[[#This Row],[2024]]), Klisz_Verbräuche[[#This Row],[2024]]*Emissionsfaktoren[[#This Row],[2024]]/1000, 0)</f>
        <v>0</v>
      </c>
      <c r="O219" s="15">
        <f>IF(ISNUMBER(Klisz_Verbräuche[[#This Row],[2025]]), Klisz_Verbräuche[[#This Row],[2025]]*Emissionsfaktoren[[#This Row],[2025]]/1000, 0)</f>
        <v>0</v>
      </c>
      <c r="P219" s="15">
        <f>IF(ISNUMBER(Klisz_Verbräuche[[#This Row],[2026]]), Klisz_Verbräuche[[#This Row],[2026]]*Emissionsfaktoren[[#This Row],[2026]]/1000, 0)</f>
        <v>0</v>
      </c>
      <c r="Q219" s="15">
        <f>IF(ISNUMBER(Klisz_Verbräuche[[#This Row],[2027]]), Klisz_Verbräuche[[#This Row],[2027]]*Emissionsfaktoren[[#This Row],[2027]]/1000, 0)</f>
        <v>0</v>
      </c>
      <c r="R219" s="15">
        <f>IF(ISNUMBER(Klisz_Verbräuche[[#This Row],[2028]]), Klisz_Verbräuche[[#This Row],[2028]]*Emissionsfaktoren[[#This Row],[2028]]/1000, 0)</f>
        <v>0</v>
      </c>
      <c r="S219" s="15">
        <f>IF(ISNUMBER(Klisz_Verbräuche[[#This Row],[2029]]), Klisz_Verbräuche[[#This Row],[2029]]*Emissionsfaktoren[[#This Row],[2029]]/1000, 0)</f>
        <v>0</v>
      </c>
      <c r="T219" s="15">
        <f>IF(ISNUMBER(Klisz_Verbräuche[[#This Row],[2030]]), Klisz_Verbräuche[[#This Row],[2030]]*Emissionsfaktoren[[#This Row],[2030]]/1000, 0)</f>
        <v>0</v>
      </c>
      <c r="U219" s="15">
        <f>IF(ISNUMBER(Klisz_Verbräuche[[#This Row],[2035]]), Klisz_Verbräuche[[#This Row],[2035]]*Emissionsfaktoren[[#This Row],[2035]]/1000, 0)</f>
        <v>0</v>
      </c>
      <c r="V219" s="15">
        <f>IF(ISNUMBER(Klisz_Verbräuche[[#This Row],[2040]]), Klisz_Verbräuche[[#This Row],[2040]]*Emissionsfaktoren[[#This Row],[2040]]/1000, 0)</f>
        <v>0</v>
      </c>
      <c r="W219" s="15">
        <f>IF(ISNUMBER(Klisz_Verbräuche[[#This Row],[2045]]), Klisz_Verbräuche[[#This Row],[2045]]*Emissionsfaktoren[[#This Row],[2045]]/1000, 0)</f>
        <v>0</v>
      </c>
      <c r="X219" s="15">
        <f>IF(ISNUMBER(Klisz_Verbräuche[[#This Row],[2050]]), Klisz_Verbräuche[[#This Row],[2050]]*Emissionsfaktoren[[#This Row],[2050]]/1000, 0)</f>
        <v>0</v>
      </c>
    </row>
    <row r="220" spans="2:24" ht="16.5" hidden="1" x14ac:dyDescent="0.45">
      <c r="B220" s="15">
        <v>160</v>
      </c>
      <c r="C220" s="20">
        <f>Refsz_Verbräuche[[#This Row],[Datenpunkt]]</f>
        <v>0</v>
      </c>
      <c r="D220" t="s">
        <v>208</v>
      </c>
      <c r="E220" s="15">
        <f>IF(ISNUMBER(Klisz_Verbräuche[[#This Row],[2015]]), Klisz_Verbräuche[[#This Row],[2015]]*Emissionsfaktoren[[#This Row],[2015]]/1000, 0)</f>
        <v>0</v>
      </c>
      <c r="F220" s="15">
        <f>IF(ISNUMBER(Klisz_Verbräuche[[#This Row],[2016]]), Klisz_Verbräuche[[#This Row],[2016]]*Emissionsfaktoren[[#This Row],[2016]]/1000, 0)</f>
        <v>0</v>
      </c>
      <c r="G220" s="15">
        <f>IF(ISNUMBER(Klisz_Verbräuche[[#This Row],[2017]]), Klisz_Verbräuche[[#This Row],[2017]]*Emissionsfaktoren[[#This Row],[2017]]/1000, 0)</f>
        <v>0</v>
      </c>
      <c r="H220" s="15">
        <f>IF(ISNUMBER(Klisz_Verbräuche[[#This Row],[2018]]), Klisz_Verbräuche[[#This Row],[2018]]*Emissionsfaktoren[[#This Row],[2018]]/1000, 0)</f>
        <v>0</v>
      </c>
      <c r="I220" s="15">
        <f>IF(ISNUMBER(Klisz_Verbräuche[[#This Row],[2019]]), Klisz_Verbräuche[[#This Row],[2019]]*Emissionsfaktoren[[#This Row],[2019]]/1000, 0)</f>
        <v>0</v>
      </c>
      <c r="J220" s="15">
        <f>IF(ISNUMBER(Klisz_Verbräuche[[#This Row],[2020]]), Klisz_Verbräuche[[#This Row],[2020]]*Emissionsfaktoren[[#This Row],[2020]]/1000, 0)</f>
        <v>0</v>
      </c>
      <c r="K220" s="15">
        <f>IF(ISNUMBER(Klisz_Verbräuche[[#This Row],[2021]]), Klisz_Verbräuche[[#This Row],[2021]]*Emissionsfaktoren[[#This Row],[2021]]/1000, 0)</f>
        <v>0</v>
      </c>
      <c r="L220" s="15">
        <f>IF(ISNUMBER(Klisz_Verbräuche[[#This Row],[2022]]), Klisz_Verbräuche[[#This Row],[2022]]*Emissionsfaktoren[[#This Row],[2022]]/1000, 0)</f>
        <v>0</v>
      </c>
      <c r="M220" s="15">
        <f>IF(ISNUMBER(Klisz_Verbräuche[[#This Row],[2023]]), Klisz_Verbräuche[[#This Row],[2023]]*Emissionsfaktoren[[#This Row],[2023]]/1000, 0)</f>
        <v>0</v>
      </c>
      <c r="N220" s="15">
        <f>IF(ISNUMBER(Klisz_Verbräuche[[#This Row],[2024]]), Klisz_Verbräuche[[#This Row],[2024]]*Emissionsfaktoren[[#This Row],[2024]]/1000, 0)</f>
        <v>0</v>
      </c>
      <c r="O220" s="15">
        <f>IF(ISNUMBER(Klisz_Verbräuche[[#This Row],[2025]]), Klisz_Verbräuche[[#This Row],[2025]]*Emissionsfaktoren[[#This Row],[2025]]/1000, 0)</f>
        <v>0</v>
      </c>
      <c r="P220" s="15">
        <f>IF(ISNUMBER(Klisz_Verbräuche[[#This Row],[2026]]), Klisz_Verbräuche[[#This Row],[2026]]*Emissionsfaktoren[[#This Row],[2026]]/1000, 0)</f>
        <v>0</v>
      </c>
      <c r="Q220" s="15">
        <f>IF(ISNUMBER(Klisz_Verbräuche[[#This Row],[2027]]), Klisz_Verbräuche[[#This Row],[2027]]*Emissionsfaktoren[[#This Row],[2027]]/1000, 0)</f>
        <v>0</v>
      </c>
      <c r="R220" s="15">
        <f>IF(ISNUMBER(Klisz_Verbräuche[[#This Row],[2028]]), Klisz_Verbräuche[[#This Row],[2028]]*Emissionsfaktoren[[#This Row],[2028]]/1000, 0)</f>
        <v>0</v>
      </c>
      <c r="S220" s="15">
        <f>IF(ISNUMBER(Klisz_Verbräuche[[#This Row],[2029]]), Klisz_Verbräuche[[#This Row],[2029]]*Emissionsfaktoren[[#This Row],[2029]]/1000, 0)</f>
        <v>0</v>
      </c>
      <c r="T220" s="15">
        <f>IF(ISNUMBER(Klisz_Verbräuche[[#This Row],[2030]]), Klisz_Verbräuche[[#This Row],[2030]]*Emissionsfaktoren[[#This Row],[2030]]/1000, 0)</f>
        <v>0</v>
      </c>
      <c r="U220" s="15">
        <f>IF(ISNUMBER(Klisz_Verbräuche[[#This Row],[2035]]), Klisz_Verbräuche[[#This Row],[2035]]*Emissionsfaktoren[[#This Row],[2035]]/1000, 0)</f>
        <v>0</v>
      </c>
      <c r="V220" s="15">
        <f>IF(ISNUMBER(Klisz_Verbräuche[[#This Row],[2040]]), Klisz_Verbräuche[[#This Row],[2040]]*Emissionsfaktoren[[#This Row],[2040]]/1000, 0)</f>
        <v>0</v>
      </c>
      <c r="W220" s="15">
        <f>IF(ISNUMBER(Klisz_Verbräuche[[#This Row],[2045]]), Klisz_Verbräuche[[#This Row],[2045]]*Emissionsfaktoren[[#This Row],[2045]]/1000, 0)</f>
        <v>0</v>
      </c>
      <c r="X220" s="15">
        <f>IF(ISNUMBER(Klisz_Verbräuche[[#This Row],[2050]]), Klisz_Verbräuche[[#This Row],[2050]]*Emissionsfaktoren[[#This Row],[2050]]/1000, 0)</f>
        <v>0</v>
      </c>
    </row>
    <row r="221" spans="2:24" ht="16.5" hidden="1" x14ac:dyDescent="0.45">
      <c r="B221" s="15">
        <v>161</v>
      </c>
      <c r="C221" s="20">
        <f>Refsz_Verbräuche[[#This Row],[Datenpunkt]]</f>
        <v>0</v>
      </c>
      <c r="D221" t="s">
        <v>208</v>
      </c>
      <c r="E221" s="15">
        <f>IF(ISNUMBER(Klisz_Verbräuche[[#This Row],[2015]]), Klisz_Verbräuche[[#This Row],[2015]]*Emissionsfaktoren[[#This Row],[2015]]/1000, 0)</f>
        <v>0</v>
      </c>
      <c r="F221" s="15">
        <f>IF(ISNUMBER(Klisz_Verbräuche[[#This Row],[2016]]), Klisz_Verbräuche[[#This Row],[2016]]*Emissionsfaktoren[[#This Row],[2016]]/1000, 0)</f>
        <v>0</v>
      </c>
      <c r="G221" s="15">
        <f>IF(ISNUMBER(Klisz_Verbräuche[[#This Row],[2017]]), Klisz_Verbräuche[[#This Row],[2017]]*Emissionsfaktoren[[#This Row],[2017]]/1000, 0)</f>
        <v>0</v>
      </c>
      <c r="H221" s="15">
        <f>IF(ISNUMBER(Klisz_Verbräuche[[#This Row],[2018]]), Klisz_Verbräuche[[#This Row],[2018]]*Emissionsfaktoren[[#This Row],[2018]]/1000, 0)</f>
        <v>0</v>
      </c>
      <c r="I221" s="15">
        <f>IF(ISNUMBER(Klisz_Verbräuche[[#This Row],[2019]]), Klisz_Verbräuche[[#This Row],[2019]]*Emissionsfaktoren[[#This Row],[2019]]/1000, 0)</f>
        <v>0</v>
      </c>
      <c r="J221" s="15">
        <f>IF(ISNUMBER(Klisz_Verbräuche[[#This Row],[2020]]), Klisz_Verbräuche[[#This Row],[2020]]*Emissionsfaktoren[[#This Row],[2020]]/1000, 0)</f>
        <v>0</v>
      </c>
      <c r="K221" s="15">
        <f>IF(ISNUMBER(Klisz_Verbräuche[[#This Row],[2021]]), Klisz_Verbräuche[[#This Row],[2021]]*Emissionsfaktoren[[#This Row],[2021]]/1000, 0)</f>
        <v>0</v>
      </c>
      <c r="L221" s="15">
        <f>IF(ISNUMBER(Klisz_Verbräuche[[#This Row],[2022]]), Klisz_Verbräuche[[#This Row],[2022]]*Emissionsfaktoren[[#This Row],[2022]]/1000, 0)</f>
        <v>0</v>
      </c>
      <c r="M221" s="15">
        <f>IF(ISNUMBER(Klisz_Verbräuche[[#This Row],[2023]]), Klisz_Verbräuche[[#This Row],[2023]]*Emissionsfaktoren[[#This Row],[2023]]/1000, 0)</f>
        <v>0</v>
      </c>
      <c r="N221" s="15">
        <f>IF(ISNUMBER(Klisz_Verbräuche[[#This Row],[2024]]), Klisz_Verbräuche[[#This Row],[2024]]*Emissionsfaktoren[[#This Row],[2024]]/1000, 0)</f>
        <v>0</v>
      </c>
      <c r="O221" s="15">
        <f>IF(ISNUMBER(Klisz_Verbräuche[[#This Row],[2025]]), Klisz_Verbräuche[[#This Row],[2025]]*Emissionsfaktoren[[#This Row],[2025]]/1000, 0)</f>
        <v>0</v>
      </c>
      <c r="P221" s="15">
        <f>IF(ISNUMBER(Klisz_Verbräuche[[#This Row],[2026]]), Klisz_Verbräuche[[#This Row],[2026]]*Emissionsfaktoren[[#This Row],[2026]]/1000, 0)</f>
        <v>0</v>
      </c>
      <c r="Q221" s="15">
        <f>IF(ISNUMBER(Klisz_Verbräuche[[#This Row],[2027]]), Klisz_Verbräuche[[#This Row],[2027]]*Emissionsfaktoren[[#This Row],[2027]]/1000, 0)</f>
        <v>0</v>
      </c>
      <c r="R221" s="15">
        <f>IF(ISNUMBER(Klisz_Verbräuche[[#This Row],[2028]]), Klisz_Verbräuche[[#This Row],[2028]]*Emissionsfaktoren[[#This Row],[2028]]/1000, 0)</f>
        <v>0</v>
      </c>
      <c r="S221" s="15">
        <f>IF(ISNUMBER(Klisz_Verbräuche[[#This Row],[2029]]), Klisz_Verbräuche[[#This Row],[2029]]*Emissionsfaktoren[[#This Row],[2029]]/1000, 0)</f>
        <v>0</v>
      </c>
      <c r="T221" s="15">
        <f>IF(ISNUMBER(Klisz_Verbräuche[[#This Row],[2030]]), Klisz_Verbräuche[[#This Row],[2030]]*Emissionsfaktoren[[#This Row],[2030]]/1000, 0)</f>
        <v>0</v>
      </c>
      <c r="U221" s="15">
        <f>IF(ISNUMBER(Klisz_Verbräuche[[#This Row],[2035]]), Klisz_Verbräuche[[#This Row],[2035]]*Emissionsfaktoren[[#This Row],[2035]]/1000, 0)</f>
        <v>0</v>
      </c>
      <c r="V221" s="15">
        <f>IF(ISNUMBER(Klisz_Verbräuche[[#This Row],[2040]]), Klisz_Verbräuche[[#This Row],[2040]]*Emissionsfaktoren[[#This Row],[2040]]/1000, 0)</f>
        <v>0</v>
      </c>
      <c r="W221" s="15">
        <f>IF(ISNUMBER(Klisz_Verbräuche[[#This Row],[2045]]), Klisz_Verbräuche[[#This Row],[2045]]*Emissionsfaktoren[[#This Row],[2045]]/1000, 0)</f>
        <v>0</v>
      </c>
      <c r="X221" s="15">
        <f>IF(ISNUMBER(Klisz_Verbräuche[[#This Row],[2050]]), Klisz_Verbräuche[[#This Row],[2050]]*Emissionsfaktoren[[#This Row],[2050]]/1000, 0)</f>
        <v>0</v>
      </c>
    </row>
    <row r="222" spans="2:24" hidden="1" x14ac:dyDescent="0.35"/>
    <row r="223" spans="2:24" hidden="1" x14ac:dyDescent="0.35"/>
    <row r="224" spans="2:24" hidden="1" x14ac:dyDescent="0.35">
      <c r="B224" s="1" t="s">
        <v>479</v>
      </c>
    </row>
    <row r="225" spans="2:25" hidden="1" x14ac:dyDescent="0.35">
      <c r="B225" t="s">
        <v>42</v>
      </c>
      <c r="C225" s="15" t="s">
        <v>28</v>
      </c>
      <c r="D225" t="s">
        <v>2</v>
      </c>
      <c r="E225" t="s">
        <v>3</v>
      </c>
      <c r="F225" t="s">
        <v>4</v>
      </c>
      <c r="G225" t="s">
        <v>5</v>
      </c>
      <c r="H225" t="s">
        <v>6</v>
      </c>
      <c r="I225" t="s">
        <v>7</v>
      </c>
      <c r="J225" t="s">
        <v>8</v>
      </c>
      <c r="K225" t="s">
        <v>9</v>
      </c>
      <c r="L225" t="s">
        <v>10</v>
      </c>
      <c r="M225" t="s">
        <v>11</v>
      </c>
      <c r="N225" t="s">
        <v>12</v>
      </c>
      <c r="O225" t="s">
        <v>13</v>
      </c>
      <c r="P225" t="s">
        <v>14</v>
      </c>
      <c r="Q225" t="s">
        <v>232</v>
      </c>
      <c r="R225" t="s">
        <v>233</v>
      </c>
      <c r="S225" t="s">
        <v>234</v>
      </c>
      <c r="T225" t="s">
        <v>15</v>
      </c>
      <c r="U225" t="s">
        <v>16</v>
      </c>
      <c r="V225" t="s">
        <v>17</v>
      </c>
      <c r="W225" t="s">
        <v>18</v>
      </c>
      <c r="X225" t="s">
        <v>19</v>
      </c>
      <c r="Y225" t="s">
        <v>49</v>
      </c>
    </row>
    <row r="226" spans="2:25" ht="16.5" hidden="1" x14ac:dyDescent="0.45">
      <c r="B226" s="15">
        <v>1</v>
      </c>
      <c r="C226" s="20" t="str">
        <f>'Refsz-Verbräuche'!C61</f>
        <v>Elektrischer Strom (Bundesmix)</v>
      </c>
      <c r="D226" t="s">
        <v>208</v>
      </c>
      <c r="E226" s="15"/>
      <c r="F226" s="15"/>
      <c r="G226" s="15"/>
      <c r="H226" s="15"/>
      <c r="I226" s="15"/>
      <c r="J226" s="15"/>
      <c r="K226" s="15"/>
      <c r="L226" s="15"/>
      <c r="M226" s="15"/>
      <c r="N226" s="15"/>
      <c r="O226" s="15"/>
      <c r="P226" s="15"/>
      <c r="Q226" s="15"/>
      <c r="R226" s="15"/>
      <c r="S226" s="15"/>
      <c r="T226" s="15"/>
      <c r="U226" s="15"/>
      <c r="V226" s="15"/>
      <c r="W226" s="15"/>
      <c r="X226" s="15"/>
    </row>
    <row r="227" spans="2:25" ht="16.5" hidden="1" x14ac:dyDescent="0.45">
      <c r="B227" s="15">
        <v>2</v>
      </c>
      <c r="C227" s="20" t="str">
        <f>'Refsz-Verbräuche'!C62</f>
        <v>Elektrischer Strom (Bundesmix KS80)</v>
      </c>
      <c r="D227" t="s">
        <v>208</v>
      </c>
      <c r="E227" s="15">
        <f>IF(OR(ISNUMBER('Klisz-Verbräuche'!F61),ISNUMBER('Klisz-Verbräuche'!F62),ISNUMBER('Klisz-Verbräuche'!F63),ISNUMBER('Klisz-Verbräuche'!F64),ISNUMBER('Klisz-Verbräuche'!F65), ISNUMBER('Klisz-Verbräuche'!F66), ISNUMBER('Klisz-Verbräuche'!F67), ISNUMBER('Klisz-Verbräuche'!F68), ISNUMBER('Klisz-Verbräuche'!F69), ISNUMBER('Klisz-Verbräuche'!F70), ISNUMBER('Klisz-Verbräuche'!F71)), (SUM('Klisz-Verbräuche'!F61:F71)*Emissionsfaktoren!E62/1000)+'Strommix &amp; BHKW'!D207+'Strommix &amp; BHKW'!D227+'Strommix &amp; BHKW'!D233+'Strommix &amp; BHKW'!D239, 0)</f>
        <v>0</v>
      </c>
      <c r="F227" s="15">
        <f>IF(OR(ISNUMBER('Klisz-Verbräuche'!G61),ISNUMBER('Klisz-Verbräuche'!G62),ISNUMBER('Klisz-Verbräuche'!G63),ISNUMBER('Klisz-Verbräuche'!G64),ISNUMBER('Klisz-Verbräuche'!G65), ISNUMBER('Klisz-Verbräuche'!G66), ISNUMBER('Klisz-Verbräuche'!G67), ISNUMBER('Klisz-Verbräuche'!G68), ISNUMBER('Klisz-Verbräuche'!G69), ISNUMBER('Klisz-Verbräuche'!G70), ISNUMBER('Klisz-Verbräuche'!G71)), (SUM('Klisz-Verbräuche'!G61:G71)*Emissionsfaktoren!F62/1000)+'Strommix &amp; BHKW'!E207+'Strommix &amp; BHKW'!E227+'Strommix &amp; BHKW'!E233+'Strommix &amp; BHKW'!E239, 0)</f>
        <v>0</v>
      </c>
      <c r="G227" s="15">
        <f>IF(OR(ISNUMBER('Klisz-Verbräuche'!H61),ISNUMBER('Klisz-Verbräuche'!H62),ISNUMBER('Klisz-Verbräuche'!H63),ISNUMBER('Klisz-Verbräuche'!H64),ISNUMBER('Klisz-Verbräuche'!H65), ISNUMBER('Klisz-Verbräuche'!H66), ISNUMBER('Klisz-Verbräuche'!H67), ISNUMBER('Klisz-Verbräuche'!H68), ISNUMBER('Klisz-Verbräuche'!H69), ISNUMBER('Klisz-Verbräuche'!H70), ISNUMBER('Klisz-Verbräuche'!H71)), (SUM('Klisz-Verbräuche'!H61:H71)*Emissionsfaktoren!G62/1000)+'Strommix &amp; BHKW'!F207+'Strommix &amp; BHKW'!F227+'Strommix &amp; BHKW'!F233+'Strommix &amp; BHKW'!F239, 0)</f>
        <v>0</v>
      </c>
      <c r="H227" s="15">
        <f>IF(OR(ISNUMBER('Klisz-Verbräuche'!I61),ISNUMBER('Klisz-Verbräuche'!I62),ISNUMBER('Klisz-Verbräuche'!I63),ISNUMBER('Klisz-Verbräuche'!I64),ISNUMBER('Klisz-Verbräuche'!I65), ISNUMBER('Klisz-Verbräuche'!I66), ISNUMBER('Klisz-Verbräuche'!I67), ISNUMBER('Klisz-Verbräuche'!I68), ISNUMBER('Klisz-Verbräuche'!I69), ISNUMBER('Klisz-Verbräuche'!I70), ISNUMBER('Klisz-Verbräuche'!I71)), (SUM('Klisz-Verbräuche'!I61:I71)*Emissionsfaktoren!H62/1000)+'Strommix &amp; BHKW'!G207+'Strommix &amp; BHKW'!G227+'Strommix &amp; BHKW'!G233+'Strommix &amp; BHKW'!G239, 0)</f>
        <v>0</v>
      </c>
      <c r="I227" s="15">
        <f>IF(OR(ISNUMBER('Klisz-Verbräuche'!J61),ISNUMBER('Klisz-Verbräuche'!J62),ISNUMBER('Klisz-Verbräuche'!J63),ISNUMBER('Klisz-Verbräuche'!J64),ISNUMBER('Klisz-Verbräuche'!J65), ISNUMBER('Klisz-Verbräuche'!J66), ISNUMBER('Klisz-Verbräuche'!J67), ISNUMBER('Klisz-Verbräuche'!J68), ISNUMBER('Klisz-Verbräuche'!J69), ISNUMBER('Klisz-Verbräuche'!J70), ISNUMBER('Klisz-Verbräuche'!J71)), (SUM('Klisz-Verbräuche'!J61:J71)*Emissionsfaktoren!I62/1000)+'Strommix &amp; BHKW'!H207+'Strommix &amp; BHKW'!H227+'Strommix &amp; BHKW'!H233+'Strommix &amp; BHKW'!H239, 0)</f>
        <v>0</v>
      </c>
      <c r="J227" s="15">
        <f>IF(OR(ISNUMBER('Klisz-Verbräuche'!K61),ISNUMBER('Klisz-Verbräuche'!K62),ISNUMBER('Klisz-Verbräuche'!K63),ISNUMBER('Klisz-Verbräuche'!K64),ISNUMBER('Klisz-Verbräuche'!K65), ISNUMBER('Klisz-Verbräuche'!K66), ISNUMBER('Klisz-Verbräuche'!K67), ISNUMBER('Klisz-Verbräuche'!K68), ISNUMBER('Klisz-Verbräuche'!K69), ISNUMBER('Klisz-Verbräuche'!K70), ISNUMBER('Klisz-Verbräuche'!K71)), (SUM('Klisz-Verbräuche'!K61:K71)*Emissionsfaktoren!J62/1000)+'Strommix &amp; BHKW'!I207+'Strommix &amp; BHKW'!I227+'Strommix &amp; BHKW'!I233+'Strommix &amp; BHKW'!I239, 0)</f>
        <v>0</v>
      </c>
      <c r="K227" s="15">
        <f>IF(OR(ISNUMBER('Klisz-Verbräuche'!L61),ISNUMBER('Klisz-Verbräuche'!L62),ISNUMBER('Klisz-Verbräuche'!L63),ISNUMBER('Klisz-Verbräuche'!L64),ISNUMBER('Klisz-Verbräuche'!L65), ISNUMBER('Klisz-Verbräuche'!L66), ISNUMBER('Klisz-Verbräuche'!L67), ISNUMBER('Klisz-Verbräuche'!L68), ISNUMBER('Klisz-Verbräuche'!L69), ISNUMBER('Klisz-Verbräuche'!L70), ISNUMBER('Klisz-Verbräuche'!L71)), (SUM('Klisz-Verbräuche'!L61:L71)*Emissionsfaktoren!K62/1000)+'Strommix &amp; BHKW'!J207+'Strommix &amp; BHKW'!J227+'Strommix &amp; BHKW'!J233+'Strommix &amp; BHKW'!J239, 0)</f>
        <v>0</v>
      </c>
      <c r="L227" s="15">
        <f>IF(OR(ISNUMBER('Klisz-Verbräuche'!M61),ISNUMBER('Klisz-Verbräuche'!M62),ISNUMBER('Klisz-Verbräuche'!M63),ISNUMBER('Klisz-Verbräuche'!M64),ISNUMBER('Klisz-Verbräuche'!M65), ISNUMBER('Klisz-Verbräuche'!M66), ISNUMBER('Klisz-Verbräuche'!M67), ISNUMBER('Klisz-Verbräuche'!M68), ISNUMBER('Klisz-Verbräuche'!M69), ISNUMBER('Klisz-Verbräuche'!M70), ISNUMBER('Klisz-Verbräuche'!M71)), (SUM('Klisz-Verbräuche'!M61:M71)*Emissionsfaktoren!L62/1000)+'Strommix &amp; BHKW'!K207+'Strommix &amp; BHKW'!K227+'Strommix &amp; BHKW'!K233+'Strommix &amp; BHKW'!K239, 0)</f>
        <v>0</v>
      </c>
      <c r="M227" s="15">
        <f>IF(OR(ISNUMBER('Klisz-Verbräuche'!N61),ISNUMBER('Klisz-Verbräuche'!N62),ISNUMBER('Klisz-Verbräuche'!N63),ISNUMBER('Klisz-Verbräuche'!N64),ISNUMBER('Klisz-Verbräuche'!N65), ISNUMBER('Klisz-Verbräuche'!N66), ISNUMBER('Klisz-Verbräuche'!N67), ISNUMBER('Klisz-Verbräuche'!N68), ISNUMBER('Klisz-Verbräuche'!N69), ISNUMBER('Klisz-Verbräuche'!N70), ISNUMBER('Klisz-Verbräuche'!N71)), (SUM('Klisz-Verbräuche'!N61:N71)*Emissionsfaktoren!M62/1000)+'Strommix &amp; BHKW'!L207+'Strommix &amp; BHKW'!L227+'Strommix &amp; BHKW'!L233+'Strommix &amp; BHKW'!L239, 0)</f>
        <v>0</v>
      </c>
      <c r="N227" s="15">
        <f>IF(OR(ISNUMBER('Klisz-Verbräuche'!O61),ISNUMBER('Klisz-Verbräuche'!O62),ISNUMBER('Klisz-Verbräuche'!O63),ISNUMBER('Klisz-Verbräuche'!O64),ISNUMBER('Klisz-Verbräuche'!O65), ISNUMBER('Klisz-Verbräuche'!O66), ISNUMBER('Klisz-Verbräuche'!O67), ISNUMBER('Klisz-Verbräuche'!O68), ISNUMBER('Klisz-Verbräuche'!O69), ISNUMBER('Klisz-Verbräuche'!O70), ISNUMBER('Klisz-Verbräuche'!O71)), (SUM('Klisz-Verbräuche'!O61:O71)*Emissionsfaktoren!N62/1000)+'Strommix &amp; BHKW'!M207+'Strommix &amp; BHKW'!M227+'Strommix &amp; BHKW'!M233+'Strommix &amp; BHKW'!M239, 0)</f>
        <v>0</v>
      </c>
      <c r="O227" s="15">
        <f>IF(OR(ISNUMBER('Klisz-Verbräuche'!P61),ISNUMBER('Klisz-Verbräuche'!P62),ISNUMBER('Klisz-Verbräuche'!P63),ISNUMBER('Klisz-Verbräuche'!P64),ISNUMBER('Klisz-Verbräuche'!P65), ISNUMBER('Klisz-Verbräuche'!P66), ISNUMBER('Klisz-Verbräuche'!P67), ISNUMBER('Klisz-Verbräuche'!P68), ISNUMBER('Klisz-Verbräuche'!P69), ISNUMBER('Klisz-Verbräuche'!P70), ISNUMBER('Klisz-Verbräuche'!P71)), (SUM('Klisz-Verbräuche'!P61:P71)*Emissionsfaktoren!O62/1000)+'Strommix &amp; BHKW'!N207+'Strommix &amp; BHKW'!N227+'Strommix &amp; BHKW'!N233+'Strommix &amp; BHKW'!N239, 0)</f>
        <v>0</v>
      </c>
      <c r="P227" s="15">
        <f>IF(OR(ISNUMBER('Klisz-Verbräuche'!Q61),ISNUMBER('Klisz-Verbräuche'!Q62),ISNUMBER('Klisz-Verbräuche'!Q63),ISNUMBER('Klisz-Verbräuche'!Q64),ISNUMBER('Klisz-Verbräuche'!Q65), ISNUMBER('Klisz-Verbräuche'!Q66), ISNUMBER('Klisz-Verbräuche'!Q67), ISNUMBER('Klisz-Verbräuche'!Q68), ISNUMBER('Klisz-Verbräuche'!Q69), ISNUMBER('Klisz-Verbräuche'!Q70), ISNUMBER('Klisz-Verbräuche'!Q71)), (SUM('Klisz-Verbräuche'!Q61:Q71)*Emissionsfaktoren!P62/1000)+'Strommix &amp; BHKW'!O207+'Strommix &amp; BHKW'!O227+'Strommix &amp; BHKW'!O233+'Strommix &amp; BHKW'!O239, 0)</f>
        <v>0</v>
      </c>
      <c r="Q227" s="15">
        <f>IF(OR(ISNUMBER('Klisz-Verbräuche'!R61),ISNUMBER('Klisz-Verbräuche'!R62),ISNUMBER('Klisz-Verbräuche'!R63),ISNUMBER('Klisz-Verbräuche'!R64),ISNUMBER('Klisz-Verbräuche'!R65), ISNUMBER('Klisz-Verbräuche'!R66), ISNUMBER('Klisz-Verbräuche'!R67), ISNUMBER('Klisz-Verbräuche'!R68), ISNUMBER('Klisz-Verbräuche'!R69), ISNUMBER('Klisz-Verbräuche'!R70), ISNUMBER('Klisz-Verbräuche'!R71)), (SUM('Klisz-Verbräuche'!R61:R71)*Emissionsfaktoren!Q62/1000)+'Strommix &amp; BHKW'!P207+'Strommix &amp; BHKW'!P227+'Strommix &amp; BHKW'!P233+'Strommix &amp; BHKW'!P239, 0)</f>
        <v>0</v>
      </c>
      <c r="R227" s="15">
        <f>IF(OR(ISNUMBER('Klisz-Verbräuche'!S61),ISNUMBER('Klisz-Verbräuche'!S62),ISNUMBER('Klisz-Verbräuche'!S63),ISNUMBER('Klisz-Verbräuche'!S64),ISNUMBER('Klisz-Verbräuche'!S65), ISNUMBER('Klisz-Verbräuche'!S66), ISNUMBER('Klisz-Verbräuche'!S67), ISNUMBER('Klisz-Verbräuche'!S68), ISNUMBER('Klisz-Verbräuche'!S69), ISNUMBER('Klisz-Verbräuche'!S70), ISNUMBER('Klisz-Verbräuche'!S71)), (SUM('Klisz-Verbräuche'!S61:S71)*Emissionsfaktoren!R62/1000)+'Strommix &amp; BHKW'!Q207+'Strommix &amp; BHKW'!Q227+'Strommix &amp; BHKW'!Q233+'Strommix &amp; BHKW'!Q239, 0)</f>
        <v>0</v>
      </c>
      <c r="S227" s="15">
        <f>IF(OR(ISNUMBER('Klisz-Verbräuche'!T61),ISNUMBER('Klisz-Verbräuche'!T62),ISNUMBER('Klisz-Verbräuche'!T63),ISNUMBER('Klisz-Verbräuche'!T64),ISNUMBER('Klisz-Verbräuche'!T65), ISNUMBER('Klisz-Verbräuche'!T66), ISNUMBER('Klisz-Verbräuche'!T67), ISNUMBER('Klisz-Verbräuche'!T68), ISNUMBER('Klisz-Verbräuche'!T69), ISNUMBER('Klisz-Verbräuche'!T70), ISNUMBER('Klisz-Verbräuche'!T71)), (SUM('Klisz-Verbräuche'!T61:T71)*Emissionsfaktoren!S62/1000)+'Strommix &amp; BHKW'!R207+'Strommix &amp; BHKW'!R227+'Strommix &amp; BHKW'!R233+'Strommix &amp; BHKW'!R239, 0)</f>
        <v>0</v>
      </c>
      <c r="T227" s="15">
        <f>IF(OR(ISNUMBER('Klisz-Verbräuche'!U61),ISNUMBER('Klisz-Verbräuche'!U62),ISNUMBER('Klisz-Verbräuche'!U63),ISNUMBER('Klisz-Verbräuche'!U64),ISNUMBER('Klisz-Verbräuche'!U65), ISNUMBER('Klisz-Verbräuche'!U66), ISNUMBER('Klisz-Verbräuche'!U67), ISNUMBER('Klisz-Verbräuche'!U68), ISNUMBER('Klisz-Verbräuche'!U69), ISNUMBER('Klisz-Verbräuche'!U70), ISNUMBER('Klisz-Verbräuche'!U71)), (SUM('Klisz-Verbräuche'!U61:U71)*Emissionsfaktoren!T62/1000)+'Strommix &amp; BHKW'!S207+'Strommix &amp; BHKW'!S227+'Strommix &amp; BHKW'!S233+'Strommix &amp; BHKW'!S239, 0)</f>
        <v>0</v>
      </c>
      <c r="U227" s="15">
        <f>IF(OR(ISNUMBER('Klisz-Verbräuche'!V61),ISNUMBER('Klisz-Verbräuche'!V62),ISNUMBER('Klisz-Verbräuche'!V63),ISNUMBER('Klisz-Verbräuche'!V64),ISNUMBER('Klisz-Verbräuche'!V65), ISNUMBER('Klisz-Verbräuche'!V66), ISNUMBER('Klisz-Verbräuche'!V67), ISNUMBER('Klisz-Verbräuche'!V68), ISNUMBER('Klisz-Verbräuche'!V69), ISNUMBER('Klisz-Verbräuche'!V70), ISNUMBER('Klisz-Verbräuche'!V71)), (SUM('Klisz-Verbräuche'!V61:V71)*Emissionsfaktoren!U62/1000)+'Strommix &amp; BHKW'!T207+'Strommix &amp; BHKW'!T227+'Strommix &amp; BHKW'!T233+'Strommix &amp; BHKW'!T239, 0)</f>
        <v>0</v>
      </c>
      <c r="V227" s="15">
        <f>IF(OR(ISNUMBER('Klisz-Verbräuche'!W61),ISNUMBER('Klisz-Verbräuche'!W62),ISNUMBER('Klisz-Verbräuche'!W63),ISNUMBER('Klisz-Verbräuche'!W64),ISNUMBER('Klisz-Verbräuche'!W65), ISNUMBER('Klisz-Verbräuche'!W66), ISNUMBER('Klisz-Verbräuche'!W67), ISNUMBER('Klisz-Verbräuche'!W68), ISNUMBER('Klisz-Verbräuche'!W69), ISNUMBER('Klisz-Verbräuche'!W70), ISNUMBER('Klisz-Verbräuche'!W71)), (SUM('Klisz-Verbräuche'!W61:W71)*Emissionsfaktoren!V62/1000)+'Strommix &amp; BHKW'!U207+'Strommix &amp; BHKW'!U227+'Strommix &amp; BHKW'!U233+'Strommix &amp; BHKW'!U239, 0)</f>
        <v>0</v>
      </c>
      <c r="W227" s="15">
        <f>IF(OR(ISNUMBER('Klisz-Verbräuche'!X61),ISNUMBER('Klisz-Verbräuche'!X62),ISNUMBER('Klisz-Verbräuche'!X63),ISNUMBER('Klisz-Verbräuche'!X64),ISNUMBER('Klisz-Verbräuche'!X65), ISNUMBER('Klisz-Verbräuche'!X66), ISNUMBER('Klisz-Verbräuche'!X67), ISNUMBER('Klisz-Verbräuche'!X68), ISNUMBER('Klisz-Verbräuche'!X69), ISNUMBER('Klisz-Verbräuche'!X70), ISNUMBER('Klisz-Verbräuche'!X71)), (SUM('Klisz-Verbräuche'!X61:X71)*Emissionsfaktoren!W62/1000)+'Strommix &amp; BHKW'!V207+'Strommix &amp; BHKW'!V227+'Strommix &amp; BHKW'!V233+'Strommix &amp; BHKW'!V239, 0)</f>
        <v>0</v>
      </c>
      <c r="X227" s="15">
        <f>IF(OR(ISNUMBER('Klisz-Verbräuche'!Y61),ISNUMBER('Klisz-Verbräuche'!Y62),ISNUMBER('Klisz-Verbräuche'!Y63),ISNUMBER('Klisz-Verbräuche'!Y64),ISNUMBER('Klisz-Verbräuche'!Y65), ISNUMBER('Klisz-Verbräuche'!Y66), ISNUMBER('Klisz-Verbräuche'!Y67), ISNUMBER('Klisz-Verbräuche'!Y68), ISNUMBER('Klisz-Verbräuche'!Y69), ISNUMBER('Klisz-Verbräuche'!Y70), ISNUMBER('Klisz-Verbräuche'!Y71)), (SUM('Klisz-Verbräuche'!Y61:Y71)*Emissionsfaktoren!X62/1000)+'Strommix &amp; BHKW'!W207+'Strommix &amp; BHKW'!W227+'Strommix &amp; BHKW'!W233+'Strommix &amp; BHKW'!W239, 0)</f>
        <v>0</v>
      </c>
    </row>
    <row r="228" spans="2:25" ht="16.5" hidden="1" x14ac:dyDescent="0.45">
      <c r="B228" s="15">
        <v>3</v>
      </c>
      <c r="C228" s="20" t="str">
        <f>'Refsz-Verbräuche'!C63</f>
        <v>Elektrischer Strom (individueller Strommix Einrichtung 1)</v>
      </c>
      <c r="D228" t="s">
        <v>208</v>
      </c>
      <c r="E228" s="15"/>
      <c r="F228" s="15"/>
      <c r="G228" s="15"/>
      <c r="H228" s="15"/>
      <c r="I228" s="15"/>
      <c r="J228" s="15"/>
      <c r="K228" s="15"/>
      <c r="L228" s="15"/>
      <c r="M228" s="15"/>
      <c r="N228" s="15"/>
      <c r="O228" s="15"/>
      <c r="P228" s="15"/>
      <c r="Q228" s="15"/>
      <c r="R228" s="15"/>
      <c r="S228" s="15"/>
      <c r="T228" s="15"/>
      <c r="U228" s="15"/>
      <c r="V228" s="15"/>
      <c r="W228" s="15"/>
      <c r="X228" s="15"/>
    </row>
    <row r="229" spans="2:25" ht="16.5" hidden="1" x14ac:dyDescent="0.45">
      <c r="B229" s="15">
        <v>4</v>
      </c>
      <c r="C229" s="20" t="str">
        <f>'Refsz-Verbräuche'!C64</f>
        <v>Elektrischer Strom (individueller Strommix Einrichtung 2)</v>
      </c>
      <c r="D229" t="s">
        <v>208</v>
      </c>
      <c r="E229" s="15"/>
      <c r="F229" s="15"/>
      <c r="G229" s="15"/>
      <c r="H229" s="15"/>
      <c r="I229" s="15"/>
      <c r="J229" s="15"/>
      <c r="K229" s="15"/>
      <c r="L229" s="15"/>
      <c r="M229" s="15"/>
      <c r="N229" s="15"/>
      <c r="O229" s="15"/>
      <c r="P229" s="15"/>
      <c r="Q229" s="15"/>
      <c r="R229" s="15"/>
      <c r="S229" s="15"/>
      <c r="T229" s="15"/>
      <c r="U229" s="15"/>
      <c r="V229" s="15"/>
      <c r="W229" s="15"/>
      <c r="X229" s="15"/>
    </row>
    <row r="230" spans="2:25" ht="16.5" hidden="1" x14ac:dyDescent="0.45">
      <c r="B230" s="15">
        <v>5</v>
      </c>
      <c r="C230" s="20" t="str">
        <f>'Refsz-Verbräuche'!C65</f>
        <v>Elektrischer Strom (individueller Strommix Einrichtung 3)</v>
      </c>
      <c r="D230" t="s">
        <v>208</v>
      </c>
      <c r="E230" s="15"/>
      <c r="F230" s="15"/>
      <c r="G230" s="15"/>
      <c r="H230" s="15"/>
      <c r="I230" s="15"/>
      <c r="J230" s="15"/>
      <c r="K230" s="15"/>
      <c r="L230" s="15"/>
      <c r="M230" s="15"/>
      <c r="N230" s="15"/>
      <c r="O230" s="15"/>
      <c r="P230" s="15"/>
      <c r="Q230" s="15"/>
      <c r="R230" s="15"/>
      <c r="S230" s="15"/>
      <c r="T230" s="15"/>
      <c r="U230" s="15"/>
      <c r="V230" s="15"/>
      <c r="W230" s="15"/>
      <c r="X230" s="15"/>
    </row>
    <row r="231" spans="2:25" ht="16.5" hidden="1" x14ac:dyDescent="0.45">
      <c r="B231" s="15">
        <v>6</v>
      </c>
      <c r="C231" s="20" t="str">
        <f>'Refsz-Verbräuche'!C66</f>
        <v>Elektrischer Strom (individueller Strommix Einrichtung 4)</v>
      </c>
      <c r="D231" t="s">
        <v>208</v>
      </c>
      <c r="E231" s="15"/>
      <c r="F231" s="15"/>
      <c r="G231" s="15"/>
      <c r="H231" s="15"/>
      <c r="I231" s="15"/>
      <c r="J231" s="15"/>
      <c r="K231" s="15"/>
      <c r="L231" s="15"/>
      <c r="M231" s="15"/>
      <c r="N231" s="15"/>
      <c r="O231" s="15"/>
      <c r="P231" s="15"/>
      <c r="Q231" s="15"/>
      <c r="R231" s="15"/>
      <c r="S231" s="15"/>
      <c r="T231" s="15"/>
      <c r="U231" s="15"/>
      <c r="V231" s="15"/>
      <c r="W231" s="15"/>
      <c r="X231" s="15"/>
    </row>
    <row r="232" spans="2:25" ht="16.5" hidden="1" x14ac:dyDescent="0.45">
      <c r="B232" s="15">
        <v>7</v>
      </c>
      <c r="C232" s="20" t="str">
        <f>'Refsz-Verbräuche'!C67</f>
        <v>Elektrischer Strom (individueller Strommix Einrichtung 5)</v>
      </c>
      <c r="D232" t="s">
        <v>208</v>
      </c>
      <c r="E232" s="15"/>
      <c r="F232" s="15"/>
      <c r="G232" s="15"/>
      <c r="H232" s="15"/>
      <c r="I232" s="15"/>
      <c r="J232" s="15"/>
      <c r="K232" s="15"/>
      <c r="L232" s="15"/>
      <c r="M232" s="15"/>
      <c r="N232" s="15"/>
      <c r="O232" s="15"/>
      <c r="P232" s="15"/>
      <c r="Q232" s="15"/>
      <c r="R232" s="15"/>
      <c r="S232" s="15"/>
      <c r="T232" s="15"/>
      <c r="U232" s="15"/>
      <c r="V232" s="15"/>
      <c r="W232" s="15"/>
      <c r="X232" s="15"/>
    </row>
    <row r="233" spans="2:25" ht="16.5" hidden="1" x14ac:dyDescent="0.45">
      <c r="B233" s="15">
        <v>8</v>
      </c>
      <c r="C233" s="20" t="str">
        <f>'Refsz-Verbräuche'!C68</f>
        <v>Elektrischer Strom (individueller Strommix Einrichtung 6)</v>
      </c>
      <c r="D233" t="s">
        <v>208</v>
      </c>
      <c r="E233" s="15"/>
      <c r="F233" s="15"/>
      <c r="G233" s="15"/>
      <c r="H233" s="15"/>
      <c r="I233" s="15"/>
      <c r="J233" s="15"/>
      <c r="K233" s="15"/>
      <c r="L233" s="15"/>
      <c r="M233" s="15"/>
      <c r="N233" s="15"/>
      <c r="O233" s="15"/>
      <c r="P233" s="15"/>
      <c r="Q233" s="15"/>
      <c r="R233" s="15"/>
      <c r="S233" s="15"/>
      <c r="T233" s="15"/>
      <c r="U233" s="15"/>
      <c r="V233" s="15"/>
      <c r="W233" s="15"/>
      <c r="X233" s="15"/>
    </row>
    <row r="234" spans="2:25" ht="16.5" hidden="1" x14ac:dyDescent="0.45">
      <c r="B234" s="15">
        <v>9</v>
      </c>
      <c r="C234" s="20" t="str">
        <f>'Refsz-Verbräuche'!C69</f>
        <v>Elektrischer Strom (BHKW)</v>
      </c>
      <c r="D234" t="s">
        <v>208</v>
      </c>
      <c r="E234" s="15"/>
      <c r="F234" s="15"/>
      <c r="G234" s="15"/>
      <c r="H234" s="15"/>
      <c r="I234" s="15"/>
      <c r="J234" s="15"/>
      <c r="K234" s="15"/>
      <c r="L234" s="15"/>
      <c r="M234" s="15"/>
      <c r="N234" s="15"/>
      <c r="O234" s="15"/>
      <c r="P234" s="15"/>
      <c r="Q234" s="15"/>
      <c r="R234" s="15"/>
      <c r="S234" s="15"/>
      <c r="T234" s="15"/>
      <c r="U234" s="15"/>
      <c r="V234" s="15"/>
      <c r="W234" s="15"/>
      <c r="X234" s="15"/>
    </row>
    <row r="235" spans="2:25" ht="16.5" hidden="1" x14ac:dyDescent="0.45">
      <c r="B235" s="15">
        <v>10</v>
      </c>
      <c r="C235" s="20" t="str">
        <f>'Refsz-Verbräuche'!C70</f>
        <v>Elektrischer Strom (Ökostrom)</v>
      </c>
      <c r="D235" t="s">
        <v>208</v>
      </c>
      <c r="E235" s="15"/>
      <c r="F235" s="15"/>
      <c r="G235" s="15"/>
      <c r="H235" s="15"/>
      <c r="I235" s="15"/>
      <c r="J235" s="15"/>
      <c r="K235" s="15"/>
      <c r="L235" s="15"/>
      <c r="M235" s="15"/>
      <c r="N235" s="15"/>
      <c r="O235" s="15"/>
      <c r="P235" s="15"/>
      <c r="Q235" s="15"/>
      <c r="R235" s="15"/>
      <c r="S235" s="15"/>
      <c r="T235" s="15"/>
      <c r="U235" s="15"/>
      <c r="V235" s="15"/>
      <c r="W235" s="15"/>
      <c r="X235" s="15"/>
    </row>
    <row r="236" spans="2:25" ht="16.5" hidden="1" x14ac:dyDescent="0.45">
      <c r="B236" s="15">
        <v>11</v>
      </c>
      <c r="C236" s="20" t="str">
        <f>'Refsz-Verbräuche'!C71</f>
        <v>Elektrischer Strom (PV-Eigennutzung)</v>
      </c>
      <c r="D236" t="s">
        <v>208</v>
      </c>
      <c r="E236" s="15"/>
      <c r="F236" s="15"/>
      <c r="G236" s="15"/>
      <c r="H236" s="15"/>
      <c r="I236" s="15"/>
      <c r="J236" s="15"/>
      <c r="K236" s="15"/>
      <c r="L236" s="15"/>
      <c r="M236" s="15"/>
      <c r="N236" s="15"/>
      <c r="O236" s="15"/>
      <c r="P236" s="15"/>
      <c r="Q236" s="15"/>
      <c r="R236" s="15"/>
      <c r="S236" s="15"/>
      <c r="T236" s="15"/>
      <c r="U236" s="15"/>
      <c r="V236" s="15"/>
      <c r="W236" s="15"/>
      <c r="X236" s="15"/>
    </row>
    <row r="237" spans="2:25" ht="16.5" hidden="1" x14ac:dyDescent="0.45">
      <c r="B237" s="15">
        <v>12</v>
      </c>
      <c r="C237" s="20" t="str">
        <f>'Refsz-Verbräuche'!C72</f>
        <v>Wärme (Erdgas)</v>
      </c>
      <c r="D237" t="s">
        <v>208</v>
      </c>
      <c r="E237" s="15">
        <f>IF(ISNUMBER('Klisz-Verbräuche'!F72), 'Klisz-Verbräuche'!F72*Emissionsfaktoren!E72/1000, 0)</f>
        <v>0</v>
      </c>
      <c r="F237" s="15">
        <f>IF(ISNUMBER('Klisz-Verbräuche'!G72), 'Klisz-Verbräuche'!G72*Emissionsfaktoren!F72/1000, 0)</f>
        <v>0</v>
      </c>
      <c r="G237" s="15">
        <f>IF(ISNUMBER('Klisz-Verbräuche'!H72), 'Klisz-Verbräuche'!H72*Emissionsfaktoren!G72/1000, 0)</f>
        <v>0</v>
      </c>
      <c r="H237" s="15">
        <f>IF(ISNUMBER('Klisz-Verbräuche'!I72), 'Klisz-Verbräuche'!I72*Emissionsfaktoren!H72/1000, 0)</f>
        <v>0</v>
      </c>
      <c r="I237" s="15">
        <f>IF(ISNUMBER('Klisz-Verbräuche'!J72), 'Klisz-Verbräuche'!J72*Emissionsfaktoren!I72/1000, 0)</f>
        <v>0</v>
      </c>
      <c r="J237" s="15">
        <f>IF(ISNUMBER('Klisz-Verbräuche'!K72), 'Klisz-Verbräuche'!K72*Emissionsfaktoren!J72/1000, 0)</f>
        <v>0</v>
      </c>
      <c r="K237" s="15">
        <f>IF(ISNUMBER('Klisz-Verbräuche'!L72), 'Klisz-Verbräuche'!L72*Emissionsfaktoren!K72/1000, 0)</f>
        <v>0</v>
      </c>
      <c r="L237" s="15">
        <f>IF(ISNUMBER('Klisz-Verbräuche'!M72), 'Klisz-Verbräuche'!M72*Emissionsfaktoren!L72/1000, 0)</f>
        <v>0</v>
      </c>
      <c r="M237" s="15">
        <f>IF(ISNUMBER('Klisz-Verbräuche'!N72), 'Klisz-Verbräuche'!N72*Emissionsfaktoren!M72/1000, 0)</f>
        <v>0</v>
      </c>
      <c r="N237" s="15">
        <f>IF(ISNUMBER('Klisz-Verbräuche'!O72), 'Klisz-Verbräuche'!O72*Emissionsfaktoren!N72/1000, 0)</f>
        <v>0</v>
      </c>
      <c r="O237" s="15">
        <f>IF(ISNUMBER('Klisz-Verbräuche'!P72), 'Klisz-Verbräuche'!P72*Emissionsfaktoren!O72/1000, 0)</f>
        <v>0</v>
      </c>
      <c r="P237" s="15">
        <f>IF(ISNUMBER('Klisz-Verbräuche'!Q72), 'Klisz-Verbräuche'!Q72*Emissionsfaktoren!P72/1000, 0)</f>
        <v>0</v>
      </c>
      <c r="Q237" s="15">
        <f>IF(ISNUMBER('Klisz-Verbräuche'!R72), 'Klisz-Verbräuche'!R72*Emissionsfaktoren!Q72/1000, 0)</f>
        <v>0</v>
      </c>
      <c r="R237" s="15">
        <f>IF(ISNUMBER('Klisz-Verbräuche'!S72), 'Klisz-Verbräuche'!S72*Emissionsfaktoren!R72/1000, 0)</f>
        <v>0</v>
      </c>
      <c r="S237" s="15">
        <f>IF(ISNUMBER('Klisz-Verbräuche'!T72), 'Klisz-Verbräuche'!T72*Emissionsfaktoren!S72/1000, 0)</f>
        <v>0</v>
      </c>
      <c r="T237" s="15">
        <f>IF(ISNUMBER('Klisz-Verbräuche'!U72), 'Klisz-Verbräuche'!U72*Emissionsfaktoren!T72/1000, 0)</f>
        <v>0</v>
      </c>
      <c r="U237" s="15">
        <f>IF(ISNUMBER('Klisz-Verbräuche'!V72), 'Klisz-Verbräuche'!V72*Emissionsfaktoren!U72/1000, 0)</f>
        <v>0</v>
      </c>
      <c r="V237" s="15">
        <f>IF(ISNUMBER('Klisz-Verbräuche'!W72), 'Klisz-Verbräuche'!W72*Emissionsfaktoren!V72/1000, 0)</f>
        <v>0</v>
      </c>
      <c r="W237" s="15">
        <f>IF(ISNUMBER('Klisz-Verbräuche'!X72), 'Klisz-Verbräuche'!X72*Emissionsfaktoren!W72/1000, 0)</f>
        <v>0</v>
      </c>
      <c r="X237" s="15">
        <f>IF(ISNUMBER('Klisz-Verbräuche'!Y72), 'Klisz-Verbräuche'!Y72*Emissionsfaktoren!X72/1000, 0)</f>
        <v>0</v>
      </c>
    </row>
    <row r="238" spans="2:25" ht="16.5" hidden="1" x14ac:dyDescent="0.45">
      <c r="B238" s="15">
        <v>13</v>
      </c>
      <c r="C238" s="20" t="str">
        <f>'Refsz-Verbräuche'!C73</f>
        <v>Wärme (BHKW)</v>
      </c>
      <c r="D238" t="s">
        <v>208</v>
      </c>
      <c r="E238" s="15">
        <f>'Strommix &amp; BHKW'!D206+'Strommix &amp; BHKW'!D228+'Strommix &amp; BHKW'!D234+'Strommix &amp; BHKW'!D240</f>
        <v>0</v>
      </c>
      <c r="F238" s="15">
        <f>'Strommix &amp; BHKW'!E206+'Strommix &amp; BHKW'!E228+'Strommix &amp; BHKW'!E234+'Strommix &amp; BHKW'!E240</f>
        <v>0</v>
      </c>
      <c r="G238" s="15">
        <f>'Strommix &amp; BHKW'!F206+'Strommix &amp; BHKW'!F228+'Strommix &amp; BHKW'!F234+'Strommix &amp; BHKW'!F240</f>
        <v>0</v>
      </c>
      <c r="H238" s="15">
        <f>'Strommix &amp; BHKW'!G206+'Strommix &amp; BHKW'!G228+'Strommix &amp; BHKW'!G234+'Strommix &amp; BHKW'!G240</f>
        <v>0</v>
      </c>
      <c r="I238" s="15">
        <f>'Strommix &amp; BHKW'!H206+'Strommix &amp; BHKW'!H228+'Strommix &amp; BHKW'!H234+'Strommix &amp; BHKW'!H240</f>
        <v>0</v>
      </c>
      <c r="J238" s="15">
        <f>'Strommix &amp; BHKW'!I206+'Strommix &amp; BHKW'!I228+'Strommix &amp; BHKW'!I234+'Strommix &amp; BHKW'!I240</f>
        <v>0</v>
      </c>
      <c r="K238" s="15">
        <f>'Strommix &amp; BHKW'!J206+'Strommix &amp; BHKW'!J228+'Strommix &amp; BHKW'!J234+'Strommix &amp; BHKW'!J240</f>
        <v>0</v>
      </c>
      <c r="L238" s="15">
        <f>'Strommix &amp; BHKW'!K206+'Strommix &amp; BHKW'!K228+'Strommix &amp; BHKW'!K234+'Strommix &amp; BHKW'!K240</f>
        <v>0</v>
      </c>
      <c r="M238" s="15">
        <f>'Strommix &amp; BHKW'!L206+'Strommix &amp; BHKW'!L228+'Strommix &amp; BHKW'!L234+'Strommix &amp; BHKW'!L240</f>
        <v>0</v>
      </c>
      <c r="N238" s="15">
        <f>'Strommix &amp; BHKW'!M206+'Strommix &amp; BHKW'!M228+'Strommix &amp; BHKW'!M234+'Strommix &amp; BHKW'!M240</f>
        <v>0</v>
      </c>
      <c r="O238" s="15">
        <f>'Strommix &amp; BHKW'!N206+'Strommix &amp; BHKW'!N228+'Strommix &amp; BHKW'!N234+'Strommix &amp; BHKW'!N240</f>
        <v>0</v>
      </c>
      <c r="P238" s="15">
        <f>'Strommix &amp; BHKW'!O206+'Strommix &amp; BHKW'!O228+'Strommix &amp; BHKW'!O234+'Strommix &amp; BHKW'!O240</f>
        <v>0</v>
      </c>
      <c r="Q238" s="15">
        <f>'Strommix &amp; BHKW'!P206+'Strommix &amp; BHKW'!P228+'Strommix &amp; BHKW'!P234+'Strommix &amp; BHKW'!P240</f>
        <v>0</v>
      </c>
      <c r="R238" s="15">
        <f>'Strommix &amp; BHKW'!Q206+'Strommix &amp; BHKW'!Q228+'Strommix &amp; BHKW'!Q234+'Strommix &amp; BHKW'!Q240</f>
        <v>0</v>
      </c>
      <c r="S238" s="15">
        <f>'Strommix &amp; BHKW'!R206+'Strommix &amp; BHKW'!R228+'Strommix &amp; BHKW'!R234+'Strommix &amp; BHKW'!R240</f>
        <v>0</v>
      </c>
      <c r="T238" s="15">
        <f>'Strommix &amp; BHKW'!S206+'Strommix &amp; BHKW'!S228+'Strommix &amp; BHKW'!S234+'Strommix &amp; BHKW'!S240</f>
        <v>0</v>
      </c>
      <c r="U238" s="15">
        <f>'Strommix &amp; BHKW'!T206+'Strommix &amp; BHKW'!T228+'Strommix &amp; BHKW'!T234+'Strommix &amp; BHKW'!T240</f>
        <v>0</v>
      </c>
      <c r="V238" s="15">
        <f>'Strommix &amp; BHKW'!U206+'Strommix &amp; BHKW'!U228+'Strommix &amp; BHKW'!U234+'Strommix &amp; BHKW'!U240</f>
        <v>0</v>
      </c>
      <c r="W238" s="15">
        <f>'Strommix &amp; BHKW'!V206+'Strommix &amp; BHKW'!V228+'Strommix &amp; BHKW'!V234+'Strommix &amp; BHKW'!V240</f>
        <v>0</v>
      </c>
      <c r="X238" s="15">
        <f>'Strommix &amp; BHKW'!W206+'Strommix &amp; BHKW'!W228+'Strommix &amp; BHKW'!W234+'Strommix &amp; BHKW'!W240</f>
        <v>0</v>
      </c>
    </row>
    <row r="239" spans="2:25" ht="16.5" hidden="1" x14ac:dyDescent="0.45">
      <c r="B239" s="15">
        <v>14</v>
      </c>
      <c r="C239" s="20" t="str">
        <f>'Refsz-Verbräuche'!C74</f>
        <v>Wärme (Biogas)</v>
      </c>
      <c r="D239" t="s">
        <v>208</v>
      </c>
      <c r="E239" s="15">
        <f>IF(ISNUMBER('Klisz-Verbräuche'!F74), 'Klisz-Verbräuche'!F74*Emissionsfaktoren!E74/1000, 0)</f>
        <v>0</v>
      </c>
      <c r="F239" s="15">
        <f>IF(ISNUMBER('Klisz-Verbräuche'!G74), 'Klisz-Verbräuche'!G74*Emissionsfaktoren!F74/1000, 0)</f>
        <v>0</v>
      </c>
      <c r="G239" s="15">
        <f>IF(ISNUMBER('Klisz-Verbräuche'!H74), 'Klisz-Verbräuche'!H74*Emissionsfaktoren!G74/1000, 0)</f>
        <v>0</v>
      </c>
      <c r="H239" s="15">
        <f>IF(ISNUMBER('Klisz-Verbräuche'!I74), 'Klisz-Verbräuche'!I74*Emissionsfaktoren!H74/1000, 0)</f>
        <v>0</v>
      </c>
      <c r="I239" s="15">
        <f>IF(ISNUMBER('Klisz-Verbräuche'!J74), 'Klisz-Verbräuche'!J74*Emissionsfaktoren!I74/1000, 0)</f>
        <v>0</v>
      </c>
      <c r="J239" s="15">
        <f>IF(ISNUMBER('Klisz-Verbräuche'!K74), 'Klisz-Verbräuche'!K74*Emissionsfaktoren!J74/1000, 0)</f>
        <v>0</v>
      </c>
      <c r="K239" s="15">
        <f>IF(ISNUMBER('Klisz-Verbräuche'!L74), 'Klisz-Verbräuche'!L74*Emissionsfaktoren!K74/1000, 0)</f>
        <v>0</v>
      </c>
      <c r="L239" s="15">
        <f>IF(ISNUMBER('Klisz-Verbräuche'!M74), 'Klisz-Verbräuche'!M74*Emissionsfaktoren!L74/1000, 0)</f>
        <v>0</v>
      </c>
      <c r="M239" s="15">
        <f>IF(ISNUMBER('Klisz-Verbräuche'!N74), 'Klisz-Verbräuche'!N74*Emissionsfaktoren!M74/1000, 0)</f>
        <v>0</v>
      </c>
      <c r="N239" s="15">
        <f>IF(ISNUMBER('Klisz-Verbräuche'!O74), 'Klisz-Verbräuche'!O74*Emissionsfaktoren!N74/1000, 0)</f>
        <v>0</v>
      </c>
      <c r="O239" s="15">
        <f>IF(ISNUMBER('Klisz-Verbräuche'!P74), 'Klisz-Verbräuche'!P74*Emissionsfaktoren!O74/1000, 0)</f>
        <v>0</v>
      </c>
      <c r="P239" s="15">
        <f>IF(ISNUMBER('Klisz-Verbräuche'!Q74), 'Klisz-Verbräuche'!Q74*Emissionsfaktoren!P74/1000, 0)</f>
        <v>0</v>
      </c>
      <c r="Q239" s="15">
        <f>IF(ISNUMBER('Klisz-Verbräuche'!R74), 'Klisz-Verbräuche'!R74*Emissionsfaktoren!Q74/1000, 0)</f>
        <v>0</v>
      </c>
      <c r="R239" s="15">
        <f>IF(ISNUMBER('Klisz-Verbräuche'!S74), 'Klisz-Verbräuche'!S74*Emissionsfaktoren!R74/1000, 0)</f>
        <v>0</v>
      </c>
      <c r="S239" s="15">
        <f>IF(ISNUMBER('Klisz-Verbräuche'!T74), 'Klisz-Verbräuche'!T74*Emissionsfaktoren!S74/1000, 0)</f>
        <v>0</v>
      </c>
      <c r="T239" s="15">
        <f>IF(ISNUMBER('Klisz-Verbräuche'!U74), 'Klisz-Verbräuche'!U74*Emissionsfaktoren!T74/1000, 0)</f>
        <v>0</v>
      </c>
      <c r="U239" s="15">
        <f>IF(ISNUMBER('Klisz-Verbräuche'!V74), 'Klisz-Verbräuche'!V74*Emissionsfaktoren!U74/1000, 0)</f>
        <v>0</v>
      </c>
      <c r="V239" s="15">
        <f>IF(ISNUMBER('Klisz-Verbräuche'!W74), 'Klisz-Verbräuche'!W74*Emissionsfaktoren!V74/1000, 0)</f>
        <v>0</v>
      </c>
      <c r="W239" s="15">
        <f>IF(ISNUMBER('Klisz-Verbräuche'!X74), 'Klisz-Verbräuche'!X74*Emissionsfaktoren!W74/1000, 0)</f>
        <v>0</v>
      </c>
      <c r="X239" s="15">
        <f>IF(ISNUMBER('Klisz-Verbräuche'!Y74), 'Klisz-Verbräuche'!Y74*Emissionsfaktoren!X74/1000, 0)</f>
        <v>0</v>
      </c>
    </row>
    <row r="240" spans="2:25" ht="16.5" hidden="1" x14ac:dyDescent="0.45">
      <c r="B240" s="15">
        <v>15</v>
      </c>
      <c r="C240" s="20" t="str">
        <f>'Refsz-Verbräuche'!C75</f>
        <v>Wärme (individueller Emissionsfaktor)</v>
      </c>
      <c r="D240" t="s">
        <v>208</v>
      </c>
      <c r="E240" s="15">
        <f>IF(ISNUMBER('Klisz-Verbräuche'!F75), 'Klisz-Verbräuche'!F75*Emissionsfaktoren!E75/1000, 0)</f>
        <v>0</v>
      </c>
      <c r="F240" s="15">
        <f>IF(ISNUMBER('Klisz-Verbräuche'!G75), 'Klisz-Verbräuche'!G75*Emissionsfaktoren!F75/1000, 0)</f>
        <v>0</v>
      </c>
      <c r="G240" s="15">
        <f>IF(ISNUMBER('Klisz-Verbräuche'!H75), 'Klisz-Verbräuche'!H75*Emissionsfaktoren!G75/1000, 0)</f>
        <v>0</v>
      </c>
      <c r="H240" s="15">
        <f>IF(ISNUMBER('Klisz-Verbräuche'!I75), 'Klisz-Verbräuche'!I75*Emissionsfaktoren!H75/1000, 0)</f>
        <v>0</v>
      </c>
      <c r="I240" s="15">
        <f>IF(ISNUMBER('Klisz-Verbräuche'!J75), 'Klisz-Verbräuche'!J75*Emissionsfaktoren!I75/1000, 0)</f>
        <v>0</v>
      </c>
      <c r="J240" s="15">
        <f>IF(ISNUMBER('Klisz-Verbräuche'!K75), 'Klisz-Verbräuche'!K75*Emissionsfaktoren!J75/1000, 0)</f>
        <v>0</v>
      </c>
      <c r="K240" s="15">
        <f>IF(ISNUMBER('Klisz-Verbräuche'!L75), 'Klisz-Verbräuche'!L75*Emissionsfaktoren!K75/1000, 0)</f>
        <v>0</v>
      </c>
      <c r="L240" s="15">
        <f>IF(ISNUMBER('Klisz-Verbräuche'!M75), 'Klisz-Verbräuche'!M75*Emissionsfaktoren!L75/1000, 0)</f>
        <v>0</v>
      </c>
      <c r="M240" s="15">
        <f>IF(ISNUMBER('Klisz-Verbräuche'!N75), 'Klisz-Verbräuche'!N75*Emissionsfaktoren!M75/1000, 0)</f>
        <v>0</v>
      </c>
      <c r="N240" s="15">
        <f>IF(ISNUMBER('Klisz-Verbräuche'!O75), 'Klisz-Verbräuche'!O75*Emissionsfaktoren!N75/1000, 0)</f>
        <v>0</v>
      </c>
      <c r="O240" s="15">
        <f>IF(ISNUMBER('Klisz-Verbräuche'!P75), 'Klisz-Verbräuche'!P75*Emissionsfaktoren!O75/1000, 0)</f>
        <v>0</v>
      </c>
      <c r="P240" s="15">
        <f>IF(ISNUMBER('Klisz-Verbräuche'!Q75), 'Klisz-Verbräuche'!Q75*Emissionsfaktoren!P75/1000, 0)</f>
        <v>0</v>
      </c>
      <c r="Q240" s="15">
        <f>IF(ISNUMBER('Klisz-Verbräuche'!R75), 'Klisz-Verbräuche'!R75*Emissionsfaktoren!Q75/1000, 0)</f>
        <v>0</v>
      </c>
      <c r="R240" s="15">
        <f>IF(ISNUMBER('Klisz-Verbräuche'!S75), 'Klisz-Verbräuche'!S75*Emissionsfaktoren!R75/1000, 0)</f>
        <v>0</v>
      </c>
      <c r="S240" s="15">
        <f>IF(ISNUMBER('Klisz-Verbräuche'!T75), 'Klisz-Verbräuche'!T75*Emissionsfaktoren!S75/1000, 0)</f>
        <v>0</v>
      </c>
      <c r="T240" s="15">
        <f>IF(ISNUMBER('Klisz-Verbräuche'!U75), 'Klisz-Verbräuche'!U75*Emissionsfaktoren!T75/1000, 0)</f>
        <v>0</v>
      </c>
      <c r="U240" s="15">
        <f>IF(ISNUMBER('Klisz-Verbräuche'!V75), 'Klisz-Verbräuche'!V75*Emissionsfaktoren!U75/1000, 0)</f>
        <v>0</v>
      </c>
      <c r="V240" s="15">
        <f>IF(ISNUMBER('Klisz-Verbräuche'!W75), 'Klisz-Verbräuche'!W75*Emissionsfaktoren!V75/1000, 0)</f>
        <v>0</v>
      </c>
      <c r="W240" s="15">
        <f>IF(ISNUMBER('Klisz-Verbräuche'!X75), 'Klisz-Verbräuche'!X75*Emissionsfaktoren!W75/1000, 0)</f>
        <v>0</v>
      </c>
      <c r="X240" s="15">
        <f>IF(ISNUMBER('Klisz-Verbräuche'!Y75), 'Klisz-Verbräuche'!Y75*Emissionsfaktoren!X75/1000, 0)</f>
        <v>0</v>
      </c>
    </row>
    <row r="241" spans="2:24" ht="16.5" hidden="1" x14ac:dyDescent="0.45">
      <c r="B241" s="15">
        <v>16</v>
      </c>
      <c r="C241" s="20" t="str">
        <f>'Refsz-Verbräuche'!C76</f>
        <v>Wärme (Holzhackschnitzel)</v>
      </c>
      <c r="D241" t="s">
        <v>208</v>
      </c>
      <c r="E241" s="15">
        <f>IF(ISNUMBER('Klisz-Verbräuche'!F76), 'Klisz-Verbräuche'!F76*Emissionsfaktoren!E76/1000, 0)</f>
        <v>0</v>
      </c>
      <c r="F241" s="15">
        <f>IF(ISNUMBER('Klisz-Verbräuche'!G76), 'Klisz-Verbräuche'!G76*Emissionsfaktoren!F76/1000, 0)</f>
        <v>0</v>
      </c>
      <c r="G241" s="15">
        <f>IF(ISNUMBER('Klisz-Verbräuche'!H76), 'Klisz-Verbräuche'!H76*Emissionsfaktoren!G76/1000, 0)</f>
        <v>0</v>
      </c>
      <c r="H241" s="15">
        <f>IF(ISNUMBER('Klisz-Verbräuche'!I76), 'Klisz-Verbräuche'!I76*Emissionsfaktoren!H76/1000, 0)</f>
        <v>0</v>
      </c>
      <c r="I241" s="15">
        <f>IF(ISNUMBER('Klisz-Verbräuche'!J76), 'Klisz-Verbräuche'!J76*Emissionsfaktoren!I76/1000, 0)</f>
        <v>0</v>
      </c>
      <c r="J241" s="15">
        <f>IF(ISNUMBER('Klisz-Verbräuche'!K76), 'Klisz-Verbräuche'!K76*Emissionsfaktoren!J76/1000, 0)</f>
        <v>0</v>
      </c>
      <c r="K241" s="15">
        <f>IF(ISNUMBER('Klisz-Verbräuche'!L76), 'Klisz-Verbräuche'!L76*Emissionsfaktoren!K76/1000, 0)</f>
        <v>0</v>
      </c>
      <c r="L241" s="15">
        <f>IF(ISNUMBER('Klisz-Verbräuche'!M76), 'Klisz-Verbräuche'!M76*Emissionsfaktoren!L76/1000, 0)</f>
        <v>0</v>
      </c>
      <c r="M241" s="15">
        <f>IF(ISNUMBER('Klisz-Verbräuche'!N76), 'Klisz-Verbräuche'!N76*Emissionsfaktoren!M76/1000, 0)</f>
        <v>0</v>
      </c>
      <c r="N241" s="15">
        <f>IF(ISNUMBER('Klisz-Verbräuche'!O76), 'Klisz-Verbräuche'!O76*Emissionsfaktoren!N76/1000, 0)</f>
        <v>0</v>
      </c>
      <c r="O241" s="15">
        <f>IF(ISNUMBER('Klisz-Verbräuche'!P76), 'Klisz-Verbräuche'!P76*Emissionsfaktoren!O76/1000, 0)</f>
        <v>0</v>
      </c>
      <c r="P241" s="15">
        <f>IF(ISNUMBER('Klisz-Verbräuche'!Q76), 'Klisz-Verbräuche'!Q76*Emissionsfaktoren!P76/1000, 0)</f>
        <v>0</v>
      </c>
      <c r="Q241" s="15">
        <f>IF(ISNUMBER('Klisz-Verbräuche'!R76), 'Klisz-Verbräuche'!R76*Emissionsfaktoren!Q76/1000, 0)</f>
        <v>0</v>
      </c>
      <c r="R241" s="15">
        <f>IF(ISNUMBER('Klisz-Verbräuche'!S76), 'Klisz-Verbräuche'!S76*Emissionsfaktoren!R76/1000, 0)</f>
        <v>0</v>
      </c>
      <c r="S241" s="15">
        <f>IF(ISNUMBER('Klisz-Verbräuche'!T76), 'Klisz-Verbräuche'!T76*Emissionsfaktoren!S76/1000, 0)</f>
        <v>0</v>
      </c>
      <c r="T241" s="15">
        <f>IF(ISNUMBER('Klisz-Verbräuche'!U76), 'Klisz-Verbräuche'!U76*Emissionsfaktoren!T76/1000, 0)</f>
        <v>0</v>
      </c>
      <c r="U241" s="15">
        <f>IF(ISNUMBER('Klisz-Verbräuche'!V76), 'Klisz-Verbräuche'!V76*Emissionsfaktoren!U76/1000, 0)</f>
        <v>0</v>
      </c>
      <c r="V241" s="15">
        <f>IF(ISNUMBER('Klisz-Verbräuche'!W76), 'Klisz-Verbräuche'!W76*Emissionsfaktoren!V76/1000, 0)</f>
        <v>0</v>
      </c>
      <c r="W241" s="15">
        <f>IF(ISNUMBER('Klisz-Verbräuche'!X76), 'Klisz-Verbräuche'!X76*Emissionsfaktoren!W76/1000, 0)</f>
        <v>0</v>
      </c>
      <c r="X241" s="15">
        <f>IF(ISNUMBER('Klisz-Verbräuche'!Y76), 'Klisz-Verbräuche'!Y76*Emissionsfaktoren!X76/1000, 0)</f>
        <v>0</v>
      </c>
    </row>
    <row r="242" spans="2:24" ht="16.5" hidden="1" x14ac:dyDescent="0.45">
      <c r="B242" s="15">
        <v>17</v>
      </c>
      <c r="C242" s="20" t="str">
        <f>'Refsz-Verbräuche'!C77</f>
        <v>Wärme (Holzpellets, 10kW/kleinere Zentralheizung)</v>
      </c>
      <c r="D242" t="s">
        <v>208</v>
      </c>
      <c r="E242" s="15">
        <f>IF(ISNUMBER('Klisz-Verbräuche'!F77), 'Klisz-Verbräuche'!F77*Emissionsfaktoren!E77/1000, 0)</f>
        <v>0</v>
      </c>
      <c r="F242" s="15">
        <f>IF(ISNUMBER('Klisz-Verbräuche'!G77), 'Klisz-Verbräuche'!G77*Emissionsfaktoren!F77/1000, 0)</f>
        <v>0</v>
      </c>
      <c r="G242" s="15">
        <f>IF(ISNUMBER('Klisz-Verbräuche'!H77), 'Klisz-Verbräuche'!H77*Emissionsfaktoren!G77/1000, 0)</f>
        <v>0</v>
      </c>
      <c r="H242" s="15">
        <f>IF(ISNUMBER('Klisz-Verbräuche'!I77), 'Klisz-Verbräuche'!I77*Emissionsfaktoren!H77/1000, 0)</f>
        <v>0</v>
      </c>
      <c r="I242" s="15">
        <f>IF(ISNUMBER('Klisz-Verbräuche'!J77), 'Klisz-Verbräuche'!J77*Emissionsfaktoren!I77/1000, 0)</f>
        <v>0</v>
      </c>
      <c r="J242" s="15">
        <f>IF(ISNUMBER('Klisz-Verbräuche'!K77), 'Klisz-Verbräuche'!K77*Emissionsfaktoren!J77/1000, 0)</f>
        <v>0</v>
      </c>
      <c r="K242" s="15">
        <f>IF(ISNUMBER('Klisz-Verbräuche'!L77), 'Klisz-Verbräuche'!L77*Emissionsfaktoren!K77/1000, 0)</f>
        <v>0</v>
      </c>
      <c r="L242" s="15">
        <f>IF(ISNUMBER('Klisz-Verbräuche'!M77), 'Klisz-Verbräuche'!M77*Emissionsfaktoren!L77/1000, 0)</f>
        <v>0</v>
      </c>
      <c r="M242" s="15">
        <f>IF(ISNUMBER('Klisz-Verbräuche'!N77), 'Klisz-Verbräuche'!N77*Emissionsfaktoren!M77/1000, 0)</f>
        <v>0</v>
      </c>
      <c r="N242" s="15">
        <f>IF(ISNUMBER('Klisz-Verbräuche'!O77), 'Klisz-Verbräuche'!O77*Emissionsfaktoren!N77/1000, 0)</f>
        <v>0</v>
      </c>
      <c r="O242" s="15">
        <f>IF(ISNUMBER('Klisz-Verbräuche'!P77), 'Klisz-Verbräuche'!P77*Emissionsfaktoren!O77/1000, 0)</f>
        <v>0</v>
      </c>
      <c r="P242" s="15">
        <f>IF(ISNUMBER('Klisz-Verbräuche'!Q77), 'Klisz-Verbräuche'!Q77*Emissionsfaktoren!P77/1000, 0)</f>
        <v>0</v>
      </c>
      <c r="Q242" s="15">
        <f>IF(ISNUMBER('Klisz-Verbräuche'!R77), 'Klisz-Verbräuche'!R77*Emissionsfaktoren!Q77/1000, 0)</f>
        <v>0</v>
      </c>
      <c r="R242" s="15">
        <f>IF(ISNUMBER('Klisz-Verbräuche'!S77), 'Klisz-Verbräuche'!S77*Emissionsfaktoren!R77/1000, 0)</f>
        <v>0</v>
      </c>
      <c r="S242" s="15">
        <f>IF(ISNUMBER('Klisz-Verbräuche'!T77), 'Klisz-Verbräuche'!T77*Emissionsfaktoren!S77/1000, 0)</f>
        <v>0</v>
      </c>
      <c r="T242" s="15">
        <f>IF(ISNUMBER('Klisz-Verbräuche'!U77), 'Klisz-Verbräuche'!U77*Emissionsfaktoren!T77/1000, 0)</f>
        <v>0</v>
      </c>
      <c r="U242" s="15">
        <f>IF(ISNUMBER('Klisz-Verbräuche'!V77), 'Klisz-Verbräuche'!V77*Emissionsfaktoren!U77/1000, 0)</f>
        <v>0</v>
      </c>
      <c r="V242" s="15">
        <f>IF(ISNUMBER('Klisz-Verbräuche'!W77), 'Klisz-Verbräuche'!W77*Emissionsfaktoren!V77/1000, 0)</f>
        <v>0</v>
      </c>
      <c r="W242" s="15">
        <f>IF(ISNUMBER('Klisz-Verbräuche'!X77), 'Klisz-Verbräuche'!X77*Emissionsfaktoren!W77/1000, 0)</f>
        <v>0</v>
      </c>
      <c r="X242" s="15">
        <f>IF(ISNUMBER('Klisz-Verbräuche'!Y77), 'Klisz-Verbräuche'!Y77*Emissionsfaktoren!X77/1000, 0)</f>
        <v>0</v>
      </c>
    </row>
    <row r="243" spans="2:24" ht="16.5" hidden="1" x14ac:dyDescent="0.45">
      <c r="B243" s="15">
        <v>18</v>
      </c>
      <c r="C243" s="20" t="str">
        <f>'Refsz-Verbräuche'!C78</f>
        <v>Wärme (Holzpellets, 50kW/größere Zentralheizung)</v>
      </c>
      <c r="D243" t="s">
        <v>208</v>
      </c>
      <c r="E243" s="15">
        <f>IF(ISNUMBER('Klisz-Verbräuche'!F78), 'Klisz-Verbräuche'!F78*Emissionsfaktoren!E78/1000, 0)</f>
        <v>0</v>
      </c>
      <c r="F243" s="15">
        <f>IF(ISNUMBER('Klisz-Verbräuche'!G78), 'Klisz-Verbräuche'!G78*Emissionsfaktoren!F78/1000, 0)</f>
        <v>0</v>
      </c>
      <c r="G243" s="15">
        <f>IF(ISNUMBER('Klisz-Verbräuche'!H78), 'Klisz-Verbräuche'!H78*Emissionsfaktoren!G78/1000, 0)</f>
        <v>0</v>
      </c>
      <c r="H243" s="15">
        <f>IF(ISNUMBER('Klisz-Verbräuche'!I78), 'Klisz-Verbräuche'!I78*Emissionsfaktoren!H78/1000, 0)</f>
        <v>0</v>
      </c>
      <c r="I243" s="15">
        <f>IF(ISNUMBER('Klisz-Verbräuche'!J78), 'Klisz-Verbräuche'!J78*Emissionsfaktoren!I78/1000, 0)</f>
        <v>0</v>
      </c>
      <c r="J243" s="15">
        <f>IF(ISNUMBER('Klisz-Verbräuche'!K78), 'Klisz-Verbräuche'!K78*Emissionsfaktoren!J78/1000, 0)</f>
        <v>0</v>
      </c>
      <c r="K243" s="15">
        <f>IF(ISNUMBER('Klisz-Verbräuche'!L78), 'Klisz-Verbräuche'!L78*Emissionsfaktoren!K78/1000, 0)</f>
        <v>0</v>
      </c>
      <c r="L243" s="15">
        <f>IF(ISNUMBER('Klisz-Verbräuche'!M78), 'Klisz-Verbräuche'!M78*Emissionsfaktoren!L78/1000, 0)</f>
        <v>0</v>
      </c>
      <c r="M243" s="15">
        <f>IF(ISNUMBER('Klisz-Verbräuche'!N78), 'Klisz-Verbräuche'!N78*Emissionsfaktoren!M78/1000, 0)</f>
        <v>0</v>
      </c>
      <c r="N243" s="15">
        <f>IF(ISNUMBER('Klisz-Verbräuche'!O78), 'Klisz-Verbräuche'!O78*Emissionsfaktoren!N78/1000, 0)</f>
        <v>0</v>
      </c>
      <c r="O243" s="15">
        <f>IF(ISNUMBER('Klisz-Verbräuche'!P78), 'Klisz-Verbräuche'!P78*Emissionsfaktoren!O78/1000, 0)</f>
        <v>0</v>
      </c>
      <c r="P243" s="15">
        <f>IF(ISNUMBER('Klisz-Verbräuche'!Q78), 'Klisz-Verbräuche'!Q78*Emissionsfaktoren!P78/1000, 0)</f>
        <v>0</v>
      </c>
      <c r="Q243" s="15">
        <f>IF(ISNUMBER('Klisz-Verbräuche'!R78), 'Klisz-Verbräuche'!R78*Emissionsfaktoren!Q78/1000, 0)</f>
        <v>0</v>
      </c>
      <c r="R243" s="15">
        <f>IF(ISNUMBER('Klisz-Verbräuche'!S78), 'Klisz-Verbräuche'!S78*Emissionsfaktoren!R78/1000, 0)</f>
        <v>0</v>
      </c>
      <c r="S243" s="15">
        <f>IF(ISNUMBER('Klisz-Verbräuche'!T78), 'Klisz-Verbräuche'!T78*Emissionsfaktoren!S78/1000, 0)</f>
        <v>0</v>
      </c>
      <c r="T243" s="15">
        <f>IF(ISNUMBER('Klisz-Verbräuche'!U78), 'Klisz-Verbräuche'!U78*Emissionsfaktoren!T78/1000, 0)</f>
        <v>0</v>
      </c>
      <c r="U243" s="15">
        <f>IF(ISNUMBER('Klisz-Verbräuche'!V78), 'Klisz-Verbräuche'!V78*Emissionsfaktoren!U78/1000, 0)</f>
        <v>0</v>
      </c>
      <c r="V243" s="15">
        <f>IF(ISNUMBER('Klisz-Verbräuche'!W78), 'Klisz-Verbräuche'!W78*Emissionsfaktoren!V78/1000, 0)</f>
        <v>0</v>
      </c>
      <c r="W243" s="15">
        <f>IF(ISNUMBER('Klisz-Verbräuche'!X78), 'Klisz-Verbräuche'!X78*Emissionsfaktoren!W78/1000, 0)</f>
        <v>0</v>
      </c>
      <c r="X243" s="15">
        <f>IF(ISNUMBER('Klisz-Verbräuche'!Y78), 'Klisz-Verbräuche'!Y78*Emissionsfaktoren!X78/1000, 0)</f>
        <v>0</v>
      </c>
    </row>
    <row r="244" spans="2:24" ht="16.5" hidden="1" x14ac:dyDescent="0.45">
      <c r="B244" s="15">
        <v>19</v>
      </c>
      <c r="C244" s="20" t="str">
        <f>'Refsz-Verbräuche'!C79</f>
        <v>Wärme (Fernwärme Mix)</v>
      </c>
      <c r="D244" t="s">
        <v>208</v>
      </c>
      <c r="E244" s="15">
        <f>IF(ISNUMBER('Klisz-Verbräuche'!F79), 'Klisz-Verbräuche'!F79*Emissionsfaktoren!E79/1000, 0)</f>
        <v>0</v>
      </c>
      <c r="F244" s="15">
        <f>IF(ISNUMBER('Klisz-Verbräuche'!G79), 'Klisz-Verbräuche'!G79*Emissionsfaktoren!F79/1000, 0)</f>
        <v>0</v>
      </c>
      <c r="G244" s="15">
        <f>IF(ISNUMBER('Klisz-Verbräuche'!H79), 'Klisz-Verbräuche'!H79*Emissionsfaktoren!G79/1000, 0)</f>
        <v>0</v>
      </c>
      <c r="H244" s="15">
        <f>IF(ISNUMBER('Klisz-Verbräuche'!I79), 'Klisz-Verbräuche'!I79*Emissionsfaktoren!H79/1000, 0)</f>
        <v>0</v>
      </c>
      <c r="I244" s="15">
        <f>IF(ISNUMBER('Klisz-Verbräuche'!J79), 'Klisz-Verbräuche'!J79*Emissionsfaktoren!I79/1000, 0)</f>
        <v>0</v>
      </c>
      <c r="J244" s="15">
        <f>IF(ISNUMBER('Klisz-Verbräuche'!K79), 'Klisz-Verbräuche'!K79*Emissionsfaktoren!J79/1000, 0)</f>
        <v>0</v>
      </c>
      <c r="K244" s="15">
        <f>IF(ISNUMBER('Klisz-Verbräuche'!L79), 'Klisz-Verbräuche'!L79*Emissionsfaktoren!K79/1000, 0)</f>
        <v>0</v>
      </c>
      <c r="L244" s="15">
        <f>IF(ISNUMBER('Klisz-Verbräuche'!M79), 'Klisz-Verbräuche'!M79*Emissionsfaktoren!L79/1000, 0)</f>
        <v>0</v>
      </c>
      <c r="M244" s="15">
        <f>IF(ISNUMBER('Klisz-Verbräuche'!N79), 'Klisz-Verbräuche'!N79*Emissionsfaktoren!M79/1000, 0)</f>
        <v>0</v>
      </c>
      <c r="N244" s="15">
        <f>IF(ISNUMBER('Klisz-Verbräuche'!O79), 'Klisz-Verbräuche'!O79*Emissionsfaktoren!N79/1000, 0)</f>
        <v>0</v>
      </c>
      <c r="O244" s="15">
        <f>IF(ISNUMBER('Klisz-Verbräuche'!P79), 'Klisz-Verbräuche'!P79*Emissionsfaktoren!O79/1000, 0)</f>
        <v>0</v>
      </c>
      <c r="P244" s="15">
        <f>IF(ISNUMBER('Klisz-Verbräuche'!Q79), 'Klisz-Verbräuche'!Q79*Emissionsfaktoren!P79/1000, 0)</f>
        <v>0</v>
      </c>
      <c r="Q244" s="15">
        <f>IF(ISNUMBER('Klisz-Verbräuche'!R79), 'Klisz-Verbräuche'!R79*Emissionsfaktoren!Q79/1000, 0)</f>
        <v>0</v>
      </c>
      <c r="R244" s="15">
        <f>IF(ISNUMBER('Klisz-Verbräuche'!S79), 'Klisz-Verbräuche'!S79*Emissionsfaktoren!R79/1000, 0)</f>
        <v>0</v>
      </c>
      <c r="S244" s="15">
        <f>IF(ISNUMBER('Klisz-Verbräuche'!T79), 'Klisz-Verbräuche'!T79*Emissionsfaktoren!S79/1000, 0)</f>
        <v>0</v>
      </c>
      <c r="T244" s="15">
        <f>IF(ISNUMBER('Klisz-Verbräuche'!U79), 'Klisz-Verbräuche'!U79*Emissionsfaktoren!T79/1000, 0)</f>
        <v>0</v>
      </c>
      <c r="U244" s="15">
        <f>IF(ISNUMBER('Klisz-Verbräuche'!V79), 'Klisz-Verbräuche'!V79*Emissionsfaktoren!U79/1000, 0)</f>
        <v>0</v>
      </c>
      <c r="V244" s="15">
        <f>IF(ISNUMBER('Klisz-Verbräuche'!W79), 'Klisz-Verbräuche'!W79*Emissionsfaktoren!V79/1000, 0)</f>
        <v>0</v>
      </c>
      <c r="W244" s="15">
        <f>IF(ISNUMBER('Klisz-Verbräuche'!X79), 'Klisz-Verbräuche'!X79*Emissionsfaktoren!W79/1000, 0)</f>
        <v>0</v>
      </c>
      <c r="X244" s="15">
        <f>IF(ISNUMBER('Klisz-Verbräuche'!Y79), 'Klisz-Verbräuche'!Y79*Emissionsfaktoren!X79/1000, 0)</f>
        <v>0</v>
      </c>
    </row>
    <row r="245" spans="2:24" ht="16.5" hidden="1" x14ac:dyDescent="0.45">
      <c r="B245" s="15">
        <v>20</v>
      </c>
      <c r="C245" s="20" t="str">
        <f>'Refsz-Verbräuche'!C80</f>
        <v>Wärme (Fernwärme Abfall)</v>
      </c>
      <c r="D245" t="s">
        <v>208</v>
      </c>
      <c r="E245" s="15">
        <f>IF(ISNUMBER('Klisz-Verbräuche'!F80), 'Klisz-Verbräuche'!F80*Emissionsfaktoren!E80/1000, 0)</f>
        <v>0</v>
      </c>
      <c r="F245" s="15">
        <f>IF(ISNUMBER('Klisz-Verbräuche'!G80), 'Klisz-Verbräuche'!G80*Emissionsfaktoren!F80/1000, 0)</f>
        <v>0</v>
      </c>
      <c r="G245" s="15">
        <f>IF(ISNUMBER('Klisz-Verbräuche'!H80), 'Klisz-Verbräuche'!H80*Emissionsfaktoren!G80/1000, 0)</f>
        <v>0</v>
      </c>
      <c r="H245" s="15">
        <f>IF(ISNUMBER('Klisz-Verbräuche'!I80), 'Klisz-Verbräuche'!I80*Emissionsfaktoren!H80/1000, 0)</f>
        <v>0</v>
      </c>
      <c r="I245" s="15">
        <f>IF(ISNUMBER('Klisz-Verbräuche'!J80), 'Klisz-Verbräuche'!J80*Emissionsfaktoren!I80/1000, 0)</f>
        <v>0</v>
      </c>
      <c r="J245" s="15">
        <f>IF(ISNUMBER('Klisz-Verbräuche'!K80), 'Klisz-Verbräuche'!K80*Emissionsfaktoren!J80/1000, 0)</f>
        <v>0</v>
      </c>
      <c r="K245" s="15">
        <f>IF(ISNUMBER('Klisz-Verbräuche'!L80), 'Klisz-Verbräuche'!L80*Emissionsfaktoren!K80/1000, 0)</f>
        <v>0</v>
      </c>
      <c r="L245" s="15">
        <f>IF(ISNUMBER('Klisz-Verbräuche'!M80), 'Klisz-Verbräuche'!M80*Emissionsfaktoren!L80/1000, 0)</f>
        <v>0</v>
      </c>
      <c r="M245" s="15">
        <f>IF(ISNUMBER('Klisz-Verbräuche'!N80), 'Klisz-Verbräuche'!N80*Emissionsfaktoren!M80/1000, 0)</f>
        <v>0</v>
      </c>
      <c r="N245" s="15">
        <f>IF(ISNUMBER('Klisz-Verbräuche'!O80), 'Klisz-Verbräuche'!O80*Emissionsfaktoren!N80/1000, 0)</f>
        <v>0</v>
      </c>
      <c r="O245" s="15">
        <f>IF(ISNUMBER('Klisz-Verbräuche'!P80), 'Klisz-Verbräuche'!P80*Emissionsfaktoren!O80/1000, 0)</f>
        <v>0</v>
      </c>
      <c r="P245" s="15">
        <f>IF(ISNUMBER('Klisz-Verbräuche'!Q80), 'Klisz-Verbräuche'!Q80*Emissionsfaktoren!P80/1000, 0)</f>
        <v>0</v>
      </c>
      <c r="Q245" s="15">
        <f>IF(ISNUMBER('Klisz-Verbräuche'!R80), 'Klisz-Verbräuche'!R80*Emissionsfaktoren!Q80/1000, 0)</f>
        <v>0</v>
      </c>
      <c r="R245" s="15">
        <f>IF(ISNUMBER('Klisz-Verbräuche'!S80), 'Klisz-Verbräuche'!S80*Emissionsfaktoren!R80/1000, 0)</f>
        <v>0</v>
      </c>
      <c r="S245" s="15">
        <f>IF(ISNUMBER('Klisz-Verbräuche'!T80), 'Klisz-Verbräuche'!T80*Emissionsfaktoren!S80/1000, 0)</f>
        <v>0</v>
      </c>
      <c r="T245" s="15">
        <f>IF(ISNUMBER('Klisz-Verbräuche'!U80), 'Klisz-Verbräuche'!U80*Emissionsfaktoren!T80/1000, 0)</f>
        <v>0</v>
      </c>
      <c r="U245" s="15">
        <f>IF(ISNUMBER('Klisz-Verbräuche'!V80), 'Klisz-Verbräuche'!V80*Emissionsfaktoren!U80/1000, 0)</f>
        <v>0</v>
      </c>
      <c r="V245" s="15">
        <f>IF(ISNUMBER('Klisz-Verbräuche'!W80), 'Klisz-Verbräuche'!W80*Emissionsfaktoren!V80/1000, 0)</f>
        <v>0</v>
      </c>
      <c r="W245" s="15">
        <f>IF(ISNUMBER('Klisz-Verbräuche'!X80), 'Klisz-Verbräuche'!X80*Emissionsfaktoren!W80/1000, 0)</f>
        <v>0</v>
      </c>
      <c r="X245" s="15">
        <f>IF(ISNUMBER('Klisz-Verbräuche'!Y80), 'Klisz-Verbräuche'!Y80*Emissionsfaktoren!X80/1000, 0)</f>
        <v>0</v>
      </c>
    </row>
    <row r="246" spans="2:24" ht="16.5" hidden="1" x14ac:dyDescent="0.45">
      <c r="B246" s="15">
        <v>21</v>
      </c>
      <c r="C246" s="20" t="str">
        <f>'Refsz-Verbräuche'!C81</f>
        <v>Wärme (Heizöl)</v>
      </c>
      <c r="D246" t="s">
        <v>208</v>
      </c>
      <c r="E246" s="15">
        <f>IF(ISNUMBER('Klisz-Verbräuche'!F81), 'Klisz-Verbräuche'!F81*Emissionsfaktoren!E81/1000, 0)</f>
        <v>0</v>
      </c>
      <c r="F246" s="15">
        <f>IF(ISNUMBER('Klisz-Verbräuche'!G81), 'Klisz-Verbräuche'!G81*Emissionsfaktoren!F81/1000, 0)</f>
        <v>0</v>
      </c>
      <c r="G246" s="15">
        <f>IF(ISNUMBER('Klisz-Verbräuche'!H81), 'Klisz-Verbräuche'!H81*Emissionsfaktoren!G81/1000, 0)</f>
        <v>0</v>
      </c>
      <c r="H246" s="15">
        <f>IF(ISNUMBER('Klisz-Verbräuche'!I81), 'Klisz-Verbräuche'!I81*Emissionsfaktoren!H81/1000, 0)</f>
        <v>0</v>
      </c>
      <c r="I246" s="15">
        <f>IF(ISNUMBER('Klisz-Verbräuche'!J81), 'Klisz-Verbräuche'!J81*Emissionsfaktoren!I81/1000, 0)</f>
        <v>0</v>
      </c>
      <c r="J246" s="15">
        <f>IF(ISNUMBER('Klisz-Verbräuche'!K81), 'Klisz-Verbräuche'!K81*Emissionsfaktoren!J81/1000, 0)</f>
        <v>0</v>
      </c>
      <c r="K246" s="15">
        <f>IF(ISNUMBER('Klisz-Verbräuche'!L81), 'Klisz-Verbräuche'!L81*Emissionsfaktoren!K81/1000, 0)</f>
        <v>0</v>
      </c>
      <c r="L246" s="15">
        <f>IF(ISNUMBER('Klisz-Verbräuche'!M81), 'Klisz-Verbräuche'!M81*Emissionsfaktoren!L81/1000, 0)</f>
        <v>0</v>
      </c>
      <c r="M246" s="15">
        <f>IF(ISNUMBER('Klisz-Verbräuche'!N81), 'Klisz-Verbräuche'!N81*Emissionsfaktoren!M81/1000, 0)</f>
        <v>0</v>
      </c>
      <c r="N246" s="15">
        <f>IF(ISNUMBER('Klisz-Verbräuche'!O81), 'Klisz-Verbräuche'!O81*Emissionsfaktoren!N81/1000, 0)</f>
        <v>0</v>
      </c>
      <c r="O246" s="15">
        <f>IF(ISNUMBER('Klisz-Verbräuche'!P81), 'Klisz-Verbräuche'!P81*Emissionsfaktoren!O81/1000, 0)</f>
        <v>0</v>
      </c>
      <c r="P246" s="15">
        <f>IF(ISNUMBER('Klisz-Verbräuche'!Q81), 'Klisz-Verbräuche'!Q81*Emissionsfaktoren!P81/1000, 0)</f>
        <v>0</v>
      </c>
      <c r="Q246" s="15">
        <f>IF(ISNUMBER('Klisz-Verbräuche'!R81), 'Klisz-Verbräuche'!R81*Emissionsfaktoren!Q81/1000, 0)</f>
        <v>0</v>
      </c>
      <c r="R246" s="15">
        <f>IF(ISNUMBER('Klisz-Verbräuche'!S81), 'Klisz-Verbräuche'!S81*Emissionsfaktoren!R81/1000, 0)</f>
        <v>0</v>
      </c>
      <c r="S246" s="15">
        <f>IF(ISNUMBER('Klisz-Verbräuche'!T81), 'Klisz-Verbräuche'!T81*Emissionsfaktoren!S81/1000, 0)</f>
        <v>0</v>
      </c>
      <c r="T246" s="15">
        <f>IF(ISNUMBER('Klisz-Verbräuche'!U81), 'Klisz-Verbräuche'!U81*Emissionsfaktoren!T81/1000, 0)</f>
        <v>0</v>
      </c>
      <c r="U246" s="15">
        <f>IF(ISNUMBER('Klisz-Verbräuche'!V81), 'Klisz-Verbräuche'!V81*Emissionsfaktoren!U81/1000, 0)</f>
        <v>0</v>
      </c>
      <c r="V246" s="15">
        <f>IF(ISNUMBER('Klisz-Verbräuche'!W81), 'Klisz-Verbräuche'!W81*Emissionsfaktoren!V81/1000, 0)</f>
        <v>0</v>
      </c>
      <c r="W246" s="15">
        <f>IF(ISNUMBER('Klisz-Verbräuche'!X81), 'Klisz-Verbräuche'!X81*Emissionsfaktoren!W81/1000, 0)</f>
        <v>0</v>
      </c>
      <c r="X246" s="15">
        <f>IF(ISNUMBER('Klisz-Verbräuche'!Y81), 'Klisz-Verbräuche'!Y81*Emissionsfaktoren!X81/1000, 0)</f>
        <v>0</v>
      </c>
    </row>
    <row r="247" spans="2:24" ht="16.5" hidden="1" x14ac:dyDescent="0.45">
      <c r="B247" s="15">
        <v>22</v>
      </c>
      <c r="C247" s="20" t="str">
        <f>'Refsz-Verbräuche'!C82</f>
        <v>Wärme (Solarthermie)</v>
      </c>
      <c r="D247" t="s">
        <v>208</v>
      </c>
      <c r="E247" s="15">
        <f>IF(ISNUMBER('Klisz-Verbräuche'!F82), 'Klisz-Verbräuche'!F82*Emissionsfaktoren!E82/1000, 0)</f>
        <v>0</v>
      </c>
      <c r="F247" s="15">
        <f>IF(ISNUMBER('Klisz-Verbräuche'!G82), 'Klisz-Verbräuche'!G82*Emissionsfaktoren!F82/1000, 0)</f>
        <v>0</v>
      </c>
      <c r="G247" s="15">
        <f>IF(ISNUMBER('Klisz-Verbräuche'!H82), 'Klisz-Verbräuche'!H82*Emissionsfaktoren!G82/1000, 0)</f>
        <v>0</v>
      </c>
      <c r="H247" s="15">
        <f>IF(ISNUMBER('Klisz-Verbräuche'!I82), 'Klisz-Verbräuche'!I82*Emissionsfaktoren!H82/1000, 0)</f>
        <v>0</v>
      </c>
      <c r="I247" s="15">
        <f>IF(ISNUMBER('Klisz-Verbräuche'!J82), 'Klisz-Verbräuche'!J82*Emissionsfaktoren!I82/1000, 0)</f>
        <v>0</v>
      </c>
      <c r="J247" s="15">
        <f>IF(ISNUMBER('Klisz-Verbräuche'!K82), 'Klisz-Verbräuche'!K82*Emissionsfaktoren!J82/1000, 0)</f>
        <v>0</v>
      </c>
      <c r="K247" s="15">
        <f>IF(ISNUMBER('Klisz-Verbräuche'!L82), 'Klisz-Verbräuche'!L82*Emissionsfaktoren!K82/1000, 0)</f>
        <v>0</v>
      </c>
      <c r="L247" s="15">
        <f>IF(ISNUMBER('Klisz-Verbräuche'!M82), 'Klisz-Verbräuche'!M82*Emissionsfaktoren!L82/1000, 0)</f>
        <v>0</v>
      </c>
      <c r="M247" s="15">
        <f>IF(ISNUMBER('Klisz-Verbräuche'!N82), 'Klisz-Verbräuche'!N82*Emissionsfaktoren!M82/1000, 0)</f>
        <v>0</v>
      </c>
      <c r="N247" s="15">
        <f>IF(ISNUMBER('Klisz-Verbräuche'!O82), 'Klisz-Verbräuche'!O82*Emissionsfaktoren!N82/1000, 0)</f>
        <v>0</v>
      </c>
      <c r="O247" s="15">
        <f>IF(ISNUMBER('Klisz-Verbräuche'!P82), 'Klisz-Verbräuche'!P82*Emissionsfaktoren!O82/1000, 0)</f>
        <v>0</v>
      </c>
      <c r="P247" s="15">
        <f>IF(ISNUMBER('Klisz-Verbräuche'!Q82), 'Klisz-Verbräuche'!Q82*Emissionsfaktoren!P82/1000, 0)</f>
        <v>0</v>
      </c>
      <c r="Q247" s="15">
        <f>IF(ISNUMBER('Klisz-Verbräuche'!R82), 'Klisz-Verbräuche'!R82*Emissionsfaktoren!Q82/1000, 0)</f>
        <v>0</v>
      </c>
      <c r="R247" s="15">
        <f>IF(ISNUMBER('Klisz-Verbräuche'!S82), 'Klisz-Verbräuche'!S82*Emissionsfaktoren!R82/1000, 0)</f>
        <v>0</v>
      </c>
      <c r="S247" s="15">
        <f>IF(ISNUMBER('Klisz-Verbräuche'!T82), 'Klisz-Verbräuche'!T82*Emissionsfaktoren!S82/1000, 0)</f>
        <v>0</v>
      </c>
      <c r="T247" s="15">
        <f>IF(ISNUMBER('Klisz-Verbräuche'!U82), 'Klisz-Verbräuche'!U82*Emissionsfaktoren!T82/1000, 0)</f>
        <v>0</v>
      </c>
      <c r="U247" s="15">
        <f>IF(ISNUMBER('Klisz-Verbräuche'!V82), 'Klisz-Verbräuche'!V82*Emissionsfaktoren!U82/1000, 0)</f>
        <v>0</v>
      </c>
      <c r="V247" s="15">
        <f>IF(ISNUMBER('Klisz-Verbräuche'!W82), 'Klisz-Verbräuche'!W82*Emissionsfaktoren!V82/1000, 0)</f>
        <v>0</v>
      </c>
      <c r="W247" s="15">
        <f>IF(ISNUMBER('Klisz-Verbräuche'!X82), 'Klisz-Verbräuche'!X82*Emissionsfaktoren!W82/1000, 0)</f>
        <v>0</v>
      </c>
      <c r="X247" s="15">
        <f>IF(ISNUMBER('Klisz-Verbräuche'!Y82), 'Klisz-Verbräuche'!Y82*Emissionsfaktoren!X82/1000, 0)</f>
        <v>0</v>
      </c>
    </row>
    <row r="248" spans="2:24" ht="16.5" hidden="1" x14ac:dyDescent="0.45">
      <c r="B248" s="15">
        <v>23</v>
      </c>
      <c r="C248" s="20" t="str">
        <f>'Refsz-Verbräuche'!C83</f>
        <v>Wärme (Sole-Wasser-Wärmepumpe; Bundesstrommix)</v>
      </c>
      <c r="D248" t="s">
        <v>208</v>
      </c>
      <c r="E248" s="15">
        <f>IF(ISNUMBER('Klisz-Verbräuche'!F83), 'Klisz-Verbräuche'!F83*Emissionsfaktoren!E83/1000, 0)</f>
        <v>0</v>
      </c>
      <c r="F248" s="15">
        <f>IF(ISNUMBER('Klisz-Verbräuche'!G83), 'Klisz-Verbräuche'!G83*Emissionsfaktoren!F83/1000, 0)</f>
        <v>0</v>
      </c>
      <c r="G248" s="15">
        <f>IF(ISNUMBER('Klisz-Verbräuche'!H83), 'Klisz-Verbräuche'!H83*Emissionsfaktoren!G83/1000, 0)</f>
        <v>0</v>
      </c>
      <c r="H248" s="15">
        <f>IF(ISNUMBER('Klisz-Verbräuche'!I83), 'Klisz-Verbräuche'!I83*Emissionsfaktoren!H83/1000, 0)</f>
        <v>0</v>
      </c>
      <c r="I248" s="15">
        <f>IF(ISNUMBER('Klisz-Verbräuche'!J83), 'Klisz-Verbräuche'!J83*Emissionsfaktoren!I83/1000, 0)</f>
        <v>0</v>
      </c>
      <c r="J248" s="15">
        <f>IF(ISNUMBER('Klisz-Verbräuche'!K83), 'Klisz-Verbräuche'!K83*Emissionsfaktoren!J83/1000, 0)</f>
        <v>0</v>
      </c>
      <c r="K248" s="15">
        <f>IF(ISNUMBER('Klisz-Verbräuche'!L83), 'Klisz-Verbräuche'!L83*Emissionsfaktoren!K83/1000, 0)</f>
        <v>0</v>
      </c>
      <c r="L248" s="15">
        <f>IF(ISNUMBER('Klisz-Verbräuche'!M83), 'Klisz-Verbräuche'!M83*Emissionsfaktoren!L83/1000, 0)</f>
        <v>0</v>
      </c>
      <c r="M248" s="15">
        <f>IF(ISNUMBER('Klisz-Verbräuche'!N83), 'Klisz-Verbräuche'!N83*Emissionsfaktoren!M83/1000, 0)</f>
        <v>0</v>
      </c>
      <c r="N248" s="15">
        <f>IF(ISNUMBER('Klisz-Verbräuche'!O83), 'Klisz-Verbräuche'!O83*Emissionsfaktoren!N83/1000, 0)</f>
        <v>0</v>
      </c>
      <c r="O248" s="15">
        <f>IF(ISNUMBER('Klisz-Verbräuche'!P83), 'Klisz-Verbräuche'!P83*Emissionsfaktoren!O83/1000, 0)</f>
        <v>0</v>
      </c>
      <c r="P248" s="15">
        <f>IF(ISNUMBER('Klisz-Verbräuche'!Q83), 'Klisz-Verbräuche'!Q83*Emissionsfaktoren!P83/1000, 0)</f>
        <v>0</v>
      </c>
      <c r="Q248" s="15">
        <f>IF(ISNUMBER('Klisz-Verbräuche'!R83), 'Klisz-Verbräuche'!R83*Emissionsfaktoren!Q83/1000, 0)</f>
        <v>0</v>
      </c>
      <c r="R248" s="15">
        <f>IF(ISNUMBER('Klisz-Verbräuche'!S83), 'Klisz-Verbräuche'!S83*Emissionsfaktoren!R83/1000, 0)</f>
        <v>0</v>
      </c>
      <c r="S248" s="15">
        <f>IF(ISNUMBER('Klisz-Verbräuche'!T83), 'Klisz-Verbräuche'!T83*Emissionsfaktoren!S83/1000, 0)</f>
        <v>0</v>
      </c>
      <c r="T248" s="15">
        <f>IF(ISNUMBER('Klisz-Verbräuche'!U83), 'Klisz-Verbräuche'!U83*Emissionsfaktoren!T83/1000, 0)</f>
        <v>0</v>
      </c>
      <c r="U248" s="15">
        <f>IF(ISNUMBER('Klisz-Verbräuche'!V83), 'Klisz-Verbräuche'!V83*Emissionsfaktoren!U83/1000, 0)</f>
        <v>0</v>
      </c>
      <c r="V248" s="15">
        <f>IF(ISNUMBER('Klisz-Verbräuche'!W83), 'Klisz-Verbräuche'!W83*Emissionsfaktoren!V83/1000, 0)</f>
        <v>0</v>
      </c>
      <c r="W248" s="15">
        <f>IF(ISNUMBER('Klisz-Verbräuche'!X83), 'Klisz-Verbräuche'!X83*Emissionsfaktoren!W83/1000, 0)</f>
        <v>0</v>
      </c>
      <c r="X248" s="15">
        <f>IF(ISNUMBER('Klisz-Verbräuche'!Y83), 'Klisz-Verbräuche'!Y83*Emissionsfaktoren!X83/1000, 0)</f>
        <v>0</v>
      </c>
    </row>
    <row r="249" spans="2:24" ht="16.5" hidden="1" x14ac:dyDescent="0.45">
      <c r="B249" s="15">
        <v>24</v>
      </c>
      <c r="C249" s="20" t="str">
        <f>'Refsz-Verbräuche'!C84</f>
        <v>Wärme (Sole-Wasser-Wärmepumpe; Ökostrom)</v>
      </c>
      <c r="D249" t="s">
        <v>208</v>
      </c>
      <c r="E249" s="15">
        <f>IF(ISNUMBER('Klisz-Verbräuche'!F84), 'Klisz-Verbräuche'!F84*Emissionsfaktoren!E84/1000, 0)</f>
        <v>0</v>
      </c>
      <c r="F249" s="15">
        <f>IF(ISNUMBER('Klisz-Verbräuche'!G84), 'Klisz-Verbräuche'!G84*Emissionsfaktoren!F84/1000, 0)</f>
        <v>0</v>
      </c>
      <c r="G249" s="15">
        <f>IF(ISNUMBER('Klisz-Verbräuche'!H84), 'Klisz-Verbräuche'!H84*Emissionsfaktoren!G84/1000, 0)</f>
        <v>0</v>
      </c>
      <c r="H249" s="15">
        <f>IF(ISNUMBER('Klisz-Verbräuche'!I84), 'Klisz-Verbräuche'!I84*Emissionsfaktoren!H84/1000, 0)</f>
        <v>0</v>
      </c>
      <c r="I249" s="15">
        <f>IF(ISNUMBER('Klisz-Verbräuche'!J84), 'Klisz-Verbräuche'!J84*Emissionsfaktoren!I84/1000, 0)</f>
        <v>0</v>
      </c>
      <c r="J249" s="15">
        <f>IF(ISNUMBER('Klisz-Verbräuche'!K84), 'Klisz-Verbräuche'!K84*Emissionsfaktoren!J84/1000, 0)</f>
        <v>0</v>
      </c>
      <c r="K249" s="15">
        <f>IF(ISNUMBER('Klisz-Verbräuche'!L84), 'Klisz-Verbräuche'!L84*Emissionsfaktoren!K84/1000, 0)</f>
        <v>0</v>
      </c>
      <c r="L249" s="15">
        <f>IF(ISNUMBER('Klisz-Verbräuche'!M84), 'Klisz-Verbräuche'!M84*Emissionsfaktoren!L84/1000, 0)</f>
        <v>0</v>
      </c>
      <c r="M249" s="15">
        <f>IF(ISNUMBER('Klisz-Verbräuche'!N84), 'Klisz-Verbräuche'!N84*Emissionsfaktoren!M84/1000, 0)</f>
        <v>0</v>
      </c>
      <c r="N249" s="15">
        <f>IF(ISNUMBER('Klisz-Verbräuche'!O84), 'Klisz-Verbräuche'!O84*Emissionsfaktoren!N84/1000, 0)</f>
        <v>0</v>
      </c>
      <c r="O249" s="15">
        <f>IF(ISNUMBER('Klisz-Verbräuche'!P84), 'Klisz-Verbräuche'!P84*Emissionsfaktoren!O84/1000, 0)</f>
        <v>0</v>
      </c>
      <c r="P249" s="15">
        <f>IF(ISNUMBER('Klisz-Verbräuche'!Q84), 'Klisz-Verbräuche'!Q84*Emissionsfaktoren!P84/1000, 0)</f>
        <v>0</v>
      </c>
      <c r="Q249" s="15">
        <f>IF(ISNUMBER('Klisz-Verbräuche'!R84), 'Klisz-Verbräuche'!R84*Emissionsfaktoren!Q84/1000, 0)</f>
        <v>0</v>
      </c>
      <c r="R249" s="15">
        <f>IF(ISNUMBER('Klisz-Verbräuche'!S84), 'Klisz-Verbräuche'!S84*Emissionsfaktoren!R84/1000, 0)</f>
        <v>0</v>
      </c>
      <c r="S249" s="15">
        <f>IF(ISNUMBER('Klisz-Verbräuche'!T84), 'Klisz-Verbräuche'!T84*Emissionsfaktoren!S84/1000, 0)</f>
        <v>0</v>
      </c>
      <c r="T249" s="15">
        <f>IF(ISNUMBER('Klisz-Verbräuche'!U84), 'Klisz-Verbräuche'!U84*Emissionsfaktoren!T84/1000, 0)</f>
        <v>0</v>
      </c>
      <c r="U249" s="15">
        <f>IF(ISNUMBER('Klisz-Verbräuche'!V84), 'Klisz-Verbräuche'!V84*Emissionsfaktoren!U84/1000, 0)</f>
        <v>0</v>
      </c>
      <c r="V249" s="15">
        <f>IF(ISNUMBER('Klisz-Verbräuche'!W84), 'Klisz-Verbräuche'!W84*Emissionsfaktoren!V84/1000, 0)</f>
        <v>0</v>
      </c>
      <c r="W249" s="15">
        <f>IF(ISNUMBER('Klisz-Verbräuche'!X84), 'Klisz-Verbräuche'!X84*Emissionsfaktoren!W84/1000, 0)</f>
        <v>0</v>
      </c>
      <c r="X249" s="15">
        <f>IF(ISNUMBER('Klisz-Verbräuche'!Y84), 'Klisz-Verbräuche'!Y84*Emissionsfaktoren!X84/1000, 0)</f>
        <v>0</v>
      </c>
    </row>
    <row r="250" spans="2:24" ht="16.5" hidden="1" x14ac:dyDescent="0.45">
      <c r="B250" s="15">
        <v>25</v>
      </c>
      <c r="C250" s="20" t="str">
        <f>'Refsz-Verbräuche'!C85</f>
        <v>Wärme (individuelle Wärmepumpe)</v>
      </c>
      <c r="D250" t="s">
        <v>208</v>
      </c>
      <c r="E250" s="15">
        <f>IF(ISNUMBER('Klisz-Verbräuche'!F83), 'Klisz-Verbräuche'!F83*Emissionsfaktoren!E85/1000, 0)</f>
        <v>0</v>
      </c>
      <c r="F250" s="15">
        <f>IF(ISNUMBER('Klisz-Verbräuche'!G83), 'Klisz-Verbräuche'!G83*Emissionsfaktoren!F85/1000, 0)</f>
        <v>0</v>
      </c>
      <c r="G250" s="15">
        <f>IF(ISNUMBER('Klisz-Verbräuche'!H83), 'Klisz-Verbräuche'!H83*Emissionsfaktoren!G85/1000, 0)</f>
        <v>0</v>
      </c>
      <c r="H250" s="15">
        <f>IF(ISNUMBER('Klisz-Verbräuche'!I83), 'Klisz-Verbräuche'!I83*Emissionsfaktoren!H85/1000, 0)</f>
        <v>0</v>
      </c>
      <c r="I250" s="15">
        <f>IF(ISNUMBER('Klisz-Verbräuche'!J83), 'Klisz-Verbräuche'!J83*Emissionsfaktoren!I85/1000, 0)</f>
        <v>0</v>
      </c>
      <c r="J250" s="15">
        <f>IF(ISNUMBER('Klisz-Verbräuche'!K83), 'Klisz-Verbräuche'!K83*Emissionsfaktoren!J85/1000, 0)</f>
        <v>0</v>
      </c>
      <c r="K250" s="15">
        <f>IF(ISNUMBER('Klisz-Verbräuche'!L83), 'Klisz-Verbräuche'!L83*Emissionsfaktoren!K85/1000, 0)</f>
        <v>0</v>
      </c>
      <c r="L250" s="15">
        <f>IF(ISNUMBER('Klisz-Verbräuche'!M83), 'Klisz-Verbräuche'!M83*Emissionsfaktoren!L85/1000, 0)</f>
        <v>0</v>
      </c>
      <c r="M250" s="15">
        <f>IF(ISNUMBER('Klisz-Verbräuche'!N83), 'Klisz-Verbräuche'!N83*Emissionsfaktoren!M85/1000, 0)</f>
        <v>0</v>
      </c>
      <c r="N250" s="15">
        <f>IF(ISNUMBER('Klisz-Verbräuche'!O83), 'Klisz-Verbräuche'!O83*Emissionsfaktoren!N85/1000, 0)</f>
        <v>0</v>
      </c>
      <c r="O250" s="15">
        <f>IF(ISNUMBER('Klisz-Verbräuche'!P83), 'Klisz-Verbräuche'!P83*Emissionsfaktoren!O85/1000, 0)</f>
        <v>0</v>
      </c>
      <c r="P250" s="15">
        <f>IF(ISNUMBER('Klisz-Verbräuche'!Q83), 'Klisz-Verbräuche'!Q83*Emissionsfaktoren!P85/1000, 0)</f>
        <v>0</v>
      </c>
      <c r="Q250" s="15">
        <f>IF(ISNUMBER('Klisz-Verbräuche'!R83), 'Klisz-Verbräuche'!R83*Emissionsfaktoren!Q85/1000, 0)</f>
        <v>0</v>
      </c>
      <c r="R250" s="15">
        <f>IF(ISNUMBER('Klisz-Verbräuche'!S83), 'Klisz-Verbräuche'!S83*Emissionsfaktoren!R85/1000, 0)</f>
        <v>0</v>
      </c>
      <c r="S250" s="15">
        <f>IF(ISNUMBER('Klisz-Verbräuche'!T83), 'Klisz-Verbräuche'!T83*Emissionsfaktoren!S85/1000, 0)</f>
        <v>0</v>
      </c>
      <c r="T250" s="15">
        <f>IF(ISNUMBER('Klisz-Verbräuche'!U83), 'Klisz-Verbräuche'!U83*Emissionsfaktoren!T85/1000, 0)</f>
        <v>0</v>
      </c>
      <c r="U250" s="15">
        <f>IF(ISNUMBER('Klisz-Verbräuche'!V83), 'Klisz-Verbräuche'!V83*Emissionsfaktoren!U85/1000, 0)</f>
        <v>0</v>
      </c>
      <c r="V250" s="15">
        <f>IF(ISNUMBER('Klisz-Verbräuche'!W83), 'Klisz-Verbräuche'!W83*Emissionsfaktoren!V85/1000, 0)</f>
        <v>0</v>
      </c>
      <c r="W250" s="15">
        <f>IF(ISNUMBER('Klisz-Verbräuche'!X83), 'Klisz-Verbräuche'!X83*Emissionsfaktoren!W85/1000, 0)</f>
        <v>0</v>
      </c>
      <c r="X250" s="15">
        <f>IF(ISNUMBER('Klisz-Verbräuche'!Y83), 'Klisz-Verbräuche'!Y83*Emissionsfaktoren!X85/1000, 0)</f>
        <v>0</v>
      </c>
    </row>
    <row r="251" spans="2:24" ht="16.5" hidden="1" x14ac:dyDescent="0.45">
      <c r="B251" s="15">
        <v>26</v>
      </c>
      <c r="C251" s="20" t="str">
        <f>'Refsz-Verbräuche'!C86</f>
        <v>Kältemittel (R22)</v>
      </c>
      <c r="D251" t="s">
        <v>208</v>
      </c>
      <c r="E251" s="15">
        <f>IF(ISNUMBER('Klisz-Verbräuche'!F86), 'Klisz-Verbräuche'!F86*Emissionsfaktoren!E86/1000, 0)</f>
        <v>0</v>
      </c>
      <c r="F251" s="15">
        <f>IF(ISNUMBER('Klisz-Verbräuche'!G86), 'Klisz-Verbräuche'!G86*Emissionsfaktoren!F86/1000, 0)</f>
        <v>0</v>
      </c>
      <c r="G251" s="15">
        <f>IF(ISNUMBER('Klisz-Verbräuche'!H86), 'Klisz-Verbräuche'!H86*Emissionsfaktoren!G86/1000, 0)</f>
        <v>0</v>
      </c>
      <c r="H251" s="15">
        <f>IF(ISNUMBER('Klisz-Verbräuche'!I86), 'Klisz-Verbräuche'!I86*Emissionsfaktoren!H86/1000, 0)</f>
        <v>0</v>
      </c>
      <c r="I251" s="15">
        <f>IF(ISNUMBER('Klisz-Verbräuche'!J86), 'Klisz-Verbräuche'!J86*Emissionsfaktoren!I86/1000, 0)</f>
        <v>0</v>
      </c>
      <c r="J251" s="15">
        <f>IF(ISNUMBER('Klisz-Verbräuche'!K86), 'Klisz-Verbräuche'!K86*Emissionsfaktoren!J86/1000, 0)</f>
        <v>0</v>
      </c>
      <c r="K251" s="15">
        <f>IF(ISNUMBER('Klisz-Verbräuche'!L86), 'Klisz-Verbräuche'!L86*Emissionsfaktoren!K86/1000, 0)</f>
        <v>0</v>
      </c>
      <c r="L251" s="15">
        <f>IF(ISNUMBER('Klisz-Verbräuche'!M86), 'Klisz-Verbräuche'!M86*Emissionsfaktoren!L86/1000, 0)</f>
        <v>0</v>
      </c>
      <c r="M251" s="15">
        <f>IF(ISNUMBER('Klisz-Verbräuche'!N86), 'Klisz-Verbräuche'!N86*Emissionsfaktoren!M86/1000, 0)</f>
        <v>0</v>
      </c>
      <c r="N251" s="15">
        <f>IF(ISNUMBER('Klisz-Verbräuche'!O86), 'Klisz-Verbräuche'!O86*Emissionsfaktoren!N86/1000, 0)</f>
        <v>0</v>
      </c>
      <c r="O251" s="15">
        <f>IF(ISNUMBER('Klisz-Verbräuche'!P86), 'Klisz-Verbräuche'!P86*Emissionsfaktoren!O86/1000, 0)</f>
        <v>0</v>
      </c>
      <c r="P251" s="15">
        <f>IF(ISNUMBER('Klisz-Verbräuche'!Q86), 'Klisz-Verbräuche'!Q86*Emissionsfaktoren!P86/1000, 0)</f>
        <v>0</v>
      </c>
      <c r="Q251" s="15">
        <f>IF(ISNUMBER('Klisz-Verbräuche'!R86), 'Klisz-Verbräuche'!R86*Emissionsfaktoren!Q86/1000, 0)</f>
        <v>0</v>
      </c>
      <c r="R251" s="15">
        <f>IF(ISNUMBER('Klisz-Verbräuche'!S86), 'Klisz-Verbräuche'!S86*Emissionsfaktoren!R86/1000, 0)</f>
        <v>0</v>
      </c>
      <c r="S251" s="15">
        <f>IF(ISNUMBER('Klisz-Verbräuche'!T86), 'Klisz-Verbräuche'!T86*Emissionsfaktoren!S86/1000, 0)</f>
        <v>0</v>
      </c>
      <c r="T251" s="15">
        <f>IF(ISNUMBER('Klisz-Verbräuche'!U86), 'Klisz-Verbräuche'!U86*Emissionsfaktoren!T86/1000, 0)</f>
        <v>0</v>
      </c>
      <c r="U251" s="15">
        <f>IF(ISNUMBER('Klisz-Verbräuche'!V86), 'Klisz-Verbräuche'!V86*Emissionsfaktoren!U86/1000, 0)</f>
        <v>0</v>
      </c>
      <c r="V251" s="15">
        <f>IF(ISNUMBER('Klisz-Verbräuche'!W86), 'Klisz-Verbräuche'!W86*Emissionsfaktoren!V86/1000, 0)</f>
        <v>0</v>
      </c>
      <c r="W251" s="15">
        <f>IF(ISNUMBER('Klisz-Verbräuche'!X86), 'Klisz-Verbräuche'!X86*Emissionsfaktoren!W86/1000, 0)</f>
        <v>0</v>
      </c>
      <c r="X251" s="15">
        <f>IF(ISNUMBER('Klisz-Verbräuche'!Y86), 'Klisz-Verbräuche'!Y86*Emissionsfaktoren!X86/1000, 0)</f>
        <v>0</v>
      </c>
    </row>
    <row r="252" spans="2:24" ht="16.5" hidden="1" x14ac:dyDescent="0.45">
      <c r="B252" s="15">
        <v>27</v>
      </c>
      <c r="C252" s="20" t="str">
        <f>'Refsz-Verbräuche'!C87</f>
        <v>Kältemittel (R134A)</v>
      </c>
      <c r="D252" t="s">
        <v>208</v>
      </c>
      <c r="E252" s="15">
        <f>IF(ISNUMBER('Klisz-Verbräuche'!F87), 'Klisz-Verbräuche'!F87*Emissionsfaktoren!E87/1000, 0)</f>
        <v>0</v>
      </c>
      <c r="F252" s="15">
        <f>IF(ISNUMBER('Klisz-Verbräuche'!G87), 'Klisz-Verbräuche'!G87*Emissionsfaktoren!F87/1000, 0)</f>
        <v>0</v>
      </c>
      <c r="G252" s="15">
        <f>IF(ISNUMBER('Klisz-Verbräuche'!H87), 'Klisz-Verbräuche'!H87*Emissionsfaktoren!G87/1000, 0)</f>
        <v>0</v>
      </c>
      <c r="H252" s="15">
        <f>IF(ISNUMBER('Klisz-Verbräuche'!I87), 'Klisz-Verbräuche'!I87*Emissionsfaktoren!H87/1000, 0)</f>
        <v>0</v>
      </c>
      <c r="I252" s="15">
        <f>IF(ISNUMBER('Klisz-Verbräuche'!J87), 'Klisz-Verbräuche'!J87*Emissionsfaktoren!I87/1000, 0)</f>
        <v>0</v>
      </c>
      <c r="J252" s="15">
        <f>IF(ISNUMBER('Klisz-Verbräuche'!K87), 'Klisz-Verbräuche'!K87*Emissionsfaktoren!J87/1000, 0)</f>
        <v>0</v>
      </c>
      <c r="K252" s="15">
        <f>IF(ISNUMBER('Klisz-Verbräuche'!L87), 'Klisz-Verbräuche'!L87*Emissionsfaktoren!K87/1000, 0)</f>
        <v>0</v>
      </c>
      <c r="L252" s="15">
        <f>IF(ISNUMBER('Klisz-Verbräuche'!M87), 'Klisz-Verbräuche'!M87*Emissionsfaktoren!L87/1000, 0)</f>
        <v>0</v>
      </c>
      <c r="M252" s="15">
        <f>IF(ISNUMBER('Klisz-Verbräuche'!N87), 'Klisz-Verbräuche'!N87*Emissionsfaktoren!M87/1000, 0)</f>
        <v>0</v>
      </c>
      <c r="N252" s="15">
        <f>IF(ISNUMBER('Klisz-Verbräuche'!O87), 'Klisz-Verbräuche'!O87*Emissionsfaktoren!N87/1000, 0)</f>
        <v>0</v>
      </c>
      <c r="O252" s="15">
        <f>IF(ISNUMBER('Klisz-Verbräuche'!P87), 'Klisz-Verbräuche'!P87*Emissionsfaktoren!O87/1000, 0)</f>
        <v>0</v>
      </c>
      <c r="P252" s="15">
        <f>IF(ISNUMBER('Klisz-Verbräuche'!Q87), 'Klisz-Verbräuche'!Q87*Emissionsfaktoren!P87/1000, 0)</f>
        <v>0</v>
      </c>
      <c r="Q252" s="15">
        <f>IF(ISNUMBER('Klisz-Verbräuche'!R87), 'Klisz-Verbräuche'!R87*Emissionsfaktoren!Q87/1000, 0)</f>
        <v>0</v>
      </c>
      <c r="R252" s="15">
        <f>IF(ISNUMBER('Klisz-Verbräuche'!S87), 'Klisz-Verbräuche'!S87*Emissionsfaktoren!R87/1000, 0)</f>
        <v>0</v>
      </c>
      <c r="S252" s="15">
        <f>IF(ISNUMBER('Klisz-Verbräuche'!T87), 'Klisz-Verbräuche'!T87*Emissionsfaktoren!S87/1000, 0)</f>
        <v>0</v>
      </c>
      <c r="T252" s="15">
        <f>IF(ISNUMBER('Klisz-Verbräuche'!U87), 'Klisz-Verbräuche'!U87*Emissionsfaktoren!T87/1000, 0)</f>
        <v>0</v>
      </c>
      <c r="U252" s="15">
        <f>IF(ISNUMBER('Klisz-Verbräuche'!V87), 'Klisz-Verbräuche'!V87*Emissionsfaktoren!U87/1000, 0)</f>
        <v>0</v>
      </c>
      <c r="V252" s="15">
        <f>IF(ISNUMBER('Klisz-Verbräuche'!W87), 'Klisz-Verbräuche'!W87*Emissionsfaktoren!V87/1000, 0)</f>
        <v>0</v>
      </c>
      <c r="W252" s="15">
        <f>IF(ISNUMBER('Klisz-Verbräuche'!X87), 'Klisz-Verbräuche'!X87*Emissionsfaktoren!W87/1000, 0)</f>
        <v>0</v>
      </c>
      <c r="X252" s="15">
        <f>IF(ISNUMBER('Klisz-Verbräuche'!Y87), 'Klisz-Verbräuche'!Y87*Emissionsfaktoren!X87/1000, 0)</f>
        <v>0</v>
      </c>
    </row>
    <row r="253" spans="2:24" ht="16.5" hidden="1" x14ac:dyDescent="0.45">
      <c r="B253" s="15">
        <v>28</v>
      </c>
      <c r="C253" s="20" t="str">
        <f>'Refsz-Verbräuche'!C88</f>
        <v>Kältemittel (R404A)</v>
      </c>
      <c r="D253" t="s">
        <v>208</v>
      </c>
      <c r="E253" s="15">
        <f>IF(ISNUMBER('Klisz-Verbräuche'!F88), 'Klisz-Verbräuche'!F88*Emissionsfaktoren!E88/1000, 0)</f>
        <v>0</v>
      </c>
      <c r="F253" s="15">
        <f>IF(ISNUMBER('Klisz-Verbräuche'!G88), 'Klisz-Verbräuche'!G88*Emissionsfaktoren!F88/1000, 0)</f>
        <v>0</v>
      </c>
      <c r="G253" s="15">
        <f>IF(ISNUMBER('Klisz-Verbräuche'!H88), 'Klisz-Verbräuche'!H88*Emissionsfaktoren!G88/1000, 0)</f>
        <v>0</v>
      </c>
      <c r="H253" s="15">
        <f>IF(ISNUMBER('Klisz-Verbräuche'!I88), 'Klisz-Verbräuche'!I88*Emissionsfaktoren!H88/1000, 0)</f>
        <v>0</v>
      </c>
      <c r="I253" s="15">
        <f>IF(ISNUMBER('Klisz-Verbräuche'!J88), 'Klisz-Verbräuche'!J88*Emissionsfaktoren!I88/1000, 0)</f>
        <v>0</v>
      </c>
      <c r="J253" s="15">
        <f>IF(ISNUMBER('Klisz-Verbräuche'!K88), 'Klisz-Verbräuche'!K88*Emissionsfaktoren!J88/1000, 0)</f>
        <v>0</v>
      </c>
      <c r="K253" s="15">
        <f>IF(ISNUMBER('Klisz-Verbräuche'!L88), 'Klisz-Verbräuche'!L88*Emissionsfaktoren!K88/1000, 0)</f>
        <v>0</v>
      </c>
      <c r="L253" s="15">
        <f>IF(ISNUMBER('Klisz-Verbräuche'!M88), 'Klisz-Verbräuche'!M88*Emissionsfaktoren!L88/1000, 0)</f>
        <v>0</v>
      </c>
      <c r="M253" s="15">
        <f>IF(ISNUMBER('Klisz-Verbräuche'!N88), 'Klisz-Verbräuche'!N88*Emissionsfaktoren!M88/1000, 0)</f>
        <v>0</v>
      </c>
      <c r="N253" s="15">
        <f>IF(ISNUMBER('Klisz-Verbräuche'!O88), 'Klisz-Verbräuche'!O88*Emissionsfaktoren!N88/1000, 0)</f>
        <v>0</v>
      </c>
      <c r="O253" s="15">
        <f>IF(ISNUMBER('Klisz-Verbräuche'!P88), 'Klisz-Verbräuche'!P88*Emissionsfaktoren!O88/1000, 0)</f>
        <v>0</v>
      </c>
      <c r="P253" s="15">
        <f>IF(ISNUMBER('Klisz-Verbräuche'!Q88), 'Klisz-Verbräuche'!Q88*Emissionsfaktoren!P88/1000, 0)</f>
        <v>0</v>
      </c>
      <c r="Q253" s="15">
        <f>IF(ISNUMBER('Klisz-Verbräuche'!R88), 'Klisz-Verbräuche'!R88*Emissionsfaktoren!Q88/1000, 0)</f>
        <v>0</v>
      </c>
      <c r="R253" s="15">
        <f>IF(ISNUMBER('Klisz-Verbräuche'!S88), 'Klisz-Verbräuche'!S88*Emissionsfaktoren!R88/1000, 0)</f>
        <v>0</v>
      </c>
      <c r="S253" s="15">
        <f>IF(ISNUMBER('Klisz-Verbräuche'!T88), 'Klisz-Verbräuche'!T88*Emissionsfaktoren!S88/1000, 0)</f>
        <v>0</v>
      </c>
      <c r="T253" s="15">
        <f>IF(ISNUMBER('Klisz-Verbräuche'!U88), 'Klisz-Verbräuche'!U88*Emissionsfaktoren!T88/1000, 0)</f>
        <v>0</v>
      </c>
      <c r="U253" s="15">
        <f>IF(ISNUMBER('Klisz-Verbräuche'!V88), 'Klisz-Verbräuche'!V88*Emissionsfaktoren!U88/1000, 0)</f>
        <v>0</v>
      </c>
      <c r="V253" s="15">
        <f>IF(ISNUMBER('Klisz-Verbräuche'!W88), 'Klisz-Verbräuche'!W88*Emissionsfaktoren!V88/1000, 0)</f>
        <v>0</v>
      </c>
      <c r="W253" s="15">
        <f>IF(ISNUMBER('Klisz-Verbräuche'!X88), 'Klisz-Verbräuche'!X88*Emissionsfaktoren!W88/1000, 0)</f>
        <v>0</v>
      </c>
      <c r="X253" s="15">
        <f>IF(ISNUMBER('Klisz-Verbräuche'!Y88), 'Klisz-Verbräuche'!Y88*Emissionsfaktoren!X88/1000, 0)</f>
        <v>0</v>
      </c>
    </row>
    <row r="254" spans="2:24" ht="16.5" hidden="1" x14ac:dyDescent="0.45">
      <c r="B254" s="15">
        <v>29</v>
      </c>
      <c r="C254" s="20" t="str">
        <f>'Refsz-Verbräuche'!C89</f>
        <v>Kältemittel (R410A)</v>
      </c>
      <c r="D254" t="s">
        <v>208</v>
      </c>
      <c r="E254" s="15">
        <f>IF(ISNUMBER('Klisz-Verbräuche'!F89), 'Klisz-Verbräuche'!F89*Emissionsfaktoren!E89/1000, 0)</f>
        <v>0</v>
      </c>
      <c r="F254" s="15">
        <f>IF(ISNUMBER('Klisz-Verbräuche'!G89), 'Klisz-Verbräuche'!G89*Emissionsfaktoren!F89/1000, 0)</f>
        <v>0</v>
      </c>
      <c r="G254" s="15">
        <f>IF(ISNUMBER('Klisz-Verbräuche'!H89), 'Klisz-Verbräuche'!H89*Emissionsfaktoren!G89/1000, 0)</f>
        <v>0</v>
      </c>
      <c r="H254" s="15">
        <f>IF(ISNUMBER('Klisz-Verbräuche'!I89), 'Klisz-Verbräuche'!I89*Emissionsfaktoren!H89/1000, 0)</f>
        <v>0</v>
      </c>
      <c r="I254" s="15">
        <f>IF(ISNUMBER('Klisz-Verbräuche'!J89), 'Klisz-Verbräuche'!J89*Emissionsfaktoren!I89/1000, 0)</f>
        <v>0</v>
      </c>
      <c r="J254" s="15">
        <f>IF(ISNUMBER('Klisz-Verbräuche'!K89), 'Klisz-Verbräuche'!K89*Emissionsfaktoren!J89/1000, 0)</f>
        <v>0</v>
      </c>
      <c r="K254" s="15">
        <f>IF(ISNUMBER('Klisz-Verbräuche'!L89), 'Klisz-Verbräuche'!L89*Emissionsfaktoren!K89/1000, 0)</f>
        <v>0</v>
      </c>
      <c r="L254" s="15">
        <f>IF(ISNUMBER('Klisz-Verbräuche'!M89), 'Klisz-Verbräuche'!M89*Emissionsfaktoren!L89/1000, 0)</f>
        <v>0</v>
      </c>
      <c r="M254" s="15">
        <f>IF(ISNUMBER('Klisz-Verbräuche'!N89), 'Klisz-Verbräuche'!N89*Emissionsfaktoren!M89/1000, 0)</f>
        <v>0</v>
      </c>
      <c r="N254" s="15">
        <f>IF(ISNUMBER('Klisz-Verbräuche'!O89), 'Klisz-Verbräuche'!O89*Emissionsfaktoren!N89/1000, 0)</f>
        <v>0</v>
      </c>
      <c r="O254" s="15">
        <f>IF(ISNUMBER('Klisz-Verbräuche'!P89), 'Klisz-Verbräuche'!P89*Emissionsfaktoren!O89/1000, 0)</f>
        <v>0</v>
      </c>
      <c r="P254" s="15">
        <f>IF(ISNUMBER('Klisz-Verbräuche'!Q89), 'Klisz-Verbräuche'!Q89*Emissionsfaktoren!P89/1000, 0)</f>
        <v>0</v>
      </c>
      <c r="Q254" s="15">
        <f>IF(ISNUMBER('Klisz-Verbräuche'!R89), 'Klisz-Verbräuche'!R89*Emissionsfaktoren!Q89/1000, 0)</f>
        <v>0</v>
      </c>
      <c r="R254" s="15">
        <f>IF(ISNUMBER('Klisz-Verbräuche'!S89), 'Klisz-Verbräuche'!S89*Emissionsfaktoren!R89/1000, 0)</f>
        <v>0</v>
      </c>
      <c r="S254" s="15">
        <f>IF(ISNUMBER('Klisz-Verbräuche'!T89), 'Klisz-Verbräuche'!T89*Emissionsfaktoren!S89/1000, 0)</f>
        <v>0</v>
      </c>
      <c r="T254" s="15">
        <f>IF(ISNUMBER('Klisz-Verbräuche'!U89), 'Klisz-Verbräuche'!U89*Emissionsfaktoren!T89/1000, 0)</f>
        <v>0</v>
      </c>
      <c r="U254" s="15">
        <f>IF(ISNUMBER('Klisz-Verbräuche'!V89), 'Klisz-Verbräuche'!V89*Emissionsfaktoren!U89/1000, 0)</f>
        <v>0</v>
      </c>
      <c r="V254" s="15">
        <f>IF(ISNUMBER('Klisz-Verbräuche'!W89), 'Klisz-Verbräuche'!W89*Emissionsfaktoren!V89/1000, 0)</f>
        <v>0</v>
      </c>
      <c r="W254" s="15">
        <f>IF(ISNUMBER('Klisz-Verbräuche'!X89), 'Klisz-Verbräuche'!X89*Emissionsfaktoren!W89/1000, 0)</f>
        <v>0</v>
      </c>
      <c r="X254" s="15">
        <f>IF(ISNUMBER('Klisz-Verbräuche'!Y89), 'Klisz-Verbräuche'!Y89*Emissionsfaktoren!X89/1000, 0)</f>
        <v>0</v>
      </c>
    </row>
    <row r="255" spans="2:24" ht="16.5" hidden="1" x14ac:dyDescent="0.45">
      <c r="B255" s="15">
        <v>30</v>
      </c>
      <c r="C255" s="20">
        <f>'Refsz-Verbräuche'!C90</f>
        <v>0</v>
      </c>
      <c r="D255" t="s">
        <v>208</v>
      </c>
      <c r="E255" s="15">
        <f>IF(ISNUMBER('Klisz-Verbräuche'!F90), 'Klisz-Verbräuche'!F90*Emissionsfaktoren!E90/1000, 0)</f>
        <v>0</v>
      </c>
      <c r="F255" s="15">
        <f>IF(ISNUMBER('Klisz-Verbräuche'!G90), 'Klisz-Verbräuche'!G90*Emissionsfaktoren!F90/1000, 0)</f>
        <v>0</v>
      </c>
      <c r="G255" s="15">
        <f>IF(ISNUMBER('Klisz-Verbräuche'!H90), 'Klisz-Verbräuche'!H90*Emissionsfaktoren!G90/1000, 0)</f>
        <v>0</v>
      </c>
      <c r="H255" s="15">
        <f>IF(ISNUMBER('Klisz-Verbräuche'!I90), 'Klisz-Verbräuche'!I90*Emissionsfaktoren!H90/1000, 0)</f>
        <v>0</v>
      </c>
      <c r="I255" s="15">
        <f>IF(ISNUMBER('Klisz-Verbräuche'!J90), 'Klisz-Verbräuche'!J90*Emissionsfaktoren!I90/1000, 0)</f>
        <v>0</v>
      </c>
      <c r="J255" s="15">
        <f>IF(ISNUMBER('Klisz-Verbräuche'!K90), 'Klisz-Verbräuche'!K90*Emissionsfaktoren!J90/1000, 0)</f>
        <v>0</v>
      </c>
      <c r="K255" s="15">
        <f>IF(ISNUMBER('Klisz-Verbräuche'!L90), 'Klisz-Verbräuche'!L90*Emissionsfaktoren!K90/1000, 0)</f>
        <v>0</v>
      </c>
      <c r="L255" s="15">
        <f>IF(ISNUMBER('Klisz-Verbräuche'!M90), 'Klisz-Verbräuche'!M90*Emissionsfaktoren!L90/1000, 0)</f>
        <v>0</v>
      </c>
      <c r="M255" s="15">
        <f>IF(ISNUMBER('Klisz-Verbräuche'!N90), 'Klisz-Verbräuche'!N90*Emissionsfaktoren!M90/1000, 0)</f>
        <v>0</v>
      </c>
      <c r="N255" s="15">
        <f>IF(ISNUMBER('Klisz-Verbräuche'!O90), 'Klisz-Verbräuche'!O90*Emissionsfaktoren!N90/1000, 0)</f>
        <v>0</v>
      </c>
      <c r="O255" s="15">
        <f>IF(ISNUMBER('Klisz-Verbräuche'!P90), 'Klisz-Verbräuche'!P90*Emissionsfaktoren!O90/1000, 0)</f>
        <v>0</v>
      </c>
      <c r="P255" s="15">
        <f>IF(ISNUMBER('Klisz-Verbräuche'!Q90), 'Klisz-Verbräuche'!Q90*Emissionsfaktoren!P90/1000, 0)</f>
        <v>0</v>
      </c>
      <c r="Q255" s="15">
        <f>IF(ISNUMBER('Klisz-Verbräuche'!R90), 'Klisz-Verbräuche'!R90*Emissionsfaktoren!Q90/1000, 0)</f>
        <v>0</v>
      </c>
      <c r="R255" s="15">
        <f>IF(ISNUMBER('Klisz-Verbräuche'!S90), 'Klisz-Verbräuche'!S90*Emissionsfaktoren!R90/1000, 0)</f>
        <v>0</v>
      </c>
      <c r="S255" s="15">
        <f>IF(ISNUMBER('Klisz-Verbräuche'!T90), 'Klisz-Verbräuche'!T90*Emissionsfaktoren!S90/1000, 0)</f>
        <v>0</v>
      </c>
      <c r="T255" s="15">
        <f>IF(ISNUMBER('Klisz-Verbräuche'!U90), 'Klisz-Verbräuche'!U90*Emissionsfaktoren!T90/1000, 0)</f>
        <v>0</v>
      </c>
      <c r="U255" s="15">
        <f>IF(ISNUMBER('Klisz-Verbräuche'!V90), 'Klisz-Verbräuche'!V90*Emissionsfaktoren!U90/1000, 0)</f>
        <v>0</v>
      </c>
      <c r="V255" s="15">
        <f>IF(ISNUMBER('Klisz-Verbräuche'!W90), 'Klisz-Verbräuche'!W90*Emissionsfaktoren!V90/1000, 0)</f>
        <v>0</v>
      </c>
      <c r="W255" s="15">
        <f>IF(ISNUMBER('Klisz-Verbräuche'!X90), 'Klisz-Verbräuche'!X90*Emissionsfaktoren!W90/1000, 0)</f>
        <v>0</v>
      </c>
      <c r="X255" s="15">
        <f>IF(ISNUMBER('Klisz-Verbräuche'!Y90), 'Klisz-Verbräuche'!Y90*Emissionsfaktoren!X90/1000, 0)</f>
        <v>0</v>
      </c>
    </row>
    <row r="256" spans="2:24" ht="16.5" hidden="1" x14ac:dyDescent="0.45">
      <c r="B256" s="15">
        <v>31</v>
      </c>
      <c r="C256" s="20" t="str">
        <f>'Refsz-Verbräuche'!C91</f>
        <v>Fuhrpark (Diesel)</v>
      </c>
      <c r="D256" t="s">
        <v>208</v>
      </c>
      <c r="E256" s="15">
        <f>IF(ISNUMBER('Klisz-Verbräuche'!F91), 'Klisz-Verbräuche'!F91*Emissionsfaktoren!E91/1000, 0)</f>
        <v>0</v>
      </c>
      <c r="F256" s="15">
        <f>IF(ISNUMBER('Klisz-Verbräuche'!G91), 'Klisz-Verbräuche'!G91*Emissionsfaktoren!F91/1000, 0)</f>
        <v>0</v>
      </c>
      <c r="G256" s="15">
        <f>IF(ISNUMBER('Klisz-Verbräuche'!H91), 'Klisz-Verbräuche'!H91*Emissionsfaktoren!G91/1000, 0)</f>
        <v>0</v>
      </c>
      <c r="H256" s="15">
        <f>IF(ISNUMBER('Klisz-Verbräuche'!I91), 'Klisz-Verbräuche'!I91*Emissionsfaktoren!H91/1000, 0)</f>
        <v>0</v>
      </c>
      <c r="I256" s="15">
        <f>IF(ISNUMBER('Klisz-Verbräuche'!J91), 'Klisz-Verbräuche'!J91*Emissionsfaktoren!I91/1000, 0)</f>
        <v>0</v>
      </c>
      <c r="J256" s="15">
        <f>IF(ISNUMBER('Klisz-Verbräuche'!K91), 'Klisz-Verbräuche'!K91*Emissionsfaktoren!J91/1000, 0)</f>
        <v>0</v>
      </c>
      <c r="K256" s="15">
        <f>IF(ISNUMBER('Klisz-Verbräuche'!L91), 'Klisz-Verbräuche'!L91*Emissionsfaktoren!K91/1000, 0)</f>
        <v>0</v>
      </c>
      <c r="L256" s="15">
        <f>IF(ISNUMBER('Klisz-Verbräuche'!M91), 'Klisz-Verbräuche'!M91*Emissionsfaktoren!L91/1000, 0)</f>
        <v>0</v>
      </c>
      <c r="M256" s="15">
        <f>IF(ISNUMBER('Klisz-Verbräuche'!N91), 'Klisz-Verbräuche'!N91*Emissionsfaktoren!M91/1000, 0)</f>
        <v>0</v>
      </c>
      <c r="N256" s="15">
        <f>IF(ISNUMBER('Klisz-Verbräuche'!O91), 'Klisz-Verbräuche'!O91*Emissionsfaktoren!N91/1000, 0)</f>
        <v>0</v>
      </c>
      <c r="O256" s="15">
        <f>IF(ISNUMBER('Klisz-Verbräuche'!P91), 'Klisz-Verbräuche'!P91*Emissionsfaktoren!O91/1000, 0)</f>
        <v>0</v>
      </c>
      <c r="P256" s="15">
        <f>IF(ISNUMBER('Klisz-Verbräuche'!Q91), 'Klisz-Verbräuche'!Q91*Emissionsfaktoren!P91/1000, 0)</f>
        <v>0</v>
      </c>
      <c r="Q256" s="15">
        <f>IF(ISNUMBER('Klisz-Verbräuche'!R91), 'Klisz-Verbräuche'!R91*Emissionsfaktoren!Q91/1000, 0)</f>
        <v>0</v>
      </c>
      <c r="R256" s="15">
        <f>IF(ISNUMBER('Klisz-Verbräuche'!S91), 'Klisz-Verbräuche'!S91*Emissionsfaktoren!R91/1000, 0)</f>
        <v>0</v>
      </c>
      <c r="S256" s="15">
        <f>IF(ISNUMBER('Klisz-Verbräuche'!T91), 'Klisz-Verbräuche'!T91*Emissionsfaktoren!S91/1000, 0)</f>
        <v>0</v>
      </c>
      <c r="T256" s="15">
        <f>IF(ISNUMBER('Klisz-Verbräuche'!U91), 'Klisz-Verbräuche'!U91*Emissionsfaktoren!T91/1000, 0)</f>
        <v>0</v>
      </c>
      <c r="U256" s="15">
        <f>IF(ISNUMBER('Klisz-Verbräuche'!V91), 'Klisz-Verbräuche'!V91*Emissionsfaktoren!U91/1000, 0)</f>
        <v>0</v>
      </c>
      <c r="V256" s="15">
        <f>IF(ISNUMBER('Klisz-Verbräuche'!W91), 'Klisz-Verbräuche'!W91*Emissionsfaktoren!V91/1000, 0)</f>
        <v>0</v>
      </c>
      <c r="W256" s="15">
        <f>IF(ISNUMBER('Klisz-Verbräuche'!X91), 'Klisz-Verbräuche'!X91*Emissionsfaktoren!W91/1000, 0)</f>
        <v>0</v>
      </c>
      <c r="X256" s="15">
        <f>IF(ISNUMBER('Klisz-Verbräuche'!Y91), 'Klisz-Verbräuche'!Y91*Emissionsfaktoren!X91/1000, 0)</f>
        <v>0</v>
      </c>
    </row>
    <row r="257" spans="2:24" ht="16.5" hidden="1" x14ac:dyDescent="0.45">
      <c r="B257" s="15">
        <v>32</v>
      </c>
      <c r="C257" s="20" t="str">
        <f>'Refsz-Verbräuche'!C92</f>
        <v>Fuhrpark (Benzin)</v>
      </c>
      <c r="D257" t="s">
        <v>208</v>
      </c>
      <c r="E257" s="15">
        <f>IF(ISNUMBER('Klisz-Verbräuche'!F92), 'Klisz-Verbräuche'!F92*Emissionsfaktoren!E92/1000, 0)</f>
        <v>0</v>
      </c>
      <c r="F257" s="15">
        <f>IF(ISNUMBER('Klisz-Verbräuche'!G92), 'Klisz-Verbräuche'!G92*Emissionsfaktoren!F92/1000, 0)</f>
        <v>0</v>
      </c>
      <c r="G257" s="15">
        <f>IF(ISNUMBER('Klisz-Verbräuche'!H92), 'Klisz-Verbräuche'!H92*Emissionsfaktoren!G92/1000, 0)</f>
        <v>0</v>
      </c>
      <c r="H257" s="15">
        <f>IF(ISNUMBER('Klisz-Verbräuche'!I92), 'Klisz-Verbräuche'!I92*Emissionsfaktoren!H92/1000, 0)</f>
        <v>0</v>
      </c>
      <c r="I257" s="15">
        <f>IF(ISNUMBER('Klisz-Verbräuche'!J92), 'Klisz-Verbräuche'!J92*Emissionsfaktoren!I92/1000, 0)</f>
        <v>0</v>
      </c>
      <c r="J257" s="15">
        <f>IF(ISNUMBER('Klisz-Verbräuche'!K92), 'Klisz-Verbräuche'!K92*Emissionsfaktoren!J92/1000, 0)</f>
        <v>0</v>
      </c>
      <c r="K257" s="15">
        <f>IF(ISNUMBER('Klisz-Verbräuche'!L92), 'Klisz-Verbräuche'!L92*Emissionsfaktoren!K92/1000, 0)</f>
        <v>0</v>
      </c>
      <c r="L257" s="15">
        <f>IF(ISNUMBER('Klisz-Verbräuche'!M92), 'Klisz-Verbräuche'!M92*Emissionsfaktoren!L92/1000, 0)</f>
        <v>0</v>
      </c>
      <c r="M257" s="15">
        <f>IF(ISNUMBER('Klisz-Verbräuche'!N92), 'Klisz-Verbräuche'!N92*Emissionsfaktoren!M92/1000, 0)</f>
        <v>0</v>
      </c>
      <c r="N257" s="15">
        <f>IF(ISNUMBER('Klisz-Verbräuche'!O92), 'Klisz-Verbräuche'!O92*Emissionsfaktoren!N92/1000, 0)</f>
        <v>0</v>
      </c>
      <c r="O257" s="15">
        <f>IF(ISNUMBER('Klisz-Verbräuche'!P92), 'Klisz-Verbräuche'!P92*Emissionsfaktoren!O92/1000, 0)</f>
        <v>0</v>
      </c>
      <c r="P257" s="15">
        <f>IF(ISNUMBER('Klisz-Verbräuche'!Q92), 'Klisz-Verbräuche'!Q92*Emissionsfaktoren!P92/1000, 0)</f>
        <v>0</v>
      </c>
      <c r="Q257" s="15">
        <f>IF(ISNUMBER('Klisz-Verbräuche'!R92), 'Klisz-Verbräuche'!R92*Emissionsfaktoren!Q92/1000, 0)</f>
        <v>0</v>
      </c>
      <c r="R257" s="15">
        <f>IF(ISNUMBER('Klisz-Verbräuche'!S92), 'Klisz-Verbräuche'!S92*Emissionsfaktoren!R92/1000, 0)</f>
        <v>0</v>
      </c>
      <c r="S257" s="15">
        <f>IF(ISNUMBER('Klisz-Verbräuche'!T92), 'Klisz-Verbräuche'!T92*Emissionsfaktoren!S92/1000, 0)</f>
        <v>0</v>
      </c>
      <c r="T257" s="15">
        <f>IF(ISNUMBER('Klisz-Verbräuche'!U92), 'Klisz-Verbräuche'!U92*Emissionsfaktoren!T92/1000, 0)</f>
        <v>0</v>
      </c>
      <c r="U257" s="15">
        <f>IF(ISNUMBER('Klisz-Verbräuche'!V92), 'Klisz-Verbräuche'!V92*Emissionsfaktoren!U92/1000, 0)</f>
        <v>0</v>
      </c>
      <c r="V257" s="15">
        <f>IF(ISNUMBER('Klisz-Verbräuche'!W92), 'Klisz-Verbräuche'!W92*Emissionsfaktoren!V92/1000, 0)</f>
        <v>0</v>
      </c>
      <c r="W257" s="15">
        <f>IF(ISNUMBER('Klisz-Verbräuche'!X92), 'Klisz-Verbräuche'!X92*Emissionsfaktoren!W92/1000, 0)</f>
        <v>0</v>
      </c>
      <c r="X257" s="15">
        <f>IF(ISNUMBER('Klisz-Verbräuche'!Y92), 'Klisz-Verbräuche'!Y92*Emissionsfaktoren!X92/1000, 0)</f>
        <v>0</v>
      </c>
    </row>
    <row r="258" spans="2:24" ht="16.5" hidden="1" x14ac:dyDescent="0.45">
      <c r="B258" s="15">
        <v>33</v>
      </c>
      <c r="C258" s="20" t="str">
        <f>'Refsz-Verbräuche'!C93</f>
        <v>Fuhrpark (E-Auto/ BEV)</v>
      </c>
      <c r="D258" t="s">
        <v>208</v>
      </c>
      <c r="E258" s="15">
        <f>IF(ISNUMBER('Klisz-Verbräuche'!F93), 'Klisz-Verbräuche'!F93*Emissionsfaktoren!E93/1000, 0)</f>
        <v>0</v>
      </c>
      <c r="F258" s="15">
        <f>IF(ISNUMBER('Klisz-Verbräuche'!G93), 'Klisz-Verbräuche'!G93*Emissionsfaktoren!F93/1000, 0)</f>
        <v>0</v>
      </c>
      <c r="G258" s="15">
        <f>IF(ISNUMBER('Klisz-Verbräuche'!H93), 'Klisz-Verbräuche'!H93*Emissionsfaktoren!G93/1000, 0)</f>
        <v>0</v>
      </c>
      <c r="H258" s="15">
        <f>IF(ISNUMBER('Klisz-Verbräuche'!I93), 'Klisz-Verbräuche'!I93*Emissionsfaktoren!H93/1000, 0)</f>
        <v>0</v>
      </c>
      <c r="I258" s="15">
        <f>IF(ISNUMBER('Klisz-Verbräuche'!J93), 'Klisz-Verbräuche'!J93*Emissionsfaktoren!I93/1000, 0)</f>
        <v>0</v>
      </c>
      <c r="J258" s="15">
        <f>IF(ISNUMBER('Klisz-Verbräuche'!K93), 'Klisz-Verbräuche'!K93*Emissionsfaktoren!J93/1000, 0)</f>
        <v>0</v>
      </c>
      <c r="K258" s="15">
        <f>IF(ISNUMBER('Klisz-Verbräuche'!L93), 'Klisz-Verbräuche'!L93*Emissionsfaktoren!K93/1000, 0)</f>
        <v>0</v>
      </c>
      <c r="L258" s="15">
        <f>IF(ISNUMBER('Klisz-Verbräuche'!M93), 'Klisz-Verbräuche'!M93*Emissionsfaktoren!L93/1000, 0)</f>
        <v>0</v>
      </c>
      <c r="M258" s="15">
        <f>IF(ISNUMBER('Klisz-Verbräuche'!N93), 'Klisz-Verbräuche'!N93*Emissionsfaktoren!M93/1000, 0)</f>
        <v>0</v>
      </c>
      <c r="N258" s="15">
        <f>IF(ISNUMBER('Klisz-Verbräuche'!O93), 'Klisz-Verbräuche'!O93*Emissionsfaktoren!N93/1000, 0)</f>
        <v>0</v>
      </c>
      <c r="O258" s="15">
        <f>IF(ISNUMBER('Klisz-Verbräuche'!P93), 'Klisz-Verbräuche'!P93*Emissionsfaktoren!O93/1000, 0)</f>
        <v>0</v>
      </c>
      <c r="P258" s="15">
        <f>IF(ISNUMBER('Klisz-Verbräuche'!Q93), 'Klisz-Verbräuche'!Q93*Emissionsfaktoren!P93/1000, 0)</f>
        <v>0</v>
      </c>
      <c r="Q258" s="15">
        <f>IF(ISNUMBER('Klisz-Verbräuche'!R93), 'Klisz-Verbräuche'!R93*Emissionsfaktoren!Q93/1000, 0)</f>
        <v>0</v>
      </c>
      <c r="R258" s="15">
        <f>IF(ISNUMBER('Klisz-Verbräuche'!S93), 'Klisz-Verbräuche'!S93*Emissionsfaktoren!R93/1000, 0)</f>
        <v>0</v>
      </c>
      <c r="S258" s="15">
        <f>IF(ISNUMBER('Klisz-Verbräuche'!T93), 'Klisz-Verbräuche'!T93*Emissionsfaktoren!S93/1000, 0)</f>
        <v>0</v>
      </c>
      <c r="T258" s="15">
        <f>IF(ISNUMBER('Klisz-Verbräuche'!U93), 'Klisz-Verbräuche'!U93*Emissionsfaktoren!T93/1000, 0)</f>
        <v>0</v>
      </c>
      <c r="U258" s="15">
        <f>IF(ISNUMBER('Klisz-Verbräuche'!V93), 'Klisz-Verbräuche'!V93*Emissionsfaktoren!U93/1000, 0)</f>
        <v>0</v>
      </c>
      <c r="V258" s="15">
        <f>IF(ISNUMBER('Klisz-Verbräuche'!W93), 'Klisz-Verbräuche'!W93*Emissionsfaktoren!V93/1000, 0)</f>
        <v>0</v>
      </c>
      <c r="W258" s="15">
        <f>IF(ISNUMBER('Klisz-Verbräuche'!X93), 'Klisz-Verbräuche'!X93*Emissionsfaktoren!W93/1000, 0)</f>
        <v>0</v>
      </c>
      <c r="X258" s="15">
        <f>IF(ISNUMBER('Klisz-Verbräuche'!Y93), 'Klisz-Verbräuche'!Y93*Emissionsfaktoren!X93/1000, 0)</f>
        <v>0</v>
      </c>
    </row>
    <row r="259" spans="2:24" ht="16.5" hidden="1" x14ac:dyDescent="0.45">
      <c r="B259" s="15">
        <v>34</v>
      </c>
      <c r="C259" s="20" t="str">
        <f>'Refsz-Verbräuche'!C94</f>
        <v>Fuhrpark (Wasserstoff/ FCEV)</v>
      </c>
      <c r="D259" t="s">
        <v>208</v>
      </c>
      <c r="E259" s="15">
        <f>IF(ISNUMBER('Klisz-Verbräuche'!F94), 'Klisz-Verbräuche'!F94*Emissionsfaktoren!E94/1000, 0)</f>
        <v>0</v>
      </c>
      <c r="F259" s="15">
        <f>IF(ISNUMBER('Klisz-Verbräuche'!G94), 'Klisz-Verbräuche'!G94*Emissionsfaktoren!F94/1000, 0)</f>
        <v>0</v>
      </c>
      <c r="G259" s="15">
        <f>IF(ISNUMBER('Klisz-Verbräuche'!H94), 'Klisz-Verbräuche'!H94*Emissionsfaktoren!G94/1000, 0)</f>
        <v>0</v>
      </c>
      <c r="H259" s="15">
        <f>IF(ISNUMBER('Klisz-Verbräuche'!I94), 'Klisz-Verbräuche'!I94*Emissionsfaktoren!H94/1000, 0)</f>
        <v>0</v>
      </c>
      <c r="I259" s="15">
        <f>IF(ISNUMBER('Klisz-Verbräuche'!J94), 'Klisz-Verbräuche'!J94*Emissionsfaktoren!I94/1000, 0)</f>
        <v>0</v>
      </c>
      <c r="J259" s="15">
        <f>IF(ISNUMBER('Klisz-Verbräuche'!K94), 'Klisz-Verbräuche'!K94*Emissionsfaktoren!J94/1000, 0)</f>
        <v>0</v>
      </c>
      <c r="K259" s="15">
        <f>IF(ISNUMBER('Klisz-Verbräuche'!L94), 'Klisz-Verbräuche'!L94*Emissionsfaktoren!K94/1000, 0)</f>
        <v>0</v>
      </c>
      <c r="L259" s="15">
        <f>IF(ISNUMBER('Klisz-Verbräuche'!M94), 'Klisz-Verbräuche'!M94*Emissionsfaktoren!L94/1000, 0)</f>
        <v>0</v>
      </c>
      <c r="M259" s="15">
        <f>IF(ISNUMBER('Klisz-Verbräuche'!N94), 'Klisz-Verbräuche'!N94*Emissionsfaktoren!M94/1000, 0)</f>
        <v>0</v>
      </c>
      <c r="N259" s="15">
        <f>IF(ISNUMBER('Klisz-Verbräuche'!O94), 'Klisz-Verbräuche'!O94*Emissionsfaktoren!N94/1000, 0)</f>
        <v>0</v>
      </c>
      <c r="O259" s="15">
        <f>IF(ISNUMBER('Klisz-Verbräuche'!P94), 'Klisz-Verbräuche'!P94*Emissionsfaktoren!O94/1000, 0)</f>
        <v>0</v>
      </c>
      <c r="P259" s="15">
        <f>IF(ISNUMBER('Klisz-Verbräuche'!Q94), 'Klisz-Verbräuche'!Q94*Emissionsfaktoren!P94/1000, 0)</f>
        <v>0</v>
      </c>
      <c r="Q259" s="15">
        <f>IF(ISNUMBER('Klisz-Verbräuche'!R94), 'Klisz-Verbräuche'!R94*Emissionsfaktoren!Q94/1000, 0)</f>
        <v>0</v>
      </c>
      <c r="R259" s="15">
        <f>IF(ISNUMBER('Klisz-Verbräuche'!S94), 'Klisz-Verbräuche'!S94*Emissionsfaktoren!R94/1000, 0)</f>
        <v>0</v>
      </c>
      <c r="S259" s="15">
        <f>IF(ISNUMBER('Klisz-Verbräuche'!T94), 'Klisz-Verbräuche'!T94*Emissionsfaktoren!S94/1000, 0)</f>
        <v>0</v>
      </c>
      <c r="T259" s="15">
        <f>IF(ISNUMBER('Klisz-Verbräuche'!U94), 'Klisz-Verbräuche'!U94*Emissionsfaktoren!T94/1000, 0)</f>
        <v>0</v>
      </c>
      <c r="U259" s="15">
        <f>IF(ISNUMBER('Klisz-Verbräuche'!V94), 'Klisz-Verbräuche'!V94*Emissionsfaktoren!U94/1000, 0)</f>
        <v>0</v>
      </c>
      <c r="V259" s="15">
        <f>IF(ISNUMBER('Klisz-Verbräuche'!W94), 'Klisz-Verbräuche'!W94*Emissionsfaktoren!V94/1000, 0)</f>
        <v>0</v>
      </c>
      <c r="W259" s="15">
        <f>IF(ISNUMBER('Klisz-Verbräuche'!X94), 'Klisz-Verbräuche'!X94*Emissionsfaktoren!W94/1000, 0)</f>
        <v>0</v>
      </c>
      <c r="X259" s="15">
        <f>IF(ISNUMBER('Klisz-Verbräuche'!Y94), 'Klisz-Verbräuche'!Y94*Emissionsfaktoren!X94/1000, 0)</f>
        <v>0</v>
      </c>
    </row>
    <row r="260" spans="2:24" ht="16.5" hidden="1" x14ac:dyDescent="0.45">
      <c r="B260" s="15">
        <v>35</v>
      </c>
      <c r="C260" s="20" t="str">
        <f>'Refsz-Verbräuche'!C95</f>
        <v>Fuhrpark (CNG)</v>
      </c>
      <c r="D260" t="s">
        <v>208</v>
      </c>
      <c r="E260" s="15">
        <f>IF(ISNUMBER('Klisz-Verbräuche'!F95), 'Klisz-Verbräuche'!F95*Emissionsfaktoren!E95/1000, 0)</f>
        <v>0</v>
      </c>
      <c r="F260" s="15">
        <f>IF(ISNUMBER('Klisz-Verbräuche'!G95), 'Klisz-Verbräuche'!G95*Emissionsfaktoren!F95/1000, 0)</f>
        <v>0</v>
      </c>
      <c r="G260" s="15">
        <f>IF(ISNUMBER('Klisz-Verbräuche'!H95), 'Klisz-Verbräuche'!H95*Emissionsfaktoren!G95/1000, 0)</f>
        <v>0</v>
      </c>
      <c r="H260" s="15">
        <f>IF(ISNUMBER('Klisz-Verbräuche'!I95), 'Klisz-Verbräuche'!I95*Emissionsfaktoren!H95/1000, 0)</f>
        <v>0</v>
      </c>
      <c r="I260" s="15">
        <f>IF(ISNUMBER('Klisz-Verbräuche'!J95), 'Klisz-Verbräuche'!J95*Emissionsfaktoren!I95/1000, 0)</f>
        <v>0</v>
      </c>
      <c r="J260" s="15">
        <f>IF(ISNUMBER('Klisz-Verbräuche'!K95), 'Klisz-Verbräuche'!K95*Emissionsfaktoren!J95/1000, 0)</f>
        <v>0</v>
      </c>
      <c r="K260" s="15">
        <f>IF(ISNUMBER('Klisz-Verbräuche'!L95), 'Klisz-Verbräuche'!L95*Emissionsfaktoren!K95/1000, 0)</f>
        <v>0</v>
      </c>
      <c r="L260" s="15">
        <f>IF(ISNUMBER('Klisz-Verbräuche'!M95), 'Klisz-Verbräuche'!M95*Emissionsfaktoren!L95/1000, 0)</f>
        <v>0</v>
      </c>
      <c r="M260" s="15">
        <f>IF(ISNUMBER('Klisz-Verbräuche'!N95), 'Klisz-Verbräuche'!N95*Emissionsfaktoren!M95/1000, 0)</f>
        <v>0</v>
      </c>
      <c r="N260" s="15">
        <f>IF(ISNUMBER('Klisz-Verbräuche'!O95), 'Klisz-Verbräuche'!O95*Emissionsfaktoren!N95/1000, 0)</f>
        <v>0</v>
      </c>
      <c r="O260" s="15">
        <f>IF(ISNUMBER('Klisz-Verbräuche'!P95), 'Klisz-Verbräuche'!P95*Emissionsfaktoren!O95/1000, 0)</f>
        <v>0</v>
      </c>
      <c r="P260" s="15">
        <f>IF(ISNUMBER('Klisz-Verbräuche'!Q95), 'Klisz-Verbräuche'!Q95*Emissionsfaktoren!P95/1000, 0)</f>
        <v>0</v>
      </c>
      <c r="Q260" s="15">
        <f>IF(ISNUMBER('Klisz-Verbräuche'!R95), 'Klisz-Verbräuche'!R95*Emissionsfaktoren!Q95/1000, 0)</f>
        <v>0</v>
      </c>
      <c r="R260" s="15">
        <f>IF(ISNUMBER('Klisz-Verbräuche'!S95), 'Klisz-Verbräuche'!S95*Emissionsfaktoren!R95/1000, 0)</f>
        <v>0</v>
      </c>
      <c r="S260" s="15">
        <f>IF(ISNUMBER('Klisz-Verbräuche'!T95), 'Klisz-Verbräuche'!T95*Emissionsfaktoren!S95/1000, 0)</f>
        <v>0</v>
      </c>
      <c r="T260" s="15">
        <f>IF(ISNUMBER('Klisz-Verbräuche'!U95), 'Klisz-Verbräuche'!U95*Emissionsfaktoren!T95/1000, 0)</f>
        <v>0</v>
      </c>
      <c r="U260" s="15">
        <f>IF(ISNUMBER('Klisz-Verbräuche'!V95), 'Klisz-Verbräuche'!V95*Emissionsfaktoren!U95/1000, 0)</f>
        <v>0</v>
      </c>
      <c r="V260" s="15">
        <f>IF(ISNUMBER('Klisz-Verbräuche'!W95), 'Klisz-Verbräuche'!W95*Emissionsfaktoren!V95/1000, 0)</f>
        <v>0</v>
      </c>
      <c r="W260" s="15">
        <f>IF(ISNUMBER('Klisz-Verbräuche'!X95), 'Klisz-Verbräuche'!X95*Emissionsfaktoren!W95/1000, 0)</f>
        <v>0</v>
      </c>
      <c r="X260" s="15">
        <f>IF(ISNUMBER('Klisz-Verbräuche'!Y95), 'Klisz-Verbräuche'!Y95*Emissionsfaktoren!X95/1000, 0)</f>
        <v>0</v>
      </c>
    </row>
    <row r="261" spans="2:24" ht="16.5" hidden="1" x14ac:dyDescent="0.45">
      <c r="B261" s="15">
        <v>36</v>
      </c>
      <c r="C261" s="20" t="str">
        <f>'Refsz-Verbräuche'!C96</f>
        <v>Fuhrpark (Plug-In-Hybrid, PHEV)</v>
      </c>
      <c r="D261" t="s">
        <v>208</v>
      </c>
      <c r="E261" s="15">
        <f>IF(ISNUMBER('Klisz-Verbräuche'!F96), 'Klisz-Verbräuche'!F96*Emissionsfaktoren!E96/1000, 0)</f>
        <v>0</v>
      </c>
      <c r="F261" s="15">
        <f>IF(ISNUMBER('Klisz-Verbräuche'!G96), 'Klisz-Verbräuche'!G96*Emissionsfaktoren!F96/1000, 0)</f>
        <v>0</v>
      </c>
      <c r="G261" s="15">
        <f>IF(ISNUMBER('Klisz-Verbräuche'!H96), 'Klisz-Verbräuche'!H96*Emissionsfaktoren!G96/1000, 0)</f>
        <v>0</v>
      </c>
      <c r="H261" s="15">
        <f>IF(ISNUMBER('Klisz-Verbräuche'!I96), 'Klisz-Verbräuche'!I96*Emissionsfaktoren!H96/1000, 0)</f>
        <v>0</v>
      </c>
      <c r="I261" s="15">
        <f>IF(ISNUMBER('Klisz-Verbräuche'!J96), 'Klisz-Verbräuche'!J96*Emissionsfaktoren!I96/1000, 0)</f>
        <v>0</v>
      </c>
      <c r="J261" s="15">
        <f>IF(ISNUMBER('Klisz-Verbräuche'!K96), 'Klisz-Verbräuche'!K96*Emissionsfaktoren!J96/1000, 0)</f>
        <v>0</v>
      </c>
      <c r="K261" s="15">
        <f>IF(ISNUMBER('Klisz-Verbräuche'!L96), 'Klisz-Verbräuche'!L96*Emissionsfaktoren!K96/1000, 0)</f>
        <v>0</v>
      </c>
      <c r="L261" s="15">
        <f>IF(ISNUMBER('Klisz-Verbräuche'!M96), 'Klisz-Verbräuche'!M96*Emissionsfaktoren!L96/1000, 0)</f>
        <v>0</v>
      </c>
      <c r="M261" s="15">
        <f>IF(ISNUMBER('Klisz-Verbräuche'!N96), 'Klisz-Verbräuche'!N96*Emissionsfaktoren!M96/1000, 0)</f>
        <v>0</v>
      </c>
      <c r="N261" s="15">
        <f>IF(ISNUMBER('Klisz-Verbräuche'!O96), 'Klisz-Verbräuche'!O96*Emissionsfaktoren!N96/1000, 0)</f>
        <v>0</v>
      </c>
      <c r="O261" s="15">
        <f>IF(ISNUMBER('Klisz-Verbräuche'!P96), 'Klisz-Verbräuche'!P96*Emissionsfaktoren!O96/1000, 0)</f>
        <v>0</v>
      </c>
      <c r="P261" s="15">
        <f>IF(ISNUMBER('Klisz-Verbräuche'!Q96), 'Klisz-Verbräuche'!Q96*Emissionsfaktoren!P96/1000, 0)</f>
        <v>0</v>
      </c>
      <c r="Q261" s="15">
        <f>IF(ISNUMBER('Klisz-Verbräuche'!R96), 'Klisz-Verbräuche'!R96*Emissionsfaktoren!Q96/1000, 0)</f>
        <v>0</v>
      </c>
      <c r="R261" s="15">
        <f>IF(ISNUMBER('Klisz-Verbräuche'!S96), 'Klisz-Verbräuche'!S96*Emissionsfaktoren!R96/1000, 0)</f>
        <v>0</v>
      </c>
      <c r="S261" s="15">
        <f>IF(ISNUMBER('Klisz-Verbräuche'!T96), 'Klisz-Verbräuche'!T96*Emissionsfaktoren!S96/1000, 0)</f>
        <v>0</v>
      </c>
      <c r="T261" s="15">
        <f>IF(ISNUMBER('Klisz-Verbräuche'!U96), 'Klisz-Verbräuche'!U96*Emissionsfaktoren!T96/1000, 0)</f>
        <v>0</v>
      </c>
      <c r="U261" s="15">
        <f>IF(ISNUMBER('Klisz-Verbräuche'!V96), 'Klisz-Verbräuche'!V96*Emissionsfaktoren!U96/1000, 0)</f>
        <v>0</v>
      </c>
      <c r="V261" s="15">
        <f>IF(ISNUMBER('Klisz-Verbräuche'!W96), 'Klisz-Verbräuche'!W96*Emissionsfaktoren!V96/1000, 0)</f>
        <v>0</v>
      </c>
      <c r="W261" s="15">
        <f>IF(ISNUMBER('Klisz-Verbräuche'!X96), 'Klisz-Verbräuche'!X96*Emissionsfaktoren!W96/1000, 0)</f>
        <v>0</v>
      </c>
      <c r="X261" s="15">
        <f>IF(ISNUMBER('Klisz-Verbräuche'!Y96), 'Klisz-Verbräuche'!Y96*Emissionsfaktoren!X96/1000, 0)</f>
        <v>0</v>
      </c>
    </row>
    <row r="262" spans="2:24" ht="16.5" hidden="1" x14ac:dyDescent="0.45">
      <c r="B262" s="15">
        <v>37</v>
      </c>
      <c r="C262" s="20">
        <f>'Refsz-Verbräuche'!C97</f>
        <v>0</v>
      </c>
      <c r="D262" t="s">
        <v>208</v>
      </c>
      <c r="E262" s="15">
        <f>IF(ISNUMBER('Klisz-Verbräuche'!F97), 'Klisz-Verbräuche'!F97*Emissionsfaktoren!E97/1000, 0)</f>
        <v>0</v>
      </c>
      <c r="F262" s="15">
        <f>IF(ISNUMBER('Klisz-Verbräuche'!G97), 'Klisz-Verbräuche'!G97*Emissionsfaktoren!F97/1000, 0)</f>
        <v>0</v>
      </c>
      <c r="G262" s="15">
        <f>IF(ISNUMBER('Klisz-Verbräuche'!H97), 'Klisz-Verbräuche'!H97*Emissionsfaktoren!G97/1000, 0)</f>
        <v>0</v>
      </c>
      <c r="H262" s="15">
        <f>IF(ISNUMBER('Klisz-Verbräuche'!I97), 'Klisz-Verbräuche'!I97*Emissionsfaktoren!H97/1000, 0)</f>
        <v>0</v>
      </c>
      <c r="I262" s="15">
        <f>IF(ISNUMBER('Klisz-Verbräuche'!J97), 'Klisz-Verbräuche'!J97*Emissionsfaktoren!I97/1000, 0)</f>
        <v>0</v>
      </c>
      <c r="J262" s="15">
        <f>IF(ISNUMBER('Klisz-Verbräuche'!K97), 'Klisz-Verbräuche'!K97*Emissionsfaktoren!J97/1000, 0)</f>
        <v>0</v>
      </c>
      <c r="K262" s="15">
        <f>IF(ISNUMBER('Klisz-Verbräuche'!L97), 'Klisz-Verbräuche'!L97*Emissionsfaktoren!K97/1000, 0)</f>
        <v>0</v>
      </c>
      <c r="L262" s="15">
        <f>IF(ISNUMBER('Klisz-Verbräuche'!M97), 'Klisz-Verbräuche'!M97*Emissionsfaktoren!L97/1000, 0)</f>
        <v>0</v>
      </c>
      <c r="M262" s="15">
        <f>IF(ISNUMBER('Klisz-Verbräuche'!N97), 'Klisz-Verbräuche'!N97*Emissionsfaktoren!M97/1000, 0)</f>
        <v>0</v>
      </c>
      <c r="N262" s="15">
        <f>IF(ISNUMBER('Klisz-Verbräuche'!O97), 'Klisz-Verbräuche'!O97*Emissionsfaktoren!N97/1000, 0)</f>
        <v>0</v>
      </c>
      <c r="O262" s="15">
        <f>IF(ISNUMBER('Klisz-Verbräuche'!P97), 'Klisz-Verbräuche'!P97*Emissionsfaktoren!O97/1000, 0)</f>
        <v>0</v>
      </c>
      <c r="P262" s="15">
        <f>IF(ISNUMBER('Klisz-Verbräuche'!Q97), 'Klisz-Verbräuche'!Q97*Emissionsfaktoren!P97/1000, 0)</f>
        <v>0</v>
      </c>
      <c r="Q262" s="15">
        <f>IF(ISNUMBER('Klisz-Verbräuche'!R97), 'Klisz-Verbräuche'!R97*Emissionsfaktoren!Q97/1000, 0)</f>
        <v>0</v>
      </c>
      <c r="R262" s="15">
        <f>IF(ISNUMBER('Klisz-Verbräuche'!S97), 'Klisz-Verbräuche'!S97*Emissionsfaktoren!R97/1000, 0)</f>
        <v>0</v>
      </c>
      <c r="S262" s="15">
        <f>IF(ISNUMBER('Klisz-Verbräuche'!T97), 'Klisz-Verbräuche'!T97*Emissionsfaktoren!S97/1000, 0)</f>
        <v>0</v>
      </c>
      <c r="T262" s="15">
        <f>IF(ISNUMBER('Klisz-Verbräuche'!U97), 'Klisz-Verbräuche'!U97*Emissionsfaktoren!T97/1000, 0)</f>
        <v>0</v>
      </c>
      <c r="U262" s="15">
        <f>IF(ISNUMBER('Klisz-Verbräuche'!V97), 'Klisz-Verbräuche'!V97*Emissionsfaktoren!U97/1000, 0)</f>
        <v>0</v>
      </c>
      <c r="V262" s="15">
        <f>IF(ISNUMBER('Klisz-Verbräuche'!W97), 'Klisz-Verbräuche'!W97*Emissionsfaktoren!V97/1000, 0)</f>
        <v>0</v>
      </c>
      <c r="W262" s="15">
        <f>IF(ISNUMBER('Klisz-Verbräuche'!X97), 'Klisz-Verbräuche'!X97*Emissionsfaktoren!W97/1000, 0)</f>
        <v>0</v>
      </c>
      <c r="X262" s="15">
        <f>IF(ISNUMBER('Klisz-Verbräuche'!Y97), 'Klisz-Verbräuche'!Y97*Emissionsfaktoren!X97/1000, 0)</f>
        <v>0</v>
      </c>
    </row>
    <row r="263" spans="2:24" ht="16.5" hidden="1" x14ac:dyDescent="0.45">
      <c r="B263" s="15">
        <v>38</v>
      </c>
      <c r="C263" s="20" t="str">
        <f>'Refsz-Verbräuche'!C98</f>
        <v>DR - Flugreisen</v>
      </c>
      <c r="D263" t="s">
        <v>208</v>
      </c>
      <c r="E263" s="15">
        <f>IF(ISNUMBER('Klisz-Verbräuche'!F98), 'Klisz-Verbräuche'!F98*Emissionsfaktoren!E98/1000, 0)</f>
        <v>0</v>
      </c>
      <c r="F263" s="15">
        <f>IF(ISNUMBER('Klisz-Verbräuche'!G98), 'Klisz-Verbräuche'!G98*Emissionsfaktoren!F98/1000, 0)</f>
        <v>0</v>
      </c>
      <c r="G263" s="15">
        <f>IF(ISNUMBER('Klisz-Verbräuche'!H98), 'Klisz-Verbräuche'!H98*Emissionsfaktoren!G98/1000, 0)</f>
        <v>0</v>
      </c>
      <c r="H263" s="15">
        <f>IF(ISNUMBER('Klisz-Verbräuche'!I98), 'Klisz-Verbräuche'!I98*Emissionsfaktoren!H98/1000, 0)</f>
        <v>0</v>
      </c>
      <c r="I263" s="15">
        <f>IF(ISNUMBER('Klisz-Verbräuche'!J98), 'Klisz-Verbräuche'!J98*Emissionsfaktoren!I98/1000, 0)</f>
        <v>0</v>
      </c>
      <c r="J263" s="15">
        <f>IF(ISNUMBER('Klisz-Verbräuche'!K98), 'Klisz-Verbräuche'!K98*Emissionsfaktoren!J98/1000, 0)</f>
        <v>0</v>
      </c>
      <c r="K263" s="15">
        <f>IF(ISNUMBER('Klisz-Verbräuche'!L98), 'Klisz-Verbräuche'!L98*Emissionsfaktoren!K98/1000, 0)</f>
        <v>0</v>
      </c>
      <c r="L263" s="15">
        <f>IF(ISNUMBER('Klisz-Verbräuche'!M98), 'Klisz-Verbräuche'!M98*Emissionsfaktoren!L98/1000, 0)</f>
        <v>0</v>
      </c>
      <c r="M263" s="15">
        <f>IF(ISNUMBER('Klisz-Verbräuche'!N98), 'Klisz-Verbräuche'!N98*Emissionsfaktoren!M98/1000, 0)</f>
        <v>0</v>
      </c>
      <c r="N263" s="15">
        <f>IF(ISNUMBER('Klisz-Verbräuche'!O98), 'Klisz-Verbräuche'!O98*Emissionsfaktoren!N98/1000, 0)</f>
        <v>0</v>
      </c>
      <c r="O263" s="15">
        <f>IF(ISNUMBER('Klisz-Verbräuche'!P98), 'Klisz-Verbräuche'!P98*Emissionsfaktoren!O98/1000, 0)</f>
        <v>0</v>
      </c>
      <c r="P263" s="15">
        <f>IF(ISNUMBER('Klisz-Verbräuche'!Q98), 'Klisz-Verbräuche'!Q98*Emissionsfaktoren!P98/1000, 0)</f>
        <v>0</v>
      </c>
      <c r="Q263" s="15">
        <f>IF(ISNUMBER('Klisz-Verbräuche'!R98), 'Klisz-Verbräuche'!R98*Emissionsfaktoren!Q98/1000, 0)</f>
        <v>0</v>
      </c>
      <c r="R263" s="15">
        <f>IF(ISNUMBER('Klisz-Verbräuche'!S98), 'Klisz-Verbräuche'!S98*Emissionsfaktoren!R98/1000, 0)</f>
        <v>0</v>
      </c>
      <c r="S263" s="15">
        <f>IF(ISNUMBER('Klisz-Verbräuche'!T98), 'Klisz-Verbräuche'!T98*Emissionsfaktoren!S98/1000, 0)</f>
        <v>0</v>
      </c>
      <c r="T263" s="15">
        <f>IF(ISNUMBER('Klisz-Verbräuche'!U98), 'Klisz-Verbräuche'!U98*Emissionsfaktoren!T98/1000, 0)</f>
        <v>0</v>
      </c>
      <c r="U263" s="15">
        <f>IF(ISNUMBER('Klisz-Verbräuche'!V98), 'Klisz-Verbräuche'!V98*Emissionsfaktoren!U98/1000, 0)</f>
        <v>0</v>
      </c>
      <c r="V263" s="15">
        <f>IF(ISNUMBER('Klisz-Verbräuche'!W98), 'Klisz-Verbräuche'!W98*Emissionsfaktoren!V98/1000, 0)</f>
        <v>0</v>
      </c>
      <c r="W263" s="15">
        <f>IF(ISNUMBER('Klisz-Verbräuche'!X98), 'Klisz-Verbräuche'!X98*Emissionsfaktoren!W98/1000, 0)</f>
        <v>0</v>
      </c>
      <c r="X263" s="15">
        <f>IF(ISNUMBER('Klisz-Verbräuche'!Y98), 'Klisz-Verbräuche'!Y98*Emissionsfaktoren!X98/1000, 0)</f>
        <v>0</v>
      </c>
    </row>
    <row r="264" spans="2:24" ht="16.5" hidden="1" x14ac:dyDescent="0.45">
      <c r="B264" s="15">
        <v>39</v>
      </c>
      <c r="C264" s="20" t="str">
        <f>'Refsz-Verbräuche'!C99</f>
        <v>DR - Eisenbahn (Fernverkehr)</v>
      </c>
      <c r="D264" t="s">
        <v>208</v>
      </c>
      <c r="E264" s="15">
        <f>IF(ISNUMBER('Klisz-Verbräuche'!F99), 'Klisz-Verbräuche'!F99*Emissionsfaktoren!E99/1000, 0)</f>
        <v>0</v>
      </c>
      <c r="F264" s="15">
        <f>IF(ISNUMBER('Klisz-Verbräuche'!G99), 'Klisz-Verbräuche'!G99*Emissionsfaktoren!F99/1000, 0)</f>
        <v>0</v>
      </c>
      <c r="G264" s="15">
        <f>IF(ISNUMBER('Klisz-Verbräuche'!H99), 'Klisz-Verbräuche'!H99*Emissionsfaktoren!G99/1000, 0)</f>
        <v>0</v>
      </c>
      <c r="H264" s="15">
        <f>IF(ISNUMBER('Klisz-Verbräuche'!I99), 'Klisz-Verbräuche'!I99*Emissionsfaktoren!H99/1000, 0)</f>
        <v>0</v>
      </c>
      <c r="I264" s="15">
        <f>IF(ISNUMBER('Klisz-Verbräuche'!J99), 'Klisz-Verbräuche'!J99*Emissionsfaktoren!I99/1000, 0)</f>
        <v>0</v>
      </c>
      <c r="J264" s="15">
        <f>IF(ISNUMBER('Klisz-Verbräuche'!K99), 'Klisz-Verbräuche'!K99*Emissionsfaktoren!J99/1000, 0)</f>
        <v>0</v>
      </c>
      <c r="K264" s="15">
        <f>IF(ISNUMBER('Klisz-Verbräuche'!L99), 'Klisz-Verbräuche'!L99*Emissionsfaktoren!K99/1000, 0)</f>
        <v>0</v>
      </c>
      <c r="L264" s="15">
        <f>IF(ISNUMBER('Klisz-Verbräuche'!M99), 'Klisz-Verbräuche'!M99*Emissionsfaktoren!L99/1000, 0)</f>
        <v>0</v>
      </c>
      <c r="M264" s="15">
        <f>IF(ISNUMBER('Klisz-Verbräuche'!N99), 'Klisz-Verbräuche'!N99*Emissionsfaktoren!M99/1000, 0)</f>
        <v>0</v>
      </c>
      <c r="N264" s="15">
        <f>IF(ISNUMBER('Klisz-Verbräuche'!O99), 'Klisz-Verbräuche'!O99*Emissionsfaktoren!N99/1000, 0)</f>
        <v>0</v>
      </c>
      <c r="O264" s="15">
        <f>IF(ISNUMBER('Klisz-Verbräuche'!P99), 'Klisz-Verbräuche'!P99*Emissionsfaktoren!O99/1000, 0)</f>
        <v>0</v>
      </c>
      <c r="P264" s="15">
        <f>IF(ISNUMBER('Klisz-Verbräuche'!Q99), 'Klisz-Verbräuche'!Q99*Emissionsfaktoren!P99/1000, 0)</f>
        <v>0</v>
      </c>
      <c r="Q264" s="15">
        <f>IF(ISNUMBER('Klisz-Verbräuche'!R99), 'Klisz-Verbräuche'!R99*Emissionsfaktoren!Q99/1000, 0)</f>
        <v>0</v>
      </c>
      <c r="R264" s="15">
        <f>IF(ISNUMBER('Klisz-Verbräuche'!S99), 'Klisz-Verbräuche'!S99*Emissionsfaktoren!R99/1000, 0)</f>
        <v>0</v>
      </c>
      <c r="S264" s="15">
        <f>IF(ISNUMBER('Klisz-Verbräuche'!T99), 'Klisz-Verbräuche'!T99*Emissionsfaktoren!S99/1000, 0)</f>
        <v>0</v>
      </c>
      <c r="T264" s="15">
        <f>IF(ISNUMBER('Klisz-Verbräuche'!U99), 'Klisz-Verbräuche'!U99*Emissionsfaktoren!T99/1000, 0)</f>
        <v>0</v>
      </c>
      <c r="U264" s="15">
        <f>IF(ISNUMBER('Klisz-Verbräuche'!V99), 'Klisz-Verbräuche'!V99*Emissionsfaktoren!U99/1000, 0)</f>
        <v>0</v>
      </c>
      <c r="V264" s="15">
        <f>IF(ISNUMBER('Klisz-Verbräuche'!W99), 'Klisz-Verbräuche'!W99*Emissionsfaktoren!V99/1000, 0)</f>
        <v>0</v>
      </c>
      <c r="W264" s="15">
        <f>IF(ISNUMBER('Klisz-Verbräuche'!X99), 'Klisz-Verbräuche'!X99*Emissionsfaktoren!W99/1000, 0)</f>
        <v>0</v>
      </c>
      <c r="X264" s="15">
        <f>IF(ISNUMBER('Klisz-Verbräuche'!Y99), 'Klisz-Verbräuche'!Y99*Emissionsfaktoren!X99/1000, 0)</f>
        <v>0</v>
      </c>
    </row>
    <row r="265" spans="2:24" ht="16.5" hidden="1" x14ac:dyDescent="0.45">
      <c r="B265" s="15">
        <v>40</v>
      </c>
      <c r="C265" s="20" t="str">
        <f>'Refsz-Verbräuche'!C100</f>
        <v>DR - Eisenbahn (Nahverkehr)</v>
      </c>
      <c r="D265" t="s">
        <v>208</v>
      </c>
      <c r="E265" s="15">
        <f>IF(ISNUMBER('Klisz-Verbräuche'!F100), 'Klisz-Verbräuche'!F100*Emissionsfaktoren!E100/1000, 0)</f>
        <v>0</v>
      </c>
      <c r="F265" s="15">
        <f>IF(ISNUMBER('Klisz-Verbräuche'!G100), 'Klisz-Verbräuche'!G100*Emissionsfaktoren!F100/1000, 0)</f>
        <v>0</v>
      </c>
      <c r="G265" s="15">
        <f>IF(ISNUMBER('Klisz-Verbräuche'!H100), 'Klisz-Verbräuche'!H100*Emissionsfaktoren!G100/1000, 0)</f>
        <v>0</v>
      </c>
      <c r="H265" s="15">
        <f>IF(ISNUMBER('Klisz-Verbräuche'!I100), 'Klisz-Verbräuche'!I100*Emissionsfaktoren!H100/1000, 0)</f>
        <v>0</v>
      </c>
      <c r="I265" s="15">
        <f>IF(ISNUMBER('Klisz-Verbräuche'!J100), 'Klisz-Verbräuche'!J100*Emissionsfaktoren!I100/1000, 0)</f>
        <v>0</v>
      </c>
      <c r="J265" s="15">
        <f>IF(ISNUMBER('Klisz-Verbräuche'!K100), 'Klisz-Verbräuche'!K100*Emissionsfaktoren!J100/1000, 0)</f>
        <v>0</v>
      </c>
      <c r="K265" s="15">
        <f>IF(ISNUMBER('Klisz-Verbräuche'!L100), 'Klisz-Verbräuche'!L100*Emissionsfaktoren!K100/1000, 0)</f>
        <v>0</v>
      </c>
      <c r="L265" s="15">
        <f>IF(ISNUMBER('Klisz-Verbräuche'!M100), 'Klisz-Verbräuche'!M100*Emissionsfaktoren!L100/1000, 0)</f>
        <v>0</v>
      </c>
      <c r="M265" s="15">
        <f>IF(ISNUMBER('Klisz-Verbräuche'!N100), 'Klisz-Verbräuche'!N100*Emissionsfaktoren!M100/1000, 0)</f>
        <v>0</v>
      </c>
      <c r="N265" s="15">
        <f>IF(ISNUMBER('Klisz-Verbräuche'!O100), 'Klisz-Verbräuche'!O100*Emissionsfaktoren!N100/1000, 0)</f>
        <v>0</v>
      </c>
      <c r="O265" s="15">
        <f>IF(ISNUMBER('Klisz-Verbräuche'!P100), 'Klisz-Verbräuche'!P100*Emissionsfaktoren!O100/1000, 0)</f>
        <v>0</v>
      </c>
      <c r="P265" s="15">
        <f>IF(ISNUMBER('Klisz-Verbräuche'!Q100), 'Klisz-Verbräuche'!Q100*Emissionsfaktoren!P100/1000, 0)</f>
        <v>0</v>
      </c>
      <c r="Q265" s="15">
        <f>IF(ISNUMBER('Klisz-Verbräuche'!R100), 'Klisz-Verbräuche'!R100*Emissionsfaktoren!Q100/1000, 0)</f>
        <v>0</v>
      </c>
      <c r="R265" s="15">
        <f>IF(ISNUMBER('Klisz-Verbräuche'!S100), 'Klisz-Verbräuche'!S100*Emissionsfaktoren!R100/1000, 0)</f>
        <v>0</v>
      </c>
      <c r="S265" s="15">
        <f>IF(ISNUMBER('Klisz-Verbräuche'!T100), 'Klisz-Verbräuche'!T100*Emissionsfaktoren!S100/1000, 0)</f>
        <v>0</v>
      </c>
      <c r="T265" s="15">
        <f>IF(ISNUMBER('Klisz-Verbräuche'!U100), 'Klisz-Verbräuche'!U100*Emissionsfaktoren!T100/1000, 0)</f>
        <v>0</v>
      </c>
      <c r="U265" s="15">
        <f>IF(ISNUMBER('Klisz-Verbräuche'!V100), 'Klisz-Verbräuche'!V100*Emissionsfaktoren!U100/1000, 0)</f>
        <v>0</v>
      </c>
      <c r="V265" s="15">
        <f>IF(ISNUMBER('Klisz-Verbräuche'!W100), 'Klisz-Verbräuche'!W100*Emissionsfaktoren!V100/1000, 0)</f>
        <v>0</v>
      </c>
      <c r="W265" s="15">
        <f>IF(ISNUMBER('Klisz-Verbräuche'!X100), 'Klisz-Verbräuche'!X100*Emissionsfaktoren!W100/1000, 0)</f>
        <v>0</v>
      </c>
      <c r="X265" s="15">
        <f>IF(ISNUMBER('Klisz-Verbräuche'!Y100), 'Klisz-Verbräuche'!Y100*Emissionsfaktoren!X100/1000, 0)</f>
        <v>0</v>
      </c>
    </row>
    <row r="266" spans="2:24" ht="16.5" hidden="1" x14ac:dyDescent="0.45">
      <c r="B266" s="15">
        <v>41</v>
      </c>
      <c r="C266" s="20" t="str">
        <f>'Refsz-Verbräuche'!C101</f>
        <v>DR - Reisebus, Linienbus (Fernverkehr)</v>
      </c>
      <c r="D266" t="s">
        <v>208</v>
      </c>
      <c r="E266" s="15">
        <f>IF(ISNUMBER('Klisz-Verbräuche'!F101), 'Klisz-Verbräuche'!F101*Emissionsfaktoren!E101/1000, 0)</f>
        <v>0</v>
      </c>
      <c r="F266" s="15">
        <f>IF(ISNUMBER('Klisz-Verbräuche'!G101), 'Klisz-Verbräuche'!G101*Emissionsfaktoren!F101/1000, 0)</f>
        <v>0</v>
      </c>
      <c r="G266" s="15">
        <f>IF(ISNUMBER('Klisz-Verbräuche'!H101), 'Klisz-Verbräuche'!H101*Emissionsfaktoren!G101/1000, 0)</f>
        <v>0</v>
      </c>
      <c r="H266" s="15">
        <f>IF(ISNUMBER('Klisz-Verbräuche'!I101), 'Klisz-Verbräuche'!I101*Emissionsfaktoren!H101/1000, 0)</f>
        <v>0</v>
      </c>
      <c r="I266" s="15">
        <f>IF(ISNUMBER('Klisz-Verbräuche'!J101), 'Klisz-Verbräuche'!J101*Emissionsfaktoren!I101/1000, 0)</f>
        <v>0</v>
      </c>
      <c r="J266" s="15">
        <f>IF(ISNUMBER('Klisz-Verbräuche'!K101), 'Klisz-Verbräuche'!K101*Emissionsfaktoren!J101/1000, 0)</f>
        <v>0</v>
      </c>
      <c r="K266" s="15">
        <f>IF(ISNUMBER('Klisz-Verbräuche'!L101), 'Klisz-Verbräuche'!L101*Emissionsfaktoren!K101/1000, 0)</f>
        <v>0</v>
      </c>
      <c r="L266" s="15">
        <f>IF(ISNUMBER('Klisz-Verbräuche'!M101), 'Klisz-Verbräuche'!M101*Emissionsfaktoren!L101/1000, 0)</f>
        <v>0</v>
      </c>
      <c r="M266" s="15">
        <f>IF(ISNUMBER('Klisz-Verbräuche'!N101), 'Klisz-Verbräuche'!N101*Emissionsfaktoren!M101/1000, 0)</f>
        <v>0</v>
      </c>
      <c r="N266" s="15">
        <f>IF(ISNUMBER('Klisz-Verbräuche'!O101), 'Klisz-Verbräuche'!O101*Emissionsfaktoren!N101/1000, 0)</f>
        <v>0</v>
      </c>
      <c r="O266" s="15">
        <f>IF(ISNUMBER('Klisz-Verbräuche'!P101), 'Klisz-Verbräuche'!P101*Emissionsfaktoren!O101/1000, 0)</f>
        <v>0</v>
      </c>
      <c r="P266" s="15">
        <f>IF(ISNUMBER('Klisz-Verbräuche'!Q101), 'Klisz-Verbräuche'!Q101*Emissionsfaktoren!P101/1000, 0)</f>
        <v>0</v>
      </c>
      <c r="Q266" s="15">
        <f>IF(ISNUMBER('Klisz-Verbräuche'!R101), 'Klisz-Verbräuche'!R101*Emissionsfaktoren!Q101/1000, 0)</f>
        <v>0</v>
      </c>
      <c r="R266" s="15">
        <f>IF(ISNUMBER('Klisz-Verbräuche'!S101), 'Klisz-Verbräuche'!S101*Emissionsfaktoren!R101/1000, 0)</f>
        <v>0</v>
      </c>
      <c r="S266" s="15">
        <f>IF(ISNUMBER('Klisz-Verbräuche'!T101), 'Klisz-Verbräuche'!T101*Emissionsfaktoren!S101/1000, 0)</f>
        <v>0</v>
      </c>
      <c r="T266" s="15">
        <f>IF(ISNUMBER('Klisz-Verbräuche'!U101), 'Klisz-Verbräuche'!U101*Emissionsfaktoren!T101/1000, 0)</f>
        <v>0</v>
      </c>
      <c r="U266" s="15">
        <f>IF(ISNUMBER('Klisz-Verbräuche'!V101), 'Klisz-Verbräuche'!V101*Emissionsfaktoren!U101/1000, 0)</f>
        <v>0</v>
      </c>
      <c r="V266" s="15">
        <f>IF(ISNUMBER('Klisz-Verbräuche'!W101), 'Klisz-Verbräuche'!W101*Emissionsfaktoren!V101/1000, 0)</f>
        <v>0</v>
      </c>
      <c r="W266" s="15">
        <f>IF(ISNUMBER('Klisz-Verbräuche'!X101), 'Klisz-Verbräuche'!X101*Emissionsfaktoren!W101/1000, 0)</f>
        <v>0</v>
      </c>
      <c r="X266" s="15">
        <f>IF(ISNUMBER('Klisz-Verbräuche'!Y101), 'Klisz-Verbräuche'!Y101*Emissionsfaktoren!X101/1000, 0)</f>
        <v>0</v>
      </c>
    </row>
    <row r="267" spans="2:24" ht="16.5" hidden="1" x14ac:dyDescent="0.45">
      <c r="B267" s="15">
        <v>42</v>
      </c>
      <c r="C267" s="20" t="str">
        <f>'Refsz-Verbräuche'!C102</f>
        <v>DR - Linienbus (Nahverkehr)</v>
      </c>
      <c r="D267" t="s">
        <v>208</v>
      </c>
      <c r="E267" s="15">
        <f>IF(ISNUMBER('Klisz-Verbräuche'!F102), 'Klisz-Verbräuche'!F102*Emissionsfaktoren!E102/1000, 0)</f>
        <v>0</v>
      </c>
      <c r="F267" s="15">
        <f>IF(ISNUMBER('Klisz-Verbräuche'!G102), 'Klisz-Verbräuche'!G102*Emissionsfaktoren!F102/1000, 0)</f>
        <v>0</v>
      </c>
      <c r="G267" s="15">
        <f>IF(ISNUMBER('Klisz-Verbräuche'!H102), 'Klisz-Verbräuche'!H102*Emissionsfaktoren!G102/1000, 0)</f>
        <v>0</v>
      </c>
      <c r="H267" s="15">
        <f>IF(ISNUMBER('Klisz-Verbräuche'!I102), 'Klisz-Verbräuche'!I102*Emissionsfaktoren!H102/1000, 0)</f>
        <v>0</v>
      </c>
      <c r="I267" s="15">
        <f>IF(ISNUMBER('Klisz-Verbräuche'!J102), 'Klisz-Verbräuche'!J102*Emissionsfaktoren!I102/1000, 0)</f>
        <v>0</v>
      </c>
      <c r="J267" s="15">
        <f>IF(ISNUMBER('Klisz-Verbräuche'!K102), 'Klisz-Verbräuche'!K102*Emissionsfaktoren!J102/1000, 0)</f>
        <v>0</v>
      </c>
      <c r="K267" s="15">
        <f>IF(ISNUMBER('Klisz-Verbräuche'!L102), 'Klisz-Verbräuche'!L102*Emissionsfaktoren!K102/1000, 0)</f>
        <v>0</v>
      </c>
      <c r="L267" s="15">
        <f>IF(ISNUMBER('Klisz-Verbräuche'!M102), 'Klisz-Verbräuche'!M102*Emissionsfaktoren!L102/1000, 0)</f>
        <v>0</v>
      </c>
      <c r="M267" s="15">
        <f>IF(ISNUMBER('Klisz-Verbräuche'!N102), 'Klisz-Verbräuche'!N102*Emissionsfaktoren!M102/1000, 0)</f>
        <v>0</v>
      </c>
      <c r="N267" s="15">
        <f>IF(ISNUMBER('Klisz-Verbräuche'!O102), 'Klisz-Verbräuche'!O102*Emissionsfaktoren!N102/1000, 0)</f>
        <v>0</v>
      </c>
      <c r="O267" s="15">
        <f>IF(ISNUMBER('Klisz-Verbräuche'!P102), 'Klisz-Verbräuche'!P102*Emissionsfaktoren!O102/1000, 0)</f>
        <v>0</v>
      </c>
      <c r="P267" s="15">
        <f>IF(ISNUMBER('Klisz-Verbräuche'!Q102), 'Klisz-Verbräuche'!Q102*Emissionsfaktoren!P102/1000, 0)</f>
        <v>0</v>
      </c>
      <c r="Q267" s="15">
        <f>IF(ISNUMBER('Klisz-Verbräuche'!R102), 'Klisz-Verbräuche'!R102*Emissionsfaktoren!Q102/1000, 0)</f>
        <v>0</v>
      </c>
      <c r="R267" s="15">
        <f>IF(ISNUMBER('Klisz-Verbräuche'!S102), 'Klisz-Verbräuche'!S102*Emissionsfaktoren!R102/1000, 0)</f>
        <v>0</v>
      </c>
      <c r="S267" s="15">
        <f>IF(ISNUMBER('Klisz-Verbräuche'!T102), 'Klisz-Verbräuche'!T102*Emissionsfaktoren!S102/1000, 0)</f>
        <v>0</v>
      </c>
      <c r="T267" s="15">
        <f>IF(ISNUMBER('Klisz-Verbräuche'!U102), 'Klisz-Verbräuche'!U102*Emissionsfaktoren!T102/1000, 0)</f>
        <v>0</v>
      </c>
      <c r="U267" s="15">
        <f>IF(ISNUMBER('Klisz-Verbräuche'!V102), 'Klisz-Verbräuche'!V102*Emissionsfaktoren!U102/1000, 0)</f>
        <v>0</v>
      </c>
      <c r="V267" s="15">
        <f>IF(ISNUMBER('Klisz-Verbräuche'!W102), 'Klisz-Verbräuche'!W102*Emissionsfaktoren!V102/1000, 0)</f>
        <v>0</v>
      </c>
      <c r="W267" s="15">
        <f>IF(ISNUMBER('Klisz-Verbräuche'!X102), 'Klisz-Verbräuche'!X102*Emissionsfaktoren!W102/1000, 0)</f>
        <v>0</v>
      </c>
      <c r="X267" s="15">
        <f>IF(ISNUMBER('Klisz-Verbräuche'!Y102), 'Klisz-Verbräuche'!Y102*Emissionsfaktoren!X102/1000, 0)</f>
        <v>0</v>
      </c>
    </row>
    <row r="268" spans="2:24" ht="16.5" hidden="1" x14ac:dyDescent="0.45">
      <c r="B268" s="15">
        <v>43</v>
      </c>
      <c r="C268" s="20" t="str">
        <f>'Refsz-Verbräuche'!C103</f>
        <v>DR - Privater PKW (alle Antriebsarten)</v>
      </c>
      <c r="D268" t="s">
        <v>208</v>
      </c>
      <c r="E268" s="15">
        <f>IF(ISNUMBER('Klisz-Verbräuche'!F103), 'Klisz-Verbräuche'!F103*Emissionsfaktoren!E103/1000, 0)</f>
        <v>0</v>
      </c>
      <c r="F268" s="15">
        <f>IF(ISNUMBER('Klisz-Verbräuche'!G103), 'Klisz-Verbräuche'!G103*Emissionsfaktoren!F103/1000, 0)</f>
        <v>0</v>
      </c>
      <c r="G268" s="15">
        <f>IF(ISNUMBER('Klisz-Verbräuche'!H103), 'Klisz-Verbräuche'!H103*Emissionsfaktoren!G103/1000, 0)</f>
        <v>0</v>
      </c>
      <c r="H268" s="15">
        <f>IF(ISNUMBER('Klisz-Verbräuche'!I103), 'Klisz-Verbräuche'!I103*Emissionsfaktoren!H103/1000, 0)</f>
        <v>0</v>
      </c>
      <c r="I268" s="15">
        <f>IF(ISNUMBER('Klisz-Verbräuche'!J103), 'Klisz-Verbräuche'!J103*Emissionsfaktoren!I103/1000, 0)</f>
        <v>0</v>
      </c>
      <c r="J268" s="15">
        <f>IF(ISNUMBER('Klisz-Verbräuche'!K103), 'Klisz-Verbräuche'!K103*Emissionsfaktoren!J103/1000, 0)</f>
        <v>0</v>
      </c>
      <c r="K268" s="15">
        <f>IF(ISNUMBER('Klisz-Verbräuche'!L103), 'Klisz-Verbräuche'!L103*Emissionsfaktoren!K103/1000, 0)</f>
        <v>0</v>
      </c>
      <c r="L268" s="15">
        <f>IF(ISNUMBER('Klisz-Verbräuche'!M103), 'Klisz-Verbräuche'!M103*Emissionsfaktoren!L103/1000, 0)</f>
        <v>0</v>
      </c>
      <c r="M268" s="15">
        <f>IF(ISNUMBER('Klisz-Verbräuche'!N103), 'Klisz-Verbräuche'!N103*Emissionsfaktoren!M103/1000, 0)</f>
        <v>0</v>
      </c>
      <c r="N268" s="15">
        <f>IF(ISNUMBER('Klisz-Verbräuche'!O103), 'Klisz-Verbräuche'!O103*Emissionsfaktoren!N103/1000, 0)</f>
        <v>0</v>
      </c>
      <c r="O268" s="15">
        <f>IF(ISNUMBER('Klisz-Verbräuche'!P103), 'Klisz-Verbräuche'!P103*Emissionsfaktoren!O103/1000, 0)</f>
        <v>0</v>
      </c>
      <c r="P268" s="15">
        <f>IF(ISNUMBER('Klisz-Verbräuche'!Q103), 'Klisz-Verbräuche'!Q103*Emissionsfaktoren!P103/1000, 0)</f>
        <v>0</v>
      </c>
      <c r="Q268" s="15">
        <f>IF(ISNUMBER('Klisz-Verbräuche'!R103), 'Klisz-Verbräuche'!R103*Emissionsfaktoren!Q103/1000, 0)</f>
        <v>0</v>
      </c>
      <c r="R268" s="15">
        <f>IF(ISNUMBER('Klisz-Verbräuche'!S103), 'Klisz-Verbräuche'!S103*Emissionsfaktoren!R103/1000, 0)</f>
        <v>0</v>
      </c>
      <c r="S268" s="15">
        <f>IF(ISNUMBER('Klisz-Verbräuche'!T103), 'Klisz-Verbräuche'!T103*Emissionsfaktoren!S103/1000, 0)</f>
        <v>0</v>
      </c>
      <c r="T268" s="15">
        <f>IF(ISNUMBER('Klisz-Verbräuche'!U103), 'Klisz-Verbräuche'!U103*Emissionsfaktoren!T103/1000, 0)</f>
        <v>0</v>
      </c>
      <c r="U268" s="15">
        <f>IF(ISNUMBER('Klisz-Verbräuche'!V103), 'Klisz-Verbräuche'!V103*Emissionsfaktoren!U103/1000, 0)</f>
        <v>0</v>
      </c>
      <c r="V268" s="15">
        <f>IF(ISNUMBER('Klisz-Verbräuche'!W103), 'Klisz-Verbräuche'!W103*Emissionsfaktoren!V103/1000, 0)</f>
        <v>0</v>
      </c>
      <c r="W268" s="15">
        <f>IF(ISNUMBER('Klisz-Verbräuche'!X103), 'Klisz-Verbräuche'!X103*Emissionsfaktoren!W103/1000, 0)</f>
        <v>0</v>
      </c>
      <c r="X268" s="15">
        <f>IF(ISNUMBER('Klisz-Verbräuche'!Y103), 'Klisz-Verbräuche'!Y103*Emissionsfaktoren!X103/1000, 0)</f>
        <v>0</v>
      </c>
    </row>
    <row r="269" spans="2:24" ht="16.5" hidden="1" x14ac:dyDescent="0.45">
      <c r="B269" s="15">
        <v>44</v>
      </c>
      <c r="C269" s="20" t="str">
        <f>'Refsz-Verbräuche'!C104</f>
        <v>DR - Privater PKW (Diesel)</v>
      </c>
      <c r="D269" t="s">
        <v>208</v>
      </c>
      <c r="E269" s="15">
        <f>IF(ISNUMBER('Klisz-Verbräuche'!F104), 'Klisz-Verbräuche'!F104*Emissionsfaktoren!E104/1000, 0)</f>
        <v>0</v>
      </c>
      <c r="F269" s="15">
        <f>IF(ISNUMBER('Klisz-Verbräuche'!G104), 'Klisz-Verbräuche'!G104*Emissionsfaktoren!F104/1000, 0)</f>
        <v>0</v>
      </c>
      <c r="G269" s="15">
        <f>IF(ISNUMBER('Klisz-Verbräuche'!H104), 'Klisz-Verbräuche'!H104*Emissionsfaktoren!G104/1000, 0)</f>
        <v>0</v>
      </c>
      <c r="H269" s="15">
        <f>IF(ISNUMBER('Klisz-Verbräuche'!I104), 'Klisz-Verbräuche'!I104*Emissionsfaktoren!H104/1000, 0)</f>
        <v>0</v>
      </c>
      <c r="I269" s="15">
        <f>IF(ISNUMBER('Klisz-Verbräuche'!J104), 'Klisz-Verbräuche'!J104*Emissionsfaktoren!I104/1000, 0)</f>
        <v>0</v>
      </c>
      <c r="J269" s="15">
        <f>IF(ISNUMBER('Klisz-Verbräuche'!K104), 'Klisz-Verbräuche'!K104*Emissionsfaktoren!J104/1000, 0)</f>
        <v>0</v>
      </c>
      <c r="K269" s="15">
        <f>IF(ISNUMBER('Klisz-Verbräuche'!L104), 'Klisz-Verbräuche'!L104*Emissionsfaktoren!K104/1000, 0)</f>
        <v>0</v>
      </c>
      <c r="L269" s="15">
        <f>IF(ISNUMBER('Klisz-Verbräuche'!M104), 'Klisz-Verbräuche'!M104*Emissionsfaktoren!L104/1000, 0)</f>
        <v>0</v>
      </c>
      <c r="M269" s="15">
        <f>IF(ISNUMBER('Klisz-Verbräuche'!N104), 'Klisz-Verbräuche'!N104*Emissionsfaktoren!M104/1000, 0)</f>
        <v>0</v>
      </c>
      <c r="N269" s="15">
        <f>IF(ISNUMBER('Klisz-Verbräuche'!O104), 'Klisz-Verbräuche'!O104*Emissionsfaktoren!N104/1000, 0)</f>
        <v>0</v>
      </c>
      <c r="O269" s="15">
        <f>IF(ISNUMBER('Klisz-Verbräuche'!P104), 'Klisz-Verbräuche'!P104*Emissionsfaktoren!O104/1000, 0)</f>
        <v>0</v>
      </c>
      <c r="P269" s="15">
        <f>IF(ISNUMBER('Klisz-Verbräuche'!Q104), 'Klisz-Verbräuche'!Q104*Emissionsfaktoren!P104/1000, 0)</f>
        <v>0</v>
      </c>
      <c r="Q269" s="15">
        <f>IF(ISNUMBER('Klisz-Verbräuche'!R104), 'Klisz-Verbräuche'!R104*Emissionsfaktoren!Q104/1000, 0)</f>
        <v>0</v>
      </c>
      <c r="R269" s="15">
        <f>IF(ISNUMBER('Klisz-Verbräuche'!S104), 'Klisz-Verbräuche'!S104*Emissionsfaktoren!R104/1000, 0)</f>
        <v>0</v>
      </c>
      <c r="S269" s="15">
        <f>IF(ISNUMBER('Klisz-Verbräuche'!T104), 'Klisz-Verbräuche'!T104*Emissionsfaktoren!S104/1000, 0)</f>
        <v>0</v>
      </c>
      <c r="T269" s="15">
        <f>IF(ISNUMBER('Klisz-Verbräuche'!U104), 'Klisz-Verbräuche'!U104*Emissionsfaktoren!T104/1000, 0)</f>
        <v>0</v>
      </c>
      <c r="U269" s="15">
        <f>IF(ISNUMBER('Klisz-Verbräuche'!V104), 'Klisz-Verbräuche'!V104*Emissionsfaktoren!U104/1000, 0)</f>
        <v>0</v>
      </c>
      <c r="V269" s="15">
        <f>IF(ISNUMBER('Klisz-Verbräuche'!W104), 'Klisz-Verbräuche'!W104*Emissionsfaktoren!V104/1000, 0)</f>
        <v>0</v>
      </c>
      <c r="W269" s="15">
        <f>IF(ISNUMBER('Klisz-Verbräuche'!X104), 'Klisz-Verbräuche'!X104*Emissionsfaktoren!W104/1000, 0)</f>
        <v>0</v>
      </c>
      <c r="X269" s="15">
        <f>IF(ISNUMBER('Klisz-Verbräuche'!Y104), 'Klisz-Verbräuche'!Y104*Emissionsfaktoren!X104/1000, 0)</f>
        <v>0</v>
      </c>
    </row>
    <row r="270" spans="2:24" ht="16.5" hidden="1" x14ac:dyDescent="0.45">
      <c r="B270" s="15">
        <v>45</v>
      </c>
      <c r="C270" s="20" t="str">
        <f>'Refsz-Verbräuche'!C105</f>
        <v>DR - Privater PKW (Benzin)</v>
      </c>
      <c r="D270" t="s">
        <v>208</v>
      </c>
      <c r="E270" s="15">
        <f>IF(ISNUMBER('Klisz-Verbräuche'!F105), 'Klisz-Verbräuche'!F105*Emissionsfaktoren!E105/1000, 0)</f>
        <v>0</v>
      </c>
      <c r="F270" s="15">
        <f>IF(ISNUMBER('Klisz-Verbräuche'!G105), 'Klisz-Verbräuche'!G105*Emissionsfaktoren!F105/1000, 0)</f>
        <v>0</v>
      </c>
      <c r="G270" s="15">
        <f>IF(ISNUMBER('Klisz-Verbräuche'!H105), 'Klisz-Verbräuche'!H105*Emissionsfaktoren!G105/1000, 0)</f>
        <v>0</v>
      </c>
      <c r="H270" s="15">
        <f>IF(ISNUMBER('Klisz-Verbräuche'!I105), 'Klisz-Verbräuche'!I105*Emissionsfaktoren!H105/1000, 0)</f>
        <v>0</v>
      </c>
      <c r="I270" s="15">
        <f>IF(ISNUMBER('Klisz-Verbräuche'!J105), 'Klisz-Verbräuche'!J105*Emissionsfaktoren!I105/1000, 0)</f>
        <v>0</v>
      </c>
      <c r="J270" s="15">
        <f>IF(ISNUMBER('Klisz-Verbräuche'!K105), 'Klisz-Verbräuche'!K105*Emissionsfaktoren!J105/1000, 0)</f>
        <v>0</v>
      </c>
      <c r="K270" s="15">
        <f>IF(ISNUMBER('Klisz-Verbräuche'!L105), 'Klisz-Verbräuche'!L105*Emissionsfaktoren!K105/1000, 0)</f>
        <v>0</v>
      </c>
      <c r="L270" s="15">
        <f>IF(ISNUMBER('Klisz-Verbräuche'!M105), 'Klisz-Verbräuche'!M105*Emissionsfaktoren!L105/1000, 0)</f>
        <v>0</v>
      </c>
      <c r="M270" s="15">
        <f>IF(ISNUMBER('Klisz-Verbräuche'!N105), 'Klisz-Verbräuche'!N105*Emissionsfaktoren!M105/1000, 0)</f>
        <v>0</v>
      </c>
      <c r="N270" s="15">
        <f>IF(ISNUMBER('Klisz-Verbräuche'!O105), 'Klisz-Verbräuche'!O105*Emissionsfaktoren!N105/1000, 0)</f>
        <v>0</v>
      </c>
      <c r="O270" s="15">
        <f>IF(ISNUMBER('Klisz-Verbräuche'!P105), 'Klisz-Verbräuche'!P105*Emissionsfaktoren!O105/1000, 0)</f>
        <v>0</v>
      </c>
      <c r="P270" s="15">
        <f>IF(ISNUMBER('Klisz-Verbräuche'!Q105), 'Klisz-Verbräuche'!Q105*Emissionsfaktoren!P105/1000, 0)</f>
        <v>0</v>
      </c>
      <c r="Q270" s="15">
        <f>IF(ISNUMBER('Klisz-Verbräuche'!R105), 'Klisz-Verbräuche'!R105*Emissionsfaktoren!Q105/1000, 0)</f>
        <v>0</v>
      </c>
      <c r="R270" s="15">
        <f>IF(ISNUMBER('Klisz-Verbräuche'!S105), 'Klisz-Verbräuche'!S105*Emissionsfaktoren!R105/1000, 0)</f>
        <v>0</v>
      </c>
      <c r="S270" s="15">
        <f>IF(ISNUMBER('Klisz-Verbräuche'!T105), 'Klisz-Verbräuche'!T105*Emissionsfaktoren!S105/1000, 0)</f>
        <v>0</v>
      </c>
      <c r="T270" s="15">
        <f>IF(ISNUMBER('Klisz-Verbräuche'!U105), 'Klisz-Verbräuche'!U105*Emissionsfaktoren!T105/1000, 0)</f>
        <v>0</v>
      </c>
      <c r="U270" s="15">
        <f>IF(ISNUMBER('Klisz-Verbräuche'!V105), 'Klisz-Verbräuche'!V105*Emissionsfaktoren!U105/1000, 0)</f>
        <v>0</v>
      </c>
      <c r="V270" s="15">
        <f>IF(ISNUMBER('Klisz-Verbräuche'!W105), 'Klisz-Verbräuche'!W105*Emissionsfaktoren!V105/1000, 0)</f>
        <v>0</v>
      </c>
      <c r="W270" s="15">
        <f>IF(ISNUMBER('Klisz-Verbräuche'!X105), 'Klisz-Verbräuche'!X105*Emissionsfaktoren!W105/1000, 0)</f>
        <v>0</v>
      </c>
      <c r="X270" s="15">
        <f>IF(ISNUMBER('Klisz-Verbräuche'!Y105), 'Klisz-Verbräuche'!Y105*Emissionsfaktoren!X105/1000, 0)</f>
        <v>0</v>
      </c>
    </row>
    <row r="271" spans="2:24" ht="16.5" hidden="1" x14ac:dyDescent="0.45">
      <c r="B271" s="15">
        <v>46</v>
      </c>
      <c r="C271" s="20" t="str">
        <f>'Refsz-Verbräuche'!C106</f>
        <v>DR - Mietwägen (Diesel)</v>
      </c>
      <c r="D271" t="s">
        <v>208</v>
      </c>
      <c r="E271" s="15">
        <f>IF(ISNUMBER('Klisz-Verbräuche'!F106), 'Klisz-Verbräuche'!F106*Emissionsfaktoren!E106/1000, 0)</f>
        <v>0</v>
      </c>
      <c r="F271" s="15">
        <f>IF(ISNUMBER('Klisz-Verbräuche'!G106), 'Klisz-Verbräuche'!G106*Emissionsfaktoren!F106/1000, 0)</f>
        <v>0</v>
      </c>
      <c r="G271" s="15">
        <f>IF(ISNUMBER('Klisz-Verbräuche'!H106), 'Klisz-Verbräuche'!H106*Emissionsfaktoren!G106/1000, 0)</f>
        <v>0</v>
      </c>
      <c r="H271" s="15">
        <f>IF(ISNUMBER('Klisz-Verbräuche'!I106), 'Klisz-Verbräuche'!I106*Emissionsfaktoren!H106/1000, 0)</f>
        <v>0</v>
      </c>
      <c r="I271" s="15">
        <f>IF(ISNUMBER('Klisz-Verbräuche'!J106), 'Klisz-Verbräuche'!J106*Emissionsfaktoren!I106/1000, 0)</f>
        <v>0</v>
      </c>
      <c r="J271" s="15">
        <f>IF(ISNUMBER('Klisz-Verbräuche'!K106), 'Klisz-Verbräuche'!K106*Emissionsfaktoren!J106/1000, 0)</f>
        <v>0</v>
      </c>
      <c r="K271" s="15">
        <f>IF(ISNUMBER('Klisz-Verbräuche'!L106), 'Klisz-Verbräuche'!L106*Emissionsfaktoren!K106/1000, 0)</f>
        <v>0</v>
      </c>
      <c r="L271" s="15">
        <f>IF(ISNUMBER('Klisz-Verbräuche'!M106), 'Klisz-Verbräuche'!M106*Emissionsfaktoren!L106/1000, 0)</f>
        <v>0</v>
      </c>
      <c r="M271" s="15">
        <f>IF(ISNUMBER('Klisz-Verbräuche'!N106), 'Klisz-Verbräuche'!N106*Emissionsfaktoren!M106/1000, 0)</f>
        <v>0</v>
      </c>
      <c r="N271" s="15">
        <f>IF(ISNUMBER('Klisz-Verbräuche'!O106), 'Klisz-Verbräuche'!O106*Emissionsfaktoren!N106/1000, 0)</f>
        <v>0</v>
      </c>
      <c r="O271" s="15">
        <f>IF(ISNUMBER('Klisz-Verbräuche'!P106), 'Klisz-Verbräuche'!P106*Emissionsfaktoren!O106/1000, 0)</f>
        <v>0</v>
      </c>
      <c r="P271" s="15">
        <f>IF(ISNUMBER('Klisz-Verbräuche'!Q106), 'Klisz-Verbräuche'!Q106*Emissionsfaktoren!P106/1000, 0)</f>
        <v>0</v>
      </c>
      <c r="Q271" s="15">
        <f>IF(ISNUMBER('Klisz-Verbräuche'!R106), 'Klisz-Verbräuche'!R106*Emissionsfaktoren!Q106/1000, 0)</f>
        <v>0</v>
      </c>
      <c r="R271" s="15">
        <f>IF(ISNUMBER('Klisz-Verbräuche'!S106), 'Klisz-Verbräuche'!S106*Emissionsfaktoren!R106/1000, 0)</f>
        <v>0</v>
      </c>
      <c r="S271" s="15">
        <f>IF(ISNUMBER('Klisz-Verbräuche'!T106), 'Klisz-Verbräuche'!T106*Emissionsfaktoren!S106/1000, 0)</f>
        <v>0</v>
      </c>
      <c r="T271" s="15">
        <f>IF(ISNUMBER('Klisz-Verbräuche'!U106), 'Klisz-Verbräuche'!U106*Emissionsfaktoren!T106/1000, 0)</f>
        <v>0</v>
      </c>
      <c r="U271" s="15">
        <f>IF(ISNUMBER('Klisz-Verbräuche'!V106), 'Klisz-Verbräuche'!V106*Emissionsfaktoren!U106/1000, 0)</f>
        <v>0</v>
      </c>
      <c r="V271" s="15">
        <f>IF(ISNUMBER('Klisz-Verbräuche'!W106), 'Klisz-Verbräuche'!W106*Emissionsfaktoren!V106/1000, 0)</f>
        <v>0</v>
      </c>
      <c r="W271" s="15">
        <f>IF(ISNUMBER('Klisz-Verbräuche'!X106), 'Klisz-Verbräuche'!X106*Emissionsfaktoren!W106/1000, 0)</f>
        <v>0</v>
      </c>
      <c r="X271" s="15">
        <f>IF(ISNUMBER('Klisz-Verbräuche'!Y106), 'Klisz-Verbräuche'!Y106*Emissionsfaktoren!X106/1000, 0)</f>
        <v>0</v>
      </c>
    </row>
    <row r="272" spans="2:24" ht="16.5" hidden="1" x14ac:dyDescent="0.45">
      <c r="B272" s="15">
        <v>47</v>
      </c>
      <c r="C272" s="20" t="str">
        <f>'Refsz-Verbräuche'!C107</f>
        <v>DR - Mietwägen (Benzin)</v>
      </c>
      <c r="D272" t="s">
        <v>208</v>
      </c>
      <c r="E272" s="15">
        <f>IF(ISNUMBER('Klisz-Verbräuche'!F107), 'Klisz-Verbräuche'!F107*Emissionsfaktoren!E107/1000, 0)</f>
        <v>0</v>
      </c>
      <c r="F272" s="15">
        <f>IF(ISNUMBER('Klisz-Verbräuche'!G107), 'Klisz-Verbräuche'!G107*Emissionsfaktoren!F107/1000, 0)</f>
        <v>0</v>
      </c>
      <c r="G272" s="15">
        <f>IF(ISNUMBER('Klisz-Verbräuche'!H107), 'Klisz-Verbräuche'!H107*Emissionsfaktoren!G107/1000, 0)</f>
        <v>0</v>
      </c>
      <c r="H272" s="15">
        <f>IF(ISNUMBER('Klisz-Verbräuche'!I107), 'Klisz-Verbräuche'!I107*Emissionsfaktoren!H107/1000, 0)</f>
        <v>0</v>
      </c>
      <c r="I272" s="15">
        <f>IF(ISNUMBER('Klisz-Verbräuche'!J107), 'Klisz-Verbräuche'!J107*Emissionsfaktoren!I107/1000, 0)</f>
        <v>0</v>
      </c>
      <c r="J272" s="15">
        <f>IF(ISNUMBER('Klisz-Verbräuche'!K107), 'Klisz-Verbräuche'!K107*Emissionsfaktoren!J107/1000, 0)</f>
        <v>0</v>
      </c>
      <c r="K272" s="15">
        <f>IF(ISNUMBER('Klisz-Verbräuche'!L107), 'Klisz-Verbräuche'!L107*Emissionsfaktoren!K107/1000, 0)</f>
        <v>0</v>
      </c>
      <c r="L272" s="15">
        <f>IF(ISNUMBER('Klisz-Verbräuche'!M107), 'Klisz-Verbräuche'!M107*Emissionsfaktoren!L107/1000, 0)</f>
        <v>0</v>
      </c>
      <c r="M272" s="15">
        <f>IF(ISNUMBER('Klisz-Verbräuche'!N107), 'Klisz-Verbräuche'!N107*Emissionsfaktoren!M107/1000, 0)</f>
        <v>0</v>
      </c>
      <c r="N272" s="15">
        <f>IF(ISNUMBER('Klisz-Verbräuche'!O107), 'Klisz-Verbräuche'!O107*Emissionsfaktoren!N107/1000, 0)</f>
        <v>0</v>
      </c>
      <c r="O272" s="15">
        <f>IF(ISNUMBER('Klisz-Verbräuche'!P107), 'Klisz-Verbräuche'!P107*Emissionsfaktoren!O107/1000, 0)</f>
        <v>0</v>
      </c>
      <c r="P272" s="15">
        <f>IF(ISNUMBER('Klisz-Verbräuche'!Q107), 'Klisz-Verbräuche'!Q107*Emissionsfaktoren!P107/1000, 0)</f>
        <v>0</v>
      </c>
      <c r="Q272" s="15">
        <f>IF(ISNUMBER('Klisz-Verbräuche'!R107), 'Klisz-Verbräuche'!R107*Emissionsfaktoren!Q107/1000, 0)</f>
        <v>0</v>
      </c>
      <c r="R272" s="15">
        <f>IF(ISNUMBER('Klisz-Verbräuche'!S107), 'Klisz-Verbräuche'!S107*Emissionsfaktoren!R107/1000, 0)</f>
        <v>0</v>
      </c>
      <c r="S272" s="15">
        <f>IF(ISNUMBER('Klisz-Verbräuche'!T107), 'Klisz-Verbräuche'!T107*Emissionsfaktoren!S107/1000, 0)</f>
        <v>0</v>
      </c>
      <c r="T272" s="15">
        <f>IF(ISNUMBER('Klisz-Verbräuche'!U107), 'Klisz-Verbräuche'!U107*Emissionsfaktoren!T107/1000, 0)</f>
        <v>0</v>
      </c>
      <c r="U272" s="15">
        <f>IF(ISNUMBER('Klisz-Verbräuche'!V107), 'Klisz-Verbräuche'!V107*Emissionsfaktoren!U107/1000, 0)</f>
        <v>0</v>
      </c>
      <c r="V272" s="15">
        <f>IF(ISNUMBER('Klisz-Verbräuche'!W107), 'Klisz-Verbräuche'!W107*Emissionsfaktoren!V107/1000, 0)</f>
        <v>0</v>
      </c>
      <c r="W272" s="15">
        <f>IF(ISNUMBER('Klisz-Verbräuche'!X107), 'Klisz-Verbräuche'!X107*Emissionsfaktoren!W107/1000, 0)</f>
        <v>0</v>
      </c>
      <c r="X272" s="15">
        <f>IF(ISNUMBER('Klisz-Verbräuche'!Y107), 'Klisz-Verbräuche'!Y107*Emissionsfaktoren!X107/1000, 0)</f>
        <v>0</v>
      </c>
    </row>
    <row r="273" spans="2:24" ht="16.5" hidden="1" x14ac:dyDescent="0.45">
      <c r="B273" s="15">
        <v>48</v>
      </c>
      <c r="C273" s="20" t="str">
        <f>'Refsz-Verbräuche'!C108</f>
        <v>DR - Mietwägen (E-Auto/ BEV)</v>
      </c>
      <c r="D273" t="s">
        <v>208</v>
      </c>
      <c r="E273" s="15">
        <f>IF(ISNUMBER('Klisz-Verbräuche'!F108), 'Klisz-Verbräuche'!F108*Emissionsfaktoren!E108/1000, 0)</f>
        <v>0</v>
      </c>
      <c r="F273" s="15">
        <f>IF(ISNUMBER('Klisz-Verbräuche'!G108), 'Klisz-Verbräuche'!G108*Emissionsfaktoren!F108/1000, 0)</f>
        <v>0</v>
      </c>
      <c r="G273" s="15">
        <f>IF(ISNUMBER('Klisz-Verbräuche'!H108), 'Klisz-Verbräuche'!H108*Emissionsfaktoren!G108/1000, 0)</f>
        <v>0</v>
      </c>
      <c r="H273" s="15">
        <f>IF(ISNUMBER('Klisz-Verbräuche'!I108), 'Klisz-Verbräuche'!I108*Emissionsfaktoren!H108/1000, 0)</f>
        <v>0</v>
      </c>
      <c r="I273" s="15">
        <f>IF(ISNUMBER('Klisz-Verbräuche'!J108), 'Klisz-Verbräuche'!J108*Emissionsfaktoren!I108/1000, 0)</f>
        <v>0</v>
      </c>
      <c r="J273" s="15">
        <f>IF(ISNUMBER('Klisz-Verbräuche'!K108), 'Klisz-Verbräuche'!K108*Emissionsfaktoren!J108/1000, 0)</f>
        <v>0</v>
      </c>
      <c r="K273" s="15">
        <f>IF(ISNUMBER('Klisz-Verbräuche'!L108), 'Klisz-Verbräuche'!L108*Emissionsfaktoren!K108/1000, 0)</f>
        <v>0</v>
      </c>
      <c r="L273" s="15">
        <f>IF(ISNUMBER('Klisz-Verbräuche'!M108), 'Klisz-Verbräuche'!M108*Emissionsfaktoren!L108/1000, 0)</f>
        <v>0</v>
      </c>
      <c r="M273" s="15">
        <f>IF(ISNUMBER('Klisz-Verbräuche'!N108), 'Klisz-Verbräuche'!N108*Emissionsfaktoren!M108/1000, 0)</f>
        <v>0</v>
      </c>
      <c r="N273" s="15">
        <f>IF(ISNUMBER('Klisz-Verbräuche'!O108), 'Klisz-Verbräuche'!O108*Emissionsfaktoren!N108/1000, 0)</f>
        <v>0</v>
      </c>
      <c r="O273" s="15">
        <f>IF(ISNUMBER('Klisz-Verbräuche'!P108), 'Klisz-Verbräuche'!P108*Emissionsfaktoren!O108/1000, 0)</f>
        <v>0</v>
      </c>
      <c r="P273" s="15">
        <f>IF(ISNUMBER('Klisz-Verbräuche'!Q108), 'Klisz-Verbräuche'!Q108*Emissionsfaktoren!P108/1000, 0)</f>
        <v>0</v>
      </c>
      <c r="Q273" s="15">
        <f>IF(ISNUMBER('Klisz-Verbräuche'!R108), 'Klisz-Verbräuche'!R108*Emissionsfaktoren!Q108/1000, 0)</f>
        <v>0</v>
      </c>
      <c r="R273" s="15">
        <f>IF(ISNUMBER('Klisz-Verbräuche'!S108), 'Klisz-Verbräuche'!S108*Emissionsfaktoren!R108/1000, 0)</f>
        <v>0</v>
      </c>
      <c r="S273" s="15">
        <f>IF(ISNUMBER('Klisz-Verbräuche'!T108), 'Klisz-Verbräuche'!T108*Emissionsfaktoren!S108/1000, 0)</f>
        <v>0</v>
      </c>
      <c r="T273" s="15">
        <f>IF(ISNUMBER('Klisz-Verbräuche'!U108), 'Klisz-Verbräuche'!U108*Emissionsfaktoren!T108/1000, 0)</f>
        <v>0</v>
      </c>
      <c r="U273" s="15">
        <f>IF(ISNUMBER('Klisz-Verbräuche'!V108), 'Klisz-Verbräuche'!V108*Emissionsfaktoren!U108/1000, 0)</f>
        <v>0</v>
      </c>
      <c r="V273" s="15">
        <f>IF(ISNUMBER('Klisz-Verbräuche'!W108), 'Klisz-Verbräuche'!W108*Emissionsfaktoren!V108/1000, 0)</f>
        <v>0</v>
      </c>
      <c r="W273" s="15">
        <f>IF(ISNUMBER('Klisz-Verbräuche'!X108), 'Klisz-Verbräuche'!X108*Emissionsfaktoren!W108/1000, 0)</f>
        <v>0</v>
      </c>
      <c r="X273" s="15">
        <f>IF(ISNUMBER('Klisz-Verbräuche'!Y108), 'Klisz-Verbräuche'!Y108*Emissionsfaktoren!X108/1000, 0)</f>
        <v>0</v>
      </c>
    </row>
    <row r="274" spans="2:24" ht="16.5" hidden="1" x14ac:dyDescent="0.45">
      <c r="B274" s="15">
        <v>49</v>
      </c>
      <c r="C274" s="20" t="str">
        <f>'Refsz-Verbräuche'!C109</f>
        <v>DR - Mietwägen (Wasserstoff/ FCEV)</v>
      </c>
      <c r="D274" t="s">
        <v>208</v>
      </c>
      <c r="E274" s="15">
        <f>IF(ISNUMBER('Klisz-Verbräuche'!F109), 'Klisz-Verbräuche'!F109*Emissionsfaktoren!E109/1000, 0)</f>
        <v>0</v>
      </c>
      <c r="F274" s="15">
        <f>IF(ISNUMBER('Klisz-Verbräuche'!G109), 'Klisz-Verbräuche'!G109*Emissionsfaktoren!F109/1000, 0)</f>
        <v>0</v>
      </c>
      <c r="G274" s="15">
        <f>IF(ISNUMBER('Klisz-Verbräuche'!H109), 'Klisz-Verbräuche'!H109*Emissionsfaktoren!G109/1000, 0)</f>
        <v>0</v>
      </c>
      <c r="H274" s="15">
        <f>IF(ISNUMBER('Klisz-Verbräuche'!I109), 'Klisz-Verbräuche'!I109*Emissionsfaktoren!H109/1000, 0)</f>
        <v>0</v>
      </c>
      <c r="I274" s="15">
        <f>IF(ISNUMBER('Klisz-Verbräuche'!J109), 'Klisz-Verbräuche'!J109*Emissionsfaktoren!I109/1000, 0)</f>
        <v>0</v>
      </c>
      <c r="J274" s="15">
        <f>IF(ISNUMBER('Klisz-Verbräuche'!K109), 'Klisz-Verbräuche'!K109*Emissionsfaktoren!J109/1000, 0)</f>
        <v>0</v>
      </c>
      <c r="K274" s="15">
        <f>IF(ISNUMBER('Klisz-Verbräuche'!L109), 'Klisz-Verbräuche'!L109*Emissionsfaktoren!K109/1000, 0)</f>
        <v>0</v>
      </c>
      <c r="L274" s="15">
        <f>IF(ISNUMBER('Klisz-Verbräuche'!M109), 'Klisz-Verbräuche'!M109*Emissionsfaktoren!L109/1000, 0)</f>
        <v>0</v>
      </c>
      <c r="M274" s="15">
        <f>IF(ISNUMBER('Klisz-Verbräuche'!N109), 'Klisz-Verbräuche'!N109*Emissionsfaktoren!M109/1000, 0)</f>
        <v>0</v>
      </c>
      <c r="N274" s="15">
        <f>IF(ISNUMBER('Klisz-Verbräuche'!O109), 'Klisz-Verbräuche'!O109*Emissionsfaktoren!N109/1000, 0)</f>
        <v>0</v>
      </c>
      <c r="O274" s="15">
        <f>IF(ISNUMBER('Klisz-Verbräuche'!P109), 'Klisz-Verbräuche'!P109*Emissionsfaktoren!O109/1000, 0)</f>
        <v>0</v>
      </c>
      <c r="P274" s="15">
        <f>IF(ISNUMBER('Klisz-Verbräuche'!Q109), 'Klisz-Verbräuche'!Q109*Emissionsfaktoren!P109/1000, 0)</f>
        <v>0</v>
      </c>
      <c r="Q274" s="15">
        <f>IF(ISNUMBER('Klisz-Verbräuche'!R109), 'Klisz-Verbräuche'!R109*Emissionsfaktoren!Q109/1000, 0)</f>
        <v>0</v>
      </c>
      <c r="R274" s="15">
        <f>IF(ISNUMBER('Klisz-Verbräuche'!S109), 'Klisz-Verbräuche'!S109*Emissionsfaktoren!R109/1000, 0)</f>
        <v>0</v>
      </c>
      <c r="S274" s="15">
        <f>IF(ISNUMBER('Klisz-Verbräuche'!T109), 'Klisz-Verbräuche'!T109*Emissionsfaktoren!S109/1000, 0)</f>
        <v>0</v>
      </c>
      <c r="T274" s="15">
        <f>IF(ISNUMBER('Klisz-Verbräuche'!U109), 'Klisz-Verbräuche'!U109*Emissionsfaktoren!T109/1000, 0)</f>
        <v>0</v>
      </c>
      <c r="U274" s="15">
        <f>IF(ISNUMBER('Klisz-Verbräuche'!V109), 'Klisz-Verbräuche'!V109*Emissionsfaktoren!U109/1000, 0)</f>
        <v>0</v>
      </c>
      <c r="V274" s="15">
        <f>IF(ISNUMBER('Klisz-Verbräuche'!W109), 'Klisz-Verbräuche'!W109*Emissionsfaktoren!V109/1000, 0)</f>
        <v>0</v>
      </c>
      <c r="W274" s="15">
        <f>IF(ISNUMBER('Klisz-Verbräuche'!X109), 'Klisz-Verbräuche'!X109*Emissionsfaktoren!W109/1000, 0)</f>
        <v>0</v>
      </c>
      <c r="X274" s="15">
        <f>IF(ISNUMBER('Klisz-Verbräuche'!Y109), 'Klisz-Verbräuche'!Y109*Emissionsfaktoren!X109/1000, 0)</f>
        <v>0</v>
      </c>
    </row>
    <row r="275" spans="2:24" ht="16.5" hidden="1" x14ac:dyDescent="0.45">
      <c r="B275" s="15">
        <v>50</v>
      </c>
      <c r="C275" s="20" t="str">
        <f>'Refsz-Verbräuche'!C110</f>
        <v>DR - Mietwägen (CNG)</v>
      </c>
      <c r="D275" t="s">
        <v>208</v>
      </c>
      <c r="E275" s="15">
        <f>IF(ISNUMBER('Klisz-Verbräuche'!F110), 'Klisz-Verbräuche'!F110*Emissionsfaktoren!E110/1000, 0)</f>
        <v>0</v>
      </c>
      <c r="F275" s="15">
        <f>IF(ISNUMBER('Klisz-Verbräuche'!G110), 'Klisz-Verbräuche'!G110*Emissionsfaktoren!F110/1000, 0)</f>
        <v>0</v>
      </c>
      <c r="G275" s="15">
        <f>IF(ISNUMBER('Klisz-Verbräuche'!H110), 'Klisz-Verbräuche'!H110*Emissionsfaktoren!G110/1000, 0)</f>
        <v>0</v>
      </c>
      <c r="H275" s="15">
        <f>IF(ISNUMBER('Klisz-Verbräuche'!I110), 'Klisz-Verbräuche'!I110*Emissionsfaktoren!H110/1000, 0)</f>
        <v>0</v>
      </c>
      <c r="I275" s="15">
        <f>IF(ISNUMBER('Klisz-Verbräuche'!J110), 'Klisz-Verbräuche'!J110*Emissionsfaktoren!I110/1000, 0)</f>
        <v>0</v>
      </c>
      <c r="J275" s="15">
        <f>IF(ISNUMBER('Klisz-Verbräuche'!K110), 'Klisz-Verbräuche'!K110*Emissionsfaktoren!J110/1000, 0)</f>
        <v>0</v>
      </c>
      <c r="K275" s="15">
        <f>IF(ISNUMBER('Klisz-Verbräuche'!L110), 'Klisz-Verbräuche'!L110*Emissionsfaktoren!K110/1000, 0)</f>
        <v>0</v>
      </c>
      <c r="L275" s="15">
        <f>IF(ISNUMBER('Klisz-Verbräuche'!M110), 'Klisz-Verbräuche'!M110*Emissionsfaktoren!L110/1000, 0)</f>
        <v>0</v>
      </c>
      <c r="M275" s="15">
        <f>IF(ISNUMBER('Klisz-Verbräuche'!N110), 'Klisz-Verbräuche'!N110*Emissionsfaktoren!M110/1000, 0)</f>
        <v>0</v>
      </c>
      <c r="N275" s="15">
        <f>IF(ISNUMBER('Klisz-Verbräuche'!O110), 'Klisz-Verbräuche'!O110*Emissionsfaktoren!N110/1000, 0)</f>
        <v>0</v>
      </c>
      <c r="O275" s="15">
        <f>IF(ISNUMBER('Klisz-Verbräuche'!P110), 'Klisz-Verbräuche'!P110*Emissionsfaktoren!O110/1000, 0)</f>
        <v>0</v>
      </c>
      <c r="P275" s="15">
        <f>IF(ISNUMBER('Klisz-Verbräuche'!Q110), 'Klisz-Verbräuche'!Q110*Emissionsfaktoren!P110/1000, 0)</f>
        <v>0</v>
      </c>
      <c r="Q275" s="15">
        <f>IF(ISNUMBER('Klisz-Verbräuche'!R110), 'Klisz-Verbräuche'!R110*Emissionsfaktoren!Q110/1000, 0)</f>
        <v>0</v>
      </c>
      <c r="R275" s="15">
        <f>IF(ISNUMBER('Klisz-Verbräuche'!S110), 'Klisz-Verbräuche'!S110*Emissionsfaktoren!R110/1000, 0)</f>
        <v>0</v>
      </c>
      <c r="S275" s="15">
        <f>IF(ISNUMBER('Klisz-Verbräuche'!T110), 'Klisz-Verbräuche'!T110*Emissionsfaktoren!S110/1000, 0)</f>
        <v>0</v>
      </c>
      <c r="T275" s="15">
        <f>IF(ISNUMBER('Klisz-Verbräuche'!U110), 'Klisz-Verbräuche'!U110*Emissionsfaktoren!T110/1000, 0)</f>
        <v>0</v>
      </c>
      <c r="U275" s="15">
        <f>IF(ISNUMBER('Klisz-Verbräuche'!V110), 'Klisz-Verbräuche'!V110*Emissionsfaktoren!U110/1000, 0)</f>
        <v>0</v>
      </c>
      <c r="V275" s="15">
        <f>IF(ISNUMBER('Klisz-Verbräuche'!W110), 'Klisz-Verbräuche'!W110*Emissionsfaktoren!V110/1000, 0)</f>
        <v>0</v>
      </c>
      <c r="W275" s="15">
        <f>IF(ISNUMBER('Klisz-Verbräuche'!X110), 'Klisz-Verbräuche'!X110*Emissionsfaktoren!W110/1000, 0)</f>
        <v>0</v>
      </c>
      <c r="X275" s="15">
        <f>IF(ISNUMBER('Klisz-Verbräuche'!Y110), 'Klisz-Verbräuche'!Y110*Emissionsfaktoren!X110/1000, 0)</f>
        <v>0</v>
      </c>
    </row>
    <row r="276" spans="2:24" ht="16.5" hidden="1" x14ac:dyDescent="0.45">
      <c r="B276" s="15">
        <v>51</v>
      </c>
      <c r="C276" s="20" t="str">
        <f>'Refsz-Verbräuche'!C111</f>
        <v>DR - Mietwägen (Plug-In-Hybrid/ PHEV)</v>
      </c>
      <c r="D276" t="s">
        <v>208</v>
      </c>
      <c r="E276" s="15">
        <f>IF(ISNUMBER('Klisz-Verbräuche'!F111), 'Klisz-Verbräuche'!F111*Emissionsfaktoren!E111/1000, 0)</f>
        <v>0</v>
      </c>
      <c r="F276" s="15">
        <f>IF(ISNUMBER('Klisz-Verbräuche'!G111), 'Klisz-Verbräuche'!G111*Emissionsfaktoren!F111/1000, 0)</f>
        <v>0</v>
      </c>
      <c r="G276" s="15">
        <f>IF(ISNUMBER('Klisz-Verbräuche'!H111), 'Klisz-Verbräuche'!H111*Emissionsfaktoren!G111/1000, 0)</f>
        <v>0</v>
      </c>
      <c r="H276" s="15">
        <f>IF(ISNUMBER('Klisz-Verbräuche'!I111), 'Klisz-Verbräuche'!I111*Emissionsfaktoren!H111/1000, 0)</f>
        <v>0</v>
      </c>
      <c r="I276" s="15">
        <f>IF(ISNUMBER('Klisz-Verbräuche'!J111), 'Klisz-Verbräuche'!J111*Emissionsfaktoren!I111/1000, 0)</f>
        <v>0</v>
      </c>
      <c r="J276" s="15">
        <f>IF(ISNUMBER('Klisz-Verbräuche'!K111), 'Klisz-Verbräuche'!K111*Emissionsfaktoren!J111/1000, 0)</f>
        <v>0</v>
      </c>
      <c r="K276" s="15">
        <f>IF(ISNUMBER('Klisz-Verbräuche'!L111), 'Klisz-Verbräuche'!L111*Emissionsfaktoren!K111/1000, 0)</f>
        <v>0</v>
      </c>
      <c r="L276" s="15">
        <f>IF(ISNUMBER('Klisz-Verbräuche'!M111), 'Klisz-Verbräuche'!M111*Emissionsfaktoren!L111/1000, 0)</f>
        <v>0</v>
      </c>
      <c r="M276" s="15">
        <f>IF(ISNUMBER('Klisz-Verbräuche'!N111), 'Klisz-Verbräuche'!N111*Emissionsfaktoren!M111/1000, 0)</f>
        <v>0</v>
      </c>
      <c r="N276" s="15">
        <f>IF(ISNUMBER('Klisz-Verbräuche'!O111), 'Klisz-Verbräuche'!O111*Emissionsfaktoren!N111/1000, 0)</f>
        <v>0</v>
      </c>
      <c r="O276" s="15">
        <f>IF(ISNUMBER('Klisz-Verbräuche'!P111), 'Klisz-Verbräuche'!P111*Emissionsfaktoren!O111/1000, 0)</f>
        <v>0</v>
      </c>
      <c r="P276" s="15">
        <f>IF(ISNUMBER('Klisz-Verbräuche'!Q111), 'Klisz-Verbräuche'!Q111*Emissionsfaktoren!P111/1000, 0)</f>
        <v>0</v>
      </c>
      <c r="Q276" s="15">
        <f>IF(ISNUMBER('Klisz-Verbräuche'!R111), 'Klisz-Verbräuche'!R111*Emissionsfaktoren!Q111/1000, 0)</f>
        <v>0</v>
      </c>
      <c r="R276" s="15">
        <f>IF(ISNUMBER('Klisz-Verbräuche'!S111), 'Klisz-Verbräuche'!S111*Emissionsfaktoren!R111/1000, 0)</f>
        <v>0</v>
      </c>
      <c r="S276" s="15">
        <f>IF(ISNUMBER('Klisz-Verbräuche'!T111), 'Klisz-Verbräuche'!T111*Emissionsfaktoren!S111/1000, 0)</f>
        <v>0</v>
      </c>
      <c r="T276" s="15">
        <f>IF(ISNUMBER('Klisz-Verbräuche'!U111), 'Klisz-Verbräuche'!U111*Emissionsfaktoren!T111/1000, 0)</f>
        <v>0</v>
      </c>
      <c r="U276" s="15">
        <f>IF(ISNUMBER('Klisz-Verbräuche'!V111), 'Klisz-Verbräuche'!V111*Emissionsfaktoren!U111/1000, 0)</f>
        <v>0</v>
      </c>
      <c r="V276" s="15">
        <f>IF(ISNUMBER('Klisz-Verbräuche'!W111), 'Klisz-Verbräuche'!W111*Emissionsfaktoren!V111/1000, 0)</f>
        <v>0</v>
      </c>
      <c r="W276" s="15">
        <f>IF(ISNUMBER('Klisz-Verbräuche'!X111), 'Klisz-Verbräuche'!X111*Emissionsfaktoren!W111/1000, 0)</f>
        <v>0</v>
      </c>
      <c r="X276" s="15">
        <f>IF(ISNUMBER('Klisz-Verbräuche'!Y111), 'Klisz-Verbräuche'!Y111*Emissionsfaktoren!X111/1000, 0)</f>
        <v>0</v>
      </c>
    </row>
    <row r="277" spans="2:24" ht="16.5" hidden="1" x14ac:dyDescent="0.45">
      <c r="B277" s="15">
        <v>52</v>
      </c>
      <c r="C277" s="20" t="str">
        <f>'Refsz-Verbräuche'!C112</f>
        <v>DR - E-Bike</v>
      </c>
      <c r="D277" t="s">
        <v>208</v>
      </c>
      <c r="E277" s="15">
        <f>IF(ISNUMBER('Klisz-Verbräuche'!F112), 'Klisz-Verbräuche'!F112*Emissionsfaktoren!E112/1000, 0)</f>
        <v>0</v>
      </c>
      <c r="F277" s="15">
        <f>IF(ISNUMBER('Klisz-Verbräuche'!G112), 'Klisz-Verbräuche'!G112*Emissionsfaktoren!F112/1000, 0)</f>
        <v>0</v>
      </c>
      <c r="G277" s="15">
        <f>IF(ISNUMBER('Klisz-Verbräuche'!H112), 'Klisz-Verbräuche'!H112*Emissionsfaktoren!G112/1000, 0)</f>
        <v>0</v>
      </c>
      <c r="H277" s="15">
        <f>IF(ISNUMBER('Klisz-Verbräuche'!I112), 'Klisz-Verbräuche'!I112*Emissionsfaktoren!H112/1000, 0)</f>
        <v>0</v>
      </c>
      <c r="I277" s="15">
        <f>IF(ISNUMBER('Klisz-Verbräuche'!J112), 'Klisz-Verbräuche'!J112*Emissionsfaktoren!I112/1000, 0)</f>
        <v>0</v>
      </c>
      <c r="J277" s="15">
        <f>IF(ISNUMBER('Klisz-Verbräuche'!K112), 'Klisz-Verbräuche'!K112*Emissionsfaktoren!J112/1000, 0)</f>
        <v>0</v>
      </c>
      <c r="K277" s="15">
        <f>IF(ISNUMBER('Klisz-Verbräuche'!L112), 'Klisz-Verbräuche'!L112*Emissionsfaktoren!K112/1000, 0)</f>
        <v>0</v>
      </c>
      <c r="L277" s="15">
        <f>IF(ISNUMBER('Klisz-Verbräuche'!M112), 'Klisz-Verbräuche'!M112*Emissionsfaktoren!L112/1000, 0)</f>
        <v>0</v>
      </c>
      <c r="M277" s="15">
        <f>IF(ISNUMBER('Klisz-Verbräuche'!N112), 'Klisz-Verbräuche'!N112*Emissionsfaktoren!M112/1000, 0)</f>
        <v>0</v>
      </c>
      <c r="N277" s="15">
        <f>IF(ISNUMBER('Klisz-Verbräuche'!O112), 'Klisz-Verbräuche'!O112*Emissionsfaktoren!N112/1000, 0)</f>
        <v>0</v>
      </c>
      <c r="O277" s="15">
        <f>IF(ISNUMBER('Klisz-Verbräuche'!P112), 'Klisz-Verbräuche'!P112*Emissionsfaktoren!O112/1000, 0)</f>
        <v>0</v>
      </c>
      <c r="P277" s="15">
        <f>IF(ISNUMBER('Klisz-Verbräuche'!Q112), 'Klisz-Verbräuche'!Q112*Emissionsfaktoren!P112/1000, 0)</f>
        <v>0</v>
      </c>
      <c r="Q277" s="15">
        <f>IF(ISNUMBER('Klisz-Verbräuche'!R112), 'Klisz-Verbräuche'!R112*Emissionsfaktoren!Q112/1000, 0)</f>
        <v>0</v>
      </c>
      <c r="R277" s="15">
        <f>IF(ISNUMBER('Klisz-Verbräuche'!S112), 'Klisz-Verbräuche'!S112*Emissionsfaktoren!R112/1000, 0)</f>
        <v>0</v>
      </c>
      <c r="S277" s="15">
        <f>IF(ISNUMBER('Klisz-Verbräuche'!T112), 'Klisz-Verbräuche'!T112*Emissionsfaktoren!S112/1000, 0)</f>
        <v>0</v>
      </c>
      <c r="T277" s="15">
        <f>IF(ISNUMBER('Klisz-Verbräuche'!U112), 'Klisz-Verbräuche'!U112*Emissionsfaktoren!T112/1000, 0)</f>
        <v>0</v>
      </c>
      <c r="U277" s="15">
        <f>IF(ISNUMBER('Klisz-Verbräuche'!V112), 'Klisz-Verbräuche'!V112*Emissionsfaktoren!U112/1000, 0)</f>
        <v>0</v>
      </c>
      <c r="V277" s="15">
        <f>IF(ISNUMBER('Klisz-Verbräuche'!W112), 'Klisz-Verbräuche'!W112*Emissionsfaktoren!V112/1000, 0)</f>
        <v>0</v>
      </c>
      <c r="W277" s="15">
        <f>IF(ISNUMBER('Klisz-Verbräuche'!X112), 'Klisz-Verbräuche'!X112*Emissionsfaktoren!W112/1000, 0)</f>
        <v>0</v>
      </c>
      <c r="X277" s="15">
        <f>IF(ISNUMBER('Klisz-Verbräuche'!Y112), 'Klisz-Verbräuche'!Y112*Emissionsfaktoren!X112/1000, 0)</f>
        <v>0</v>
      </c>
    </row>
    <row r="278" spans="2:24" ht="16.5" hidden="1" x14ac:dyDescent="0.45">
      <c r="B278" s="15">
        <v>53</v>
      </c>
      <c r="C278" s="20" t="str">
        <f>'Refsz-Verbräuche'!C113</f>
        <v>DR - Fahrrad</v>
      </c>
      <c r="D278" t="s">
        <v>208</v>
      </c>
      <c r="E278" s="15">
        <f>IF(ISNUMBER('Klisz-Verbräuche'!F113), 'Klisz-Verbräuche'!F113*Emissionsfaktoren!E113/1000, 0)</f>
        <v>0</v>
      </c>
      <c r="F278" s="15">
        <f>IF(ISNUMBER('Klisz-Verbräuche'!G113), 'Klisz-Verbräuche'!G113*Emissionsfaktoren!F113/1000, 0)</f>
        <v>0</v>
      </c>
      <c r="G278" s="15">
        <f>IF(ISNUMBER('Klisz-Verbräuche'!H113), 'Klisz-Verbräuche'!H113*Emissionsfaktoren!G113/1000, 0)</f>
        <v>0</v>
      </c>
      <c r="H278" s="15">
        <f>IF(ISNUMBER('Klisz-Verbräuche'!I113), 'Klisz-Verbräuche'!I113*Emissionsfaktoren!H113/1000, 0)</f>
        <v>0</v>
      </c>
      <c r="I278" s="15">
        <f>IF(ISNUMBER('Klisz-Verbräuche'!J113), 'Klisz-Verbräuche'!J113*Emissionsfaktoren!I113/1000, 0)</f>
        <v>0</v>
      </c>
      <c r="J278" s="15">
        <f>IF(ISNUMBER('Klisz-Verbräuche'!K113), 'Klisz-Verbräuche'!K113*Emissionsfaktoren!J113/1000, 0)</f>
        <v>0</v>
      </c>
      <c r="K278" s="15">
        <f>IF(ISNUMBER('Klisz-Verbräuche'!L113), 'Klisz-Verbräuche'!L113*Emissionsfaktoren!K113/1000, 0)</f>
        <v>0</v>
      </c>
      <c r="L278" s="15">
        <f>IF(ISNUMBER('Klisz-Verbräuche'!M113), 'Klisz-Verbräuche'!M113*Emissionsfaktoren!L113/1000, 0)</f>
        <v>0</v>
      </c>
      <c r="M278" s="15">
        <f>IF(ISNUMBER('Klisz-Verbräuche'!N113), 'Klisz-Verbräuche'!N113*Emissionsfaktoren!M113/1000, 0)</f>
        <v>0</v>
      </c>
      <c r="N278" s="15">
        <f>IF(ISNUMBER('Klisz-Verbräuche'!O113), 'Klisz-Verbräuche'!O113*Emissionsfaktoren!N113/1000, 0)</f>
        <v>0</v>
      </c>
      <c r="O278" s="15">
        <f>IF(ISNUMBER('Klisz-Verbräuche'!P113), 'Klisz-Verbräuche'!P113*Emissionsfaktoren!O113/1000, 0)</f>
        <v>0</v>
      </c>
      <c r="P278" s="15">
        <f>IF(ISNUMBER('Klisz-Verbräuche'!Q113), 'Klisz-Verbräuche'!Q113*Emissionsfaktoren!P113/1000, 0)</f>
        <v>0</v>
      </c>
      <c r="Q278" s="15">
        <f>IF(ISNUMBER('Klisz-Verbräuche'!R113), 'Klisz-Verbräuche'!R113*Emissionsfaktoren!Q113/1000, 0)</f>
        <v>0</v>
      </c>
      <c r="R278" s="15">
        <f>IF(ISNUMBER('Klisz-Verbräuche'!S113), 'Klisz-Verbräuche'!S113*Emissionsfaktoren!R113/1000, 0)</f>
        <v>0</v>
      </c>
      <c r="S278" s="15">
        <f>IF(ISNUMBER('Klisz-Verbräuche'!T113), 'Klisz-Verbräuche'!T113*Emissionsfaktoren!S113/1000, 0)</f>
        <v>0</v>
      </c>
      <c r="T278" s="15">
        <f>IF(ISNUMBER('Klisz-Verbräuche'!U113), 'Klisz-Verbräuche'!U113*Emissionsfaktoren!T113/1000, 0)</f>
        <v>0</v>
      </c>
      <c r="U278" s="15">
        <f>IF(ISNUMBER('Klisz-Verbräuche'!V113), 'Klisz-Verbräuche'!V113*Emissionsfaktoren!U113/1000, 0)</f>
        <v>0</v>
      </c>
      <c r="V278" s="15">
        <f>IF(ISNUMBER('Klisz-Verbräuche'!W113), 'Klisz-Verbräuche'!W113*Emissionsfaktoren!V113/1000, 0)</f>
        <v>0</v>
      </c>
      <c r="W278" s="15">
        <f>IF(ISNUMBER('Klisz-Verbräuche'!X113), 'Klisz-Verbräuche'!X113*Emissionsfaktoren!W113/1000, 0)</f>
        <v>0</v>
      </c>
      <c r="X278" s="15">
        <f>IF(ISNUMBER('Klisz-Verbräuche'!Y113), 'Klisz-Verbräuche'!Y113*Emissionsfaktoren!X113/1000, 0)</f>
        <v>0</v>
      </c>
    </row>
    <row r="279" spans="2:24" ht="16.5" hidden="1" x14ac:dyDescent="0.45">
      <c r="B279" s="15">
        <v>54</v>
      </c>
      <c r="C279" s="20">
        <f>'Refsz-Verbräuche'!C114</f>
        <v>0</v>
      </c>
      <c r="D279" t="s">
        <v>208</v>
      </c>
      <c r="E279" s="15">
        <f>IF(ISNUMBER('Klisz-Verbräuche'!F114), 'Klisz-Verbräuche'!F114*Emissionsfaktoren!E114/1000, 0)</f>
        <v>0</v>
      </c>
      <c r="F279" s="15">
        <f>IF(ISNUMBER('Klisz-Verbräuche'!G114), 'Klisz-Verbräuche'!G114*Emissionsfaktoren!F114/1000, 0)</f>
        <v>0</v>
      </c>
      <c r="G279" s="15">
        <f>IF(ISNUMBER('Klisz-Verbräuche'!H114), 'Klisz-Verbräuche'!H114*Emissionsfaktoren!G114/1000, 0)</f>
        <v>0</v>
      </c>
      <c r="H279" s="15">
        <f>IF(ISNUMBER('Klisz-Verbräuche'!I114), 'Klisz-Verbräuche'!I114*Emissionsfaktoren!H114/1000, 0)</f>
        <v>0</v>
      </c>
      <c r="I279" s="15">
        <f>IF(ISNUMBER('Klisz-Verbräuche'!J114), 'Klisz-Verbräuche'!J114*Emissionsfaktoren!I114/1000, 0)</f>
        <v>0</v>
      </c>
      <c r="J279" s="15">
        <f>IF(ISNUMBER('Klisz-Verbräuche'!K114), 'Klisz-Verbräuche'!K114*Emissionsfaktoren!J114/1000, 0)</f>
        <v>0</v>
      </c>
      <c r="K279" s="15">
        <f>IF(ISNUMBER('Klisz-Verbräuche'!L114), 'Klisz-Verbräuche'!L114*Emissionsfaktoren!K114/1000, 0)</f>
        <v>0</v>
      </c>
      <c r="L279" s="15">
        <f>IF(ISNUMBER('Klisz-Verbräuche'!M114), 'Klisz-Verbräuche'!M114*Emissionsfaktoren!L114/1000, 0)</f>
        <v>0</v>
      </c>
      <c r="M279" s="15">
        <f>IF(ISNUMBER('Klisz-Verbräuche'!N114), 'Klisz-Verbräuche'!N114*Emissionsfaktoren!M114/1000, 0)</f>
        <v>0</v>
      </c>
      <c r="N279" s="15">
        <f>IF(ISNUMBER('Klisz-Verbräuche'!O114), 'Klisz-Verbräuche'!O114*Emissionsfaktoren!N114/1000, 0)</f>
        <v>0</v>
      </c>
      <c r="O279" s="15">
        <f>IF(ISNUMBER('Klisz-Verbräuche'!P114), 'Klisz-Verbräuche'!P114*Emissionsfaktoren!O114/1000, 0)</f>
        <v>0</v>
      </c>
      <c r="P279" s="15">
        <f>IF(ISNUMBER('Klisz-Verbräuche'!Q114), 'Klisz-Verbräuche'!Q114*Emissionsfaktoren!P114/1000, 0)</f>
        <v>0</v>
      </c>
      <c r="Q279" s="15">
        <f>IF(ISNUMBER('Klisz-Verbräuche'!R114), 'Klisz-Verbräuche'!R114*Emissionsfaktoren!Q114/1000, 0)</f>
        <v>0</v>
      </c>
      <c r="R279" s="15">
        <f>IF(ISNUMBER('Klisz-Verbräuche'!S114), 'Klisz-Verbräuche'!S114*Emissionsfaktoren!R114/1000, 0)</f>
        <v>0</v>
      </c>
      <c r="S279" s="15">
        <f>IF(ISNUMBER('Klisz-Verbräuche'!T114), 'Klisz-Verbräuche'!T114*Emissionsfaktoren!S114/1000, 0)</f>
        <v>0</v>
      </c>
      <c r="T279" s="15">
        <f>IF(ISNUMBER('Klisz-Verbräuche'!U114), 'Klisz-Verbräuche'!U114*Emissionsfaktoren!T114/1000, 0)</f>
        <v>0</v>
      </c>
      <c r="U279" s="15">
        <f>IF(ISNUMBER('Klisz-Verbräuche'!V114), 'Klisz-Verbräuche'!V114*Emissionsfaktoren!U114/1000, 0)</f>
        <v>0</v>
      </c>
      <c r="V279" s="15">
        <f>IF(ISNUMBER('Klisz-Verbräuche'!W114), 'Klisz-Verbräuche'!W114*Emissionsfaktoren!V114/1000, 0)</f>
        <v>0</v>
      </c>
      <c r="W279" s="15">
        <f>IF(ISNUMBER('Klisz-Verbräuche'!X114), 'Klisz-Verbräuche'!X114*Emissionsfaktoren!W114/1000, 0)</f>
        <v>0</v>
      </c>
      <c r="X279" s="15">
        <f>IF(ISNUMBER('Klisz-Verbräuche'!Y114), 'Klisz-Verbräuche'!Y114*Emissionsfaktoren!X114/1000, 0)</f>
        <v>0</v>
      </c>
    </row>
    <row r="280" spans="2:24" ht="16.5" hidden="1" x14ac:dyDescent="0.45">
      <c r="B280" s="15">
        <v>55</v>
      </c>
      <c r="C280" s="20" t="str">
        <f>'Refsz-Verbräuche'!C115</f>
        <v>Studierendenreisen (Outgoing) - Flugreisen</v>
      </c>
      <c r="D280" t="s">
        <v>208</v>
      </c>
      <c r="E280" s="15">
        <f>IF(ISNUMBER('Klisz-Verbräuche'!F115), 'Klisz-Verbräuche'!F115*Emissionsfaktoren!E115/1000, 0)</f>
        <v>0</v>
      </c>
      <c r="F280" s="15">
        <f>IF(ISNUMBER('Klisz-Verbräuche'!G115), 'Klisz-Verbräuche'!G115*Emissionsfaktoren!F115/1000, 0)</f>
        <v>0</v>
      </c>
      <c r="G280" s="15">
        <f>IF(ISNUMBER('Klisz-Verbräuche'!H115), 'Klisz-Verbräuche'!H115*Emissionsfaktoren!G115/1000, 0)</f>
        <v>0</v>
      </c>
      <c r="H280" s="15">
        <f>IF(ISNUMBER('Klisz-Verbräuche'!I115), 'Klisz-Verbräuche'!I115*Emissionsfaktoren!H115/1000, 0)</f>
        <v>0</v>
      </c>
      <c r="I280" s="15">
        <f>IF(ISNUMBER('Klisz-Verbräuche'!J115), 'Klisz-Verbräuche'!J115*Emissionsfaktoren!I115/1000, 0)</f>
        <v>0</v>
      </c>
      <c r="J280" s="15">
        <f>IF(ISNUMBER('Klisz-Verbräuche'!K115), 'Klisz-Verbräuche'!K115*Emissionsfaktoren!J115/1000, 0)</f>
        <v>0</v>
      </c>
      <c r="K280" s="15">
        <f>IF(ISNUMBER('Klisz-Verbräuche'!L115), 'Klisz-Verbräuche'!L115*Emissionsfaktoren!K115/1000, 0)</f>
        <v>0</v>
      </c>
      <c r="L280" s="15">
        <f>IF(ISNUMBER('Klisz-Verbräuche'!M115), 'Klisz-Verbräuche'!M115*Emissionsfaktoren!L115/1000, 0)</f>
        <v>0</v>
      </c>
      <c r="M280" s="15">
        <f>IF(ISNUMBER('Klisz-Verbräuche'!N115), 'Klisz-Verbräuche'!N115*Emissionsfaktoren!M115/1000, 0)</f>
        <v>0</v>
      </c>
      <c r="N280" s="15">
        <f>IF(ISNUMBER('Klisz-Verbräuche'!O115), 'Klisz-Verbräuche'!O115*Emissionsfaktoren!N115/1000, 0)</f>
        <v>0</v>
      </c>
      <c r="O280" s="15">
        <f>IF(ISNUMBER('Klisz-Verbräuche'!P115), 'Klisz-Verbräuche'!P115*Emissionsfaktoren!O115/1000, 0)</f>
        <v>0</v>
      </c>
      <c r="P280" s="15">
        <f>IF(ISNUMBER('Klisz-Verbräuche'!Q115), 'Klisz-Verbräuche'!Q115*Emissionsfaktoren!P115/1000, 0)</f>
        <v>0</v>
      </c>
      <c r="Q280" s="15">
        <f>IF(ISNUMBER('Klisz-Verbräuche'!R115), 'Klisz-Verbräuche'!R115*Emissionsfaktoren!Q115/1000, 0)</f>
        <v>0</v>
      </c>
      <c r="R280" s="15">
        <f>IF(ISNUMBER('Klisz-Verbräuche'!S115), 'Klisz-Verbräuche'!S115*Emissionsfaktoren!R115/1000, 0)</f>
        <v>0</v>
      </c>
      <c r="S280" s="15">
        <f>IF(ISNUMBER('Klisz-Verbräuche'!T115), 'Klisz-Verbräuche'!T115*Emissionsfaktoren!S115/1000, 0)</f>
        <v>0</v>
      </c>
      <c r="T280" s="15">
        <f>IF(ISNUMBER('Klisz-Verbräuche'!U115), 'Klisz-Verbräuche'!U115*Emissionsfaktoren!T115/1000, 0)</f>
        <v>0</v>
      </c>
      <c r="U280" s="15">
        <f>IF(ISNUMBER('Klisz-Verbräuche'!V115), 'Klisz-Verbräuche'!V115*Emissionsfaktoren!U115/1000, 0)</f>
        <v>0</v>
      </c>
      <c r="V280" s="15">
        <f>IF(ISNUMBER('Klisz-Verbräuche'!W115), 'Klisz-Verbräuche'!W115*Emissionsfaktoren!V115/1000, 0)</f>
        <v>0</v>
      </c>
      <c r="W280" s="15">
        <f>IF(ISNUMBER('Klisz-Verbräuche'!X115), 'Klisz-Verbräuche'!X115*Emissionsfaktoren!W115/1000, 0)</f>
        <v>0</v>
      </c>
      <c r="X280" s="15">
        <f>IF(ISNUMBER('Klisz-Verbräuche'!Y115), 'Klisz-Verbräuche'!Y115*Emissionsfaktoren!X115/1000, 0)</f>
        <v>0</v>
      </c>
    </row>
    <row r="281" spans="2:24" ht="16.5" hidden="1" x14ac:dyDescent="0.45">
      <c r="B281" s="15">
        <v>56</v>
      </c>
      <c r="C281" s="20" t="str">
        <f>'Refsz-Verbräuche'!C116</f>
        <v>Studierendenreisen (Outgoing) - Eisenbahn (Nahverkehr)</v>
      </c>
      <c r="D281" t="s">
        <v>208</v>
      </c>
      <c r="E281" s="15">
        <f>IF(ISNUMBER('Klisz-Verbräuche'!F116), 'Klisz-Verbräuche'!F116*Emissionsfaktoren!E116/1000, 0)</f>
        <v>0</v>
      </c>
      <c r="F281" s="15">
        <f>IF(ISNUMBER('Klisz-Verbräuche'!G116), 'Klisz-Verbräuche'!G116*Emissionsfaktoren!F116/1000, 0)</f>
        <v>0</v>
      </c>
      <c r="G281" s="15">
        <f>IF(ISNUMBER('Klisz-Verbräuche'!H116), 'Klisz-Verbräuche'!H116*Emissionsfaktoren!G116/1000, 0)</f>
        <v>0</v>
      </c>
      <c r="H281" s="15">
        <f>IF(ISNUMBER('Klisz-Verbräuche'!I116), 'Klisz-Verbräuche'!I116*Emissionsfaktoren!H116/1000, 0)</f>
        <v>0</v>
      </c>
      <c r="I281" s="15">
        <f>IF(ISNUMBER('Klisz-Verbräuche'!J116), 'Klisz-Verbräuche'!J116*Emissionsfaktoren!I116/1000, 0)</f>
        <v>0</v>
      </c>
      <c r="J281" s="15">
        <f>IF(ISNUMBER('Klisz-Verbräuche'!K116), 'Klisz-Verbräuche'!K116*Emissionsfaktoren!J116/1000, 0)</f>
        <v>0</v>
      </c>
      <c r="K281" s="15">
        <f>IF(ISNUMBER('Klisz-Verbräuche'!L116), 'Klisz-Verbräuche'!L116*Emissionsfaktoren!K116/1000, 0)</f>
        <v>0</v>
      </c>
      <c r="L281" s="15">
        <f>IF(ISNUMBER('Klisz-Verbräuche'!M116), 'Klisz-Verbräuche'!M116*Emissionsfaktoren!L116/1000, 0)</f>
        <v>0</v>
      </c>
      <c r="M281" s="15">
        <f>IF(ISNUMBER('Klisz-Verbräuche'!N116), 'Klisz-Verbräuche'!N116*Emissionsfaktoren!M116/1000, 0)</f>
        <v>0</v>
      </c>
      <c r="N281" s="15">
        <f>IF(ISNUMBER('Klisz-Verbräuche'!O116), 'Klisz-Verbräuche'!O116*Emissionsfaktoren!N116/1000, 0)</f>
        <v>0</v>
      </c>
      <c r="O281" s="15">
        <f>IF(ISNUMBER('Klisz-Verbräuche'!P116), 'Klisz-Verbräuche'!P116*Emissionsfaktoren!O116/1000, 0)</f>
        <v>0</v>
      </c>
      <c r="P281" s="15">
        <f>IF(ISNUMBER('Klisz-Verbräuche'!Q116), 'Klisz-Verbräuche'!Q116*Emissionsfaktoren!P116/1000, 0)</f>
        <v>0</v>
      </c>
      <c r="Q281" s="15">
        <f>IF(ISNUMBER('Klisz-Verbräuche'!R116), 'Klisz-Verbräuche'!R116*Emissionsfaktoren!Q116/1000, 0)</f>
        <v>0</v>
      </c>
      <c r="R281" s="15">
        <f>IF(ISNUMBER('Klisz-Verbräuche'!S116), 'Klisz-Verbräuche'!S116*Emissionsfaktoren!R116/1000, 0)</f>
        <v>0</v>
      </c>
      <c r="S281" s="15">
        <f>IF(ISNUMBER('Klisz-Verbräuche'!T116), 'Klisz-Verbräuche'!T116*Emissionsfaktoren!S116/1000, 0)</f>
        <v>0</v>
      </c>
      <c r="T281" s="15">
        <f>IF(ISNUMBER('Klisz-Verbräuche'!U116), 'Klisz-Verbräuche'!U116*Emissionsfaktoren!T116/1000, 0)</f>
        <v>0</v>
      </c>
      <c r="U281" s="15">
        <f>IF(ISNUMBER('Klisz-Verbräuche'!V116), 'Klisz-Verbräuche'!V116*Emissionsfaktoren!U116/1000, 0)</f>
        <v>0</v>
      </c>
      <c r="V281" s="15">
        <f>IF(ISNUMBER('Klisz-Verbräuche'!W116), 'Klisz-Verbräuche'!W116*Emissionsfaktoren!V116/1000, 0)</f>
        <v>0</v>
      </c>
      <c r="W281" s="15">
        <f>IF(ISNUMBER('Klisz-Verbräuche'!X116), 'Klisz-Verbräuche'!X116*Emissionsfaktoren!W116/1000, 0)</f>
        <v>0</v>
      </c>
      <c r="X281" s="15">
        <f>IF(ISNUMBER('Klisz-Verbräuche'!Y116), 'Klisz-Verbräuche'!Y116*Emissionsfaktoren!X116/1000, 0)</f>
        <v>0</v>
      </c>
    </row>
    <row r="282" spans="2:24" ht="16.5" hidden="1" x14ac:dyDescent="0.45">
      <c r="B282" s="15">
        <v>57</v>
      </c>
      <c r="C282" s="20" t="str">
        <f>'Refsz-Verbräuche'!C117</f>
        <v>Studierendenreisen (Outgoing) - Privater PKW (alle Antriebsarten)</v>
      </c>
      <c r="D282" t="s">
        <v>208</v>
      </c>
      <c r="E282" s="15">
        <f>IF(ISNUMBER('Klisz-Verbräuche'!F117), 'Klisz-Verbräuche'!F117*Emissionsfaktoren!E117/1000, 0)</f>
        <v>0</v>
      </c>
      <c r="F282" s="15">
        <f>IF(ISNUMBER('Klisz-Verbräuche'!G117), 'Klisz-Verbräuche'!G117*Emissionsfaktoren!F117/1000, 0)</f>
        <v>0</v>
      </c>
      <c r="G282" s="15">
        <f>IF(ISNUMBER('Klisz-Verbräuche'!H117), 'Klisz-Verbräuche'!H117*Emissionsfaktoren!G117/1000, 0)</f>
        <v>0</v>
      </c>
      <c r="H282" s="15">
        <f>IF(ISNUMBER('Klisz-Verbräuche'!I117), 'Klisz-Verbräuche'!I117*Emissionsfaktoren!H117/1000, 0)</f>
        <v>0</v>
      </c>
      <c r="I282" s="15">
        <f>IF(ISNUMBER('Klisz-Verbräuche'!J117), 'Klisz-Verbräuche'!J117*Emissionsfaktoren!I117/1000, 0)</f>
        <v>0</v>
      </c>
      <c r="J282" s="15">
        <f>IF(ISNUMBER('Klisz-Verbräuche'!K117), 'Klisz-Verbräuche'!K117*Emissionsfaktoren!J117/1000, 0)</f>
        <v>0</v>
      </c>
      <c r="K282" s="15">
        <f>IF(ISNUMBER('Klisz-Verbräuche'!L117), 'Klisz-Verbräuche'!L117*Emissionsfaktoren!K117/1000, 0)</f>
        <v>0</v>
      </c>
      <c r="L282" s="15">
        <f>IF(ISNUMBER('Klisz-Verbräuche'!M117), 'Klisz-Verbräuche'!M117*Emissionsfaktoren!L117/1000, 0)</f>
        <v>0</v>
      </c>
      <c r="M282" s="15">
        <f>IF(ISNUMBER('Klisz-Verbräuche'!N117), 'Klisz-Verbräuche'!N117*Emissionsfaktoren!M117/1000, 0)</f>
        <v>0</v>
      </c>
      <c r="N282" s="15">
        <f>IF(ISNUMBER('Klisz-Verbräuche'!O117), 'Klisz-Verbräuche'!O117*Emissionsfaktoren!N117/1000, 0)</f>
        <v>0</v>
      </c>
      <c r="O282" s="15">
        <f>IF(ISNUMBER('Klisz-Verbräuche'!P117), 'Klisz-Verbräuche'!P117*Emissionsfaktoren!O117/1000, 0)</f>
        <v>0</v>
      </c>
      <c r="P282" s="15">
        <f>IF(ISNUMBER('Klisz-Verbräuche'!Q117), 'Klisz-Verbräuche'!Q117*Emissionsfaktoren!P117/1000, 0)</f>
        <v>0</v>
      </c>
      <c r="Q282" s="15">
        <f>IF(ISNUMBER('Klisz-Verbräuche'!R117), 'Klisz-Verbräuche'!R117*Emissionsfaktoren!Q117/1000, 0)</f>
        <v>0</v>
      </c>
      <c r="R282" s="15">
        <f>IF(ISNUMBER('Klisz-Verbräuche'!S117), 'Klisz-Verbräuche'!S117*Emissionsfaktoren!R117/1000, 0)</f>
        <v>0</v>
      </c>
      <c r="S282" s="15">
        <f>IF(ISNUMBER('Klisz-Verbräuche'!T117), 'Klisz-Verbräuche'!T117*Emissionsfaktoren!S117/1000, 0)</f>
        <v>0</v>
      </c>
      <c r="T282" s="15">
        <f>IF(ISNUMBER('Klisz-Verbräuche'!U117), 'Klisz-Verbräuche'!U117*Emissionsfaktoren!T117/1000, 0)</f>
        <v>0</v>
      </c>
      <c r="U282" s="15">
        <f>IF(ISNUMBER('Klisz-Verbräuche'!V117), 'Klisz-Verbräuche'!V117*Emissionsfaktoren!U117/1000, 0)</f>
        <v>0</v>
      </c>
      <c r="V282" s="15">
        <f>IF(ISNUMBER('Klisz-Verbräuche'!W117), 'Klisz-Verbräuche'!W117*Emissionsfaktoren!V117/1000, 0)</f>
        <v>0</v>
      </c>
      <c r="W282" s="15">
        <f>IF(ISNUMBER('Klisz-Verbräuche'!X117), 'Klisz-Verbräuche'!X117*Emissionsfaktoren!W117/1000, 0)</f>
        <v>0</v>
      </c>
      <c r="X282" s="15">
        <f>IF(ISNUMBER('Klisz-Verbräuche'!Y117), 'Klisz-Verbräuche'!Y117*Emissionsfaktoren!X117/1000, 0)</f>
        <v>0</v>
      </c>
    </row>
    <row r="283" spans="2:24" ht="16.5" hidden="1" x14ac:dyDescent="0.45">
      <c r="B283" s="15">
        <v>58</v>
      </c>
      <c r="C283" s="20">
        <f>'Refsz-Verbräuche'!C118</f>
        <v>0</v>
      </c>
      <c r="D283" t="s">
        <v>208</v>
      </c>
      <c r="E283" s="15">
        <f>IF(ISNUMBER('Klisz-Verbräuche'!F118), 'Klisz-Verbräuche'!F118*Emissionsfaktoren!E118/1000, 0)</f>
        <v>0</v>
      </c>
      <c r="F283" s="15">
        <f>IF(ISNUMBER('Klisz-Verbräuche'!G118), 'Klisz-Verbräuche'!G118*Emissionsfaktoren!F118/1000, 0)</f>
        <v>0</v>
      </c>
      <c r="G283" s="15">
        <f>IF(ISNUMBER('Klisz-Verbräuche'!H118), 'Klisz-Verbräuche'!H118*Emissionsfaktoren!G118/1000, 0)</f>
        <v>0</v>
      </c>
      <c r="H283" s="15">
        <f>IF(ISNUMBER('Klisz-Verbräuche'!I118), 'Klisz-Verbräuche'!I118*Emissionsfaktoren!H118/1000, 0)</f>
        <v>0</v>
      </c>
      <c r="I283" s="15">
        <f>IF(ISNUMBER('Klisz-Verbräuche'!J118), 'Klisz-Verbräuche'!J118*Emissionsfaktoren!I118/1000, 0)</f>
        <v>0</v>
      </c>
      <c r="J283" s="15">
        <f>IF(ISNUMBER('Klisz-Verbräuche'!K118), 'Klisz-Verbräuche'!K118*Emissionsfaktoren!J118/1000, 0)</f>
        <v>0</v>
      </c>
      <c r="K283" s="15">
        <f>IF(ISNUMBER('Klisz-Verbräuche'!L118), 'Klisz-Verbräuche'!L118*Emissionsfaktoren!K118/1000, 0)</f>
        <v>0</v>
      </c>
      <c r="L283" s="15">
        <f>IF(ISNUMBER('Klisz-Verbräuche'!M118), 'Klisz-Verbräuche'!M118*Emissionsfaktoren!L118/1000, 0)</f>
        <v>0</v>
      </c>
      <c r="M283" s="15">
        <f>IF(ISNUMBER('Klisz-Verbräuche'!N118), 'Klisz-Verbräuche'!N118*Emissionsfaktoren!M118/1000, 0)</f>
        <v>0</v>
      </c>
      <c r="N283" s="15">
        <f>IF(ISNUMBER('Klisz-Verbräuche'!O118), 'Klisz-Verbräuche'!O118*Emissionsfaktoren!N118/1000, 0)</f>
        <v>0</v>
      </c>
      <c r="O283" s="15">
        <f>IF(ISNUMBER('Klisz-Verbräuche'!P118), 'Klisz-Verbräuche'!P118*Emissionsfaktoren!O118/1000, 0)</f>
        <v>0</v>
      </c>
      <c r="P283" s="15">
        <f>IF(ISNUMBER('Klisz-Verbräuche'!Q118), 'Klisz-Verbräuche'!Q118*Emissionsfaktoren!P118/1000, 0)</f>
        <v>0</v>
      </c>
      <c r="Q283" s="15">
        <f>IF(ISNUMBER('Klisz-Verbräuche'!R118), 'Klisz-Verbräuche'!R118*Emissionsfaktoren!Q118/1000, 0)</f>
        <v>0</v>
      </c>
      <c r="R283" s="15">
        <f>IF(ISNUMBER('Klisz-Verbräuche'!S118), 'Klisz-Verbräuche'!S118*Emissionsfaktoren!R118/1000, 0)</f>
        <v>0</v>
      </c>
      <c r="S283" s="15">
        <f>IF(ISNUMBER('Klisz-Verbräuche'!T118), 'Klisz-Verbräuche'!T118*Emissionsfaktoren!S118/1000, 0)</f>
        <v>0</v>
      </c>
      <c r="T283" s="15">
        <f>IF(ISNUMBER('Klisz-Verbräuche'!U118), 'Klisz-Verbräuche'!U118*Emissionsfaktoren!T118/1000, 0)</f>
        <v>0</v>
      </c>
      <c r="U283" s="15">
        <f>IF(ISNUMBER('Klisz-Verbräuche'!V118), 'Klisz-Verbräuche'!V118*Emissionsfaktoren!U118/1000, 0)</f>
        <v>0</v>
      </c>
      <c r="V283" s="15">
        <f>IF(ISNUMBER('Klisz-Verbräuche'!W118), 'Klisz-Verbräuche'!W118*Emissionsfaktoren!V118/1000, 0)</f>
        <v>0</v>
      </c>
      <c r="W283" s="15">
        <f>IF(ISNUMBER('Klisz-Verbräuche'!X118), 'Klisz-Verbräuche'!X118*Emissionsfaktoren!W118/1000, 0)</f>
        <v>0</v>
      </c>
      <c r="X283" s="15">
        <f>IF(ISNUMBER('Klisz-Verbräuche'!Y118), 'Klisz-Verbräuche'!Y118*Emissionsfaktoren!X118/1000, 0)</f>
        <v>0</v>
      </c>
    </row>
    <row r="284" spans="2:24" ht="16.5" hidden="1" x14ac:dyDescent="0.45">
      <c r="B284" s="15">
        <v>59</v>
      </c>
      <c r="C284" s="20" t="str">
        <f>'Refsz-Verbräuche'!C119</f>
        <v>Exkursionen - Flugreisen</v>
      </c>
      <c r="D284" t="s">
        <v>208</v>
      </c>
      <c r="E284" s="15">
        <f>IF(ISNUMBER('Klisz-Verbräuche'!F119), 'Klisz-Verbräuche'!F119*Emissionsfaktoren!E119/1000, 0)</f>
        <v>0</v>
      </c>
      <c r="F284" s="15">
        <f>IF(ISNUMBER('Klisz-Verbräuche'!G119), 'Klisz-Verbräuche'!G119*Emissionsfaktoren!F119/1000, 0)</f>
        <v>0</v>
      </c>
      <c r="G284" s="15">
        <f>IF(ISNUMBER('Klisz-Verbräuche'!H119), 'Klisz-Verbräuche'!H119*Emissionsfaktoren!G119/1000, 0)</f>
        <v>0</v>
      </c>
      <c r="H284" s="15">
        <f>IF(ISNUMBER('Klisz-Verbräuche'!I119), 'Klisz-Verbräuche'!I119*Emissionsfaktoren!H119/1000, 0)</f>
        <v>0</v>
      </c>
      <c r="I284" s="15">
        <f>IF(ISNUMBER('Klisz-Verbräuche'!J119), 'Klisz-Verbräuche'!J119*Emissionsfaktoren!I119/1000, 0)</f>
        <v>0</v>
      </c>
      <c r="J284" s="15">
        <f>IF(ISNUMBER('Klisz-Verbräuche'!K119), 'Klisz-Verbräuche'!K119*Emissionsfaktoren!J119/1000, 0)</f>
        <v>0</v>
      </c>
      <c r="K284" s="15">
        <f>IF(ISNUMBER('Klisz-Verbräuche'!L119), 'Klisz-Verbräuche'!L119*Emissionsfaktoren!K119/1000, 0)</f>
        <v>0</v>
      </c>
      <c r="L284" s="15">
        <f>IF(ISNUMBER('Klisz-Verbräuche'!M119), 'Klisz-Verbräuche'!M119*Emissionsfaktoren!L119/1000, 0)</f>
        <v>0</v>
      </c>
      <c r="M284" s="15">
        <f>IF(ISNUMBER('Klisz-Verbräuche'!N119), 'Klisz-Verbräuche'!N119*Emissionsfaktoren!M119/1000, 0)</f>
        <v>0</v>
      </c>
      <c r="N284" s="15">
        <f>IF(ISNUMBER('Klisz-Verbräuche'!O119), 'Klisz-Verbräuche'!O119*Emissionsfaktoren!N119/1000, 0)</f>
        <v>0</v>
      </c>
      <c r="O284" s="15">
        <f>IF(ISNUMBER('Klisz-Verbräuche'!P119), 'Klisz-Verbräuche'!P119*Emissionsfaktoren!O119/1000, 0)</f>
        <v>0</v>
      </c>
      <c r="P284" s="15">
        <f>IF(ISNUMBER('Klisz-Verbräuche'!Q119), 'Klisz-Verbräuche'!Q119*Emissionsfaktoren!P119/1000, 0)</f>
        <v>0</v>
      </c>
      <c r="Q284" s="15">
        <f>IF(ISNUMBER('Klisz-Verbräuche'!R119), 'Klisz-Verbräuche'!R119*Emissionsfaktoren!Q119/1000, 0)</f>
        <v>0</v>
      </c>
      <c r="R284" s="15">
        <f>IF(ISNUMBER('Klisz-Verbräuche'!S119), 'Klisz-Verbräuche'!S119*Emissionsfaktoren!R119/1000, 0)</f>
        <v>0</v>
      </c>
      <c r="S284" s="15">
        <f>IF(ISNUMBER('Klisz-Verbräuche'!T119), 'Klisz-Verbräuche'!T119*Emissionsfaktoren!S119/1000, 0)</f>
        <v>0</v>
      </c>
      <c r="T284" s="15">
        <f>IF(ISNUMBER('Klisz-Verbräuche'!U119), 'Klisz-Verbräuche'!U119*Emissionsfaktoren!T119/1000, 0)</f>
        <v>0</v>
      </c>
      <c r="U284" s="15">
        <f>IF(ISNUMBER('Klisz-Verbräuche'!V119), 'Klisz-Verbräuche'!V119*Emissionsfaktoren!U119/1000, 0)</f>
        <v>0</v>
      </c>
      <c r="V284" s="15">
        <f>IF(ISNUMBER('Klisz-Verbräuche'!W119), 'Klisz-Verbräuche'!W119*Emissionsfaktoren!V119/1000, 0)</f>
        <v>0</v>
      </c>
      <c r="W284" s="15">
        <f>IF(ISNUMBER('Klisz-Verbräuche'!X119), 'Klisz-Verbräuche'!X119*Emissionsfaktoren!W119/1000, 0)</f>
        <v>0</v>
      </c>
      <c r="X284" s="15">
        <f>IF(ISNUMBER('Klisz-Verbräuche'!Y119), 'Klisz-Verbräuche'!Y119*Emissionsfaktoren!X119/1000, 0)</f>
        <v>0</v>
      </c>
    </row>
    <row r="285" spans="2:24" ht="16.5" hidden="1" x14ac:dyDescent="0.45">
      <c r="B285" s="15">
        <v>60</v>
      </c>
      <c r="C285" s="20" t="str">
        <f>'Refsz-Verbräuche'!C120</f>
        <v>Exkursionen - Eisenbahn (Nahverkehr)</v>
      </c>
      <c r="D285" t="s">
        <v>208</v>
      </c>
      <c r="E285" s="15">
        <f>IF(ISNUMBER('Klisz-Verbräuche'!F120), 'Klisz-Verbräuche'!F120*Emissionsfaktoren!E120/1000, 0)</f>
        <v>0</v>
      </c>
      <c r="F285" s="15">
        <f>IF(ISNUMBER('Klisz-Verbräuche'!G120), 'Klisz-Verbräuche'!G120*Emissionsfaktoren!F120/1000, 0)</f>
        <v>0</v>
      </c>
      <c r="G285" s="15">
        <f>IF(ISNUMBER('Klisz-Verbräuche'!H120), 'Klisz-Verbräuche'!H120*Emissionsfaktoren!G120/1000, 0)</f>
        <v>0</v>
      </c>
      <c r="H285" s="15">
        <f>IF(ISNUMBER('Klisz-Verbräuche'!I120), 'Klisz-Verbräuche'!I120*Emissionsfaktoren!H120/1000, 0)</f>
        <v>0</v>
      </c>
      <c r="I285" s="15">
        <f>IF(ISNUMBER('Klisz-Verbräuche'!J120), 'Klisz-Verbräuche'!J120*Emissionsfaktoren!I120/1000, 0)</f>
        <v>0</v>
      </c>
      <c r="J285" s="15">
        <f>IF(ISNUMBER('Klisz-Verbräuche'!K120), 'Klisz-Verbräuche'!K120*Emissionsfaktoren!J120/1000, 0)</f>
        <v>0</v>
      </c>
      <c r="K285" s="15">
        <f>IF(ISNUMBER('Klisz-Verbräuche'!L120), 'Klisz-Verbräuche'!L120*Emissionsfaktoren!K120/1000, 0)</f>
        <v>0</v>
      </c>
      <c r="L285" s="15">
        <f>IF(ISNUMBER('Klisz-Verbräuche'!M120), 'Klisz-Verbräuche'!M120*Emissionsfaktoren!L120/1000, 0)</f>
        <v>0</v>
      </c>
      <c r="M285" s="15">
        <f>IF(ISNUMBER('Klisz-Verbräuche'!N120), 'Klisz-Verbräuche'!N120*Emissionsfaktoren!M120/1000, 0)</f>
        <v>0</v>
      </c>
      <c r="N285" s="15">
        <f>IF(ISNUMBER('Klisz-Verbräuche'!O120), 'Klisz-Verbräuche'!O120*Emissionsfaktoren!N120/1000, 0)</f>
        <v>0</v>
      </c>
      <c r="O285" s="15">
        <f>IF(ISNUMBER('Klisz-Verbräuche'!P120), 'Klisz-Verbräuche'!P120*Emissionsfaktoren!O120/1000, 0)</f>
        <v>0</v>
      </c>
      <c r="P285" s="15">
        <f>IF(ISNUMBER('Klisz-Verbräuche'!Q120), 'Klisz-Verbräuche'!Q120*Emissionsfaktoren!P120/1000, 0)</f>
        <v>0</v>
      </c>
      <c r="Q285" s="15">
        <f>IF(ISNUMBER('Klisz-Verbräuche'!R120), 'Klisz-Verbräuche'!R120*Emissionsfaktoren!Q120/1000, 0)</f>
        <v>0</v>
      </c>
      <c r="R285" s="15">
        <f>IF(ISNUMBER('Klisz-Verbräuche'!S120), 'Klisz-Verbräuche'!S120*Emissionsfaktoren!R120/1000, 0)</f>
        <v>0</v>
      </c>
      <c r="S285" s="15">
        <f>IF(ISNUMBER('Klisz-Verbräuche'!T120), 'Klisz-Verbräuche'!T120*Emissionsfaktoren!S120/1000, 0)</f>
        <v>0</v>
      </c>
      <c r="T285" s="15">
        <f>IF(ISNUMBER('Klisz-Verbräuche'!U120), 'Klisz-Verbräuche'!U120*Emissionsfaktoren!T120/1000, 0)</f>
        <v>0</v>
      </c>
      <c r="U285" s="15">
        <f>IF(ISNUMBER('Klisz-Verbräuche'!V120), 'Klisz-Verbräuche'!V120*Emissionsfaktoren!U120/1000, 0)</f>
        <v>0</v>
      </c>
      <c r="V285" s="15">
        <f>IF(ISNUMBER('Klisz-Verbräuche'!W120), 'Klisz-Verbräuche'!W120*Emissionsfaktoren!V120/1000, 0)</f>
        <v>0</v>
      </c>
      <c r="W285" s="15">
        <f>IF(ISNUMBER('Klisz-Verbräuche'!X120), 'Klisz-Verbräuche'!X120*Emissionsfaktoren!W120/1000, 0)</f>
        <v>0</v>
      </c>
      <c r="X285" s="15">
        <f>IF(ISNUMBER('Klisz-Verbräuche'!Y120), 'Klisz-Verbräuche'!Y120*Emissionsfaktoren!X120/1000, 0)</f>
        <v>0</v>
      </c>
    </row>
    <row r="286" spans="2:24" ht="16.5" hidden="1" x14ac:dyDescent="0.45">
      <c r="B286" s="15">
        <v>61</v>
      </c>
      <c r="C286" s="20" t="str">
        <f>'Refsz-Verbräuche'!C121</f>
        <v>Exkursionen - Privater PKW (alle Antriebsarten)</v>
      </c>
      <c r="D286" t="s">
        <v>208</v>
      </c>
      <c r="E286" s="15">
        <f>IF(ISNUMBER('Klisz-Verbräuche'!F121), 'Klisz-Verbräuche'!F121*Emissionsfaktoren!E121/1000, 0)</f>
        <v>0</v>
      </c>
      <c r="F286" s="15">
        <f>IF(ISNUMBER('Klisz-Verbräuche'!G121), 'Klisz-Verbräuche'!G121*Emissionsfaktoren!F121/1000, 0)</f>
        <v>0</v>
      </c>
      <c r="G286" s="15">
        <f>IF(ISNUMBER('Klisz-Verbräuche'!H121), 'Klisz-Verbräuche'!H121*Emissionsfaktoren!G121/1000, 0)</f>
        <v>0</v>
      </c>
      <c r="H286" s="15">
        <f>IF(ISNUMBER('Klisz-Verbräuche'!I121), 'Klisz-Verbräuche'!I121*Emissionsfaktoren!H121/1000, 0)</f>
        <v>0</v>
      </c>
      <c r="I286" s="15">
        <f>IF(ISNUMBER('Klisz-Verbräuche'!J121), 'Klisz-Verbräuche'!J121*Emissionsfaktoren!I121/1000, 0)</f>
        <v>0</v>
      </c>
      <c r="J286" s="15">
        <f>IF(ISNUMBER('Klisz-Verbräuche'!K121), 'Klisz-Verbräuche'!K121*Emissionsfaktoren!J121/1000, 0)</f>
        <v>0</v>
      </c>
      <c r="K286" s="15">
        <f>IF(ISNUMBER('Klisz-Verbräuche'!L121), 'Klisz-Verbräuche'!L121*Emissionsfaktoren!K121/1000, 0)</f>
        <v>0</v>
      </c>
      <c r="L286" s="15">
        <f>IF(ISNUMBER('Klisz-Verbräuche'!M121), 'Klisz-Verbräuche'!M121*Emissionsfaktoren!L121/1000, 0)</f>
        <v>0</v>
      </c>
      <c r="M286" s="15">
        <f>IF(ISNUMBER('Klisz-Verbräuche'!N121), 'Klisz-Verbräuche'!N121*Emissionsfaktoren!M121/1000, 0)</f>
        <v>0</v>
      </c>
      <c r="N286" s="15">
        <f>IF(ISNUMBER('Klisz-Verbräuche'!O121), 'Klisz-Verbräuche'!O121*Emissionsfaktoren!N121/1000, 0)</f>
        <v>0</v>
      </c>
      <c r="O286" s="15">
        <f>IF(ISNUMBER('Klisz-Verbräuche'!P121), 'Klisz-Verbräuche'!P121*Emissionsfaktoren!O121/1000, 0)</f>
        <v>0</v>
      </c>
      <c r="P286" s="15">
        <f>IF(ISNUMBER('Klisz-Verbräuche'!Q121), 'Klisz-Verbräuche'!Q121*Emissionsfaktoren!P121/1000, 0)</f>
        <v>0</v>
      </c>
      <c r="Q286" s="15">
        <f>IF(ISNUMBER('Klisz-Verbräuche'!R121), 'Klisz-Verbräuche'!R121*Emissionsfaktoren!Q121/1000, 0)</f>
        <v>0</v>
      </c>
      <c r="R286" s="15">
        <f>IF(ISNUMBER('Klisz-Verbräuche'!S121), 'Klisz-Verbräuche'!S121*Emissionsfaktoren!R121/1000, 0)</f>
        <v>0</v>
      </c>
      <c r="S286" s="15">
        <f>IF(ISNUMBER('Klisz-Verbräuche'!T121), 'Klisz-Verbräuche'!T121*Emissionsfaktoren!S121/1000, 0)</f>
        <v>0</v>
      </c>
      <c r="T286" s="15">
        <f>IF(ISNUMBER('Klisz-Verbräuche'!U121), 'Klisz-Verbräuche'!U121*Emissionsfaktoren!T121/1000, 0)</f>
        <v>0</v>
      </c>
      <c r="U286" s="15">
        <f>IF(ISNUMBER('Klisz-Verbräuche'!V121), 'Klisz-Verbräuche'!V121*Emissionsfaktoren!U121/1000, 0)</f>
        <v>0</v>
      </c>
      <c r="V286" s="15">
        <f>IF(ISNUMBER('Klisz-Verbräuche'!W121), 'Klisz-Verbräuche'!W121*Emissionsfaktoren!V121/1000, 0)</f>
        <v>0</v>
      </c>
      <c r="W286" s="15">
        <f>IF(ISNUMBER('Klisz-Verbräuche'!X121), 'Klisz-Verbräuche'!X121*Emissionsfaktoren!W121/1000, 0)</f>
        <v>0</v>
      </c>
      <c r="X286" s="15">
        <f>IF(ISNUMBER('Klisz-Verbräuche'!Y121), 'Klisz-Verbräuche'!Y121*Emissionsfaktoren!X121/1000, 0)</f>
        <v>0</v>
      </c>
    </row>
    <row r="287" spans="2:24" ht="16.5" hidden="1" x14ac:dyDescent="0.45">
      <c r="B287" s="15">
        <v>62</v>
      </c>
      <c r="C287" s="20">
        <f>'Refsz-Verbräuche'!C122</f>
        <v>0</v>
      </c>
      <c r="D287" t="s">
        <v>208</v>
      </c>
      <c r="E287" s="15">
        <f>IF(ISNUMBER('Klisz-Verbräuche'!F122), 'Klisz-Verbräuche'!F122*Emissionsfaktoren!E122/1000, 0)</f>
        <v>0</v>
      </c>
      <c r="F287" s="15">
        <f>IF(ISNUMBER('Klisz-Verbräuche'!G122), 'Klisz-Verbräuche'!G122*Emissionsfaktoren!F122/1000, 0)</f>
        <v>0</v>
      </c>
      <c r="G287" s="15">
        <f>IF(ISNUMBER('Klisz-Verbräuche'!H122), 'Klisz-Verbräuche'!H122*Emissionsfaktoren!G122/1000, 0)</f>
        <v>0</v>
      </c>
      <c r="H287" s="15">
        <f>IF(ISNUMBER('Klisz-Verbräuche'!I122), 'Klisz-Verbräuche'!I122*Emissionsfaktoren!H122/1000, 0)</f>
        <v>0</v>
      </c>
      <c r="I287" s="15">
        <f>IF(ISNUMBER('Klisz-Verbräuche'!J122), 'Klisz-Verbräuche'!J122*Emissionsfaktoren!I122/1000, 0)</f>
        <v>0</v>
      </c>
      <c r="J287" s="15">
        <f>IF(ISNUMBER('Klisz-Verbräuche'!K122), 'Klisz-Verbräuche'!K122*Emissionsfaktoren!J122/1000, 0)</f>
        <v>0</v>
      </c>
      <c r="K287" s="15">
        <f>IF(ISNUMBER('Klisz-Verbräuche'!L122), 'Klisz-Verbräuche'!L122*Emissionsfaktoren!K122/1000, 0)</f>
        <v>0</v>
      </c>
      <c r="L287" s="15">
        <f>IF(ISNUMBER('Klisz-Verbräuche'!M122), 'Klisz-Verbräuche'!M122*Emissionsfaktoren!L122/1000, 0)</f>
        <v>0</v>
      </c>
      <c r="M287" s="15">
        <f>IF(ISNUMBER('Klisz-Verbräuche'!N122), 'Klisz-Verbräuche'!N122*Emissionsfaktoren!M122/1000, 0)</f>
        <v>0</v>
      </c>
      <c r="N287" s="15">
        <f>IF(ISNUMBER('Klisz-Verbräuche'!O122), 'Klisz-Verbräuche'!O122*Emissionsfaktoren!N122/1000, 0)</f>
        <v>0</v>
      </c>
      <c r="O287" s="15">
        <f>IF(ISNUMBER('Klisz-Verbräuche'!P122), 'Klisz-Verbräuche'!P122*Emissionsfaktoren!O122/1000, 0)</f>
        <v>0</v>
      </c>
      <c r="P287" s="15">
        <f>IF(ISNUMBER('Klisz-Verbräuche'!Q122), 'Klisz-Verbräuche'!Q122*Emissionsfaktoren!P122/1000, 0)</f>
        <v>0</v>
      </c>
      <c r="Q287" s="15">
        <f>IF(ISNUMBER('Klisz-Verbräuche'!R122), 'Klisz-Verbräuche'!R122*Emissionsfaktoren!Q122/1000, 0)</f>
        <v>0</v>
      </c>
      <c r="R287" s="15">
        <f>IF(ISNUMBER('Klisz-Verbräuche'!S122), 'Klisz-Verbräuche'!S122*Emissionsfaktoren!R122/1000, 0)</f>
        <v>0</v>
      </c>
      <c r="S287" s="15">
        <f>IF(ISNUMBER('Klisz-Verbräuche'!T122), 'Klisz-Verbräuche'!T122*Emissionsfaktoren!S122/1000, 0)</f>
        <v>0</v>
      </c>
      <c r="T287" s="15">
        <f>IF(ISNUMBER('Klisz-Verbräuche'!U122), 'Klisz-Verbräuche'!U122*Emissionsfaktoren!T122/1000, 0)</f>
        <v>0</v>
      </c>
      <c r="U287" s="15">
        <f>IF(ISNUMBER('Klisz-Verbräuche'!V122), 'Klisz-Verbräuche'!V122*Emissionsfaktoren!U122/1000, 0)</f>
        <v>0</v>
      </c>
      <c r="V287" s="15">
        <f>IF(ISNUMBER('Klisz-Verbräuche'!W122), 'Klisz-Verbräuche'!W122*Emissionsfaktoren!V122/1000, 0)</f>
        <v>0</v>
      </c>
      <c r="W287" s="15">
        <f>IF(ISNUMBER('Klisz-Verbräuche'!X122), 'Klisz-Verbräuche'!X122*Emissionsfaktoren!W122/1000, 0)</f>
        <v>0</v>
      </c>
      <c r="X287" s="15">
        <f>IF(ISNUMBER('Klisz-Verbräuche'!Y122), 'Klisz-Verbräuche'!Y122*Emissionsfaktoren!X122/1000, 0)</f>
        <v>0</v>
      </c>
    </row>
    <row r="288" spans="2:24" ht="16.5" hidden="1" x14ac:dyDescent="0.45">
      <c r="B288" s="15">
        <v>63</v>
      </c>
      <c r="C288" s="20" t="str">
        <f>'Refsz-Verbräuche'!C123</f>
        <v>Pendeln - Eisenbahn (Fernverkehr)</v>
      </c>
      <c r="D288" t="s">
        <v>208</v>
      </c>
      <c r="E288" s="15">
        <f>IF(ISNUMBER('Klisz-Verbräuche'!F123), 'Klisz-Verbräuche'!F123*Emissionsfaktoren!E123/1000, 0)</f>
        <v>0</v>
      </c>
      <c r="F288" s="15">
        <f>IF(ISNUMBER('Klisz-Verbräuche'!G123), 'Klisz-Verbräuche'!G123*Emissionsfaktoren!F123/1000, 0)</f>
        <v>0</v>
      </c>
      <c r="G288" s="15">
        <f>IF(ISNUMBER('Klisz-Verbräuche'!H123), 'Klisz-Verbräuche'!H123*Emissionsfaktoren!G123/1000, 0)</f>
        <v>0</v>
      </c>
      <c r="H288" s="15">
        <f>IF(ISNUMBER('Klisz-Verbräuche'!I123), 'Klisz-Verbräuche'!I123*Emissionsfaktoren!H123/1000, 0)</f>
        <v>0</v>
      </c>
      <c r="I288" s="15">
        <f>IF(ISNUMBER('Klisz-Verbräuche'!J123), 'Klisz-Verbräuche'!J123*Emissionsfaktoren!I123/1000, 0)</f>
        <v>0</v>
      </c>
      <c r="J288" s="15">
        <f>IF(ISNUMBER('Klisz-Verbräuche'!K123), 'Klisz-Verbräuche'!K123*Emissionsfaktoren!J123/1000, 0)</f>
        <v>0</v>
      </c>
      <c r="K288" s="15">
        <f>IF(ISNUMBER('Klisz-Verbräuche'!L123), 'Klisz-Verbräuche'!L123*Emissionsfaktoren!K123/1000, 0)</f>
        <v>0</v>
      </c>
      <c r="L288" s="15">
        <f>IF(ISNUMBER('Klisz-Verbräuche'!M123), 'Klisz-Verbräuche'!M123*Emissionsfaktoren!L123/1000, 0)</f>
        <v>0</v>
      </c>
      <c r="M288" s="15">
        <f>IF(ISNUMBER('Klisz-Verbräuche'!N123), 'Klisz-Verbräuche'!N123*Emissionsfaktoren!M123/1000, 0)</f>
        <v>0</v>
      </c>
      <c r="N288" s="15">
        <f>IF(ISNUMBER('Klisz-Verbräuche'!O123), 'Klisz-Verbräuche'!O123*Emissionsfaktoren!N123/1000, 0)</f>
        <v>0</v>
      </c>
      <c r="O288" s="15">
        <f>IF(ISNUMBER('Klisz-Verbräuche'!P123), 'Klisz-Verbräuche'!P123*Emissionsfaktoren!O123/1000, 0)</f>
        <v>0</v>
      </c>
      <c r="P288" s="15">
        <f>IF(ISNUMBER('Klisz-Verbräuche'!Q123), 'Klisz-Verbräuche'!Q123*Emissionsfaktoren!P123/1000, 0)</f>
        <v>0</v>
      </c>
      <c r="Q288" s="15">
        <f>IF(ISNUMBER('Klisz-Verbräuche'!R123), 'Klisz-Verbräuche'!R123*Emissionsfaktoren!Q123/1000, 0)</f>
        <v>0</v>
      </c>
      <c r="R288" s="15">
        <f>IF(ISNUMBER('Klisz-Verbräuche'!S123), 'Klisz-Verbräuche'!S123*Emissionsfaktoren!R123/1000, 0)</f>
        <v>0</v>
      </c>
      <c r="S288" s="15">
        <f>IF(ISNUMBER('Klisz-Verbräuche'!T123), 'Klisz-Verbräuche'!T123*Emissionsfaktoren!S123/1000, 0)</f>
        <v>0</v>
      </c>
      <c r="T288" s="15">
        <f>IF(ISNUMBER('Klisz-Verbräuche'!U123), 'Klisz-Verbräuche'!U123*Emissionsfaktoren!T123/1000, 0)</f>
        <v>0</v>
      </c>
      <c r="U288" s="15">
        <f>IF(ISNUMBER('Klisz-Verbräuche'!V123), 'Klisz-Verbräuche'!V123*Emissionsfaktoren!U123/1000, 0)</f>
        <v>0</v>
      </c>
      <c r="V288" s="15">
        <f>IF(ISNUMBER('Klisz-Verbräuche'!W123), 'Klisz-Verbräuche'!W123*Emissionsfaktoren!V123/1000, 0)</f>
        <v>0</v>
      </c>
      <c r="W288" s="15">
        <f>IF(ISNUMBER('Klisz-Verbräuche'!X123), 'Klisz-Verbräuche'!X123*Emissionsfaktoren!W123/1000, 0)</f>
        <v>0</v>
      </c>
      <c r="X288" s="15">
        <f>IF(ISNUMBER('Klisz-Verbräuche'!Y123), 'Klisz-Verbräuche'!Y123*Emissionsfaktoren!X123/1000, 0)</f>
        <v>0</v>
      </c>
    </row>
    <row r="289" spans="2:24" ht="16.5" hidden="1" x14ac:dyDescent="0.45">
      <c r="B289" s="15">
        <v>64</v>
      </c>
      <c r="C289" s="20" t="str">
        <f>'Refsz-Verbräuche'!C124</f>
        <v>Pendeln - Eisenbahn (Nahverkehr)</v>
      </c>
      <c r="D289" t="s">
        <v>208</v>
      </c>
      <c r="E289" s="15">
        <f>IF(ISNUMBER('Klisz-Verbräuche'!F124), 'Klisz-Verbräuche'!F124*Emissionsfaktoren!E124/1000, 0)</f>
        <v>0</v>
      </c>
      <c r="F289" s="15">
        <f>IF(ISNUMBER('Klisz-Verbräuche'!G124), 'Klisz-Verbräuche'!G124*Emissionsfaktoren!F124/1000, 0)</f>
        <v>0</v>
      </c>
      <c r="G289" s="15">
        <f>IF(ISNUMBER('Klisz-Verbräuche'!H124), 'Klisz-Verbräuche'!H124*Emissionsfaktoren!G124/1000, 0)</f>
        <v>0</v>
      </c>
      <c r="H289" s="15">
        <f>IF(ISNUMBER('Klisz-Verbräuche'!I124), 'Klisz-Verbräuche'!I124*Emissionsfaktoren!H124/1000, 0)</f>
        <v>0</v>
      </c>
      <c r="I289" s="15">
        <f>IF(ISNUMBER('Klisz-Verbräuche'!J124), 'Klisz-Verbräuche'!J124*Emissionsfaktoren!I124/1000, 0)</f>
        <v>0</v>
      </c>
      <c r="J289" s="15">
        <f>IF(ISNUMBER('Klisz-Verbräuche'!K124), 'Klisz-Verbräuche'!K124*Emissionsfaktoren!J124/1000, 0)</f>
        <v>0</v>
      </c>
      <c r="K289" s="15">
        <f>IF(ISNUMBER('Klisz-Verbräuche'!L124), 'Klisz-Verbräuche'!L124*Emissionsfaktoren!K124/1000, 0)</f>
        <v>0</v>
      </c>
      <c r="L289" s="15">
        <f>IF(ISNUMBER('Klisz-Verbräuche'!M124), 'Klisz-Verbräuche'!M124*Emissionsfaktoren!L124/1000, 0)</f>
        <v>0</v>
      </c>
      <c r="M289" s="15">
        <f>IF(ISNUMBER('Klisz-Verbräuche'!N124), 'Klisz-Verbräuche'!N124*Emissionsfaktoren!M124/1000, 0)</f>
        <v>0</v>
      </c>
      <c r="N289" s="15">
        <f>IF(ISNUMBER('Klisz-Verbräuche'!O124), 'Klisz-Verbräuche'!O124*Emissionsfaktoren!N124/1000, 0)</f>
        <v>0</v>
      </c>
      <c r="O289" s="15">
        <f>IF(ISNUMBER('Klisz-Verbräuche'!P124), 'Klisz-Verbräuche'!P124*Emissionsfaktoren!O124/1000, 0)</f>
        <v>0</v>
      </c>
      <c r="P289" s="15">
        <f>IF(ISNUMBER('Klisz-Verbräuche'!Q124), 'Klisz-Verbräuche'!Q124*Emissionsfaktoren!P124/1000, 0)</f>
        <v>0</v>
      </c>
      <c r="Q289" s="15">
        <f>IF(ISNUMBER('Klisz-Verbräuche'!R124), 'Klisz-Verbräuche'!R124*Emissionsfaktoren!Q124/1000, 0)</f>
        <v>0</v>
      </c>
      <c r="R289" s="15">
        <f>IF(ISNUMBER('Klisz-Verbräuche'!S124), 'Klisz-Verbräuche'!S124*Emissionsfaktoren!R124/1000, 0)</f>
        <v>0</v>
      </c>
      <c r="S289" s="15">
        <f>IF(ISNUMBER('Klisz-Verbräuche'!T124), 'Klisz-Verbräuche'!T124*Emissionsfaktoren!S124/1000, 0)</f>
        <v>0</v>
      </c>
      <c r="T289" s="15">
        <f>IF(ISNUMBER('Klisz-Verbräuche'!U124), 'Klisz-Verbräuche'!U124*Emissionsfaktoren!T124/1000, 0)</f>
        <v>0</v>
      </c>
      <c r="U289" s="15">
        <f>IF(ISNUMBER('Klisz-Verbräuche'!V124), 'Klisz-Verbräuche'!V124*Emissionsfaktoren!U124/1000, 0)</f>
        <v>0</v>
      </c>
      <c r="V289" s="15">
        <f>IF(ISNUMBER('Klisz-Verbräuche'!W124), 'Klisz-Verbräuche'!W124*Emissionsfaktoren!V124/1000, 0)</f>
        <v>0</v>
      </c>
      <c r="W289" s="15">
        <f>IF(ISNUMBER('Klisz-Verbräuche'!X124), 'Klisz-Verbräuche'!X124*Emissionsfaktoren!W124/1000, 0)</f>
        <v>0</v>
      </c>
      <c r="X289" s="15">
        <f>IF(ISNUMBER('Klisz-Verbräuche'!Y124), 'Klisz-Verbräuche'!Y124*Emissionsfaktoren!X124/1000, 0)</f>
        <v>0</v>
      </c>
    </row>
    <row r="290" spans="2:24" ht="16.5" hidden="1" x14ac:dyDescent="0.45">
      <c r="B290" s="15">
        <v>65</v>
      </c>
      <c r="C290" s="20" t="str">
        <f>'Refsz-Verbräuche'!C125</f>
        <v>Pendeln - Linienbus (Nahverkehr)</v>
      </c>
      <c r="D290" t="s">
        <v>208</v>
      </c>
      <c r="E290" s="15">
        <f>IF(ISNUMBER('Klisz-Verbräuche'!F125), 'Klisz-Verbräuche'!F125*Emissionsfaktoren!E125/1000, 0)</f>
        <v>0</v>
      </c>
      <c r="F290" s="15">
        <f>IF(ISNUMBER('Klisz-Verbräuche'!G125), 'Klisz-Verbräuche'!G125*Emissionsfaktoren!F125/1000, 0)</f>
        <v>0</v>
      </c>
      <c r="G290" s="15">
        <f>IF(ISNUMBER('Klisz-Verbräuche'!H125), 'Klisz-Verbräuche'!H125*Emissionsfaktoren!G125/1000, 0)</f>
        <v>0</v>
      </c>
      <c r="H290" s="15">
        <f>IF(ISNUMBER('Klisz-Verbräuche'!I125), 'Klisz-Verbräuche'!I125*Emissionsfaktoren!H125/1000, 0)</f>
        <v>0</v>
      </c>
      <c r="I290" s="15">
        <f>IF(ISNUMBER('Klisz-Verbräuche'!J125), 'Klisz-Verbräuche'!J125*Emissionsfaktoren!I125/1000, 0)</f>
        <v>0</v>
      </c>
      <c r="J290" s="15">
        <f>IF(ISNUMBER('Klisz-Verbräuche'!K125), 'Klisz-Verbräuche'!K125*Emissionsfaktoren!J125/1000, 0)</f>
        <v>0</v>
      </c>
      <c r="K290" s="15">
        <f>IF(ISNUMBER('Klisz-Verbräuche'!L125), 'Klisz-Verbräuche'!L125*Emissionsfaktoren!K125/1000, 0)</f>
        <v>0</v>
      </c>
      <c r="L290" s="15">
        <f>IF(ISNUMBER('Klisz-Verbräuche'!M125), 'Klisz-Verbräuche'!M125*Emissionsfaktoren!L125/1000, 0)</f>
        <v>0</v>
      </c>
      <c r="M290" s="15">
        <f>IF(ISNUMBER('Klisz-Verbräuche'!N125), 'Klisz-Verbräuche'!N125*Emissionsfaktoren!M125/1000, 0)</f>
        <v>0</v>
      </c>
      <c r="N290" s="15">
        <f>IF(ISNUMBER('Klisz-Verbräuche'!O125), 'Klisz-Verbräuche'!O125*Emissionsfaktoren!N125/1000, 0)</f>
        <v>0</v>
      </c>
      <c r="O290" s="15">
        <f>IF(ISNUMBER('Klisz-Verbräuche'!P125), 'Klisz-Verbräuche'!P125*Emissionsfaktoren!O125/1000, 0)</f>
        <v>0</v>
      </c>
      <c r="P290" s="15">
        <f>IF(ISNUMBER('Klisz-Verbräuche'!Q125), 'Klisz-Verbräuche'!Q125*Emissionsfaktoren!P125/1000, 0)</f>
        <v>0</v>
      </c>
      <c r="Q290" s="15">
        <f>IF(ISNUMBER('Klisz-Verbräuche'!R125), 'Klisz-Verbräuche'!R125*Emissionsfaktoren!Q125/1000, 0)</f>
        <v>0</v>
      </c>
      <c r="R290" s="15">
        <f>IF(ISNUMBER('Klisz-Verbräuche'!S125), 'Klisz-Verbräuche'!S125*Emissionsfaktoren!R125/1000, 0)</f>
        <v>0</v>
      </c>
      <c r="S290" s="15">
        <f>IF(ISNUMBER('Klisz-Verbräuche'!T125), 'Klisz-Verbräuche'!T125*Emissionsfaktoren!S125/1000, 0)</f>
        <v>0</v>
      </c>
      <c r="T290" s="15">
        <f>IF(ISNUMBER('Klisz-Verbräuche'!U125), 'Klisz-Verbräuche'!U125*Emissionsfaktoren!T125/1000, 0)</f>
        <v>0</v>
      </c>
      <c r="U290" s="15">
        <f>IF(ISNUMBER('Klisz-Verbräuche'!V125), 'Klisz-Verbräuche'!V125*Emissionsfaktoren!U125/1000, 0)</f>
        <v>0</v>
      </c>
      <c r="V290" s="15">
        <f>IF(ISNUMBER('Klisz-Verbräuche'!W125), 'Klisz-Verbräuche'!W125*Emissionsfaktoren!V125/1000, 0)</f>
        <v>0</v>
      </c>
      <c r="W290" s="15">
        <f>IF(ISNUMBER('Klisz-Verbräuche'!X125), 'Klisz-Verbräuche'!X125*Emissionsfaktoren!W125/1000, 0)</f>
        <v>0</v>
      </c>
      <c r="X290" s="15">
        <f>IF(ISNUMBER('Klisz-Verbräuche'!Y125), 'Klisz-Verbräuche'!Y125*Emissionsfaktoren!X125/1000, 0)</f>
        <v>0</v>
      </c>
    </row>
    <row r="291" spans="2:24" ht="16.5" hidden="1" x14ac:dyDescent="0.45">
      <c r="B291" s="15">
        <v>66</v>
      </c>
      <c r="C291" s="20" t="str">
        <f>'Refsz-Verbräuche'!C126</f>
        <v>Pendeln - PKW (alle Antriebsarten)</v>
      </c>
      <c r="D291" t="s">
        <v>208</v>
      </c>
      <c r="E291" s="15">
        <f>IF(ISNUMBER('Klisz-Verbräuche'!F126), 'Klisz-Verbräuche'!F126*Emissionsfaktoren!E126/1000, 0)</f>
        <v>0</v>
      </c>
      <c r="F291" s="15">
        <f>IF(ISNUMBER('Klisz-Verbräuche'!G126), 'Klisz-Verbräuche'!G126*Emissionsfaktoren!F126/1000, 0)</f>
        <v>0</v>
      </c>
      <c r="G291" s="15">
        <f>IF(ISNUMBER('Klisz-Verbräuche'!H126), 'Klisz-Verbräuche'!H126*Emissionsfaktoren!G126/1000, 0)</f>
        <v>0</v>
      </c>
      <c r="H291" s="15">
        <f>IF(ISNUMBER('Klisz-Verbräuche'!I126), 'Klisz-Verbräuche'!I126*Emissionsfaktoren!H126/1000, 0)</f>
        <v>0</v>
      </c>
      <c r="I291" s="15">
        <f>IF(ISNUMBER('Klisz-Verbräuche'!J126), 'Klisz-Verbräuche'!J126*Emissionsfaktoren!I126/1000, 0)</f>
        <v>0</v>
      </c>
      <c r="J291" s="15">
        <f>IF(ISNUMBER('Klisz-Verbräuche'!K126), 'Klisz-Verbräuche'!K126*Emissionsfaktoren!J126/1000, 0)</f>
        <v>0</v>
      </c>
      <c r="K291" s="15">
        <f>IF(ISNUMBER('Klisz-Verbräuche'!L126), 'Klisz-Verbräuche'!L126*Emissionsfaktoren!K126/1000, 0)</f>
        <v>0</v>
      </c>
      <c r="L291" s="15">
        <f>IF(ISNUMBER('Klisz-Verbräuche'!M126), 'Klisz-Verbräuche'!M126*Emissionsfaktoren!L126/1000, 0)</f>
        <v>0</v>
      </c>
      <c r="M291" s="15">
        <f>IF(ISNUMBER('Klisz-Verbräuche'!N126), 'Klisz-Verbräuche'!N126*Emissionsfaktoren!M126/1000, 0)</f>
        <v>0</v>
      </c>
      <c r="N291" s="15">
        <f>IF(ISNUMBER('Klisz-Verbräuche'!O126), 'Klisz-Verbräuche'!O126*Emissionsfaktoren!N126/1000, 0)</f>
        <v>0</v>
      </c>
      <c r="O291" s="15">
        <f>IF(ISNUMBER('Klisz-Verbräuche'!P126), 'Klisz-Verbräuche'!P126*Emissionsfaktoren!O126/1000, 0)</f>
        <v>0</v>
      </c>
      <c r="P291" s="15">
        <f>IF(ISNUMBER('Klisz-Verbräuche'!Q126), 'Klisz-Verbräuche'!Q126*Emissionsfaktoren!P126/1000, 0)</f>
        <v>0</v>
      </c>
      <c r="Q291" s="15">
        <f>IF(ISNUMBER('Klisz-Verbräuche'!R126), 'Klisz-Verbräuche'!R126*Emissionsfaktoren!Q126/1000, 0)</f>
        <v>0</v>
      </c>
      <c r="R291" s="15">
        <f>IF(ISNUMBER('Klisz-Verbräuche'!S126), 'Klisz-Verbräuche'!S126*Emissionsfaktoren!R126/1000, 0)</f>
        <v>0</v>
      </c>
      <c r="S291" s="15">
        <f>IF(ISNUMBER('Klisz-Verbräuche'!T126), 'Klisz-Verbräuche'!T126*Emissionsfaktoren!S126/1000, 0)</f>
        <v>0</v>
      </c>
      <c r="T291" s="15">
        <f>IF(ISNUMBER('Klisz-Verbräuche'!U126), 'Klisz-Verbräuche'!U126*Emissionsfaktoren!T126/1000, 0)</f>
        <v>0</v>
      </c>
      <c r="U291" s="15">
        <f>IF(ISNUMBER('Klisz-Verbräuche'!V126), 'Klisz-Verbräuche'!V126*Emissionsfaktoren!U126/1000, 0)</f>
        <v>0</v>
      </c>
      <c r="V291" s="15">
        <f>IF(ISNUMBER('Klisz-Verbräuche'!W126), 'Klisz-Verbräuche'!W126*Emissionsfaktoren!V126/1000, 0)</f>
        <v>0</v>
      </c>
      <c r="W291" s="15">
        <f>IF(ISNUMBER('Klisz-Verbräuche'!X126), 'Klisz-Verbräuche'!X126*Emissionsfaktoren!W126/1000, 0)</f>
        <v>0</v>
      </c>
      <c r="X291" s="15">
        <f>IF(ISNUMBER('Klisz-Verbräuche'!Y126), 'Klisz-Verbräuche'!Y126*Emissionsfaktoren!X126/1000, 0)</f>
        <v>0</v>
      </c>
    </row>
    <row r="292" spans="2:24" ht="16.5" hidden="1" x14ac:dyDescent="0.45">
      <c r="B292" s="15">
        <v>67</v>
      </c>
      <c r="C292" s="20" t="str">
        <f>'Refsz-Verbräuche'!C127</f>
        <v>Pendeln - PKW (Diesel)</v>
      </c>
      <c r="D292" t="s">
        <v>208</v>
      </c>
      <c r="E292" s="15">
        <f>IF(ISNUMBER('Klisz-Verbräuche'!F127), 'Klisz-Verbräuche'!F127*Emissionsfaktoren!E127/1000, 0)</f>
        <v>0</v>
      </c>
      <c r="F292" s="15">
        <f>IF(ISNUMBER('Klisz-Verbräuche'!G127), 'Klisz-Verbräuche'!G127*Emissionsfaktoren!F127/1000, 0)</f>
        <v>0</v>
      </c>
      <c r="G292" s="15">
        <f>IF(ISNUMBER('Klisz-Verbräuche'!H127), 'Klisz-Verbräuche'!H127*Emissionsfaktoren!G127/1000, 0)</f>
        <v>0</v>
      </c>
      <c r="H292" s="15">
        <f>IF(ISNUMBER('Klisz-Verbräuche'!I127), 'Klisz-Verbräuche'!I127*Emissionsfaktoren!H127/1000, 0)</f>
        <v>0</v>
      </c>
      <c r="I292" s="15">
        <f>IF(ISNUMBER('Klisz-Verbräuche'!J127), 'Klisz-Verbräuche'!J127*Emissionsfaktoren!I127/1000, 0)</f>
        <v>0</v>
      </c>
      <c r="J292" s="15">
        <f>IF(ISNUMBER('Klisz-Verbräuche'!K127), 'Klisz-Verbräuche'!K127*Emissionsfaktoren!J127/1000, 0)</f>
        <v>0</v>
      </c>
      <c r="K292" s="15">
        <f>IF(ISNUMBER('Klisz-Verbräuche'!L127), 'Klisz-Verbräuche'!L127*Emissionsfaktoren!K127/1000, 0)</f>
        <v>0</v>
      </c>
      <c r="L292" s="15">
        <f>IF(ISNUMBER('Klisz-Verbräuche'!M127), 'Klisz-Verbräuche'!M127*Emissionsfaktoren!L127/1000, 0)</f>
        <v>0</v>
      </c>
      <c r="M292" s="15">
        <f>IF(ISNUMBER('Klisz-Verbräuche'!N127), 'Klisz-Verbräuche'!N127*Emissionsfaktoren!M127/1000, 0)</f>
        <v>0</v>
      </c>
      <c r="N292" s="15">
        <f>IF(ISNUMBER('Klisz-Verbräuche'!O127), 'Klisz-Verbräuche'!O127*Emissionsfaktoren!N127/1000, 0)</f>
        <v>0</v>
      </c>
      <c r="O292" s="15">
        <f>IF(ISNUMBER('Klisz-Verbräuche'!P127), 'Klisz-Verbräuche'!P127*Emissionsfaktoren!O127/1000, 0)</f>
        <v>0</v>
      </c>
      <c r="P292" s="15">
        <f>IF(ISNUMBER('Klisz-Verbräuche'!Q127), 'Klisz-Verbräuche'!Q127*Emissionsfaktoren!P127/1000, 0)</f>
        <v>0</v>
      </c>
      <c r="Q292" s="15">
        <f>IF(ISNUMBER('Klisz-Verbräuche'!R127), 'Klisz-Verbräuche'!R127*Emissionsfaktoren!Q127/1000, 0)</f>
        <v>0</v>
      </c>
      <c r="R292" s="15">
        <f>IF(ISNUMBER('Klisz-Verbräuche'!S127), 'Klisz-Verbräuche'!S127*Emissionsfaktoren!R127/1000, 0)</f>
        <v>0</v>
      </c>
      <c r="S292" s="15">
        <f>IF(ISNUMBER('Klisz-Verbräuche'!T127), 'Klisz-Verbräuche'!T127*Emissionsfaktoren!S127/1000, 0)</f>
        <v>0</v>
      </c>
      <c r="T292" s="15">
        <f>IF(ISNUMBER('Klisz-Verbräuche'!U127), 'Klisz-Verbräuche'!U127*Emissionsfaktoren!T127/1000, 0)</f>
        <v>0</v>
      </c>
      <c r="U292" s="15">
        <f>IF(ISNUMBER('Klisz-Verbräuche'!V127), 'Klisz-Verbräuche'!V127*Emissionsfaktoren!U127/1000, 0)</f>
        <v>0</v>
      </c>
      <c r="V292" s="15">
        <f>IF(ISNUMBER('Klisz-Verbräuche'!W127), 'Klisz-Verbräuche'!W127*Emissionsfaktoren!V127/1000, 0)</f>
        <v>0</v>
      </c>
      <c r="W292" s="15">
        <f>IF(ISNUMBER('Klisz-Verbräuche'!X127), 'Klisz-Verbräuche'!X127*Emissionsfaktoren!W127/1000, 0)</f>
        <v>0</v>
      </c>
      <c r="X292" s="15">
        <f>IF(ISNUMBER('Klisz-Verbräuche'!Y127), 'Klisz-Verbräuche'!Y127*Emissionsfaktoren!X127/1000, 0)</f>
        <v>0</v>
      </c>
    </row>
    <row r="293" spans="2:24" ht="16.5" hidden="1" x14ac:dyDescent="0.45">
      <c r="B293" s="15">
        <v>68</v>
      </c>
      <c r="C293" s="20" t="str">
        <f>'Refsz-Verbräuche'!C128</f>
        <v>Pendeln - PKW (Benzin)</v>
      </c>
      <c r="D293" t="s">
        <v>208</v>
      </c>
      <c r="E293" s="15">
        <f>IF(ISNUMBER('Klisz-Verbräuche'!F128), 'Klisz-Verbräuche'!F128*Emissionsfaktoren!E128/1000, 0)</f>
        <v>0</v>
      </c>
      <c r="F293" s="15">
        <f>IF(ISNUMBER('Klisz-Verbräuche'!G128), 'Klisz-Verbräuche'!G128*Emissionsfaktoren!F128/1000, 0)</f>
        <v>0</v>
      </c>
      <c r="G293" s="15">
        <f>IF(ISNUMBER('Klisz-Verbräuche'!H128), 'Klisz-Verbräuche'!H128*Emissionsfaktoren!G128/1000, 0)</f>
        <v>0</v>
      </c>
      <c r="H293" s="15">
        <f>IF(ISNUMBER('Klisz-Verbräuche'!I128), 'Klisz-Verbräuche'!I128*Emissionsfaktoren!H128/1000, 0)</f>
        <v>0</v>
      </c>
      <c r="I293" s="15">
        <f>IF(ISNUMBER('Klisz-Verbräuche'!J128), 'Klisz-Verbräuche'!J128*Emissionsfaktoren!I128/1000, 0)</f>
        <v>0</v>
      </c>
      <c r="J293" s="15">
        <f>IF(ISNUMBER('Klisz-Verbräuche'!K128), 'Klisz-Verbräuche'!K128*Emissionsfaktoren!J128/1000, 0)</f>
        <v>0</v>
      </c>
      <c r="K293" s="15">
        <f>IF(ISNUMBER('Klisz-Verbräuche'!L128), 'Klisz-Verbräuche'!L128*Emissionsfaktoren!K128/1000, 0)</f>
        <v>0</v>
      </c>
      <c r="L293" s="15">
        <f>IF(ISNUMBER('Klisz-Verbräuche'!M128), 'Klisz-Verbräuche'!M128*Emissionsfaktoren!L128/1000, 0)</f>
        <v>0</v>
      </c>
      <c r="M293" s="15">
        <f>IF(ISNUMBER('Klisz-Verbräuche'!N128), 'Klisz-Verbräuche'!N128*Emissionsfaktoren!M128/1000, 0)</f>
        <v>0</v>
      </c>
      <c r="N293" s="15">
        <f>IF(ISNUMBER('Klisz-Verbräuche'!O128), 'Klisz-Verbräuche'!O128*Emissionsfaktoren!N128/1000, 0)</f>
        <v>0</v>
      </c>
      <c r="O293" s="15">
        <f>IF(ISNUMBER('Klisz-Verbräuche'!P128), 'Klisz-Verbräuche'!P128*Emissionsfaktoren!O128/1000, 0)</f>
        <v>0</v>
      </c>
      <c r="P293" s="15">
        <f>IF(ISNUMBER('Klisz-Verbräuche'!Q128), 'Klisz-Verbräuche'!Q128*Emissionsfaktoren!P128/1000, 0)</f>
        <v>0</v>
      </c>
      <c r="Q293" s="15">
        <f>IF(ISNUMBER('Klisz-Verbräuche'!R128), 'Klisz-Verbräuche'!R128*Emissionsfaktoren!Q128/1000, 0)</f>
        <v>0</v>
      </c>
      <c r="R293" s="15">
        <f>IF(ISNUMBER('Klisz-Verbräuche'!S128), 'Klisz-Verbräuche'!S128*Emissionsfaktoren!R128/1000, 0)</f>
        <v>0</v>
      </c>
      <c r="S293" s="15">
        <f>IF(ISNUMBER('Klisz-Verbräuche'!T128), 'Klisz-Verbräuche'!T128*Emissionsfaktoren!S128/1000, 0)</f>
        <v>0</v>
      </c>
      <c r="T293" s="15">
        <f>IF(ISNUMBER('Klisz-Verbräuche'!U128), 'Klisz-Verbräuche'!U128*Emissionsfaktoren!T128/1000, 0)</f>
        <v>0</v>
      </c>
      <c r="U293" s="15">
        <f>IF(ISNUMBER('Klisz-Verbräuche'!V128), 'Klisz-Verbräuche'!V128*Emissionsfaktoren!U128/1000, 0)</f>
        <v>0</v>
      </c>
      <c r="V293" s="15">
        <f>IF(ISNUMBER('Klisz-Verbräuche'!W128), 'Klisz-Verbräuche'!W128*Emissionsfaktoren!V128/1000, 0)</f>
        <v>0</v>
      </c>
      <c r="W293" s="15">
        <f>IF(ISNUMBER('Klisz-Verbräuche'!X128), 'Klisz-Verbräuche'!X128*Emissionsfaktoren!W128/1000, 0)</f>
        <v>0</v>
      </c>
      <c r="X293" s="15">
        <f>IF(ISNUMBER('Klisz-Verbräuche'!Y128), 'Klisz-Verbräuche'!Y128*Emissionsfaktoren!X128/1000, 0)</f>
        <v>0</v>
      </c>
    </row>
    <row r="294" spans="2:24" ht="16.5" hidden="1" x14ac:dyDescent="0.45">
      <c r="B294" s="15">
        <v>69</v>
      </c>
      <c r="C294" s="20" t="str">
        <f>'Refsz-Verbräuche'!C129</f>
        <v>Pendeln - PKW (E-Auto/ BEV)</v>
      </c>
      <c r="D294" t="s">
        <v>208</v>
      </c>
      <c r="E294" s="15">
        <f>IF(ISNUMBER('Klisz-Verbräuche'!F129), 'Klisz-Verbräuche'!F129*Emissionsfaktoren!E129/1000, 0)</f>
        <v>0</v>
      </c>
      <c r="F294" s="15">
        <f>IF(ISNUMBER('Klisz-Verbräuche'!G129), 'Klisz-Verbräuche'!G129*Emissionsfaktoren!F129/1000, 0)</f>
        <v>0</v>
      </c>
      <c r="G294" s="15">
        <f>IF(ISNUMBER('Klisz-Verbräuche'!H129), 'Klisz-Verbräuche'!H129*Emissionsfaktoren!G129/1000, 0)</f>
        <v>0</v>
      </c>
      <c r="H294" s="15">
        <f>IF(ISNUMBER('Klisz-Verbräuche'!I129), 'Klisz-Verbräuche'!I129*Emissionsfaktoren!H129/1000, 0)</f>
        <v>0</v>
      </c>
      <c r="I294" s="15">
        <f>IF(ISNUMBER('Klisz-Verbräuche'!J129), 'Klisz-Verbräuche'!J129*Emissionsfaktoren!I129/1000, 0)</f>
        <v>0</v>
      </c>
      <c r="J294" s="15">
        <f>IF(ISNUMBER('Klisz-Verbräuche'!K129), 'Klisz-Verbräuche'!K129*Emissionsfaktoren!J129/1000, 0)</f>
        <v>0</v>
      </c>
      <c r="K294" s="15">
        <f>IF(ISNUMBER('Klisz-Verbräuche'!L129), 'Klisz-Verbräuche'!L129*Emissionsfaktoren!K129/1000, 0)</f>
        <v>0</v>
      </c>
      <c r="L294" s="15">
        <f>IF(ISNUMBER('Klisz-Verbräuche'!M129), 'Klisz-Verbräuche'!M129*Emissionsfaktoren!L129/1000, 0)</f>
        <v>0</v>
      </c>
      <c r="M294" s="15">
        <f>IF(ISNUMBER('Klisz-Verbräuche'!N129), 'Klisz-Verbräuche'!N129*Emissionsfaktoren!M129/1000, 0)</f>
        <v>0</v>
      </c>
      <c r="N294" s="15">
        <f>IF(ISNUMBER('Klisz-Verbräuche'!O129), 'Klisz-Verbräuche'!O129*Emissionsfaktoren!N129/1000, 0)</f>
        <v>0</v>
      </c>
      <c r="O294" s="15">
        <f>IF(ISNUMBER('Klisz-Verbräuche'!P129), 'Klisz-Verbräuche'!P129*Emissionsfaktoren!O129/1000, 0)</f>
        <v>0</v>
      </c>
      <c r="P294" s="15">
        <f>IF(ISNUMBER('Klisz-Verbräuche'!Q129), 'Klisz-Verbräuche'!Q129*Emissionsfaktoren!P129/1000, 0)</f>
        <v>0</v>
      </c>
      <c r="Q294" s="15">
        <f>IF(ISNUMBER('Klisz-Verbräuche'!R129), 'Klisz-Verbräuche'!R129*Emissionsfaktoren!Q129/1000, 0)</f>
        <v>0</v>
      </c>
      <c r="R294" s="15">
        <f>IF(ISNUMBER('Klisz-Verbräuche'!S129), 'Klisz-Verbräuche'!S129*Emissionsfaktoren!R129/1000, 0)</f>
        <v>0</v>
      </c>
      <c r="S294" s="15">
        <f>IF(ISNUMBER('Klisz-Verbräuche'!T129), 'Klisz-Verbräuche'!T129*Emissionsfaktoren!S129/1000, 0)</f>
        <v>0</v>
      </c>
      <c r="T294" s="15">
        <f>IF(ISNUMBER('Klisz-Verbräuche'!U129), 'Klisz-Verbräuche'!U129*Emissionsfaktoren!T129/1000, 0)</f>
        <v>0</v>
      </c>
      <c r="U294" s="15">
        <f>IF(ISNUMBER('Klisz-Verbräuche'!V129), 'Klisz-Verbräuche'!V129*Emissionsfaktoren!U129/1000, 0)</f>
        <v>0</v>
      </c>
      <c r="V294" s="15">
        <f>IF(ISNUMBER('Klisz-Verbräuche'!W129), 'Klisz-Verbräuche'!W129*Emissionsfaktoren!V129/1000, 0)</f>
        <v>0</v>
      </c>
      <c r="W294" s="15">
        <f>IF(ISNUMBER('Klisz-Verbräuche'!X129), 'Klisz-Verbräuche'!X129*Emissionsfaktoren!W129/1000, 0)</f>
        <v>0</v>
      </c>
      <c r="X294" s="15">
        <f>IF(ISNUMBER('Klisz-Verbräuche'!Y129), 'Klisz-Verbräuche'!Y129*Emissionsfaktoren!X129/1000, 0)</f>
        <v>0</v>
      </c>
    </row>
    <row r="295" spans="2:24" ht="16.5" hidden="1" x14ac:dyDescent="0.45">
      <c r="B295" s="15">
        <v>70</v>
      </c>
      <c r="C295" s="20" t="str">
        <f>'Refsz-Verbräuche'!C130</f>
        <v>Pendeln - PKW (Wasserstoff/ FCEV)</v>
      </c>
      <c r="D295" t="s">
        <v>208</v>
      </c>
      <c r="E295" s="15">
        <f>IF(ISNUMBER('Klisz-Verbräuche'!F130), 'Klisz-Verbräuche'!F130*Emissionsfaktoren!E130/1000, 0)</f>
        <v>0</v>
      </c>
      <c r="F295" s="15">
        <f>IF(ISNUMBER('Klisz-Verbräuche'!G130), 'Klisz-Verbräuche'!G130*Emissionsfaktoren!F130/1000, 0)</f>
        <v>0</v>
      </c>
      <c r="G295" s="15">
        <f>IF(ISNUMBER('Klisz-Verbräuche'!H130), 'Klisz-Verbräuche'!H130*Emissionsfaktoren!G130/1000, 0)</f>
        <v>0</v>
      </c>
      <c r="H295" s="15">
        <f>IF(ISNUMBER('Klisz-Verbräuche'!I130), 'Klisz-Verbräuche'!I130*Emissionsfaktoren!H130/1000, 0)</f>
        <v>0</v>
      </c>
      <c r="I295" s="15">
        <f>IF(ISNUMBER('Klisz-Verbräuche'!J130), 'Klisz-Verbräuche'!J130*Emissionsfaktoren!I130/1000, 0)</f>
        <v>0</v>
      </c>
      <c r="J295" s="15">
        <f>IF(ISNUMBER('Klisz-Verbräuche'!K130), 'Klisz-Verbräuche'!K130*Emissionsfaktoren!J130/1000, 0)</f>
        <v>0</v>
      </c>
      <c r="K295" s="15">
        <f>IF(ISNUMBER('Klisz-Verbräuche'!L130), 'Klisz-Verbräuche'!L130*Emissionsfaktoren!K130/1000, 0)</f>
        <v>0</v>
      </c>
      <c r="L295" s="15">
        <f>IF(ISNUMBER('Klisz-Verbräuche'!M130), 'Klisz-Verbräuche'!M130*Emissionsfaktoren!L130/1000, 0)</f>
        <v>0</v>
      </c>
      <c r="M295" s="15">
        <f>IF(ISNUMBER('Klisz-Verbräuche'!N130), 'Klisz-Verbräuche'!N130*Emissionsfaktoren!M130/1000, 0)</f>
        <v>0</v>
      </c>
      <c r="N295" s="15">
        <f>IF(ISNUMBER('Klisz-Verbräuche'!O130), 'Klisz-Verbräuche'!O130*Emissionsfaktoren!N130/1000, 0)</f>
        <v>0</v>
      </c>
      <c r="O295" s="15">
        <f>IF(ISNUMBER('Klisz-Verbräuche'!P130), 'Klisz-Verbräuche'!P130*Emissionsfaktoren!O130/1000, 0)</f>
        <v>0</v>
      </c>
      <c r="P295" s="15">
        <f>IF(ISNUMBER('Klisz-Verbräuche'!Q130), 'Klisz-Verbräuche'!Q130*Emissionsfaktoren!P130/1000, 0)</f>
        <v>0</v>
      </c>
      <c r="Q295" s="15">
        <f>IF(ISNUMBER('Klisz-Verbräuche'!R130), 'Klisz-Verbräuche'!R130*Emissionsfaktoren!Q130/1000, 0)</f>
        <v>0</v>
      </c>
      <c r="R295" s="15">
        <f>IF(ISNUMBER('Klisz-Verbräuche'!S130), 'Klisz-Verbräuche'!S130*Emissionsfaktoren!R130/1000, 0)</f>
        <v>0</v>
      </c>
      <c r="S295" s="15">
        <f>IF(ISNUMBER('Klisz-Verbräuche'!T130), 'Klisz-Verbräuche'!T130*Emissionsfaktoren!S130/1000, 0)</f>
        <v>0</v>
      </c>
      <c r="T295" s="15">
        <f>IF(ISNUMBER('Klisz-Verbräuche'!U130), 'Klisz-Verbräuche'!U130*Emissionsfaktoren!T130/1000, 0)</f>
        <v>0</v>
      </c>
      <c r="U295" s="15">
        <f>IF(ISNUMBER('Klisz-Verbräuche'!V130), 'Klisz-Verbräuche'!V130*Emissionsfaktoren!U130/1000, 0)</f>
        <v>0</v>
      </c>
      <c r="V295" s="15">
        <f>IF(ISNUMBER('Klisz-Verbräuche'!W130), 'Klisz-Verbräuche'!W130*Emissionsfaktoren!V130/1000, 0)</f>
        <v>0</v>
      </c>
      <c r="W295" s="15">
        <f>IF(ISNUMBER('Klisz-Verbräuche'!X130), 'Klisz-Verbräuche'!X130*Emissionsfaktoren!W130/1000, 0)</f>
        <v>0</v>
      </c>
      <c r="X295" s="15">
        <f>IF(ISNUMBER('Klisz-Verbräuche'!Y130), 'Klisz-Verbräuche'!Y130*Emissionsfaktoren!X130/1000, 0)</f>
        <v>0</v>
      </c>
    </row>
    <row r="296" spans="2:24" ht="16.5" hidden="1" x14ac:dyDescent="0.45">
      <c r="B296" s="15">
        <v>71</v>
      </c>
      <c r="C296" s="20" t="str">
        <f>'Refsz-Verbräuche'!C131</f>
        <v>Pendeln - PKW (CNG)</v>
      </c>
      <c r="D296" t="s">
        <v>208</v>
      </c>
      <c r="E296" s="15">
        <f>IF(ISNUMBER('Klisz-Verbräuche'!F131), 'Klisz-Verbräuche'!F131*Emissionsfaktoren!E131/1000, 0)</f>
        <v>0</v>
      </c>
      <c r="F296" s="15">
        <f>IF(ISNUMBER('Klisz-Verbräuche'!G131), 'Klisz-Verbräuche'!G131*Emissionsfaktoren!F131/1000, 0)</f>
        <v>0</v>
      </c>
      <c r="G296" s="15">
        <f>IF(ISNUMBER('Klisz-Verbräuche'!H131), 'Klisz-Verbräuche'!H131*Emissionsfaktoren!G131/1000, 0)</f>
        <v>0</v>
      </c>
      <c r="H296" s="15">
        <f>IF(ISNUMBER('Klisz-Verbräuche'!I131), 'Klisz-Verbräuche'!I131*Emissionsfaktoren!H131/1000, 0)</f>
        <v>0</v>
      </c>
      <c r="I296" s="15">
        <f>IF(ISNUMBER('Klisz-Verbräuche'!J131), 'Klisz-Verbräuche'!J131*Emissionsfaktoren!I131/1000, 0)</f>
        <v>0</v>
      </c>
      <c r="J296" s="15">
        <f>IF(ISNUMBER('Klisz-Verbräuche'!K131), 'Klisz-Verbräuche'!K131*Emissionsfaktoren!J131/1000, 0)</f>
        <v>0</v>
      </c>
      <c r="K296" s="15">
        <f>IF(ISNUMBER('Klisz-Verbräuche'!L131), 'Klisz-Verbräuche'!L131*Emissionsfaktoren!K131/1000, 0)</f>
        <v>0</v>
      </c>
      <c r="L296" s="15">
        <f>IF(ISNUMBER('Klisz-Verbräuche'!M131), 'Klisz-Verbräuche'!M131*Emissionsfaktoren!L131/1000, 0)</f>
        <v>0</v>
      </c>
      <c r="M296" s="15">
        <f>IF(ISNUMBER('Klisz-Verbräuche'!N131), 'Klisz-Verbräuche'!N131*Emissionsfaktoren!M131/1000, 0)</f>
        <v>0</v>
      </c>
      <c r="N296" s="15">
        <f>IF(ISNUMBER('Klisz-Verbräuche'!O131), 'Klisz-Verbräuche'!O131*Emissionsfaktoren!N131/1000, 0)</f>
        <v>0</v>
      </c>
      <c r="O296" s="15">
        <f>IF(ISNUMBER('Klisz-Verbräuche'!P131), 'Klisz-Verbräuche'!P131*Emissionsfaktoren!O131/1000, 0)</f>
        <v>0</v>
      </c>
      <c r="P296" s="15">
        <f>IF(ISNUMBER('Klisz-Verbräuche'!Q131), 'Klisz-Verbräuche'!Q131*Emissionsfaktoren!P131/1000, 0)</f>
        <v>0</v>
      </c>
      <c r="Q296" s="15">
        <f>IF(ISNUMBER('Klisz-Verbräuche'!R131), 'Klisz-Verbräuche'!R131*Emissionsfaktoren!Q131/1000, 0)</f>
        <v>0</v>
      </c>
      <c r="R296" s="15">
        <f>IF(ISNUMBER('Klisz-Verbräuche'!S131), 'Klisz-Verbräuche'!S131*Emissionsfaktoren!R131/1000, 0)</f>
        <v>0</v>
      </c>
      <c r="S296" s="15">
        <f>IF(ISNUMBER('Klisz-Verbräuche'!T131), 'Klisz-Verbräuche'!T131*Emissionsfaktoren!S131/1000, 0)</f>
        <v>0</v>
      </c>
      <c r="T296" s="15">
        <f>IF(ISNUMBER('Klisz-Verbräuche'!U131), 'Klisz-Verbräuche'!U131*Emissionsfaktoren!T131/1000, 0)</f>
        <v>0</v>
      </c>
      <c r="U296" s="15">
        <f>IF(ISNUMBER('Klisz-Verbräuche'!V131), 'Klisz-Verbräuche'!V131*Emissionsfaktoren!U131/1000, 0)</f>
        <v>0</v>
      </c>
      <c r="V296" s="15">
        <f>IF(ISNUMBER('Klisz-Verbräuche'!W131), 'Klisz-Verbräuche'!W131*Emissionsfaktoren!V131/1000, 0)</f>
        <v>0</v>
      </c>
      <c r="W296" s="15">
        <f>IF(ISNUMBER('Klisz-Verbräuche'!X131), 'Klisz-Verbräuche'!X131*Emissionsfaktoren!W131/1000, 0)</f>
        <v>0</v>
      </c>
      <c r="X296" s="15">
        <f>IF(ISNUMBER('Klisz-Verbräuche'!Y131), 'Klisz-Verbräuche'!Y131*Emissionsfaktoren!X131/1000, 0)</f>
        <v>0</v>
      </c>
    </row>
    <row r="297" spans="2:24" ht="16.5" hidden="1" x14ac:dyDescent="0.45">
      <c r="B297" s="15">
        <v>72</v>
      </c>
      <c r="C297" s="20" t="str">
        <f>'Refsz-Verbräuche'!C132</f>
        <v>Pendeln - PKW (Plug-In-Hybrid/PHEV)</v>
      </c>
      <c r="D297" t="s">
        <v>208</v>
      </c>
      <c r="E297" s="15">
        <f>IF(ISNUMBER('Klisz-Verbräuche'!F132), 'Klisz-Verbräuche'!F132*Emissionsfaktoren!E132/1000, 0)</f>
        <v>0</v>
      </c>
      <c r="F297" s="15">
        <f>IF(ISNUMBER('Klisz-Verbräuche'!G132), 'Klisz-Verbräuche'!G132*Emissionsfaktoren!F132/1000, 0)</f>
        <v>0</v>
      </c>
      <c r="G297" s="15">
        <f>IF(ISNUMBER('Klisz-Verbräuche'!H132), 'Klisz-Verbräuche'!H132*Emissionsfaktoren!G132/1000, 0)</f>
        <v>0</v>
      </c>
      <c r="H297" s="15">
        <f>IF(ISNUMBER('Klisz-Verbräuche'!I132), 'Klisz-Verbräuche'!I132*Emissionsfaktoren!H132/1000, 0)</f>
        <v>0</v>
      </c>
      <c r="I297" s="15">
        <f>IF(ISNUMBER('Klisz-Verbräuche'!J132), 'Klisz-Verbräuche'!J132*Emissionsfaktoren!I132/1000, 0)</f>
        <v>0</v>
      </c>
      <c r="J297" s="15">
        <f>IF(ISNUMBER('Klisz-Verbräuche'!K132), 'Klisz-Verbräuche'!K132*Emissionsfaktoren!J132/1000, 0)</f>
        <v>0</v>
      </c>
      <c r="K297" s="15">
        <f>IF(ISNUMBER('Klisz-Verbräuche'!L132), 'Klisz-Verbräuche'!L132*Emissionsfaktoren!K132/1000, 0)</f>
        <v>0</v>
      </c>
      <c r="L297" s="15">
        <f>IF(ISNUMBER('Klisz-Verbräuche'!M132), 'Klisz-Verbräuche'!M132*Emissionsfaktoren!L132/1000, 0)</f>
        <v>0</v>
      </c>
      <c r="M297" s="15">
        <f>IF(ISNUMBER('Klisz-Verbräuche'!N132), 'Klisz-Verbräuche'!N132*Emissionsfaktoren!M132/1000, 0)</f>
        <v>0</v>
      </c>
      <c r="N297" s="15">
        <f>IF(ISNUMBER('Klisz-Verbräuche'!O132), 'Klisz-Verbräuche'!O132*Emissionsfaktoren!N132/1000, 0)</f>
        <v>0</v>
      </c>
      <c r="O297" s="15">
        <f>IF(ISNUMBER('Klisz-Verbräuche'!P132), 'Klisz-Verbräuche'!P132*Emissionsfaktoren!O132/1000, 0)</f>
        <v>0</v>
      </c>
      <c r="P297" s="15">
        <f>IF(ISNUMBER('Klisz-Verbräuche'!Q132), 'Klisz-Verbräuche'!Q132*Emissionsfaktoren!P132/1000, 0)</f>
        <v>0</v>
      </c>
      <c r="Q297" s="15">
        <f>IF(ISNUMBER('Klisz-Verbräuche'!R132), 'Klisz-Verbräuche'!R132*Emissionsfaktoren!Q132/1000, 0)</f>
        <v>0</v>
      </c>
      <c r="R297" s="15">
        <f>IF(ISNUMBER('Klisz-Verbräuche'!S132), 'Klisz-Verbräuche'!S132*Emissionsfaktoren!R132/1000, 0)</f>
        <v>0</v>
      </c>
      <c r="S297" s="15">
        <f>IF(ISNUMBER('Klisz-Verbräuche'!T132), 'Klisz-Verbräuche'!T132*Emissionsfaktoren!S132/1000, 0)</f>
        <v>0</v>
      </c>
      <c r="T297" s="15">
        <f>IF(ISNUMBER('Klisz-Verbräuche'!U132), 'Klisz-Verbräuche'!U132*Emissionsfaktoren!T132/1000, 0)</f>
        <v>0</v>
      </c>
      <c r="U297" s="15">
        <f>IF(ISNUMBER('Klisz-Verbräuche'!V132), 'Klisz-Verbräuche'!V132*Emissionsfaktoren!U132/1000, 0)</f>
        <v>0</v>
      </c>
      <c r="V297" s="15">
        <f>IF(ISNUMBER('Klisz-Verbräuche'!W132), 'Klisz-Verbräuche'!W132*Emissionsfaktoren!V132/1000, 0)</f>
        <v>0</v>
      </c>
      <c r="W297" s="15">
        <f>IF(ISNUMBER('Klisz-Verbräuche'!X132), 'Klisz-Verbräuche'!X132*Emissionsfaktoren!W132/1000, 0)</f>
        <v>0</v>
      </c>
      <c r="X297" s="15">
        <f>IF(ISNUMBER('Klisz-Verbräuche'!Y132), 'Klisz-Verbräuche'!Y132*Emissionsfaktoren!X132/1000, 0)</f>
        <v>0</v>
      </c>
    </row>
    <row r="298" spans="2:24" ht="16.5" hidden="1" x14ac:dyDescent="0.45">
      <c r="B298" s="15">
        <v>73</v>
      </c>
      <c r="C298" s="20" t="str">
        <f>'Refsz-Verbräuche'!C133</f>
        <v>Pendeln - Motorisierte Zweiräder</v>
      </c>
      <c r="D298" t="s">
        <v>208</v>
      </c>
      <c r="E298" s="15">
        <f>IF(ISNUMBER('Klisz-Verbräuche'!F133), 'Klisz-Verbräuche'!F133*Emissionsfaktoren!E133/1000, 0)</f>
        <v>0</v>
      </c>
      <c r="F298" s="15">
        <f>IF(ISNUMBER('Klisz-Verbräuche'!G133), 'Klisz-Verbräuche'!G133*Emissionsfaktoren!F133/1000, 0)</f>
        <v>0</v>
      </c>
      <c r="G298" s="15">
        <f>IF(ISNUMBER('Klisz-Verbräuche'!H133), 'Klisz-Verbräuche'!H133*Emissionsfaktoren!G133/1000, 0)</f>
        <v>0</v>
      </c>
      <c r="H298" s="15">
        <f>IF(ISNUMBER('Klisz-Verbräuche'!I133), 'Klisz-Verbräuche'!I133*Emissionsfaktoren!H133/1000, 0)</f>
        <v>0</v>
      </c>
      <c r="I298" s="15">
        <f>IF(ISNUMBER('Klisz-Verbräuche'!J133), 'Klisz-Verbräuche'!J133*Emissionsfaktoren!I133/1000, 0)</f>
        <v>0</v>
      </c>
      <c r="J298" s="15">
        <f>IF(ISNUMBER('Klisz-Verbräuche'!K133), 'Klisz-Verbräuche'!K133*Emissionsfaktoren!J133/1000, 0)</f>
        <v>0</v>
      </c>
      <c r="K298" s="15">
        <f>IF(ISNUMBER('Klisz-Verbräuche'!L133), 'Klisz-Verbräuche'!L133*Emissionsfaktoren!K133/1000, 0)</f>
        <v>0</v>
      </c>
      <c r="L298" s="15">
        <f>IF(ISNUMBER('Klisz-Verbräuche'!M133), 'Klisz-Verbräuche'!M133*Emissionsfaktoren!L133/1000, 0)</f>
        <v>0</v>
      </c>
      <c r="M298" s="15">
        <f>IF(ISNUMBER('Klisz-Verbräuche'!N133), 'Klisz-Verbräuche'!N133*Emissionsfaktoren!M133/1000, 0)</f>
        <v>0</v>
      </c>
      <c r="N298" s="15">
        <f>IF(ISNUMBER('Klisz-Verbräuche'!O133), 'Klisz-Verbräuche'!O133*Emissionsfaktoren!N133/1000, 0)</f>
        <v>0</v>
      </c>
      <c r="O298" s="15">
        <f>IF(ISNUMBER('Klisz-Verbräuche'!P133), 'Klisz-Verbräuche'!P133*Emissionsfaktoren!O133/1000, 0)</f>
        <v>0</v>
      </c>
      <c r="P298" s="15">
        <f>IF(ISNUMBER('Klisz-Verbräuche'!Q133), 'Klisz-Verbräuche'!Q133*Emissionsfaktoren!P133/1000, 0)</f>
        <v>0</v>
      </c>
      <c r="Q298" s="15">
        <f>IF(ISNUMBER('Klisz-Verbräuche'!R133), 'Klisz-Verbräuche'!R133*Emissionsfaktoren!Q133/1000, 0)</f>
        <v>0</v>
      </c>
      <c r="R298" s="15">
        <f>IF(ISNUMBER('Klisz-Verbräuche'!S133), 'Klisz-Verbräuche'!S133*Emissionsfaktoren!R133/1000, 0)</f>
        <v>0</v>
      </c>
      <c r="S298" s="15">
        <f>IF(ISNUMBER('Klisz-Verbräuche'!T133), 'Klisz-Verbräuche'!T133*Emissionsfaktoren!S133/1000, 0)</f>
        <v>0</v>
      </c>
      <c r="T298" s="15">
        <f>IF(ISNUMBER('Klisz-Verbräuche'!U133), 'Klisz-Verbräuche'!U133*Emissionsfaktoren!T133/1000, 0)</f>
        <v>0</v>
      </c>
      <c r="U298" s="15">
        <f>IF(ISNUMBER('Klisz-Verbräuche'!V133), 'Klisz-Verbräuche'!V133*Emissionsfaktoren!U133/1000, 0)</f>
        <v>0</v>
      </c>
      <c r="V298" s="15">
        <f>IF(ISNUMBER('Klisz-Verbräuche'!W133), 'Klisz-Verbräuche'!W133*Emissionsfaktoren!V133/1000, 0)</f>
        <v>0</v>
      </c>
      <c r="W298" s="15">
        <f>IF(ISNUMBER('Klisz-Verbräuche'!X133), 'Klisz-Verbräuche'!X133*Emissionsfaktoren!W133/1000, 0)</f>
        <v>0</v>
      </c>
      <c r="X298" s="15">
        <f>IF(ISNUMBER('Klisz-Verbräuche'!Y133), 'Klisz-Verbräuche'!Y133*Emissionsfaktoren!X133/1000, 0)</f>
        <v>0</v>
      </c>
    </row>
    <row r="299" spans="2:24" ht="16.5" hidden="1" x14ac:dyDescent="0.45">
      <c r="B299" s="15">
        <v>74</v>
      </c>
      <c r="C299" s="20" t="str">
        <f>'Refsz-Verbräuche'!C134</f>
        <v>Pendeln - Fahrrad</v>
      </c>
      <c r="D299" t="s">
        <v>208</v>
      </c>
      <c r="E299" s="15">
        <f>IF(ISNUMBER('Klisz-Verbräuche'!F134), 'Klisz-Verbräuche'!F134*Emissionsfaktoren!E134/1000, 0)</f>
        <v>0</v>
      </c>
      <c r="F299" s="15">
        <f>IF(ISNUMBER('Klisz-Verbräuche'!G134), 'Klisz-Verbräuche'!G134*Emissionsfaktoren!F134/1000, 0)</f>
        <v>0</v>
      </c>
      <c r="G299" s="15">
        <f>IF(ISNUMBER('Klisz-Verbräuche'!H134), 'Klisz-Verbräuche'!H134*Emissionsfaktoren!G134/1000, 0)</f>
        <v>0</v>
      </c>
      <c r="H299" s="15">
        <f>IF(ISNUMBER('Klisz-Verbräuche'!I134), 'Klisz-Verbräuche'!I134*Emissionsfaktoren!H134/1000, 0)</f>
        <v>0</v>
      </c>
      <c r="I299" s="15">
        <f>IF(ISNUMBER('Klisz-Verbräuche'!J134), 'Klisz-Verbräuche'!J134*Emissionsfaktoren!I134/1000, 0)</f>
        <v>0</v>
      </c>
      <c r="J299" s="15">
        <f>IF(ISNUMBER('Klisz-Verbräuche'!K134), 'Klisz-Verbräuche'!K134*Emissionsfaktoren!J134/1000, 0)</f>
        <v>0</v>
      </c>
      <c r="K299" s="15">
        <f>IF(ISNUMBER('Klisz-Verbräuche'!L134), 'Klisz-Verbräuche'!L134*Emissionsfaktoren!K134/1000, 0)</f>
        <v>0</v>
      </c>
      <c r="L299" s="15">
        <f>IF(ISNUMBER('Klisz-Verbräuche'!M134), 'Klisz-Verbräuche'!M134*Emissionsfaktoren!L134/1000, 0)</f>
        <v>0</v>
      </c>
      <c r="M299" s="15">
        <f>IF(ISNUMBER('Klisz-Verbräuche'!N134), 'Klisz-Verbräuche'!N134*Emissionsfaktoren!M134/1000, 0)</f>
        <v>0</v>
      </c>
      <c r="N299" s="15">
        <f>IF(ISNUMBER('Klisz-Verbräuche'!O134), 'Klisz-Verbräuche'!O134*Emissionsfaktoren!N134/1000, 0)</f>
        <v>0</v>
      </c>
      <c r="O299" s="15">
        <f>IF(ISNUMBER('Klisz-Verbräuche'!P134), 'Klisz-Verbräuche'!P134*Emissionsfaktoren!O134/1000, 0)</f>
        <v>0</v>
      </c>
      <c r="P299" s="15">
        <f>IF(ISNUMBER('Klisz-Verbräuche'!Q134), 'Klisz-Verbräuche'!Q134*Emissionsfaktoren!P134/1000, 0)</f>
        <v>0</v>
      </c>
      <c r="Q299" s="15">
        <f>IF(ISNUMBER('Klisz-Verbräuche'!R134), 'Klisz-Verbräuche'!R134*Emissionsfaktoren!Q134/1000, 0)</f>
        <v>0</v>
      </c>
      <c r="R299" s="15">
        <f>IF(ISNUMBER('Klisz-Verbräuche'!S134), 'Klisz-Verbräuche'!S134*Emissionsfaktoren!R134/1000, 0)</f>
        <v>0</v>
      </c>
      <c r="S299" s="15">
        <f>IF(ISNUMBER('Klisz-Verbräuche'!T134), 'Klisz-Verbräuche'!T134*Emissionsfaktoren!S134/1000, 0)</f>
        <v>0</v>
      </c>
      <c r="T299" s="15">
        <f>IF(ISNUMBER('Klisz-Verbräuche'!U134), 'Klisz-Verbräuche'!U134*Emissionsfaktoren!T134/1000, 0)</f>
        <v>0</v>
      </c>
      <c r="U299" s="15">
        <f>IF(ISNUMBER('Klisz-Verbräuche'!V134), 'Klisz-Verbräuche'!V134*Emissionsfaktoren!U134/1000, 0)</f>
        <v>0</v>
      </c>
      <c r="V299" s="15">
        <f>IF(ISNUMBER('Klisz-Verbräuche'!W134), 'Klisz-Verbräuche'!W134*Emissionsfaktoren!V134/1000, 0)</f>
        <v>0</v>
      </c>
      <c r="W299" s="15">
        <f>IF(ISNUMBER('Klisz-Verbräuche'!X134), 'Klisz-Verbräuche'!X134*Emissionsfaktoren!W134/1000, 0)</f>
        <v>0</v>
      </c>
      <c r="X299" s="15">
        <f>IF(ISNUMBER('Klisz-Verbräuche'!Y134), 'Klisz-Verbräuche'!Y134*Emissionsfaktoren!X134/1000, 0)</f>
        <v>0</v>
      </c>
    </row>
    <row r="300" spans="2:24" ht="16.5" hidden="1" x14ac:dyDescent="0.45">
      <c r="B300" s="15">
        <v>75</v>
      </c>
      <c r="C300" s="20" t="str">
        <f>'Refsz-Verbräuche'!C135</f>
        <v>Pendeln - E-Bike</v>
      </c>
      <c r="D300" t="s">
        <v>208</v>
      </c>
      <c r="E300" s="15">
        <f>IF(ISNUMBER('Klisz-Verbräuche'!F135), 'Klisz-Verbräuche'!F135*Emissionsfaktoren!E136/1000, 0)</f>
        <v>0</v>
      </c>
      <c r="F300" s="15">
        <f>IF(ISNUMBER('Klisz-Verbräuche'!G135), 'Klisz-Verbräuche'!G135*Emissionsfaktoren!F136/1000, 0)</f>
        <v>0</v>
      </c>
      <c r="G300" s="15">
        <f>IF(ISNUMBER('Klisz-Verbräuche'!H135), 'Klisz-Verbräuche'!H135*Emissionsfaktoren!G136/1000, 0)</f>
        <v>0</v>
      </c>
      <c r="H300" s="15">
        <f>IF(ISNUMBER('Klisz-Verbräuche'!I135), 'Klisz-Verbräuche'!I135*Emissionsfaktoren!H136/1000, 0)</f>
        <v>0</v>
      </c>
      <c r="I300" s="15">
        <f>IF(ISNUMBER('Klisz-Verbräuche'!J135), 'Klisz-Verbräuche'!J135*Emissionsfaktoren!I136/1000, 0)</f>
        <v>0</v>
      </c>
      <c r="J300" s="15">
        <f>IF(ISNUMBER('Klisz-Verbräuche'!K135), 'Klisz-Verbräuche'!K135*Emissionsfaktoren!J136/1000, 0)</f>
        <v>0</v>
      </c>
      <c r="K300" s="15">
        <f>IF(ISNUMBER('Klisz-Verbräuche'!L135), 'Klisz-Verbräuche'!L135*Emissionsfaktoren!K136/1000, 0)</f>
        <v>0</v>
      </c>
      <c r="L300" s="15">
        <f>IF(ISNUMBER('Klisz-Verbräuche'!M135), 'Klisz-Verbräuche'!M135*Emissionsfaktoren!L136/1000, 0)</f>
        <v>0</v>
      </c>
      <c r="M300" s="15">
        <f>IF(ISNUMBER('Klisz-Verbräuche'!N135), 'Klisz-Verbräuche'!N135*Emissionsfaktoren!M136/1000, 0)</f>
        <v>0</v>
      </c>
      <c r="N300" s="15">
        <f>IF(ISNUMBER('Klisz-Verbräuche'!O135), 'Klisz-Verbräuche'!O135*Emissionsfaktoren!N136/1000, 0)</f>
        <v>0</v>
      </c>
      <c r="O300" s="15">
        <f>IF(ISNUMBER('Klisz-Verbräuche'!P135), 'Klisz-Verbräuche'!P135*Emissionsfaktoren!O136/1000, 0)</f>
        <v>0</v>
      </c>
      <c r="P300" s="15">
        <f>IF(ISNUMBER('Klisz-Verbräuche'!Q135), 'Klisz-Verbräuche'!Q135*Emissionsfaktoren!P136/1000, 0)</f>
        <v>0</v>
      </c>
      <c r="Q300" s="15">
        <f>IF(ISNUMBER('Klisz-Verbräuche'!R135), 'Klisz-Verbräuche'!R135*Emissionsfaktoren!Q136/1000, 0)</f>
        <v>0</v>
      </c>
      <c r="R300" s="15">
        <f>IF(ISNUMBER('Klisz-Verbräuche'!S135), 'Klisz-Verbräuche'!S135*Emissionsfaktoren!R136/1000, 0)</f>
        <v>0</v>
      </c>
      <c r="S300" s="15">
        <f>IF(ISNUMBER('Klisz-Verbräuche'!T135), 'Klisz-Verbräuche'!T135*Emissionsfaktoren!S136/1000, 0)</f>
        <v>0</v>
      </c>
      <c r="T300" s="15">
        <f>IF(ISNUMBER('Klisz-Verbräuche'!U135), 'Klisz-Verbräuche'!U135*Emissionsfaktoren!T136/1000, 0)</f>
        <v>0</v>
      </c>
      <c r="U300" s="15">
        <f>IF(ISNUMBER('Klisz-Verbräuche'!V135), 'Klisz-Verbräuche'!V135*Emissionsfaktoren!U136/1000, 0)</f>
        <v>0</v>
      </c>
      <c r="V300" s="15">
        <f>IF(ISNUMBER('Klisz-Verbräuche'!W135), 'Klisz-Verbräuche'!W135*Emissionsfaktoren!V136/1000, 0)</f>
        <v>0</v>
      </c>
      <c r="W300" s="15">
        <f>IF(ISNUMBER('Klisz-Verbräuche'!X135), 'Klisz-Verbräuche'!X135*Emissionsfaktoren!W136/1000, 0)</f>
        <v>0</v>
      </c>
      <c r="X300" s="15">
        <f>IF(ISNUMBER('Klisz-Verbräuche'!Y135), 'Klisz-Verbräuche'!Y135*Emissionsfaktoren!X136/1000, 0)</f>
        <v>0</v>
      </c>
    </row>
    <row r="301" spans="2:24" ht="16.5" hidden="1" x14ac:dyDescent="0.45">
      <c r="B301" s="15">
        <v>76</v>
      </c>
      <c r="C301" s="20" t="str">
        <f>'Refsz-Verbräuche'!C136</f>
        <v>Pendeln - zu Fuß</v>
      </c>
      <c r="D301" t="s">
        <v>208</v>
      </c>
      <c r="E301" s="15">
        <f>IF(ISNUMBER('Klisz-Verbräuche'!F136), 'Klisz-Verbräuche'!F136*Emissionsfaktoren!E136/1000, 0)</f>
        <v>0</v>
      </c>
      <c r="F301" s="15">
        <f>IF(ISNUMBER('Klisz-Verbräuche'!G136), 'Klisz-Verbräuche'!G136*Emissionsfaktoren!F136/1000, 0)</f>
        <v>0</v>
      </c>
      <c r="G301" s="15">
        <f>IF(ISNUMBER('Klisz-Verbräuche'!H136), 'Klisz-Verbräuche'!H136*Emissionsfaktoren!G136/1000, 0)</f>
        <v>0</v>
      </c>
      <c r="H301" s="15">
        <f>IF(ISNUMBER('Klisz-Verbräuche'!I136), 'Klisz-Verbräuche'!I136*Emissionsfaktoren!H136/1000, 0)</f>
        <v>0</v>
      </c>
      <c r="I301" s="15">
        <f>IF(ISNUMBER('Klisz-Verbräuche'!J136), 'Klisz-Verbräuche'!J136*Emissionsfaktoren!I136/1000, 0)</f>
        <v>0</v>
      </c>
      <c r="J301" s="15">
        <f>IF(ISNUMBER('Klisz-Verbräuche'!K136), 'Klisz-Verbräuche'!K136*Emissionsfaktoren!J136/1000, 0)</f>
        <v>0</v>
      </c>
      <c r="K301" s="15">
        <f>IF(ISNUMBER('Klisz-Verbräuche'!L136), 'Klisz-Verbräuche'!L136*Emissionsfaktoren!K136/1000, 0)</f>
        <v>0</v>
      </c>
      <c r="L301" s="15">
        <f>IF(ISNUMBER('Klisz-Verbräuche'!M136), 'Klisz-Verbräuche'!M136*Emissionsfaktoren!L136/1000, 0)</f>
        <v>0</v>
      </c>
      <c r="M301" s="15">
        <f>IF(ISNUMBER('Klisz-Verbräuche'!N136), 'Klisz-Verbräuche'!N136*Emissionsfaktoren!M136/1000, 0)</f>
        <v>0</v>
      </c>
      <c r="N301" s="15">
        <f>IF(ISNUMBER('Klisz-Verbräuche'!O136), 'Klisz-Verbräuche'!O136*Emissionsfaktoren!N136/1000, 0)</f>
        <v>0</v>
      </c>
      <c r="O301" s="15">
        <f>IF(ISNUMBER('Klisz-Verbräuche'!P136), 'Klisz-Verbräuche'!P136*Emissionsfaktoren!O136/1000, 0)</f>
        <v>0</v>
      </c>
      <c r="P301" s="15">
        <f>IF(ISNUMBER('Klisz-Verbräuche'!Q136), 'Klisz-Verbräuche'!Q136*Emissionsfaktoren!P136/1000, 0)</f>
        <v>0</v>
      </c>
      <c r="Q301" s="15">
        <f>IF(ISNUMBER('Klisz-Verbräuche'!R136), 'Klisz-Verbräuche'!R136*Emissionsfaktoren!Q136/1000, 0)</f>
        <v>0</v>
      </c>
      <c r="R301" s="15">
        <f>IF(ISNUMBER('Klisz-Verbräuche'!S136), 'Klisz-Verbräuche'!S136*Emissionsfaktoren!R136/1000, 0)</f>
        <v>0</v>
      </c>
      <c r="S301" s="15">
        <f>IF(ISNUMBER('Klisz-Verbräuche'!T136), 'Klisz-Verbräuche'!T136*Emissionsfaktoren!S136/1000, 0)</f>
        <v>0</v>
      </c>
      <c r="T301" s="15">
        <f>IF(ISNUMBER('Klisz-Verbräuche'!U136), 'Klisz-Verbräuche'!U136*Emissionsfaktoren!T136/1000, 0)</f>
        <v>0</v>
      </c>
      <c r="U301" s="15">
        <f>IF(ISNUMBER('Klisz-Verbräuche'!V136), 'Klisz-Verbräuche'!V136*Emissionsfaktoren!U136/1000, 0)</f>
        <v>0</v>
      </c>
      <c r="V301" s="15">
        <f>IF(ISNUMBER('Klisz-Verbräuche'!W136), 'Klisz-Verbräuche'!W136*Emissionsfaktoren!V136/1000, 0)</f>
        <v>0</v>
      </c>
      <c r="W301" s="15">
        <f>IF(ISNUMBER('Klisz-Verbräuche'!X136), 'Klisz-Verbräuche'!X136*Emissionsfaktoren!W136/1000, 0)</f>
        <v>0</v>
      </c>
      <c r="X301" s="15">
        <f>IF(ISNUMBER('Klisz-Verbräuche'!Y136), 'Klisz-Verbräuche'!Y136*Emissionsfaktoren!X136/1000, 0)</f>
        <v>0</v>
      </c>
    </row>
    <row r="302" spans="2:24" ht="16.5" hidden="1" x14ac:dyDescent="0.45">
      <c r="B302" s="15">
        <v>77</v>
      </c>
      <c r="C302" s="20">
        <f>'Refsz-Verbräuche'!C137</f>
        <v>0</v>
      </c>
      <c r="D302" t="s">
        <v>208</v>
      </c>
      <c r="E302" s="15">
        <f>IF(ISNUMBER('Klisz-Verbräuche'!F137), 'Klisz-Verbräuche'!F137*Emissionsfaktoren!E137/1000, 0)</f>
        <v>0</v>
      </c>
      <c r="F302" s="15">
        <f>IF(ISNUMBER('Klisz-Verbräuche'!G137), 'Klisz-Verbräuche'!G137*Emissionsfaktoren!F137/1000, 0)</f>
        <v>0</v>
      </c>
      <c r="G302" s="15">
        <f>IF(ISNUMBER('Klisz-Verbräuche'!H137), 'Klisz-Verbräuche'!H137*Emissionsfaktoren!G137/1000, 0)</f>
        <v>0</v>
      </c>
      <c r="H302" s="15">
        <f>IF(ISNUMBER('Klisz-Verbräuche'!I137), 'Klisz-Verbräuche'!I137*Emissionsfaktoren!H137/1000, 0)</f>
        <v>0</v>
      </c>
      <c r="I302" s="15">
        <f>IF(ISNUMBER('Klisz-Verbräuche'!J137), 'Klisz-Verbräuche'!J137*Emissionsfaktoren!I137/1000, 0)</f>
        <v>0</v>
      </c>
      <c r="J302" s="15">
        <f>IF(ISNUMBER('Klisz-Verbräuche'!K137), 'Klisz-Verbräuche'!K137*Emissionsfaktoren!J137/1000, 0)</f>
        <v>0</v>
      </c>
      <c r="K302" s="15">
        <f>IF(ISNUMBER('Klisz-Verbräuche'!L137), 'Klisz-Verbräuche'!L137*Emissionsfaktoren!K137/1000, 0)</f>
        <v>0</v>
      </c>
      <c r="L302" s="15">
        <f>IF(ISNUMBER('Klisz-Verbräuche'!M137), 'Klisz-Verbräuche'!M137*Emissionsfaktoren!L137/1000, 0)</f>
        <v>0</v>
      </c>
      <c r="M302" s="15">
        <f>IF(ISNUMBER('Klisz-Verbräuche'!N137), 'Klisz-Verbräuche'!N137*Emissionsfaktoren!M137/1000, 0)</f>
        <v>0</v>
      </c>
      <c r="N302" s="15">
        <f>IF(ISNUMBER('Klisz-Verbräuche'!O137), 'Klisz-Verbräuche'!O137*Emissionsfaktoren!N137/1000, 0)</f>
        <v>0</v>
      </c>
      <c r="O302" s="15">
        <f>IF(ISNUMBER('Klisz-Verbräuche'!P137), 'Klisz-Verbräuche'!P137*Emissionsfaktoren!O137/1000, 0)</f>
        <v>0</v>
      </c>
      <c r="P302" s="15">
        <f>IF(ISNUMBER('Klisz-Verbräuche'!Q137), 'Klisz-Verbräuche'!Q137*Emissionsfaktoren!P137/1000, 0)</f>
        <v>0</v>
      </c>
      <c r="Q302" s="15">
        <f>IF(ISNUMBER('Klisz-Verbräuche'!R137), 'Klisz-Verbräuche'!R137*Emissionsfaktoren!Q137/1000, 0)</f>
        <v>0</v>
      </c>
      <c r="R302" s="15">
        <f>IF(ISNUMBER('Klisz-Verbräuche'!S137), 'Klisz-Verbräuche'!S137*Emissionsfaktoren!R137/1000, 0)</f>
        <v>0</v>
      </c>
      <c r="S302" s="15">
        <f>IF(ISNUMBER('Klisz-Verbräuche'!T137), 'Klisz-Verbräuche'!T137*Emissionsfaktoren!S137/1000, 0)</f>
        <v>0</v>
      </c>
      <c r="T302" s="15">
        <f>IF(ISNUMBER('Klisz-Verbräuche'!U137), 'Klisz-Verbräuche'!U137*Emissionsfaktoren!T137/1000, 0)</f>
        <v>0</v>
      </c>
      <c r="U302" s="15">
        <f>IF(ISNUMBER('Klisz-Verbräuche'!V137), 'Klisz-Verbräuche'!V137*Emissionsfaktoren!U137/1000, 0)</f>
        <v>0</v>
      </c>
      <c r="V302" s="15">
        <f>IF(ISNUMBER('Klisz-Verbräuche'!W137), 'Klisz-Verbräuche'!W137*Emissionsfaktoren!V137/1000, 0)</f>
        <v>0</v>
      </c>
      <c r="W302" s="15">
        <f>IF(ISNUMBER('Klisz-Verbräuche'!X137), 'Klisz-Verbräuche'!X137*Emissionsfaktoren!W137/1000, 0)</f>
        <v>0</v>
      </c>
      <c r="X302" s="15">
        <f>IF(ISNUMBER('Klisz-Verbräuche'!Y137), 'Klisz-Verbräuche'!Y137*Emissionsfaktoren!X137/1000, 0)</f>
        <v>0</v>
      </c>
    </row>
    <row r="303" spans="2:24" ht="16.5" hidden="1" x14ac:dyDescent="0.45">
      <c r="B303" s="15">
        <v>78</v>
      </c>
      <c r="C303" s="20" t="str">
        <f>'Refsz-Verbräuche'!C138</f>
        <v>Studierendenreisen (Incoming) - Flugreisen</v>
      </c>
      <c r="D303" t="s">
        <v>208</v>
      </c>
      <c r="E303" s="15">
        <f>IF(ISNUMBER('Klisz-Verbräuche'!F138), 'Klisz-Verbräuche'!F138*Emissionsfaktoren!E138/1000, 0)</f>
        <v>0</v>
      </c>
      <c r="F303" s="15">
        <f>IF(ISNUMBER('Klisz-Verbräuche'!G138), 'Klisz-Verbräuche'!G138*Emissionsfaktoren!F138/1000, 0)</f>
        <v>0</v>
      </c>
      <c r="G303" s="15">
        <f>IF(ISNUMBER('Klisz-Verbräuche'!H138), 'Klisz-Verbräuche'!H138*Emissionsfaktoren!G138/1000, 0)</f>
        <v>0</v>
      </c>
      <c r="H303" s="15">
        <f>IF(ISNUMBER('Klisz-Verbräuche'!I138), 'Klisz-Verbräuche'!I138*Emissionsfaktoren!H138/1000, 0)</f>
        <v>0</v>
      </c>
      <c r="I303" s="15">
        <f>IF(ISNUMBER('Klisz-Verbräuche'!J138), 'Klisz-Verbräuche'!J138*Emissionsfaktoren!I138/1000, 0)</f>
        <v>0</v>
      </c>
      <c r="J303" s="15">
        <f>IF(ISNUMBER('Klisz-Verbräuche'!K138), 'Klisz-Verbräuche'!K138*Emissionsfaktoren!J138/1000, 0)</f>
        <v>0</v>
      </c>
      <c r="K303" s="15">
        <f>IF(ISNUMBER('Klisz-Verbräuche'!L138), 'Klisz-Verbräuche'!L138*Emissionsfaktoren!K138/1000, 0)</f>
        <v>0</v>
      </c>
      <c r="L303" s="15">
        <f>IF(ISNUMBER('Klisz-Verbräuche'!M138), 'Klisz-Verbräuche'!M138*Emissionsfaktoren!L138/1000, 0)</f>
        <v>0</v>
      </c>
      <c r="M303" s="15">
        <f>IF(ISNUMBER('Klisz-Verbräuche'!N138), 'Klisz-Verbräuche'!N138*Emissionsfaktoren!M138/1000, 0)</f>
        <v>0</v>
      </c>
      <c r="N303" s="15">
        <f>IF(ISNUMBER('Klisz-Verbräuche'!O138), 'Klisz-Verbräuche'!O138*Emissionsfaktoren!N138/1000, 0)</f>
        <v>0</v>
      </c>
      <c r="O303" s="15">
        <f>IF(ISNUMBER('Klisz-Verbräuche'!P138), 'Klisz-Verbräuche'!P138*Emissionsfaktoren!O138/1000, 0)</f>
        <v>0</v>
      </c>
      <c r="P303" s="15">
        <f>IF(ISNUMBER('Klisz-Verbräuche'!Q138), 'Klisz-Verbräuche'!Q138*Emissionsfaktoren!P138/1000, 0)</f>
        <v>0</v>
      </c>
      <c r="Q303" s="15">
        <f>IF(ISNUMBER('Klisz-Verbräuche'!R138), 'Klisz-Verbräuche'!R138*Emissionsfaktoren!Q138/1000, 0)</f>
        <v>0</v>
      </c>
      <c r="R303" s="15">
        <f>IF(ISNUMBER('Klisz-Verbräuche'!S138), 'Klisz-Verbräuche'!S138*Emissionsfaktoren!R138/1000, 0)</f>
        <v>0</v>
      </c>
      <c r="S303" s="15">
        <f>IF(ISNUMBER('Klisz-Verbräuche'!T138), 'Klisz-Verbräuche'!T138*Emissionsfaktoren!S138/1000, 0)</f>
        <v>0</v>
      </c>
      <c r="T303" s="15">
        <f>IF(ISNUMBER('Klisz-Verbräuche'!U138), 'Klisz-Verbräuche'!U138*Emissionsfaktoren!T138/1000, 0)</f>
        <v>0</v>
      </c>
      <c r="U303" s="15">
        <f>IF(ISNUMBER('Klisz-Verbräuche'!V138), 'Klisz-Verbräuche'!V138*Emissionsfaktoren!U138/1000, 0)</f>
        <v>0</v>
      </c>
      <c r="V303" s="15">
        <f>IF(ISNUMBER('Klisz-Verbräuche'!W138), 'Klisz-Verbräuche'!W138*Emissionsfaktoren!V138/1000, 0)</f>
        <v>0</v>
      </c>
      <c r="W303" s="15">
        <f>IF(ISNUMBER('Klisz-Verbräuche'!X138), 'Klisz-Verbräuche'!X138*Emissionsfaktoren!W138/1000, 0)</f>
        <v>0</v>
      </c>
      <c r="X303" s="15">
        <f>IF(ISNUMBER('Klisz-Verbräuche'!Y138), 'Klisz-Verbräuche'!Y138*Emissionsfaktoren!X138/1000, 0)</f>
        <v>0</v>
      </c>
    </row>
    <row r="304" spans="2:24" ht="16.5" hidden="1" x14ac:dyDescent="0.45">
      <c r="B304" s="15">
        <v>79</v>
      </c>
      <c r="C304" s="20" t="str">
        <f>'Refsz-Verbräuche'!C139</f>
        <v>Studierendenreisen (Incoming) - Eisenbahn (Nahverkehr)</v>
      </c>
      <c r="D304" t="s">
        <v>208</v>
      </c>
      <c r="E304" s="15">
        <f>IF(ISNUMBER('Klisz-Verbräuche'!F139), 'Klisz-Verbräuche'!F139*Emissionsfaktoren!E139/1000, 0)</f>
        <v>0</v>
      </c>
      <c r="F304" s="15">
        <f>IF(ISNUMBER('Klisz-Verbräuche'!G139), 'Klisz-Verbräuche'!G139*Emissionsfaktoren!F139/1000, 0)</f>
        <v>0</v>
      </c>
      <c r="G304" s="15">
        <f>IF(ISNUMBER('Klisz-Verbräuche'!H139), 'Klisz-Verbräuche'!H139*Emissionsfaktoren!G139/1000, 0)</f>
        <v>0</v>
      </c>
      <c r="H304" s="15">
        <f>IF(ISNUMBER('Klisz-Verbräuche'!I139), 'Klisz-Verbräuche'!I139*Emissionsfaktoren!H139/1000, 0)</f>
        <v>0</v>
      </c>
      <c r="I304" s="15">
        <f>IF(ISNUMBER('Klisz-Verbräuche'!J139), 'Klisz-Verbräuche'!J139*Emissionsfaktoren!I139/1000, 0)</f>
        <v>0</v>
      </c>
      <c r="J304" s="15">
        <f>IF(ISNUMBER('Klisz-Verbräuche'!K139), 'Klisz-Verbräuche'!K139*Emissionsfaktoren!J139/1000, 0)</f>
        <v>0</v>
      </c>
      <c r="K304" s="15">
        <f>IF(ISNUMBER('Klisz-Verbräuche'!L139), 'Klisz-Verbräuche'!L139*Emissionsfaktoren!K139/1000, 0)</f>
        <v>0</v>
      </c>
      <c r="L304" s="15">
        <f>IF(ISNUMBER('Klisz-Verbräuche'!M139), 'Klisz-Verbräuche'!M139*Emissionsfaktoren!L139/1000, 0)</f>
        <v>0</v>
      </c>
      <c r="M304" s="15">
        <f>IF(ISNUMBER('Klisz-Verbräuche'!N139), 'Klisz-Verbräuche'!N139*Emissionsfaktoren!M139/1000, 0)</f>
        <v>0</v>
      </c>
      <c r="N304" s="15">
        <f>IF(ISNUMBER('Klisz-Verbräuche'!O139), 'Klisz-Verbräuche'!O139*Emissionsfaktoren!N139/1000, 0)</f>
        <v>0</v>
      </c>
      <c r="O304" s="15">
        <f>IF(ISNUMBER('Klisz-Verbräuche'!P139), 'Klisz-Verbräuche'!P139*Emissionsfaktoren!O139/1000, 0)</f>
        <v>0</v>
      </c>
      <c r="P304" s="15">
        <f>IF(ISNUMBER('Klisz-Verbräuche'!Q139), 'Klisz-Verbräuche'!Q139*Emissionsfaktoren!P139/1000, 0)</f>
        <v>0</v>
      </c>
      <c r="Q304" s="15">
        <f>IF(ISNUMBER('Klisz-Verbräuche'!R139), 'Klisz-Verbräuche'!R139*Emissionsfaktoren!Q139/1000, 0)</f>
        <v>0</v>
      </c>
      <c r="R304" s="15">
        <f>IF(ISNUMBER('Klisz-Verbräuche'!S139), 'Klisz-Verbräuche'!S139*Emissionsfaktoren!R139/1000, 0)</f>
        <v>0</v>
      </c>
      <c r="S304" s="15">
        <f>IF(ISNUMBER('Klisz-Verbräuche'!T139), 'Klisz-Verbräuche'!T139*Emissionsfaktoren!S139/1000, 0)</f>
        <v>0</v>
      </c>
      <c r="T304" s="15">
        <f>IF(ISNUMBER('Klisz-Verbräuche'!U139), 'Klisz-Verbräuche'!U139*Emissionsfaktoren!T139/1000, 0)</f>
        <v>0</v>
      </c>
      <c r="U304" s="15">
        <f>IF(ISNUMBER('Klisz-Verbräuche'!V139), 'Klisz-Verbräuche'!V139*Emissionsfaktoren!U139/1000, 0)</f>
        <v>0</v>
      </c>
      <c r="V304" s="15">
        <f>IF(ISNUMBER('Klisz-Verbräuche'!W139), 'Klisz-Verbräuche'!W139*Emissionsfaktoren!V139/1000, 0)</f>
        <v>0</v>
      </c>
      <c r="W304" s="15">
        <f>IF(ISNUMBER('Klisz-Verbräuche'!X139), 'Klisz-Verbräuche'!X139*Emissionsfaktoren!W139/1000, 0)</f>
        <v>0</v>
      </c>
      <c r="X304" s="15">
        <f>IF(ISNUMBER('Klisz-Verbräuche'!Y139), 'Klisz-Verbräuche'!Y139*Emissionsfaktoren!X139/1000, 0)</f>
        <v>0</v>
      </c>
    </row>
    <row r="305" spans="2:24" ht="16.5" hidden="1" x14ac:dyDescent="0.45">
      <c r="B305" s="15">
        <v>80</v>
      </c>
      <c r="C305" s="20" t="str">
        <f>'Refsz-Verbräuche'!C140</f>
        <v>Studierendenreisen (Incoming) - Privater PKW (alle Antriebsarten)</v>
      </c>
      <c r="D305" t="s">
        <v>208</v>
      </c>
      <c r="E305" s="15">
        <f>IF(ISNUMBER('Klisz-Verbräuche'!F140), 'Klisz-Verbräuche'!F140*Emissionsfaktoren!E140/1000, 0)</f>
        <v>0</v>
      </c>
      <c r="F305" s="15">
        <f>IF(ISNUMBER('Klisz-Verbräuche'!G140), 'Klisz-Verbräuche'!G140*Emissionsfaktoren!F140/1000, 0)</f>
        <v>0</v>
      </c>
      <c r="G305" s="15">
        <f>IF(ISNUMBER('Klisz-Verbräuche'!H140), 'Klisz-Verbräuche'!H140*Emissionsfaktoren!G140/1000, 0)</f>
        <v>0</v>
      </c>
      <c r="H305" s="15">
        <f>IF(ISNUMBER('Klisz-Verbräuche'!I140), 'Klisz-Verbräuche'!I140*Emissionsfaktoren!H140/1000, 0)</f>
        <v>0</v>
      </c>
      <c r="I305" s="15">
        <f>IF(ISNUMBER('Klisz-Verbräuche'!J140), 'Klisz-Verbräuche'!J140*Emissionsfaktoren!I140/1000, 0)</f>
        <v>0</v>
      </c>
      <c r="J305" s="15">
        <f>IF(ISNUMBER('Klisz-Verbräuche'!K140), 'Klisz-Verbräuche'!K140*Emissionsfaktoren!J140/1000, 0)</f>
        <v>0</v>
      </c>
      <c r="K305" s="15">
        <f>IF(ISNUMBER('Klisz-Verbräuche'!L140), 'Klisz-Verbräuche'!L140*Emissionsfaktoren!K140/1000, 0)</f>
        <v>0</v>
      </c>
      <c r="L305" s="15">
        <f>IF(ISNUMBER('Klisz-Verbräuche'!M140), 'Klisz-Verbräuche'!M140*Emissionsfaktoren!L140/1000, 0)</f>
        <v>0</v>
      </c>
      <c r="M305" s="15">
        <f>IF(ISNUMBER('Klisz-Verbräuche'!N140), 'Klisz-Verbräuche'!N140*Emissionsfaktoren!M140/1000, 0)</f>
        <v>0</v>
      </c>
      <c r="N305" s="15">
        <f>IF(ISNUMBER('Klisz-Verbräuche'!O140), 'Klisz-Verbräuche'!O140*Emissionsfaktoren!N140/1000, 0)</f>
        <v>0</v>
      </c>
      <c r="O305" s="15">
        <f>IF(ISNUMBER('Klisz-Verbräuche'!P140), 'Klisz-Verbräuche'!P140*Emissionsfaktoren!O140/1000, 0)</f>
        <v>0</v>
      </c>
      <c r="P305" s="15">
        <f>IF(ISNUMBER('Klisz-Verbräuche'!Q140), 'Klisz-Verbräuche'!Q140*Emissionsfaktoren!P140/1000, 0)</f>
        <v>0</v>
      </c>
      <c r="Q305" s="15">
        <f>IF(ISNUMBER('Klisz-Verbräuche'!R140), 'Klisz-Verbräuche'!R140*Emissionsfaktoren!Q140/1000, 0)</f>
        <v>0</v>
      </c>
      <c r="R305" s="15">
        <f>IF(ISNUMBER('Klisz-Verbräuche'!S140), 'Klisz-Verbräuche'!S140*Emissionsfaktoren!R140/1000, 0)</f>
        <v>0</v>
      </c>
      <c r="S305" s="15">
        <f>IF(ISNUMBER('Klisz-Verbräuche'!T140), 'Klisz-Verbräuche'!T140*Emissionsfaktoren!S140/1000, 0)</f>
        <v>0</v>
      </c>
      <c r="T305" s="15">
        <f>IF(ISNUMBER('Klisz-Verbräuche'!U140), 'Klisz-Verbräuche'!U140*Emissionsfaktoren!T140/1000, 0)</f>
        <v>0</v>
      </c>
      <c r="U305" s="15">
        <f>IF(ISNUMBER('Klisz-Verbräuche'!V140), 'Klisz-Verbräuche'!V140*Emissionsfaktoren!U140/1000, 0)</f>
        <v>0</v>
      </c>
      <c r="V305" s="15">
        <f>IF(ISNUMBER('Klisz-Verbräuche'!W140), 'Klisz-Verbräuche'!W140*Emissionsfaktoren!V140/1000, 0)</f>
        <v>0</v>
      </c>
      <c r="W305" s="15">
        <f>IF(ISNUMBER('Klisz-Verbräuche'!X140), 'Klisz-Verbräuche'!X140*Emissionsfaktoren!W140/1000, 0)</f>
        <v>0</v>
      </c>
      <c r="X305" s="15">
        <f>IF(ISNUMBER('Klisz-Verbräuche'!Y140), 'Klisz-Verbräuche'!Y140*Emissionsfaktoren!X140/1000, 0)</f>
        <v>0</v>
      </c>
    </row>
    <row r="306" spans="2:24" ht="16.5" hidden="1" x14ac:dyDescent="0.45">
      <c r="B306" s="15">
        <v>81</v>
      </c>
      <c r="C306" s="20">
        <f>'Refsz-Verbräuche'!C141</f>
        <v>0</v>
      </c>
      <c r="D306" t="s">
        <v>208</v>
      </c>
      <c r="E306" s="15">
        <f>IF(ISNUMBER('Klisz-Verbräuche'!F141), 'Klisz-Verbräuche'!F141*Emissionsfaktoren!E141/1000, 0)</f>
        <v>0</v>
      </c>
      <c r="F306" s="15">
        <f>IF(ISNUMBER('Klisz-Verbräuche'!G141), 'Klisz-Verbräuche'!G141*Emissionsfaktoren!F141/1000, 0)</f>
        <v>0</v>
      </c>
      <c r="G306" s="15">
        <f>IF(ISNUMBER('Klisz-Verbräuche'!H141), 'Klisz-Verbräuche'!H141*Emissionsfaktoren!G141/1000, 0)</f>
        <v>0</v>
      </c>
      <c r="H306" s="15">
        <f>IF(ISNUMBER('Klisz-Verbräuche'!I141), 'Klisz-Verbräuche'!I141*Emissionsfaktoren!H141/1000, 0)</f>
        <v>0</v>
      </c>
      <c r="I306" s="15">
        <f>IF(ISNUMBER('Klisz-Verbräuche'!J141), 'Klisz-Verbräuche'!J141*Emissionsfaktoren!I141/1000, 0)</f>
        <v>0</v>
      </c>
      <c r="J306" s="15">
        <f>IF(ISNUMBER('Klisz-Verbräuche'!K141), 'Klisz-Verbräuche'!K141*Emissionsfaktoren!J141/1000, 0)</f>
        <v>0</v>
      </c>
      <c r="K306" s="15">
        <f>IF(ISNUMBER('Klisz-Verbräuche'!L141), 'Klisz-Verbräuche'!L141*Emissionsfaktoren!K141/1000, 0)</f>
        <v>0</v>
      </c>
      <c r="L306" s="15">
        <f>IF(ISNUMBER('Klisz-Verbräuche'!M141), 'Klisz-Verbräuche'!M141*Emissionsfaktoren!L141/1000, 0)</f>
        <v>0</v>
      </c>
      <c r="M306" s="15">
        <f>IF(ISNUMBER('Klisz-Verbräuche'!N141), 'Klisz-Verbräuche'!N141*Emissionsfaktoren!M141/1000, 0)</f>
        <v>0</v>
      </c>
      <c r="N306" s="15">
        <f>IF(ISNUMBER('Klisz-Verbräuche'!O141), 'Klisz-Verbräuche'!O141*Emissionsfaktoren!N141/1000, 0)</f>
        <v>0</v>
      </c>
      <c r="O306" s="15">
        <f>IF(ISNUMBER('Klisz-Verbräuche'!P141), 'Klisz-Verbräuche'!P141*Emissionsfaktoren!O141/1000, 0)</f>
        <v>0</v>
      </c>
      <c r="P306" s="15">
        <f>IF(ISNUMBER('Klisz-Verbräuche'!Q141), 'Klisz-Verbräuche'!Q141*Emissionsfaktoren!P141/1000, 0)</f>
        <v>0</v>
      </c>
      <c r="Q306" s="15">
        <f>IF(ISNUMBER('Klisz-Verbräuche'!R141), 'Klisz-Verbräuche'!R141*Emissionsfaktoren!Q141/1000, 0)</f>
        <v>0</v>
      </c>
      <c r="R306" s="15">
        <f>IF(ISNUMBER('Klisz-Verbräuche'!S141), 'Klisz-Verbräuche'!S141*Emissionsfaktoren!R141/1000, 0)</f>
        <v>0</v>
      </c>
      <c r="S306" s="15">
        <f>IF(ISNUMBER('Klisz-Verbräuche'!T141), 'Klisz-Verbräuche'!T141*Emissionsfaktoren!S141/1000, 0)</f>
        <v>0</v>
      </c>
      <c r="T306" s="15">
        <f>IF(ISNUMBER('Klisz-Verbräuche'!U141), 'Klisz-Verbräuche'!U141*Emissionsfaktoren!T141/1000, 0)</f>
        <v>0</v>
      </c>
      <c r="U306" s="15">
        <f>IF(ISNUMBER('Klisz-Verbräuche'!V141), 'Klisz-Verbräuche'!V141*Emissionsfaktoren!U141/1000, 0)</f>
        <v>0</v>
      </c>
      <c r="V306" s="15">
        <f>IF(ISNUMBER('Klisz-Verbräuche'!W141), 'Klisz-Verbräuche'!W141*Emissionsfaktoren!V141/1000, 0)</f>
        <v>0</v>
      </c>
      <c r="W306" s="15">
        <f>IF(ISNUMBER('Klisz-Verbräuche'!X141), 'Klisz-Verbräuche'!X141*Emissionsfaktoren!W141/1000, 0)</f>
        <v>0</v>
      </c>
      <c r="X306" s="15">
        <f>IF(ISNUMBER('Klisz-Verbräuche'!Y141), 'Klisz-Verbräuche'!Y141*Emissionsfaktoren!X141/1000, 0)</f>
        <v>0</v>
      </c>
    </row>
    <row r="307" spans="2:24" ht="16.5" hidden="1" x14ac:dyDescent="0.45">
      <c r="B307" s="15">
        <v>82</v>
      </c>
      <c r="C307" s="20" t="str">
        <f>'Refsz-Verbräuche'!C142</f>
        <v>An- und Abreise von Gästen - Flugreisen</v>
      </c>
      <c r="D307" t="s">
        <v>208</v>
      </c>
      <c r="E307" s="15">
        <f>IF(ISNUMBER('Klisz-Verbräuche'!F142), 'Klisz-Verbräuche'!F142*Emissionsfaktoren!E142/1000, 0)</f>
        <v>0</v>
      </c>
      <c r="F307" s="15">
        <f>IF(ISNUMBER('Klisz-Verbräuche'!G142), 'Klisz-Verbräuche'!G142*Emissionsfaktoren!F142/1000, 0)</f>
        <v>0</v>
      </c>
      <c r="G307" s="15">
        <f>IF(ISNUMBER('Klisz-Verbräuche'!H142), 'Klisz-Verbräuche'!H142*Emissionsfaktoren!G142/1000, 0)</f>
        <v>0</v>
      </c>
      <c r="H307" s="15">
        <f>IF(ISNUMBER('Klisz-Verbräuche'!I142), 'Klisz-Verbräuche'!I142*Emissionsfaktoren!H142/1000, 0)</f>
        <v>0</v>
      </c>
      <c r="I307" s="15">
        <f>IF(ISNUMBER('Klisz-Verbräuche'!J142), 'Klisz-Verbräuche'!J142*Emissionsfaktoren!I142/1000, 0)</f>
        <v>0</v>
      </c>
      <c r="J307" s="15">
        <f>IF(ISNUMBER('Klisz-Verbräuche'!K142), 'Klisz-Verbräuche'!K142*Emissionsfaktoren!J142/1000, 0)</f>
        <v>0</v>
      </c>
      <c r="K307" s="15">
        <f>IF(ISNUMBER('Klisz-Verbräuche'!L142), 'Klisz-Verbräuche'!L142*Emissionsfaktoren!K142/1000, 0)</f>
        <v>0</v>
      </c>
      <c r="L307" s="15">
        <f>IF(ISNUMBER('Klisz-Verbräuche'!M142), 'Klisz-Verbräuche'!M142*Emissionsfaktoren!L142/1000, 0)</f>
        <v>0</v>
      </c>
      <c r="M307" s="15">
        <f>IF(ISNUMBER('Klisz-Verbräuche'!N142), 'Klisz-Verbräuche'!N142*Emissionsfaktoren!M142/1000, 0)</f>
        <v>0</v>
      </c>
      <c r="N307" s="15">
        <f>IF(ISNUMBER('Klisz-Verbräuche'!O142), 'Klisz-Verbräuche'!O142*Emissionsfaktoren!N142/1000, 0)</f>
        <v>0</v>
      </c>
      <c r="O307" s="15">
        <f>IF(ISNUMBER('Klisz-Verbräuche'!P142), 'Klisz-Verbräuche'!P142*Emissionsfaktoren!O142/1000, 0)</f>
        <v>0</v>
      </c>
      <c r="P307" s="15">
        <f>IF(ISNUMBER('Klisz-Verbräuche'!Q142), 'Klisz-Verbräuche'!Q142*Emissionsfaktoren!P142/1000, 0)</f>
        <v>0</v>
      </c>
      <c r="Q307" s="15">
        <f>IF(ISNUMBER('Klisz-Verbräuche'!R142), 'Klisz-Verbräuche'!R142*Emissionsfaktoren!Q142/1000, 0)</f>
        <v>0</v>
      </c>
      <c r="R307" s="15">
        <f>IF(ISNUMBER('Klisz-Verbräuche'!S142), 'Klisz-Verbräuche'!S142*Emissionsfaktoren!R142/1000, 0)</f>
        <v>0</v>
      </c>
      <c r="S307" s="15">
        <f>IF(ISNUMBER('Klisz-Verbräuche'!T142), 'Klisz-Verbräuche'!T142*Emissionsfaktoren!S142/1000, 0)</f>
        <v>0</v>
      </c>
      <c r="T307" s="15">
        <f>IF(ISNUMBER('Klisz-Verbräuche'!U142), 'Klisz-Verbräuche'!U142*Emissionsfaktoren!T142/1000, 0)</f>
        <v>0</v>
      </c>
      <c r="U307" s="15">
        <f>IF(ISNUMBER('Klisz-Verbräuche'!V142), 'Klisz-Verbräuche'!V142*Emissionsfaktoren!U142/1000, 0)</f>
        <v>0</v>
      </c>
      <c r="V307" s="15">
        <f>IF(ISNUMBER('Klisz-Verbräuche'!W142), 'Klisz-Verbräuche'!W142*Emissionsfaktoren!V142/1000, 0)</f>
        <v>0</v>
      </c>
      <c r="W307" s="15">
        <f>IF(ISNUMBER('Klisz-Verbräuche'!X142), 'Klisz-Verbräuche'!X142*Emissionsfaktoren!W142/1000, 0)</f>
        <v>0</v>
      </c>
      <c r="X307" s="15">
        <f>IF(ISNUMBER('Klisz-Verbräuche'!Y142), 'Klisz-Verbräuche'!Y142*Emissionsfaktoren!X142/1000, 0)</f>
        <v>0</v>
      </c>
    </row>
    <row r="308" spans="2:24" ht="16.5" hidden="1" x14ac:dyDescent="0.45">
      <c r="B308" s="15">
        <v>83</v>
      </c>
      <c r="C308" s="20" t="str">
        <f>'Refsz-Verbräuche'!C143</f>
        <v>An- und Abreise von Gästen - Eisenbahn (Nahverkehr)</v>
      </c>
      <c r="D308" t="s">
        <v>208</v>
      </c>
      <c r="E308" s="15">
        <f>IF(ISNUMBER('Klisz-Verbräuche'!F143), 'Klisz-Verbräuche'!F143*Emissionsfaktoren!E143/1000, 0)</f>
        <v>0</v>
      </c>
      <c r="F308" s="15">
        <f>IF(ISNUMBER('Klisz-Verbräuche'!G143), 'Klisz-Verbräuche'!G143*Emissionsfaktoren!F143/1000, 0)</f>
        <v>0</v>
      </c>
      <c r="G308" s="15">
        <f>IF(ISNUMBER('Klisz-Verbräuche'!H143), 'Klisz-Verbräuche'!H143*Emissionsfaktoren!G143/1000, 0)</f>
        <v>0</v>
      </c>
      <c r="H308" s="15">
        <f>IF(ISNUMBER('Klisz-Verbräuche'!I143), 'Klisz-Verbräuche'!I143*Emissionsfaktoren!H143/1000, 0)</f>
        <v>0</v>
      </c>
      <c r="I308" s="15">
        <f>IF(ISNUMBER('Klisz-Verbräuche'!J143), 'Klisz-Verbräuche'!J143*Emissionsfaktoren!I143/1000, 0)</f>
        <v>0</v>
      </c>
      <c r="J308" s="15">
        <f>IF(ISNUMBER('Klisz-Verbräuche'!K143), 'Klisz-Verbräuche'!K143*Emissionsfaktoren!J143/1000, 0)</f>
        <v>0</v>
      </c>
      <c r="K308" s="15">
        <f>IF(ISNUMBER('Klisz-Verbräuche'!L143), 'Klisz-Verbräuche'!L143*Emissionsfaktoren!K143/1000, 0)</f>
        <v>0</v>
      </c>
      <c r="L308" s="15">
        <f>IF(ISNUMBER('Klisz-Verbräuche'!M143), 'Klisz-Verbräuche'!M143*Emissionsfaktoren!L143/1000, 0)</f>
        <v>0</v>
      </c>
      <c r="M308" s="15">
        <f>IF(ISNUMBER('Klisz-Verbräuche'!N143), 'Klisz-Verbräuche'!N143*Emissionsfaktoren!M143/1000, 0)</f>
        <v>0</v>
      </c>
      <c r="N308" s="15">
        <f>IF(ISNUMBER('Klisz-Verbräuche'!O143), 'Klisz-Verbräuche'!O143*Emissionsfaktoren!N143/1000, 0)</f>
        <v>0</v>
      </c>
      <c r="O308" s="15">
        <f>IF(ISNUMBER('Klisz-Verbräuche'!P143), 'Klisz-Verbräuche'!P143*Emissionsfaktoren!O143/1000, 0)</f>
        <v>0</v>
      </c>
      <c r="P308" s="15">
        <f>IF(ISNUMBER('Klisz-Verbräuche'!Q143), 'Klisz-Verbräuche'!Q143*Emissionsfaktoren!P143/1000, 0)</f>
        <v>0</v>
      </c>
      <c r="Q308" s="15">
        <f>IF(ISNUMBER('Klisz-Verbräuche'!R143), 'Klisz-Verbräuche'!R143*Emissionsfaktoren!Q143/1000, 0)</f>
        <v>0</v>
      </c>
      <c r="R308" s="15">
        <f>IF(ISNUMBER('Klisz-Verbräuche'!S143), 'Klisz-Verbräuche'!S143*Emissionsfaktoren!R143/1000, 0)</f>
        <v>0</v>
      </c>
      <c r="S308" s="15">
        <f>IF(ISNUMBER('Klisz-Verbräuche'!T143), 'Klisz-Verbräuche'!T143*Emissionsfaktoren!S143/1000, 0)</f>
        <v>0</v>
      </c>
      <c r="T308" s="15">
        <f>IF(ISNUMBER('Klisz-Verbräuche'!U143), 'Klisz-Verbräuche'!U143*Emissionsfaktoren!T143/1000, 0)</f>
        <v>0</v>
      </c>
      <c r="U308" s="15">
        <f>IF(ISNUMBER('Klisz-Verbräuche'!V143), 'Klisz-Verbräuche'!V143*Emissionsfaktoren!U143/1000, 0)</f>
        <v>0</v>
      </c>
      <c r="V308" s="15">
        <f>IF(ISNUMBER('Klisz-Verbräuche'!W143), 'Klisz-Verbräuche'!W143*Emissionsfaktoren!V143/1000, 0)</f>
        <v>0</v>
      </c>
      <c r="W308" s="15">
        <f>IF(ISNUMBER('Klisz-Verbräuche'!X143), 'Klisz-Verbräuche'!X143*Emissionsfaktoren!W143/1000, 0)</f>
        <v>0</v>
      </c>
      <c r="X308" s="15">
        <f>IF(ISNUMBER('Klisz-Verbräuche'!Y143), 'Klisz-Verbräuche'!Y143*Emissionsfaktoren!X143/1000, 0)</f>
        <v>0</v>
      </c>
    </row>
    <row r="309" spans="2:24" ht="16.5" hidden="1" x14ac:dyDescent="0.45">
      <c r="B309" s="15">
        <v>84</v>
      </c>
      <c r="C309" s="20" t="str">
        <f>'Refsz-Verbräuche'!C144</f>
        <v>An- und Abreise von Gästen - Privater PKW (alle Antriebsarten)</v>
      </c>
      <c r="D309" t="s">
        <v>208</v>
      </c>
      <c r="E309" s="15">
        <f>IF(ISNUMBER('Klisz-Verbräuche'!F144), 'Klisz-Verbräuche'!F144*Emissionsfaktoren!E144/1000, 0)</f>
        <v>0</v>
      </c>
      <c r="F309" s="15">
        <f>IF(ISNUMBER('Klisz-Verbräuche'!G144), 'Klisz-Verbräuche'!G144*Emissionsfaktoren!F144/1000, 0)</f>
        <v>0</v>
      </c>
      <c r="G309" s="15">
        <f>IF(ISNUMBER('Klisz-Verbräuche'!H144), 'Klisz-Verbräuche'!H144*Emissionsfaktoren!G144/1000, 0)</f>
        <v>0</v>
      </c>
      <c r="H309" s="15">
        <f>IF(ISNUMBER('Klisz-Verbräuche'!I144), 'Klisz-Verbräuche'!I144*Emissionsfaktoren!H144/1000, 0)</f>
        <v>0</v>
      </c>
      <c r="I309" s="15">
        <f>IF(ISNUMBER('Klisz-Verbräuche'!J144), 'Klisz-Verbräuche'!J144*Emissionsfaktoren!I144/1000, 0)</f>
        <v>0</v>
      </c>
      <c r="J309" s="15">
        <f>IF(ISNUMBER('Klisz-Verbräuche'!K144), 'Klisz-Verbräuche'!K144*Emissionsfaktoren!J144/1000, 0)</f>
        <v>0</v>
      </c>
      <c r="K309" s="15">
        <f>IF(ISNUMBER('Klisz-Verbräuche'!L144), 'Klisz-Verbräuche'!L144*Emissionsfaktoren!K144/1000, 0)</f>
        <v>0</v>
      </c>
      <c r="L309" s="15">
        <f>IF(ISNUMBER('Klisz-Verbräuche'!M144), 'Klisz-Verbräuche'!M144*Emissionsfaktoren!L144/1000, 0)</f>
        <v>0</v>
      </c>
      <c r="M309" s="15">
        <f>IF(ISNUMBER('Klisz-Verbräuche'!N144), 'Klisz-Verbräuche'!N144*Emissionsfaktoren!M144/1000, 0)</f>
        <v>0</v>
      </c>
      <c r="N309" s="15">
        <f>IF(ISNUMBER('Klisz-Verbräuche'!O144), 'Klisz-Verbräuche'!O144*Emissionsfaktoren!N144/1000, 0)</f>
        <v>0</v>
      </c>
      <c r="O309" s="15">
        <f>IF(ISNUMBER('Klisz-Verbräuche'!P144), 'Klisz-Verbräuche'!P144*Emissionsfaktoren!O144/1000, 0)</f>
        <v>0</v>
      </c>
      <c r="P309" s="15">
        <f>IF(ISNUMBER('Klisz-Verbräuche'!Q144), 'Klisz-Verbräuche'!Q144*Emissionsfaktoren!P144/1000, 0)</f>
        <v>0</v>
      </c>
      <c r="Q309" s="15">
        <f>IF(ISNUMBER('Klisz-Verbräuche'!R144), 'Klisz-Verbräuche'!R144*Emissionsfaktoren!Q144/1000, 0)</f>
        <v>0</v>
      </c>
      <c r="R309" s="15">
        <f>IF(ISNUMBER('Klisz-Verbräuche'!S144), 'Klisz-Verbräuche'!S144*Emissionsfaktoren!R144/1000, 0)</f>
        <v>0</v>
      </c>
      <c r="S309" s="15">
        <f>IF(ISNUMBER('Klisz-Verbräuche'!T144), 'Klisz-Verbräuche'!T144*Emissionsfaktoren!S144/1000, 0)</f>
        <v>0</v>
      </c>
      <c r="T309" s="15">
        <f>IF(ISNUMBER('Klisz-Verbräuche'!U144), 'Klisz-Verbräuche'!U144*Emissionsfaktoren!T144/1000, 0)</f>
        <v>0</v>
      </c>
      <c r="U309" s="15">
        <f>IF(ISNUMBER('Klisz-Verbräuche'!V144), 'Klisz-Verbräuche'!V144*Emissionsfaktoren!U144/1000, 0)</f>
        <v>0</v>
      </c>
      <c r="V309" s="15">
        <f>IF(ISNUMBER('Klisz-Verbräuche'!W144), 'Klisz-Verbräuche'!W144*Emissionsfaktoren!V144/1000, 0)</f>
        <v>0</v>
      </c>
      <c r="W309" s="15">
        <f>IF(ISNUMBER('Klisz-Verbräuche'!X144), 'Klisz-Verbräuche'!X144*Emissionsfaktoren!W144/1000, 0)</f>
        <v>0</v>
      </c>
      <c r="X309" s="15">
        <f>IF(ISNUMBER('Klisz-Verbräuche'!Y144), 'Klisz-Verbräuche'!Y144*Emissionsfaktoren!X144/1000, 0)</f>
        <v>0</v>
      </c>
    </row>
    <row r="310" spans="2:24" ht="16.5" hidden="1" x14ac:dyDescent="0.45">
      <c r="B310" s="15">
        <v>85</v>
      </c>
      <c r="C310" s="20">
        <f>'Refsz-Verbräuche'!C145</f>
        <v>0</v>
      </c>
      <c r="D310" t="s">
        <v>208</v>
      </c>
      <c r="E310" s="15">
        <f>IF(ISNUMBER('Klisz-Verbräuche'!F145), 'Klisz-Verbräuche'!F145*Emissionsfaktoren!E145/1000, 0)</f>
        <v>0</v>
      </c>
      <c r="F310" s="15">
        <f>IF(ISNUMBER('Klisz-Verbräuche'!G145), 'Klisz-Verbräuche'!G145*Emissionsfaktoren!F145/1000, 0)</f>
        <v>0</v>
      </c>
      <c r="G310" s="15">
        <f>IF(ISNUMBER('Klisz-Verbräuche'!H145), 'Klisz-Verbräuche'!H145*Emissionsfaktoren!G145/1000, 0)</f>
        <v>0</v>
      </c>
      <c r="H310" s="15">
        <f>IF(ISNUMBER('Klisz-Verbräuche'!I145), 'Klisz-Verbräuche'!I145*Emissionsfaktoren!H145/1000, 0)</f>
        <v>0</v>
      </c>
      <c r="I310" s="15">
        <f>IF(ISNUMBER('Klisz-Verbräuche'!J145), 'Klisz-Verbräuche'!J145*Emissionsfaktoren!I145/1000, 0)</f>
        <v>0</v>
      </c>
      <c r="J310" s="15">
        <f>IF(ISNUMBER('Klisz-Verbräuche'!K145), 'Klisz-Verbräuche'!K145*Emissionsfaktoren!J145/1000, 0)</f>
        <v>0</v>
      </c>
      <c r="K310" s="15">
        <f>IF(ISNUMBER('Klisz-Verbräuche'!L145), 'Klisz-Verbräuche'!L145*Emissionsfaktoren!K145/1000, 0)</f>
        <v>0</v>
      </c>
      <c r="L310" s="15">
        <f>IF(ISNUMBER('Klisz-Verbräuche'!M145), 'Klisz-Verbräuche'!M145*Emissionsfaktoren!L145/1000, 0)</f>
        <v>0</v>
      </c>
      <c r="M310" s="15">
        <f>IF(ISNUMBER('Klisz-Verbräuche'!N145), 'Klisz-Verbräuche'!N145*Emissionsfaktoren!M145/1000, 0)</f>
        <v>0</v>
      </c>
      <c r="N310" s="15">
        <f>IF(ISNUMBER('Klisz-Verbräuche'!O145), 'Klisz-Verbräuche'!O145*Emissionsfaktoren!N145/1000, 0)</f>
        <v>0</v>
      </c>
      <c r="O310" s="15">
        <f>IF(ISNUMBER('Klisz-Verbräuche'!P145), 'Klisz-Verbräuche'!P145*Emissionsfaktoren!O145/1000, 0)</f>
        <v>0</v>
      </c>
      <c r="P310" s="15">
        <f>IF(ISNUMBER('Klisz-Verbräuche'!Q145), 'Klisz-Verbräuche'!Q145*Emissionsfaktoren!P145/1000, 0)</f>
        <v>0</v>
      </c>
      <c r="Q310" s="15">
        <f>IF(ISNUMBER('Klisz-Verbräuche'!R145), 'Klisz-Verbräuche'!R145*Emissionsfaktoren!Q145/1000, 0)</f>
        <v>0</v>
      </c>
      <c r="R310" s="15">
        <f>IF(ISNUMBER('Klisz-Verbräuche'!S145), 'Klisz-Verbräuche'!S145*Emissionsfaktoren!R145/1000, 0)</f>
        <v>0</v>
      </c>
      <c r="S310" s="15">
        <f>IF(ISNUMBER('Klisz-Verbräuche'!T145), 'Klisz-Verbräuche'!T145*Emissionsfaktoren!S145/1000, 0)</f>
        <v>0</v>
      </c>
      <c r="T310" s="15">
        <f>IF(ISNUMBER('Klisz-Verbräuche'!U145), 'Klisz-Verbräuche'!U145*Emissionsfaktoren!T145/1000, 0)</f>
        <v>0</v>
      </c>
      <c r="U310" s="15">
        <f>IF(ISNUMBER('Klisz-Verbräuche'!V145), 'Klisz-Verbräuche'!V145*Emissionsfaktoren!U145/1000, 0)</f>
        <v>0</v>
      </c>
      <c r="V310" s="15">
        <f>IF(ISNUMBER('Klisz-Verbräuche'!W145), 'Klisz-Verbräuche'!W145*Emissionsfaktoren!V145/1000, 0)</f>
        <v>0</v>
      </c>
      <c r="W310" s="15">
        <f>IF(ISNUMBER('Klisz-Verbräuche'!X145), 'Klisz-Verbräuche'!X145*Emissionsfaktoren!W145/1000, 0)</f>
        <v>0</v>
      </c>
      <c r="X310" s="15">
        <f>IF(ISNUMBER('Klisz-Verbräuche'!Y145), 'Klisz-Verbräuche'!Y145*Emissionsfaktoren!X145/1000, 0)</f>
        <v>0</v>
      </c>
    </row>
    <row r="311" spans="2:24" ht="16.5" hidden="1" x14ac:dyDescent="0.45">
      <c r="B311" s="15">
        <v>86</v>
      </c>
      <c r="C311" s="20" t="str">
        <f>'Refsz-Verbräuche'!C146</f>
        <v>Abwasser</v>
      </c>
      <c r="D311" t="s">
        <v>208</v>
      </c>
      <c r="E311" s="15">
        <f>IF(ISNUMBER('Klisz-Verbräuche'!F146), 'Klisz-Verbräuche'!F146*Emissionsfaktoren!E146/1000, 0)</f>
        <v>0</v>
      </c>
      <c r="F311" s="15">
        <f>IF(ISNUMBER('Klisz-Verbräuche'!G146), 'Klisz-Verbräuche'!G146*Emissionsfaktoren!F146/1000, 0)</f>
        <v>0</v>
      </c>
      <c r="G311" s="15">
        <f>IF(ISNUMBER('Klisz-Verbräuche'!H146), 'Klisz-Verbräuche'!H146*Emissionsfaktoren!G146/1000, 0)</f>
        <v>0</v>
      </c>
      <c r="H311" s="15">
        <f>IF(ISNUMBER('Klisz-Verbräuche'!I146), 'Klisz-Verbräuche'!I146*Emissionsfaktoren!H146/1000, 0)</f>
        <v>0</v>
      </c>
      <c r="I311" s="15">
        <f>IF(ISNUMBER('Klisz-Verbräuche'!J146), 'Klisz-Verbräuche'!J146*Emissionsfaktoren!I146/1000, 0)</f>
        <v>0</v>
      </c>
      <c r="J311" s="15">
        <f>IF(ISNUMBER('Klisz-Verbräuche'!K146), 'Klisz-Verbräuche'!K146*Emissionsfaktoren!J146/1000, 0)</f>
        <v>0</v>
      </c>
      <c r="K311" s="15">
        <f>IF(ISNUMBER('Klisz-Verbräuche'!L146), 'Klisz-Verbräuche'!L146*Emissionsfaktoren!K146/1000, 0)</f>
        <v>0</v>
      </c>
      <c r="L311" s="15">
        <f>IF(ISNUMBER('Klisz-Verbräuche'!M146), 'Klisz-Verbräuche'!M146*Emissionsfaktoren!L146/1000, 0)</f>
        <v>0</v>
      </c>
      <c r="M311" s="15">
        <f>IF(ISNUMBER('Klisz-Verbräuche'!N146), 'Klisz-Verbräuche'!N146*Emissionsfaktoren!M146/1000, 0)</f>
        <v>0</v>
      </c>
      <c r="N311" s="15">
        <f>IF(ISNUMBER('Klisz-Verbräuche'!O146), 'Klisz-Verbräuche'!O146*Emissionsfaktoren!N146/1000, 0)</f>
        <v>0</v>
      </c>
      <c r="O311" s="15">
        <f>IF(ISNUMBER('Klisz-Verbräuche'!P146), 'Klisz-Verbräuche'!P146*Emissionsfaktoren!O146/1000, 0)</f>
        <v>0</v>
      </c>
      <c r="P311" s="15">
        <f>IF(ISNUMBER('Klisz-Verbräuche'!Q146), 'Klisz-Verbräuche'!Q146*Emissionsfaktoren!P146/1000, 0)</f>
        <v>0</v>
      </c>
      <c r="Q311" s="15">
        <f>IF(ISNUMBER('Klisz-Verbräuche'!R146), 'Klisz-Verbräuche'!R146*Emissionsfaktoren!Q146/1000, 0)</f>
        <v>0</v>
      </c>
      <c r="R311" s="15">
        <f>IF(ISNUMBER('Klisz-Verbräuche'!S146), 'Klisz-Verbräuche'!S146*Emissionsfaktoren!R146/1000, 0)</f>
        <v>0</v>
      </c>
      <c r="S311" s="15">
        <f>IF(ISNUMBER('Klisz-Verbräuche'!T146), 'Klisz-Verbräuche'!T146*Emissionsfaktoren!S146/1000, 0)</f>
        <v>0</v>
      </c>
      <c r="T311" s="15">
        <f>IF(ISNUMBER('Klisz-Verbräuche'!U146), 'Klisz-Verbräuche'!U146*Emissionsfaktoren!T146/1000, 0)</f>
        <v>0</v>
      </c>
      <c r="U311" s="15">
        <f>IF(ISNUMBER('Klisz-Verbräuche'!V146), 'Klisz-Verbräuche'!V146*Emissionsfaktoren!U146/1000, 0)</f>
        <v>0</v>
      </c>
      <c r="V311" s="15">
        <f>IF(ISNUMBER('Klisz-Verbräuche'!W146), 'Klisz-Verbräuche'!W146*Emissionsfaktoren!V146/1000, 0)</f>
        <v>0</v>
      </c>
      <c r="W311" s="15">
        <f>IF(ISNUMBER('Klisz-Verbräuche'!X146), 'Klisz-Verbräuche'!X146*Emissionsfaktoren!W146/1000, 0)</f>
        <v>0</v>
      </c>
      <c r="X311" s="15">
        <f>IF(ISNUMBER('Klisz-Verbräuche'!Y146), 'Klisz-Verbräuche'!Y146*Emissionsfaktoren!X146/1000, 0)</f>
        <v>0</v>
      </c>
    </row>
    <row r="312" spans="2:24" ht="16.5" hidden="1" x14ac:dyDescent="0.45">
      <c r="B312" s="15">
        <v>87</v>
      </c>
      <c r="C312" s="20" t="str">
        <f>'Refsz-Verbräuche'!C147</f>
        <v>Trinkwasser</v>
      </c>
      <c r="D312" t="s">
        <v>208</v>
      </c>
      <c r="E312" s="15">
        <f>IF(ISNUMBER('Klisz-Verbräuche'!F147), 'Klisz-Verbräuche'!F147*Emissionsfaktoren!E147/1000, 0)</f>
        <v>0</v>
      </c>
      <c r="F312" s="15">
        <f>IF(ISNUMBER('Klisz-Verbräuche'!G147), 'Klisz-Verbräuche'!G147*Emissionsfaktoren!F147/1000, 0)</f>
        <v>0</v>
      </c>
      <c r="G312" s="15">
        <f>IF(ISNUMBER('Klisz-Verbräuche'!H147), 'Klisz-Verbräuche'!H147*Emissionsfaktoren!G147/1000, 0)</f>
        <v>0</v>
      </c>
      <c r="H312" s="15">
        <f>IF(ISNUMBER('Klisz-Verbräuche'!I147), 'Klisz-Verbräuche'!I147*Emissionsfaktoren!H147/1000, 0)</f>
        <v>0</v>
      </c>
      <c r="I312" s="15">
        <f>IF(ISNUMBER('Klisz-Verbräuche'!J147), 'Klisz-Verbräuche'!J147*Emissionsfaktoren!I147/1000, 0)</f>
        <v>0</v>
      </c>
      <c r="J312" s="15">
        <f>IF(ISNUMBER('Klisz-Verbräuche'!K147), 'Klisz-Verbräuche'!K147*Emissionsfaktoren!J147/1000, 0)</f>
        <v>0</v>
      </c>
      <c r="K312" s="15">
        <f>IF(ISNUMBER('Klisz-Verbräuche'!L147), 'Klisz-Verbräuche'!L147*Emissionsfaktoren!K147/1000, 0)</f>
        <v>0</v>
      </c>
      <c r="L312" s="15">
        <f>IF(ISNUMBER('Klisz-Verbräuche'!M147), 'Klisz-Verbräuche'!M147*Emissionsfaktoren!L147/1000, 0)</f>
        <v>0</v>
      </c>
      <c r="M312" s="15">
        <f>IF(ISNUMBER('Klisz-Verbräuche'!N147), 'Klisz-Verbräuche'!N147*Emissionsfaktoren!M147/1000, 0)</f>
        <v>0</v>
      </c>
      <c r="N312" s="15">
        <f>IF(ISNUMBER('Klisz-Verbräuche'!O147), 'Klisz-Verbräuche'!O147*Emissionsfaktoren!N147/1000, 0)</f>
        <v>0</v>
      </c>
      <c r="O312" s="15">
        <f>IF(ISNUMBER('Klisz-Verbräuche'!P147), 'Klisz-Verbräuche'!P147*Emissionsfaktoren!O147/1000, 0)</f>
        <v>0</v>
      </c>
      <c r="P312" s="15">
        <f>IF(ISNUMBER('Klisz-Verbräuche'!Q147), 'Klisz-Verbräuche'!Q147*Emissionsfaktoren!P147/1000, 0)</f>
        <v>0</v>
      </c>
      <c r="Q312" s="15">
        <f>IF(ISNUMBER('Klisz-Verbräuche'!R147), 'Klisz-Verbräuche'!R147*Emissionsfaktoren!Q147/1000, 0)</f>
        <v>0</v>
      </c>
      <c r="R312" s="15">
        <f>IF(ISNUMBER('Klisz-Verbräuche'!S147), 'Klisz-Verbräuche'!S147*Emissionsfaktoren!R147/1000, 0)</f>
        <v>0</v>
      </c>
      <c r="S312" s="15">
        <f>IF(ISNUMBER('Klisz-Verbräuche'!T147), 'Klisz-Verbräuche'!T147*Emissionsfaktoren!S147/1000, 0)</f>
        <v>0</v>
      </c>
      <c r="T312" s="15">
        <f>IF(ISNUMBER('Klisz-Verbräuche'!U147), 'Klisz-Verbräuche'!U147*Emissionsfaktoren!T147/1000, 0)</f>
        <v>0</v>
      </c>
      <c r="U312" s="15">
        <f>IF(ISNUMBER('Klisz-Verbräuche'!V147), 'Klisz-Verbräuche'!V147*Emissionsfaktoren!U147/1000, 0)</f>
        <v>0</v>
      </c>
      <c r="V312" s="15">
        <f>IF(ISNUMBER('Klisz-Verbräuche'!W147), 'Klisz-Verbräuche'!W147*Emissionsfaktoren!V147/1000, 0)</f>
        <v>0</v>
      </c>
      <c r="W312" s="15">
        <f>IF(ISNUMBER('Klisz-Verbräuche'!X147), 'Klisz-Verbräuche'!X147*Emissionsfaktoren!W147/1000, 0)</f>
        <v>0</v>
      </c>
      <c r="X312" s="15">
        <f>IF(ISNUMBER('Klisz-Verbräuche'!Y147), 'Klisz-Verbräuche'!Y147*Emissionsfaktoren!X147/1000, 0)</f>
        <v>0</v>
      </c>
    </row>
    <row r="313" spans="2:24" ht="16.5" hidden="1" x14ac:dyDescent="0.45">
      <c r="B313" s="15">
        <v>88</v>
      </c>
      <c r="C313" s="20">
        <f>'Refsz-Verbräuche'!C148</f>
        <v>0</v>
      </c>
      <c r="D313" t="s">
        <v>208</v>
      </c>
      <c r="E313" s="15">
        <f>IF(ISNUMBER('Klisz-Verbräuche'!F148), 'Klisz-Verbräuche'!F148*Emissionsfaktoren!E148/1000, 0)</f>
        <v>0</v>
      </c>
      <c r="F313" s="15">
        <f>IF(ISNUMBER('Klisz-Verbräuche'!G148), 'Klisz-Verbräuche'!G148*Emissionsfaktoren!F148/1000, 0)</f>
        <v>0</v>
      </c>
      <c r="G313" s="15">
        <f>IF(ISNUMBER('Klisz-Verbräuche'!H148), 'Klisz-Verbräuche'!H148*Emissionsfaktoren!G148/1000, 0)</f>
        <v>0</v>
      </c>
      <c r="H313" s="15">
        <f>IF(ISNUMBER('Klisz-Verbräuche'!I148), 'Klisz-Verbräuche'!I148*Emissionsfaktoren!H148/1000, 0)</f>
        <v>0</v>
      </c>
      <c r="I313" s="15">
        <f>IF(ISNUMBER('Klisz-Verbräuche'!J148), 'Klisz-Verbräuche'!J148*Emissionsfaktoren!I148/1000, 0)</f>
        <v>0</v>
      </c>
      <c r="J313" s="15">
        <f>IF(ISNUMBER('Klisz-Verbräuche'!K148), 'Klisz-Verbräuche'!K148*Emissionsfaktoren!J148/1000, 0)</f>
        <v>0</v>
      </c>
      <c r="K313" s="15">
        <f>IF(ISNUMBER('Klisz-Verbräuche'!L148), 'Klisz-Verbräuche'!L148*Emissionsfaktoren!K148/1000, 0)</f>
        <v>0</v>
      </c>
      <c r="L313" s="15">
        <f>IF(ISNUMBER('Klisz-Verbräuche'!M148), 'Klisz-Verbräuche'!M148*Emissionsfaktoren!L148/1000, 0)</f>
        <v>0</v>
      </c>
      <c r="M313" s="15">
        <f>IF(ISNUMBER('Klisz-Verbräuche'!N148), 'Klisz-Verbräuche'!N148*Emissionsfaktoren!M148/1000, 0)</f>
        <v>0</v>
      </c>
      <c r="N313" s="15">
        <f>IF(ISNUMBER('Klisz-Verbräuche'!O148), 'Klisz-Verbräuche'!O148*Emissionsfaktoren!N148/1000, 0)</f>
        <v>0</v>
      </c>
      <c r="O313" s="15">
        <f>IF(ISNUMBER('Klisz-Verbräuche'!P148), 'Klisz-Verbräuche'!P148*Emissionsfaktoren!O148/1000, 0)</f>
        <v>0</v>
      </c>
      <c r="P313" s="15">
        <f>IF(ISNUMBER('Klisz-Verbräuche'!Q148), 'Klisz-Verbräuche'!Q148*Emissionsfaktoren!P148/1000, 0)</f>
        <v>0</v>
      </c>
      <c r="Q313" s="15">
        <f>IF(ISNUMBER('Klisz-Verbräuche'!R148), 'Klisz-Verbräuche'!R148*Emissionsfaktoren!Q148/1000, 0)</f>
        <v>0</v>
      </c>
      <c r="R313" s="15">
        <f>IF(ISNUMBER('Klisz-Verbräuche'!S148), 'Klisz-Verbräuche'!S148*Emissionsfaktoren!R148/1000, 0)</f>
        <v>0</v>
      </c>
      <c r="S313" s="15">
        <f>IF(ISNUMBER('Klisz-Verbräuche'!T148), 'Klisz-Verbräuche'!T148*Emissionsfaktoren!S148/1000, 0)</f>
        <v>0</v>
      </c>
      <c r="T313" s="15">
        <f>IF(ISNUMBER('Klisz-Verbräuche'!U148), 'Klisz-Verbräuche'!U148*Emissionsfaktoren!T148/1000, 0)</f>
        <v>0</v>
      </c>
      <c r="U313" s="15">
        <f>IF(ISNUMBER('Klisz-Verbräuche'!V148), 'Klisz-Verbräuche'!V148*Emissionsfaktoren!U148/1000, 0)</f>
        <v>0</v>
      </c>
      <c r="V313" s="15">
        <f>IF(ISNUMBER('Klisz-Verbräuche'!W148), 'Klisz-Verbräuche'!W148*Emissionsfaktoren!V148/1000, 0)</f>
        <v>0</v>
      </c>
      <c r="W313" s="15">
        <f>IF(ISNUMBER('Klisz-Verbräuche'!X148), 'Klisz-Verbräuche'!X148*Emissionsfaktoren!W148/1000, 0)</f>
        <v>0</v>
      </c>
      <c r="X313" s="15">
        <f>IF(ISNUMBER('Klisz-Verbräuche'!Y148), 'Klisz-Verbräuche'!Y148*Emissionsfaktoren!X148/1000, 0)</f>
        <v>0</v>
      </c>
    </row>
    <row r="314" spans="2:24" ht="16.5" hidden="1" x14ac:dyDescent="0.45">
      <c r="B314" s="15">
        <v>89</v>
      </c>
      <c r="C314" s="20" t="str">
        <f>'Refsz-Verbräuche'!C149</f>
        <v>Recyclingpapier</v>
      </c>
      <c r="D314" t="s">
        <v>208</v>
      </c>
      <c r="E314" s="15">
        <f>IF(ISNUMBER('Klisz-Verbräuche'!F149), 'Klisz-Verbräuche'!F149*Emissionsfaktoren!E149/1000, 0)</f>
        <v>0</v>
      </c>
      <c r="F314" s="15">
        <f>IF(ISNUMBER('Klisz-Verbräuche'!G149), 'Klisz-Verbräuche'!G149*Emissionsfaktoren!F149/1000, 0)</f>
        <v>0</v>
      </c>
      <c r="G314" s="15">
        <f>IF(ISNUMBER('Klisz-Verbräuche'!H149), 'Klisz-Verbräuche'!H149*Emissionsfaktoren!G149/1000, 0)</f>
        <v>0</v>
      </c>
      <c r="H314" s="15">
        <f>IF(ISNUMBER('Klisz-Verbräuche'!I149), 'Klisz-Verbräuche'!I149*Emissionsfaktoren!H149/1000, 0)</f>
        <v>0</v>
      </c>
      <c r="I314" s="15">
        <f>IF(ISNUMBER('Klisz-Verbräuche'!J149), 'Klisz-Verbräuche'!J149*Emissionsfaktoren!I149/1000, 0)</f>
        <v>0</v>
      </c>
      <c r="J314" s="15">
        <f>IF(ISNUMBER('Klisz-Verbräuche'!K149), 'Klisz-Verbräuche'!K149*Emissionsfaktoren!J149/1000, 0)</f>
        <v>0</v>
      </c>
      <c r="K314" s="15">
        <f>IF(ISNUMBER('Klisz-Verbräuche'!L149), 'Klisz-Verbräuche'!L149*Emissionsfaktoren!K149/1000, 0)</f>
        <v>0</v>
      </c>
      <c r="L314" s="15">
        <f>IF(ISNUMBER('Klisz-Verbräuche'!M149), 'Klisz-Verbräuche'!M149*Emissionsfaktoren!L149/1000, 0)</f>
        <v>0</v>
      </c>
      <c r="M314" s="15">
        <f>IF(ISNUMBER('Klisz-Verbräuche'!N149), 'Klisz-Verbräuche'!N149*Emissionsfaktoren!M149/1000, 0)</f>
        <v>0</v>
      </c>
      <c r="N314" s="15">
        <f>IF(ISNUMBER('Klisz-Verbräuche'!O149), 'Klisz-Verbräuche'!O149*Emissionsfaktoren!N149/1000, 0)</f>
        <v>0</v>
      </c>
      <c r="O314" s="15">
        <f>IF(ISNUMBER('Klisz-Verbräuche'!P149), 'Klisz-Verbräuche'!P149*Emissionsfaktoren!O149/1000, 0)</f>
        <v>0</v>
      </c>
      <c r="P314" s="15">
        <f>IF(ISNUMBER('Klisz-Verbräuche'!Q149), 'Klisz-Verbräuche'!Q149*Emissionsfaktoren!P149/1000, 0)</f>
        <v>0</v>
      </c>
      <c r="Q314" s="15">
        <f>IF(ISNUMBER('Klisz-Verbräuche'!R149), 'Klisz-Verbräuche'!R149*Emissionsfaktoren!Q149/1000, 0)</f>
        <v>0</v>
      </c>
      <c r="R314" s="15">
        <f>IF(ISNUMBER('Klisz-Verbräuche'!S149), 'Klisz-Verbräuche'!S149*Emissionsfaktoren!R149/1000, 0)</f>
        <v>0</v>
      </c>
      <c r="S314" s="15">
        <f>IF(ISNUMBER('Klisz-Verbräuche'!T149), 'Klisz-Verbräuche'!T149*Emissionsfaktoren!S149/1000, 0)</f>
        <v>0</v>
      </c>
      <c r="T314" s="15">
        <f>IF(ISNUMBER('Klisz-Verbräuche'!U149), 'Klisz-Verbräuche'!U149*Emissionsfaktoren!T149/1000, 0)</f>
        <v>0</v>
      </c>
      <c r="U314" s="15">
        <f>IF(ISNUMBER('Klisz-Verbräuche'!V149), 'Klisz-Verbräuche'!V149*Emissionsfaktoren!U149/1000, 0)</f>
        <v>0</v>
      </c>
      <c r="V314" s="15">
        <f>IF(ISNUMBER('Klisz-Verbräuche'!W149), 'Klisz-Verbräuche'!W149*Emissionsfaktoren!V149/1000, 0)</f>
        <v>0</v>
      </c>
      <c r="W314" s="15">
        <f>IF(ISNUMBER('Klisz-Verbräuche'!X149), 'Klisz-Verbräuche'!X149*Emissionsfaktoren!W149/1000, 0)</f>
        <v>0</v>
      </c>
      <c r="X314" s="15">
        <f>IF(ISNUMBER('Klisz-Verbräuche'!Y149), 'Klisz-Verbräuche'!Y149*Emissionsfaktoren!X149/1000, 0)</f>
        <v>0</v>
      </c>
    </row>
    <row r="315" spans="2:24" ht="16.5" hidden="1" x14ac:dyDescent="0.45">
      <c r="B315" s="15">
        <v>90</v>
      </c>
      <c r="C315" s="20" t="str">
        <f>'Refsz-Verbräuche'!C150</f>
        <v>Frischfaserpapier</v>
      </c>
      <c r="D315" t="s">
        <v>208</v>
      </c>
      <c r="E315" s="15">
        <f>IF(ISNUMBER('Klisz-Verbräuche'!F150), 'Klisz-Verbräuche'!F150*Emissionsfaktoren!E150/1000, 0)</f>
        <v>0</v>
      </c>
      <c r="F315" s="15">
        <f>IF(ISNUMBER('Klisz-Verbräuche'!G150), 'Klisz-Verbräuche'!G150*Emissionsfaktoren!F150/1000, 0)</f>
        <v>0</v>
      </c>
      <c r="G315" s="15">
        <f>IF(ISNUMBER('Klisz-Verbräuche'!H150), 'Klisz-Verbräuche'!H150*Emissionsfaktoren!G150/1000, 0)</f>
        <v>0</v>
      </c>
      <c r="H315" s="15">
        <f>IF(ISNUMBER('Klisz-Verbräuche'!I150), 'Klisz-Verbräuche'!I150*Emissionsfaktoren!H150/1000, 0)</f>
        <v>0</v>
      </c>
      <c r="I315" s="15">
        <f>IF(ISNUMBER('Klisz-Verbräuche'!J150), 'Klisz-Verbräuche'!J150*Emissionsfaktoren!I150/1000, 0)</f>
        <v>0</v>
      </c>
      <c r="J315" s="15">
        <f>IF(ISNUMBER('Klisz-Verbräuche'!K150), 'Klisz-Verbräuche'!K150*Emissionsfaktoren!J150/1000, 0)</f>
        <v>0</v>
      </c>
      <c r="K315" s="15">
        <f>IF(ISNUMBER('Klisz-Verbräuche'!L150), 'Klisz-Verbräuche'!L150*Emissionsfaktoren!K150/1000, 0)</f>
        <v>0</v>
      </c>
      <c r="L315" s="15">
        <f>IF(ISNUMBER('Klisz-Verbräuche'!M150), 'Klisz-Verbräuche'!M150*Emissionsfaktoren!L150/1000, 0)</f>
        <v>0</v>
      </c>
      <c r="M315" s="15">
        <f>IF(ISNUMBER('Klisz-Verbräuche'!N150), 'Klisz-Verbräuche'!N150*Emissionsfaktoren!M150/1000, 0)</f>
        <v>0</v>
      </c>
      <c r="N315" s="15">
        <f>IF(ISNUMBER('Klisz-Verbräuche'!O150), 'Klisz-Verbräuche'!O150*Emissionsfaktoren!N150/1000, 0)</f>
        <v>0</v>
      </c>
      <c r="O315" s="15">
        <f>IF(ISNUMBER('Klisz-Verbräuche'!P150), 'Klisz-Verbräuche'!P150*Emissionsfaktoren!O150/1000, 0)</f>
        <v>0</v>
      </c>
      <c r="P315" s="15">
        <f>IF(ISNUMBER('Klisz-Verbräuche'!Q150), 'Klisz-Verbräuche'!Q150*Emissionsfaktoren!P150/1000, 0)</f>
        <v>0</v>
      </c>
      <c r="Q315" s="15">
        <f>IF(ISNUMBER('Klisz-Verbräuche'!R150), 'Klisz-Verbräuche'!R150*Emissionsfaktoren!Q150/1000, 0)</f>
        <v>0</v>
      </c>
      <c r="R315" s="15">
        <f>IF(ISNUMBER('Klisz-Verbräuche'!S150), 'Klisz-Verbräuche'!S150*Emissionsfaktoren!R150/1000, 0)</f>
        <v>0</v>
      </c>
      <c r="S315" s="15">
        <f>IF(ISNUMBER('Klisz-Verbräuche'!T150), 'Klisz-Verbräuche'!T150*Emissionsfaktoren!S150/1000, 0)</f>
        <v>0</v>
      </c>
      <c r="T315" s="15">
        <f>IF(ISNUMBER('Klisz-Verbräuche'!U150), 'Klisz-Verbräuche'!U150*Emissionsfaktoren!T150/1000, 0)</f>
        <v>0</v>
      </c>
      <c r="U315" s="15">
        <f>IF(ISNUMBER('Klisz-Verbräuche'!V150), 'Klisz-Verbräuche'!V150*Emissionsfaktoren!U150/1000, 0)</f>
        <v>0</v>
      </c>
      <c r="V315" s="15">
        <f>IF(ISNUMBER('Klisz-Verbräuche'!W150), 'Klisz-Verbräuche'!W150*Emissionsfaktoren!V150/1000, 0)</f>
        <v>0</v>
      </c>
      <c r="W315" s="15">
        <f>IF(ISNUMBER('Klisz-Verbräuche'!X150), 'Klisz-Verbräuche'!X150*Emissionsfaktoren!W150/1000, 0)</f>
        <v>0</v>
      </c>
      <c r="X315" s="15">
        <f>IF(ISNUMBER('Klisz-Verbräuche'!Y150), 'Klisz-Verbräuche'!Y150*Emissionsfaktoren!X150/1000, 0)</f>
        <v>0</v>
      </c>
    </row>
    <row r="316" spans="2:24" ht="16.5" hidden="1" x14ac:dyDescent="0.45">
      <c r="B316" s="15">
        <v>91</v>
      </c>
      <c r="C316" s="20" t="str">
        <f>'Refsz-Verbräuche'!C151</f>
        <v>Toilettenpapier (Recycling)</v>
      </c>
      <c r="D316" t="s">
        <v>208</v>
      </c>
      <c r="E316" s="15">
        <f>IF(ISNUMBER('Klisz-Verbräuche'!F151), 'Klisz-Verbräuche'!F151*Emissionsfaktoren!E151/1000, 0)</f>
        <v>0</v>
      </c>
      <c r="F316" s="15">
        <f>IF(ISNUMBER('Klisz-Verbräuche'!G151), 'Klisz-Verbräuche'!G151*Emissionsfaktoren!F151/1000, 0)</f>
        <v>0</v>
      </c>
      <c r="G316" s="15">
        <f>IF(ISNUMBER('Klisz-Verbräuche'!H151), 'Klisz-Verbräuche'!H151*Emissionsfaktoren!G151/1000, 0)</f>
        <v>0</v>
      </c>
      <c r="H316" s="15">
        <f>IF(ISNUMBER('Klisz-Verbräuche'!I151), 'Klisz-Verbräuche'!I151*Emissionsfaktoren!H151/1000, 0)</f>
        <v>0</v>
      </c>
      <c r="I316" s="15">
        <f>IF(ISNUMBER('Klisz-Verbräuche'!J151), 'Klisz-Verbräuche'!J151*Emissionsfaktoren!I151/1000, 0)</f>
        <v>0</v>
      </c>
      <c r="J316" s="15">
        <f>IF(ISNUMBER('Klisz-Verbräuche'!K151), 'Klisz-Verbräuche'!K151*Emissionsfaktoren!J151/1000, 0)</f>
        <v>0</v>
      </c>
      <c r="K316" s="15">
        <f>IF(ISNUMBER('Klisz-Verbräuche'!L151), 'Klisz-Verbräuche'!L151*Emissionsfaktoren!K151/1000, 0)</f>
        <v>0</v>
      </c>
      <c r="L316" s="15">
        <f>IF(ISNUMBER('Klisz-Verbräuche'!M151), 'Klisz-Verbräuche'!M151*Emissionsfaktoren!L151/1000, 0)</f>
        <v>0</v>
      </c>
      <c r="M316" s="15">
        <f>IF(ISNUMBER('Klisz-Verbräuche'!N151), 'Klisz-Verbräuche'!N151*Emissionsfaktoren!M151/1000, 0)</f>
        <v>0</v>
      </c>
      <c r="N316" s="15">
        <f>IF(ISNUMBER('Klisz-Verbräuche'!O151), 'Klisz-Verbräuche'!O151*Emissionsfaktoren!N151/1000, 0)</f>
        <v>0</v>
      </c>
      <c r="O316" s="15">
        <f>IF(ISNUMBER('Klisz-Verbräuche'!P151), 'Klisz-Verbräuche'!P151*Emissionsfaktoren!O151/1000, 0)</f>
        <v>0</v>
      </c>
      <c r="P316" s="15">
        <f>IF(ISNUMBER('Klisz-Verbräuche'!Q151), 'Klisz-Verbräuche'!Q151*Emissionsfaktoren!P151/1000, 0)</f>
        <v>0</v>
      </c>
      <c r="Q316" s="15">
        <f>IF(ISNUMBER('Klisz-Verbräuche'!R151), 'Klisz-Verbräuche'!R151*Emissionsfaktoren!Q151/1000, 0)</f>
        <v>0</v>
      </c>
      <c r="R316" s="15">
        <f>IF(ISNUMBER('Klisz-Verbräuche'!S151), 'Klisz-Verbräuche'!S151*Emissionsfaktoren!R151/1000, 0)</f>
        <v>0</v>
      </c>
      <c r="S316" s="15">
        <f>IF(ISNUMBER('Klisz-Verbräuche'!T151), 'Klisz-Verbräuche'!T151*Emissionsfaktoren!S151/1000, 0)</f>
        <v>0</v>
      </c>
      <c r="T316" s="15">
        <f>IF(ISNUMBER('Klisz-Verbräuche'!U151), 'Klisz-Verbräuche'!U151*Emissionsfaktoren!T151/1000, 0)</f>
        <v>0</v>
      </c>
      <c r="U316" s="15">
        <f>IF(ISNUMBER('Klisz-Verbräuche'!V151), 'Klisz-Verbräuche'!V151*Emissionsfaktoren!U151/1000, 0)</f>
        <v>0</v>
      </c>
      <c r="V316" s="15">
        <f>IF(ISNUMBER('Klisz-Verbräuche'!W151), 'Klisz-Verbräuche'!W151*Emissionsfaktoren!V151/1000, 0)</f>
        <v>0</v>
      </c>
      <c r="W316" s="15">
        <f>IF(ISNUMBER('Klisz-Verbräuche'!X151), 'Klisz-Verbräuche'!X151*Emissionsfaktoren!W151/1000, 0)</f>
        <v>0</v>
      </c>
      <c r="X316" s="15">
        <f>IF(ISNUMBER('Klisz-Verbräuche'!Y151), 'Klisz-Verbräuche'!Y151*Emissionsfaktoren!X151/1000, 0)</f>
        <v>0</v>
      </c>
    </row>
    <row r="317" spans="2:24" ht="16.5" hidden="1" x14ac:dyDescent="0.45">
      <c r="B317" s="15">
        <v>92</v>
      </c>
      <c r="C317" s="20" t="str">
        <f>'Refsz-Verbräuche'!C152</f>
        <v>Papierhandtücher (Recycling)</v>
      </c>
      <c r="D317" t="s">
        <v>208</v>
      </c>
      <c r="E317" s="15">
        <f>IF(ISNUMBER('Klisz-Verbräuche'!F152), 'Klisz-Verbräuche'!F152*Emissionsfaktoren!E152/1000, 0)</f>
        <v>0</v>
      </c>
      <c r="F317" s="15">
        <f>IF(ISNUMBER('Klisz-Verbräuche'!G152), 'Klisz-Verbräuche'!G152*Emissionsfaktoren!F152/1000, 0)</f>
        <v>0</v>
      </c>
      <c r="G317" s="15">
        <f>IF(ISNUMBER('Klisz-Verbräuche'!H152), 'Klisz-Verbräuche'!H152*Emissionsfaktoren!G152/1000, 0)</f>
        <v>0</v>
      </c>
      <c r="H317" s="15">
        <f>IF(ISNUMBER('Klisz-Verbräuche'!I152), 'Klisz-Verbräuche'!I152*Emissionsfaktoren!H152/1000, 0)</f>
        <v>0</v>
      </c>
      <c r="I317" s="15">
        <f>IF(ISNUMBER('Klisz-Verbräuche'!J152), 'Klisz-Verbräuche'!J152*Emissionsfaktoren!I152/1000, 0)</f>
        <v>0</v>
      </c>
      <c r="J317" s="15">
        <f>IF(ISNUMBER('Klisz-Verbräuche'!K152), 'Klisz-Verbräuche'!K152*Emissionsfaktoren!J152/1000, 0)</f>
        <v>0</v>
      </c>
      <c r="K317" s="15">
        <f>IF(ISNUMBER('Klisz-Verbräuche'!L152), 'Klisz-Verbräuche'!L152*Emissionsfaktoren!K152/1000, 0)</f>
        <v>0</v>
      </c>
      <c r="L317" s="15">
        <f>IF(ISNUMBER('Klisz-Verbräuche'!M152), 'Klisz-Verbräuche'!M152*Emissionsfaktoren!L152/1000, 0)</f>
        <v>0</v>
      </c>
      <c r="M317" s="15">
        <f>IF(ISNUMBER('Klisz-Verbräuche'!N152), 'Klisz-Verbräuche'!N152*Emissionsfaktoren!M152/1000, 0)</f>
        <v>0</v>
      </c>
      <c r="N317" s="15">
        <f>IF(ISNUMBER('Klisz-Verbräuche'!O152), 'Klisz-Verbräuche'!O152*Emissionsfaktoren!N152/1000, 0)</f>
        <v>0</v>
      </c>
      <c r="O317" s="15">
        <f>IF(ISNUMBER('Klisz-Verbräuche'!P152), 'Klisz-Verbräuche'!P152*Emissionsfaktoren!O152/1000, 0)</f>
        <v>0</v>
      </c>
      <c r="P317" s="15">
        <f>IF(ISNUMBER('Klisz-Verbräuche'!Q152), 'Klisz-Verbräuche'!Q152*Emissionsfaktoren!P152/1000, 0)</f>
        <v>0</v>
      </c>
      <c r="Q317" s="15">
        <f>IF(ISNUMBER('Klisz-Verbräuche'!R152), 'Klisz-Verbräuche'!R152*Emissionsfaktoren!Q152/1000, 0)</f>
        <v>0</v>
      </c>
      <c r="R317" s="15">
        <f>IF(ISNUMBER('Klisz-Verbräuche'!S152), 'Klisz-Verbräuche'!S152*Emissionsfaktoren!R152/1000, 0)</f>
        <v>0</v>
      </c>
      <c r="S317" s="15">
        <f>IF(ISNUMBER('Klisz-Verbräuche'!T152), 'Klisz-Verbräuche'!T152*Emissionsfaktoren!S152/1000, 0)</f>
        <v>0</v>
      </c>
      <c r="T317" s="15">
        <f>IF(ISNUMBER('Klisz-Verbräuche'!U152), 'Klisz-Verbräuche'!U152*Emissionsfaktoren!T152/1000, 0)</f>
        <v>0</v>
      </c>
      <c r="U317" s="15">
        <f>IF(ISNUMBER('Klisz-Verbräuche'!V152), 'Klisz-Verbräuche'!V152*Emissionsfaktoren!U152/1000, 0)</f>
        <v>0</v>
      </c>
      <c r="V317" s="15">
        <f>IF(ISNUMBER('Klisz-Verbräuche'!W152), 'Klisz-Verbräuche'!W152*Emissionsfaktoren!V152/1000, 0)</f>
        <v>0</v>
      </c>
      <c r="W317" s="15">
        <f>IF(ISNUMBER('Klisz-Verbräuche'!X152), 'Klisz-Verbräuche'!X152*Emissionsfaktoren!W152/1000, 0)</f>
        <v>0</v>
      </c>
      <c r="X317" s="15">
        <f>IF(ISNUMBER('Klisz-Verbräuche'!Y152), 'Klisz-Verbräuche'!Y152*Emissionsfaktoren!X152/1000, 0)</f>
        <v>0</v>
      </c>
    </row>
    <row r="318" spans="2:24" ht="16.5" hidden="1" x14ac:dyDescent="0.45">
      <c r="B318" s="15">
        <v>93</v>
      </c>
      <c r="C318" s="20">
        <f>'Refsz-Verbräuche'!C153</f>
        <v>0</v>
      </c>
      <c r="D318" t="s">
        <v>208</v>
      </c>
      <c r="E318" s="15">
        <f>IF(ISNUMBER('Klisz-Verbräuche'!F153), 'Klisz-Verbräuche'!F153*Emissionsfaktoren!E153/1000, 0)</f>
        <v>0</v>
      </c>
      <c r="F318" s="15">
        <f>IF(ISNUMBER('Klisz-Verbräuche'!G153), 'Klisz-Verbräuche'!G153*Emissionsfaktoren!F153/1000, 0)</f>
        <v>0</v>
      </c>
      <c r="G318" s="15">
        <f>IF(ISNUMBER('Klisz-Verbräuche'!H153), 'Klisz-Verbräuche'!H153*Emissionsfaktoren!G153/1000, 0)</f>
        <v>0</v>
      </c>
      <c r="H318" s="15">
        <f>IF(ISNUMBER('Klisz-Verbräuche'!I153), 'Klisz-Verbräuche'!I153*Emissionsfaktoren!H153/1000, 0)</f>
        <v>0</v>
      </c>
      <c r="I318" s="15">
        <f>IF(ISNUMBER('Klisz-Verbräuche'!J153), 'Klisz-Verbräuche'!J153*Emissionsfaktoren!I153/1000, 0)</f>
        <v>0</v>
      </c>
      <c r="J318" s="15">
        <f>IF(ISNUMBER('Klisz-Verbräuche'!K153), 'Klisz-Verbräuche'!K153*Emissionsfaktoren!J153/1000, 0)</f>
        <v>0</v>
      </c>
      <c r="K318" s="15">
        <f>IF(ISNUMBER('Klisz-Verbräuche'!L153), 'Klisz-Verbräuche'!L153*Emissionsfaktoren!K153/1000, 0)</f>
        <v>0</v>
      </c>
      <c r="L318" s="15">
        <f>IF(ISNUMBER('Klisz-Verbräuche'!M153), 'Klisz-Verbräuche'!M153*Emissionsfaktoren!L153/1000, 0)</f>
        <v>0</v>
      </c>
      <c r="M318" s="15">
        <f>IF(ISNUMBER('Klisz-Verbräuche'!N153), 'Klisz-Verbräuche'!N153*Emissionsfaktoren!M153/1000, 0)</f>
        <v>0</v>
      </c>
      <c r="N318" s="15">
        <f>IF(ISNUMBER('Klisz-Verbräuche'!O153), 'Klisz-Verbräuche'!O153*Emissionsfaktoren!N153/1000, 0)</f>
        <v>0</v>
      </c>
      <c r="O318" s="15">
        <f>IF(ISNUMBER('Klisz-Verbräuche'!P153), 'Klisz-Verbräuche'!P153*Emissionsfaktoren!O153/1000, 0)</f>
        <v>0</v>
      </c>
      <c r="P318" s="15">
        <f>IF(ISNUMBER('Klisz-Verbräuche'!Q153), 'Klisz-Verbräuche'!Q153*Emissionsfaktoren!P153/1000, 0)</f>
        <v>0</v>
      </c>
      <c r="Q318" s="15">
        <f>IF(ISNUMBER('Klisz-Verbräuche'!R153), 'Klisz-Verbräuche'!R153*Emissionsfaktoren!Q153/1000, 0)</f>
        <v>0</v>
      </c>
      <c r="R318" s="15">
        <f>IF(ISNUMBER('Klisz-Verbräuche'!S153), 'Klisz-Verbräuche'!S153*Emissionsfaktoren!R153/1000, 0)</f>
        <v>0</v>
      </c>
      <c r="S318" s="15">
        <f>IF(ISNUMBER('Klisz-Verbräuche'!T153), 'Klisz-Verbräuche'!T153*Emissionsfaktoren!S153/1000, 0)</f>
        <v>0</v>
      </c>
      <c r="T318" s="15">
        <f>IF(ISNUMBER('Klisz-Verbräuche'!U153), 'Klisz-Verbräuche'!U153*Emissionsfaktoren!T153/1000, 0)</f>
        <v>0</v>
      </c>
      <c r="U318" s="15">
        <f>IF(ISNUMBER('Klisz-Verbräuche'!V153), 'Klisz-Verbräuche'!V153*Emissionsfaktoren!U153/1000, 0)</f>
        <v>0</v>
      </c>
      <c r="V318" s="15">
        <f>IF(ISNUMBER('Klisz-Verbräuche'!W153), 'Klisz-Verbräuche'!W153*Emissionsfaktoren!V153/1000, 0)</f>
        <v>0</v>
      </c>
      <c r="W318" s="15">
        <f>IF(ISNUMBER('Klisz-Verbräuche'!X153), 'Klisz-Verbräuche'!X153*Emissionsfaktoren!W153/1000, 0)</f>
        <v>0</v>
      </c>
      <c r="X318" s="15">
        <f>IF(ISNUMBER('Klisz-Verbräuche'!Y153), 'Klisz-Verbräuche'!Y153*Emissionsfaktoren!X153/1000, 0)</f>
        <v>0</v>
      </c>
    </row>
    <row r="319" spans="2:24" ht="16.5" hidden="1" x14ac:dyDescent="0.45">
      <c r="B319" s="15">
        <v>94</v>
      </c>
      <c r="C319" s="20" t="str">
        <f>'Refsz-Verbräuche'!C154</f>
        <v>Outgesourcte Leistungen des Rechenzentrums</v>
      </c>
      <c r="D319" t="s">
        <v>208</v>
      </c>
      <c r="E319" s="15">
        <f>IF(ISNUMBER('Klisz-Verbräuche'!F154), 'Klisz-Verbräuche'!F154*Emissionsfaktoren!E154/1000, 0)</f>
        <v>0</v>
      </c>
      <c r="F319" s="15">
        <f>IF(ISNUMBER('Klisz-Verbräuche'!G154), 'Klisz-Verbräuche'!G154*Emissionsfaktoren!F154/1000, 0)</f>
        <v>0</v>
      </c>
      <c r="G319" s="15">
        <f>IF(ISNUMBER('Klisz-Verbräuche'!H154), 'Klisz-Verbräuche'!H154*Emissionsfaktoren!G154/1000, 0)</f>
        <v>0</v>
      </c>
      <c r="H319" s="15">
        <f>IF(ISNUMBER('Klisz-Verbräuche'!I154), 'Klisz-Verbräuche'!I154*Emissionsfaktoren!H154/1000, 0)</f>
        <v>0</v>
      </c>
      <c r="I319" s="15">
        <f>IF(ISNUMBER('Klisz-Verbräuche'!J154), 'Klisz-Verbräuche'!J154*Emissionsfaktoren!I154/1000, 0)</f>
        <v>0</v>
      </c>
      <c r="J319" s="15">
        <f>IF(ISNUMBER('Klisz-Verbräuche'!K154), 'Klisz-Verbräuche'!K154*Emissionsfaktoren!J154/1000, 0)</f>
        <v>0</v>
      </c>
      <c r="K319" s="15">
        <f>IF(ISNUMBER('Klisz-Verbräuche'!L154), 'Klisz-Verbräuche'!L154*Emissionsfaktoren!K154/1000, 0)</f>
        <v>0</v>
      </c>
      <c r="L319" s="15">
        <f>IF(ISNUMBER('Klisz-Verbräuche'!M154), 'Klisz-Verbräuche'!M154*Emissionsfaktoren!L154/1000, 0)</f>
        <v>0</v>
      </c>
      <c r="M319" s="15">
        <f>IF(ISNUMBER('Klisz-Verbräuche'!N154), 'Klisz-Verbräuche'!N154*Emissionsfaktoren!M154/1000, 0)</f>
        <v>0</v>
      </c>
      <c r="N319" s="15">
        <f>IF(ISNUMBER('Klisz-Verbräuche'!O154), 'Klisz-Verbräuche'!O154*Emissionsfaktoren!N154/1000, 0)</f>
        <v>0</v>
      </c>
      <c r="O319" s="15">
        <f>IF(ISNUMBER('Klisz-Verbräuche'!P154), 'Klisz-Verbräuche'!P154*Emissionsfaktoren!O154/1000, 0)</f>
        <v>0</v>
      </c>
      <c r="P319" s="15">
        <f>IF(ISNUMBER('Klisz-Verbräuche'!Q154), 'Klisz-Verbräuche'!Q154*Emissionsfaktoren!P154/1000, 0)</f>
        <v>0</v>
      </c>
      <c r="Q319" s="15">
        <f>IF(ISNUMBER('Klisz-Verbräuche'!R154), 'Klisz-Verbräuche'!R154*Emissionsfaktoren!Q154/1000, 0)</f>
        <v>0</v>
      </c>
      <c r="R319" s="15">
        <f>IF(ISNUMBER('Klisz-Verbräuche'!S154), 'Klisz-Verbräuche'!S154*Emissionsfaktoren!R154/1000, 0)</f>
        <v>0</v>
      </c>
      <c r="S319" s="15">
        <f>IF(ISNUMBER('Klisz-Verbräuche'!T154), 'Klisz-Verbräuche'!T154*Emissionsfaktoren!S154/1000, 0)</f>
        <v>0</v>
      </c>
      <c r="T319" s="15">
        <f>IF(ISNUMBER('Klisz-Verbräuche'!U154), 'Klisz-Verbräuche'!U154*Emissionsfaktoren!T154/1000, 0)</f>
        <v>0</v>
      </c>
      <c r="U319" s="15">
        <f>IF(ISNUMBER('Klisz-Verbräuche'!V154), 'Klisz-Verbräuche'!V154*Emissionsfaktoren!U154/1000, 0)</f>
        <v>0</v>
      </c>
      <c r="V319" s="15">
        <f>IF(ISNUMBER('Klisz-Verbräuche'!W154), 'Klisz-Verbräuche'!W154*Emissionsfaktoren!V154/1000, 0)</f>
        <v>0</v>
      </c>
      <c r="W319" s="15">
        <f>IF(ISNUMBER('Klisz-Verbräuche'!X154), 'Klisz-Verbräuche'!X154*Emissionsfaktoren!W154/1000, 0)</f>
        <v>0</v>
      </c>
      <c r="X319" s="15">
        <f>IF(ISNUMBER('Klisz-Verbräuche'!Y154), 'Klisz-Verbräuche'!Y154*Emissionsfaktoren!X154/1000, 0)</f>
        <v>0</v>
      </c>
    </row>
    <row r="320" spans="2:24" ht="16.5" hidden="1" x14ac:dyDescent="0.45">
      <c r="B320" s="15">
        <v>95</v>
      </c>
      <c r="C320" s="20" t="str">
        <f>'Refsz-Verbräuche'!C155</f>
        <v>Beamer</v>
      </c>
      <c r="D320" t="s">
        <v>208</v>
      </c>
      <c r="E320" s="15">
        <f>IF(ISNUMBER('Klisz-Verbräuche'!F155), 'Klisz-Verbräuche'!F155*Emissionsfaktoren!E155/1000, 0)</f>
        <v>0</v>
      </c>
      <c r="F320" s="15">
        <f>IF(ISNUMBER('Klisz-Verbräuche'!G155), 'Klisz-Verbräuche'!G155*Emissionsfaktoren!F155/1000, 0)</f>
        <v>0</v>
      </c>
      <c r="G320" s="15">
        <f>IF(ISNUMBER('Klisz-Verbräuche'!H155), 'Klisz-Verbräuche'!H155*Emissionsfaktoren!G155/1000, 0)</f>
        <v>0</v>
      </c>
      <c r="H320" s="15">
        <f>IF(ISNUMBER('Klisz-Verbräuche'!I155), 'Klisz-Verbräuche'!I155*Emissionsfaktoren!H155/1000, 0)</f>
        <v>0</v>
      </c>
      <c r="I320" s="15">
        <f>IF(ISNUMBER('Klisz-Verbräuche'!J155), 'Klisz-Verbräuche'!J155*Emissionsfaktoren!I155/1000, 0)</f>
        <v>0</v>
      </c>
      <c r="J320" s="15">
        <f>IF(ISNUMBER('Klisz-Verbräuche'!K155), 'Klisz-Verbräuche'!K155*Emissionsfaktoren!J155/1000, 0)</f>
        <v>0</v>
      </c>
      <c r="K320" s="15">
        <f>IF(ISNUMBER('Klisz-Verbräuche'!L155), 'Klisz-Verbräuche'!L155*Emissionsfaktoren!K155/1000, 0)</f>
        <v>0</v>
      </c>
      <c r="L320" s="15">
        <f>IF(ISNUMBER('Klisz-Verbräuche'!M155), 'Klisz-Verbräuche'!M155*Emissionsfaktoren!L155/1000, 0)</f>
        <v>0</v>
      </c>
      <c r="M320" s="15">
        <f>IF(ISNUMBER('Klisz-Verbräuche'!N155), 'Klisz-Verbräuche'!N155*Emissionsfaktoren!M155/1000, 0)</f>
        <v>0</v>
      </c>
      <c r="N320" s="15">
        <f>IF(ISNUMBER('Klisz-Verbräuche'!O155), 'Klisz-Verbräuche'!O155*Emissionsfaktoren!N155/1000, 0)</f>
        <v>0</v>
      </c>
      <c r="O320" s="15">
        <f>IF(ISNUMBER('Klisz-Verbräuche'!P155), 'Klisz-Verbräuche'!P155*Emissionsfaktoren!O155/1000, 0)</f>
        <v>0</v>
      </c>
      <c r="P320" s="15">
        <f>IF(ISNUMBER('Klisz-Verbräuche'!Q155), 'Klisz-Verbräuche'!Q155*Emissionsfaktoren!P155/1000, 0)</f>
        <v>0</v>
      </c>
      <c r="Q320" s="15">
        <f>IF(ISNUMBER('Klisz-Verbräuche'!R155), 'Klisz-Verbräuche'!R155*Emissionsfaktoren!Q155/1000, 0)</f>
        <v>0</v>
      </c>
      <c r="R320" s="15">
        <f>IF(ISNUMBER('Klisz-Verbräuche'!S155), 'Klisz-Verbräuche'!S155*Emissionsfaktoren!R155/1000, 0)</f>
        <v>0</v>
      </c>
      <c r="S320" s="15">
        <f>IF(ISNUMBER('Klisz-Verbräuche'!T155), 'Klisz-Verbräuche'!T155*Emissionsfaktoren!S155/1000, 0)</f>
        <v>0</v>
      </c>
      <c r="T320" s="15">
        <f>IF(ISNUMBER('Klisz-Verbräuche'!U155), 'Klisz-Verbräuche'!U155*Emissionsfaktoren!T155/1000, 0)</f>
        <v>0</v>
      </c>
      <c r="U320" s="15">
        <f>IF(ISNUMBER('Klisz-Verbräuche'!V155), 'Klisz-Verbräuche'!V155*Emissionsfaktoren!U155/1000, 0)</f>
        <v>0</v>
      </c>
      <c r="V320" s="15">
        <f>IF(ISNUMBER('Klisz-Verbräuche'!W155), 'Klisz-Verbräuche'!W155*Emissionsfaktoren!V155/1000, 0)</f>
        <v>0</v>
      </c>
      <c r="W320" s="15">
        <f>IF(ISNUMBER('Klisz-Verbräuche'!X155), 'Klisz-Verbräuche'!X155*Emissionsfaktoren!W155/1000, 0)</f>
        <v>0</v>
      </c>
      <c r="X320" s="15">
        <f>IF(ISNUMBER('Klisz-Verbräuche'!Y155), 'Klisz-Verbräuche'!Y155*Emissionsfaktoren!X155/1000, 0)</f>
        <v>0</v>
      </c>
    </row>
    <row r="321" spans="2:24" ht="16.5" hidden="1" x14ac:dyDescent="0.45">
      <c r="B321" s="15">
        <v>96</v>
      </c>
      <c r="C321" s="20" t="str">
        <f>'Refsz-Verbräuche'!C156</f>
        <v>Notebook/Laptop</v>
      </c>
      <c r="D321" t="s">
        <v>208</v>
      </c>
      <c r="E321" s="15">
        <f>IF(ISNUMBER('Klisz-Verbräuche'!F156), 'Klisz-Verbräuche'!F156*Emissionsfaktoren!E156/1000, 0)</f>
        <v>0</v>
      </c>
      <c r="F321" s="15">
        <f>IF(ISNUMBER('Klisz-Verbräuche'!G156), 'Klisz-Verbräuche'!G156*Emissionsfaktoren!F156/1000, 0)</f>
        <v>0</v>
      </c>
      <c r="G321" s="15">
        <f>IF(ISNUMBER('Klisz-Verbräuche'!H156), 'Klisz-Verbräuche'!H156*Emissionsfaktoren!G156/1000, 0)</f>
        <v>0</v>
      </c>
      <c r="H321" s="15">
        <f>IF(ISNUMBER('Klisz-Verbräuche'!I156), 'Klisz-Verbräuche'!I156*Emissionsfaktoren!H156/1000, 0)</f>
        <v>0</v>
      </c>
      <c r="I321" s="15">
        <f>IF(ISNUMBER('Klisz-Verbräuche'!J156), 'Klisz-Verbräuche'!J156*Emissionsfaktoren!I156/1000, 0)</f>
        <v>0</v>
      </c>
      <c r="J321" s="15">
        <f>IF(ISNUMBER('Klisz-Verbräuche'!K156), 'Klisz-Verbräuche'!K156*Emissionsfaktoren!J156/1000, 0)</f>
        <v>0</v>
      </c>
      <c r="K321" s="15">
        <f>IF(ISNUMBER('Klisz-Verbräuche'!L156), 'Klisz-Verbräuche'!L156*Emissionsfaktoren!K156/1000, 0)</f>
        <v>0</v>
      </c>
      <c r="L321" s="15">
        <f>IF(ISNUMBER('Klisz-Verbräuche'!M156), 'Klisz-Verbräuche'!M156*Emissionsfaktoren!L156/1000, 0)</f>
        <v>0</v>
      </c>
      <c r="M321" s="15">
        <f>IF(ISNUMBER('Klisz-Verbräuche'!N156), 'Klisz-Verbräuche'!N156*Emissionsfaktoren!M156/1000, 0)</f>
        <v>0</v>
      </c>
      <c r="N321" s="15">
        <f>IF(ISNUMBER('Klisz-Verbräuche'!O156), 'Klisz-Verbräuche'!O156*Emissionsfaktoren!N156/1000, 0)</f>
        <v>0</v>
      </c>
      <c r="O321" s="15">
        <f>IF(ISNUMBER('Klisz-Verbräuche'!P156), 'Klisz-Verbräuche'!P156*Emissionsfaktoren!O156/1000, 0)</f>
        <v>0</v>
      </c>
      <c r="P321" s="15">
        <f>IF(ISNUMBER('Klisz-Verbräuche'!Q156), 'Klisz-Verbräuche'!Q156*Emissionsfaktoren!P156/1000, 0)</f>
        <v>0</v>
      </c>
      <c r="Q321" s="15">
        <f>IF(ISNUMBER('Klisz-Verbräuche'!R156), 'Klisz-Verbräuche'!R156*Emissionsfaktoren!Q156/1000, 0)</f>
        <v>0</v>
      </c>
      <c r="R321" s="15">
        <f>IF(ISNUMBER('Klisz-Verbräuche'!S156), 'Klisz-Verbräuche'!S156*Emissionsfaktoren!R156/1000, 0)</f>
        <v>0</v>
      </c>
      <c r="S321" s="15">
        <f>IF(ISNUMBER('Klisz-Verbräuche'!T156), 'Klisz-Verbräuche'!T156*Emissionsfaktoren!S156/1000, 0)</f>
        <v>0</v>
      </c>
      <c r="T321" s="15">
        <f>IF(ISNUMBER('Klisz-Verbräuche'!U156), 'Klisz-Verbräuche'!U156*Emissionsfaktoren!T156/1000, 0)</f>
        <v>0</v>
      </c>
      <c r="U321" s="15">
        <f>IF(ISNUMBER('Klisz-Verbräuche'!V156), 'Klisz-Verbräuche'!V156*Emissionsfaktoren!U156/1000, 0)</f>
        <v>0</v>
      </c>
      <c r="V321" s="15">
        <f>IF(ISNUMBER('Klisz-Verbräuche'!W156), 'Klisz-Verbräuche'!W156*Emissionsfaktoren!V156/1000, 0)</f>
        <v>0</v>
      </c>
      <c r="W321" s="15">
        <f>IF(ISNUMBER('Klisz-Verbräuche'!X156), 'Klisz-Verbräuche'!X156*Emissionsfaktoren!W156/1000, 0)</f>
        <v>0</v>
      </c>
      <c r="X321" s="15">
        <f>IF(ISNUMBER('Klisz-Verbräuche'!Y156), 'Klisz-Verbräuche'!Y156*Emissionsfaktoren!X156/1000, 0)</f>
        <v>0</v>
      </c>
    </row>
    <row r="322" spans="2:24" ht="16.5" hidden="1" x14ac:dyDescent="0.45">
      <c r="B322" s="15">
        <v>97</v>
      </c>
      <c r="C322" s="20" t="str">
        <f>'Refsz-Verbräuche'!C157</f>
        <v>Desktop-PC mit Monitor</v>
      </c>
      <c r="D322" t="s">
        <v>208</v>
      </c>
      <c r="E322" s="15">
        <f>IF(ISNUMBER('Klisz-Verbräuche'!F157), 'Klisz-Verbräuche'!F157*Emissionsfaktoren!E157/1000, 0)</f>
        <v>0</v>
      </c>
      <c r="F322" s="15">
        <f>IF(ISNUMBER('Klisz-Verbräuche'!G157), 'Klisz-Verbräuche'!G157*Emissionsfaktoren!F157/1000, 0)</f>
        <v>0</v>
      </c>
      <c r="G322" s="15">
        <f>IF(ISNUMBER('Klisz-Verbräuche'!H157), 'Klisz-Verbräuche'!H157*Emissionsfaktoren!G157/1000, 0)</f>
        <v>0</v>
      </c>
      <c r="H322" s="15">
        <f>IF(ISNUMBER('Klisz-Verbräuche'!I157), 'Klisz-Verbräuche'!I157*Emissionsfaktoren!H157/1000, 0)</f>
        <v>0</v>
      </c>
      <c r="I322" s="15">
        <f>IF(ISNUMBER('Klisz-Verbräuche'!J157), 'Klisz-Verbräuche'!J157*Emissionsfaktoren!I157/1000, 0)</f>
        <v>0</v>
      </c>
      <c r="J322" s="15">
        <f>IF(ISNUMBER('Klisz-Verbräuche'!K157), 'Klisz-Verbräuche'!K157*Emissionsfaktoren!J157/1000, 0)</f>
        <v>0</v>
      </c>
      <c r="K322" s="15">
        <f>IF(ISNUMBER('Klisz-Verbräuche'!L157), 'Klisz-Verbräuche'!L157*Emissionsfaktoren!K157/1000, 0)</f>
        <v>0</v>
      </c>
      <c r="L322" s="15">
        <f>IF(ISNUMBER('Klisz-Verbräuche'!M157), 'Klisz-Verbräuche'!M157*Emissionsfaktoren!L157/1000, 0)</f>
        <v>0</v>
      </c>
      <c r="M322" s="15">
        <f>IF(ISNUMBER('Klisz-Verbräuche'!N157), 'Klisz-Verbräuche'!N157*Emissionsfaktoren!M157/1000, 0)</f>
        <v>0</v>
      </c>
      <c r="N322" s="15">
        <f>IF(ISNUMBER('Klisz-Verbräuche'!O157), 'Klisz-Verbräuche'!O157*Emissionsfaktoren!N157/1000, 0)</f>
        <v>0</v>
      </c>
      <c r="O322" s="15">
        <f>IF(ISNUMBER('Klisz-Verbräuche'!P157), 'Klisz-Verbräuche'!P157*Emissionsfaktoren!O157/1000, 0)</f>
        <v>0</v>
      </c>
      <c r="P322" s="15">
        <f>IF(ISNUMBER('Klisz-Verbräuche'!Q157), 'Klisz-Verbräuche'!Q157*Emissionsfaktoren!P157/1000, 0)</f>
        <v>0</v>
      </c>
      <c r="Q322" s="15">
        <f>IF(ISNUMBER('Klisz-Verbräuche'!R157), 'Klisz-Verbräuche'!R157*Emissionsfaktoren!Q157/1000, 0)</f>
        <v>0</v>
      </c>
      <c r="R322" s="15">
        <f>IF(ISNUMBER('Klisz-Verbräuche'!S157), 'Klisz-Verbräuche'!S157*Emissionsfaktoren!R157/1000, 0)</f>
        <v>0</v>
      </c>
      <c r="S322" s="15">
        <f>IF(ISNUMBER('Klisz-Verbräuche'!T157), 'Klisz-Verbräuche'!T157*Emissionsfaktoren!S157/1000, 0)</f>
        <v>0</v>
      </c>
      <c r="T322" s="15">
        <f>IF(ISNUMBER('Klisz-Verbräuche'!U157), 'Klisz-Verbräuche'!U157*Emissionsfaktoren!T157/1000, 0)</f>
        <v>0</v>
      </c>
      <c r="U322" s="15">
        <f>IF(ISNUMBER('Klisz-Verbräuche'!V157), 'Klisz-Verbräuche'!V157*Emissionsfaktoren!U157/1000, 0)</f>
        <v>0</v>
      </c>
      <c r="V322" s="15">
        <f>IF(ISNUMBER('Klisz-Verbräuche'!W157), 'Klisz-Verbräuche'!W157*Emissionsfaktoren!V157/1000, 0)</f>
        <v>0</v>
      </c>
      <c r="W322" s="15">
        <f>IF(ISNUMBER('Klisz-Verbräuche'!X157), 'Klisz-Verbräuche'!X157*Emissionsfaktoren!W157/1000, 0)</f>
        <v>0</v>
      </c>
      <c r="X322" s="15">
        <f>IF(ISNUMBER('Klisz-Verbräuche'!Y157), 'Klisz-Verbräuche'!Y157*Emissionsfaktoren!X157/1000, 0)</f>
        <v>0</v>
      </c>
    </row>
    <row r="323" spans="2:24" ht="16.5" hidden="1" x14ac:dyDescent="0.45">
      <c r="B323" s="15">
        <v>98</v>
      </c>
      <c r="C323" s="20" t="str">
        <f>'Refsz-Verbräuche'!C158</f>
        <v>Docking-Station</v>
      </c>
      <c r="D323" t="s">
        <v>208</v>
      </c>
      <c r="E323" s="15">
        <f>IF(ISNUMBER('Klisz-Verbräuche'!F158), 'Klisz-Verbräuche'!F158*Emissionsfaktoren!E158/1000, 0)</f>
        <v>0</v>
      </c>
      <c r="F323" s="15">
        <f>IF(ISNUMBER('Klisz-Verbräuche'!G158), 'Klisz-Verbräuche'!G158*Emissionsfaktoren!F158/1000, 0)</f>
        <v>0</v>
      </c>
      <c r="G323" s="15">
        <f>IF(ISNUMBER('Klisz-Verbräuche'!H158), 'Klisz-Verbräuche'!H158*Emissionsfaktoren!G158/1000, 0)</f>
        <v>0</v>
      </c>
      <c r="H323" s="15">
        <f>IF(ISNUMBER('Klisz-Verbräuche'!I158), 'Klisz-Verbräuche'!I158*Emissionsfaktoren!H158/1000, 0)</f>
        <v>0</v>
      </c>
      <c r="I323" s="15">
        <f>IF(ISNUMBER('Klisz-Verbräuche'!J158), 'Klisz-Verbräuche'!J158*Emissionsfaktoren!I158/1000, 0)</f>
        <v>0</v>
      </c>
      <c r="J323" s="15">
        <f>IF(ISNUMBER('Klisz-Verbräuche'!K158), 'Klisz-Verbräuche'!K158*Emissionsfaktoren!J158/1000, 0)</f>
        <v>0</v>
      </c>
      <c r="K323" s="15">
        <f>IF(ISNUMBER('Klisz-Verbräuche'!L158), 'Klisz-Verbräuche'!L158*Emissionsfaktoren!K158/1000, 0)</f>
        <v>0</v>
      </c>
      <c r="L323" s="15">
        <f>IF(ISNUMBER('Klisz-Verbräuche'!M158), 'Klisz-Verbräuche'!M158*Emissionsfaktoren!L158/1000, 0)</f>
        <v>0</v>
      </c>
      <c r="M323" s="15">
        <f>IF(ISNUMBER('Klisz-Verbräuche'!N158), 'Klisz-Verbräuche'!N158*Emissionsfaktoren!M158/1000, 0)</f>
        <v>0</v>
      </c>
      <c r="N323" s="15">
        <f>IF(ISNUMBER('Klisz-Verbräuche'!O158), 'Klisz-Verbräuche'!O158*Emissionsfaktoren!N158/1000, 0)</f>
        <v>0</v>
      </c>
      <c r="O323" s="15">
        <f>IF(ISNUMBER('Klisz-Verbräuche'!P158), 'Klisz-Verbräuche'!P158*Emissionsfaktoren!O158/1000, 0)</f>
        <v>0</v>
      </c>
      <c r="P323" s="15">
        <f>IF(ISNUMBER('Klisz-Verbräuche'!Q158), 'Klisz-Verbräuche'!Q158*Emissionsfaktoren!P158/1000, 0)</f>
        <v>0</v>
      </c>
      <c r="Q323" s="15">
        <f>IF(ISNUMBER('Klisz-Verbräuche'!R158), 'Klisz-Verbräuche'!R158*Emissionsfaktoren!Q158/1000, 0)</f>
        <v>0</v>
      </c>
      <c r="R323" s="15">
        <f>IF(ISNUMBER('Klisz-Verbräuche'!S158), 'Klisz-Verbräuche'!S158*Emissionsfaktoren!R158/1000, 0)</f>
        <v>0</v>
      </c>
      <c r="S323" s="15">
        <f>IF(ISNUMBER('Klisz-Verbräuche'!T158), 'Klisz-Verbräuche'!T158*Emissionsfaktoren!S158/1000, 0)</f>
        <v>0</v>
      </c>
      <c r="T323" s="15">
        <f>IF(ISNUMBER('Klisz-Verbräuche'!U158), 'Klisz-Verbräuche'!U158*Emissionsfaktoren!T158/1000, 0)</f>
        <v>0</v>
      </c>
      <c r="U323" s="15">
        <f>IF(ISNUMBER('Klisz-Verbräuche'!V158), 'Klisz-Verbräuche'!V158*Emissionsfaktoren!U158/1000, 0)</f>
        <v>0</v>
      </c>
      <c r="V323" s="15">
        <f>IF(ISNUMBER('Klisz-Verbräuche'!W158), 'Klisz-Verbräuche'!W158*Emissionsfaktoren!V158/1000, 0)</f>
        <v>0</v>
      </c>
      <c r="W323" s="15">
        <f>IF(ISNUMBER('Klisz-Verbräuche'!X158), 'Klisz-Verbräuche'!X158*Emissionsfaktoren!W158/1000, 0)</f>
        <v>0</v>
      </c>
      <c r="X323" s="15">
        <f>IF(ISNUMBER('Klisz-Verbräuche'!Y158), 'Klisz-Verbräuche'!Y158*Emissionsfaktoren!X158/1000, 0)</f>
        <v>0</v>
      </c>
    </row>
    <row r="324" spans="2:24" ht="16.5" hidden="1" x14ac:dyDescent="0.45">
      <c r="B324" s="15">
        <v>99</v>
      </c>
      <c r="C324" s="20" t="str">
        <f>'Refsz-Verbräuche'!C159</f>
        <v>Laserdrucker</v>
      </c>
      <c r="D324" t="s">
        <v>208</v>
      </c>
      <c r="E324" s="15">
        <f>IF(ISNUMBER('Klisz-Verbräuche'!F159), 'Klisz-Verbräuche'!F159*Emissionsfaktoren!E159/1000, 0)</f>
        <v>0</v>
      </c>
      <c r="F324" s="15">
        <f>IF(ISNUMBER('Klisz-Verbräuche'!G159), 'Klisz-Verbräuche'!G159*Emissionsfaktoren!F159/1000, 0)</f>
        <v>0</v>
      </c>
      <c r="G324" s="15">
        <f>IF(ISNUMBER('Klisz-Verbräuche'!H159), 'Klisz-Verbräuche'!H159*Emissionsfaktoren!G159/1000, 0)</f>
        <v>0</v>
      </c>
      <c r="H324" s="15">
        <f>IF(ISNUMBER('Klisz-Verbräuche'!I159), 'Klisz-Verbräuche'!I159*Emissionsfaktoren!H159/1000, 0)</f>
        <v>0</v>
      </c>
      <c r="I324" s="15">
        <f>IF(ISNUMBER('Klisz-Verbräuche'!J159), 'Klisz-Verbräuche'!J159*Emissionsfaktoren!I159/1000, 0)</f>
        <v>0</v>
      </c>
      <c r="J324" s="15">
        <f>IF(ISNUMBER('Klisz-Verbräuche'!K159), 'Klisz-Verbräuche'!K159*Emissionsfaktoren!J159/1000, 0)</f>
        <v>0</v>
      </c>
      <c r="K324" s="15">
        <f>IF(ISNUMBER('Klisz-Verbräuche'!L159), 'Klisz-Verbräuche'!L159*Emissionsfaktoren!K159/1000, 0)</f>
        <v>0</v>
      </c>
      <c r="L324" s="15">
        <f>IF(ISNUMBER('Klisz-Verbräuche'!M159), 'Klisz-Verbräuche'!M159*Emissionsfaktoren!L159/1000, 0)</f>
        <v>0</v>
      </c>
      <c r="M324" s="15">
        <f>IF(ISNUMBER('Klisz-Verbräuche'!N159), 'Klisz-Verbräuche'!N159*Emissionsfaktoren!M159/1000, 0)</f>
        <v>0</v>
      </c>
      <c r="N324" s="15">
        <f>IF(ISNUMBER('Klisz-Verbräuche'!O159), 'Klisz-Verbräuche'!O159*Emissionsfaktoren!N159/1000, 0)</f>
        <v>0</v>
      </c>
      <c r="O324" s="15">
        <f>IF(ISNUMBER('Klisz-Verbräuche'!P159), 'Klisz-Verbräuche'!P159*Emissionsfaktoren!O159/1000, 0)</f>
        <v>0</v>
      </c>
      <c r="P324" s="15">
        <f>IF(ISNUMBER('Klisz-Verbräuche'!Q159), 'Klisz-Verbräuche'!Q159*Emissionsfaktoren!P159/1000, 0)</f>
        <v>0</v>
      </c>
      <c r="Q324" s="15">
        <f>IF(ISNUMBER('Klisz-Verbräuche'!R159), 'Klisz-Verbräuche'!R159*Emissionsfaktoren!Q159/1000, 0)</f>
        <v>0</v>
      </c>
      <c r="R324" s="15">
        <f>IF(ISNUMBER('Klisz-Verbräuche'!S159), 'Klisz-Verbräuche'!S159*Emissionsfaktoren!R159/1000, 0)</f>
        <v>0</v>
      </c>
      <c r="S324" s="15">
        <f>IF(ISNUMBER('Klisz-Verbräuche'!T159), 'Klisz-Verbräuche'!T159*Emissionsfaktoren!S159/1000, 0)</f>
        <v>0</v>
      </c>
      <c r="T324" s="15">
        <f>IF(ISNUMBER('Klisz-Verbräuche'!U159), 'Klisz-Verbräuche'!U159*Emissionsfaktoren!T159/1000, 0)</f>
        <v>0</v>
      </c>
      <c r="U324" s="15">
        <f>IF(ISNUMBER('Klisz-Verbräuche'!V159), 'Klisz-Verbräuche'!V159*Emissionsfaktoren!U159/1000, 0)</f>
        <v>0</v>
      </c>
      <c r="V324" s="15">
        <f>IF(ISNUMBER('Klisz-Verbräuche'!W159), 'Klisz-Verbräuche'!W159*Emissionsfaktoren!V159/1000, 0)</f>
        <v>0</v>
      </c>
      <c r="W324" s="15">
        <f>IF(ISNUMBER('Klisz-Verbräuche'!X159), 'Klisz-Verbräuche'!X159*Emissionsfaktoren!W159/1000, 0)</f>
        <v>0</v>
      </c>
      <c r="X324" s="15">
        <f>IF(ISNUMBER('Klisz-Verbräuche'!Y159), 'Klisz-Verbräuche'!Y159*Emissionsfaktoren!X159/1000, 0)</f>
        <v>0</v>
      </c>
    </row>
    <row r="325" spans="2:24" ht="16.5" hidden="1" x14ac:dyDescent="0.45">
      <c r="B325" s="15">
        <v>100</v>
      </c>
      <c r="C325" s="20" t="str">
        <f>'Refsz-Verbräuche'!C160</f>
        <v>Multifunktionsdrucker klein (31 x 44 x 42 cm)</v>
      </c>
      <c r="D325" t="s">
        <v>208</v>
      </c>
      <c r="E325" s="15">
        <f>IF(ISNUMBER('Klisz-Verbräuche'!F160), 'Klisz-Verbräuche'!F160*Emissionsfaktoren!E160/1000, 0)</f>
        <v>0</v>
      </c>
      <c r="F325" s="15">
        <f>IF(ISNUMBER('Klisz-Verbräuche'!G160), 'Klisz-Verbräuche'!G160*Emissionsfaktoren!F160/1000, 0)</f>
        <v>0</v>
      </c>
      <c r="G325" s="15">
        <f>IF(ISNUMBER('Klisz-Verbräuche'!H160), 'Klisz-Verbräuche'!H160*Emissionsfaktoren!G160/1000, 0)</f>
        <v>0</v>
      </c>
      <c r="H325" s="15">
        <f>IF(ISNUMBER('Klisz-Verbräuche'!I160), 'Klisz-Verbräuche'!I160*Emissionsfaktoren!H160/1000, 0)</f>
        <v>0</v>
      </c>
      <c r="I325" s="15">
        <f>IF(ISNUMBER('Klisz-Verbräuche'!J160), 'Klisz-Verbräuche'!J160*Emissionsfaktoren!I160/1000, 0)</f>
        <v>0</v>
      </c>
      <c r="J325" s="15">
        <f>IF(ISNUMBER('Klisz-Verbräuche'!K160), 'Klisz-Verbräuche'!K160*Emissionsfaktoren!J160/1000, 0)</f>
        <v>0</v>
      </c>
      <c r="K325" s="15">
        <f>IF(ISNUMBER('Klisz-Verbräuche'!L160), 'Klisz-Verbräuche'!L160*Emissionsfaktoren!K160/1000, 0)</f>
        <v>0</v>
      </c>
      <c r="L325" s="15">
        <f>IF(ISNUMBER('Klisz-Verbräuche'!M160), 'Klisz-Verbräuche'!M160*Emissionsfaktoren!L160/1000, 0)</f>
        <v>0</v>
      </c>
      <c r="M325" s="15">
        <f>IF(ISNUMBER('Klisz-Verbräuche'!N160), 'Klisz-Verbräuche'!N160*Emissionsfaktoren!M160/1000, 0)</f>
        <v>0</v>
      </c>
      <c r="N325" s="15">
        <f>IF(ISNUMBER('Klisz-Verbräuche'!O160), 'Klisz-Verbräuche'!O160*Emissionsfaktoren!N160/1000, 0)</f>
        <v>0</v>
      </c>
      <c r="O325" s="15">
        <f>IF(ISNUMBER('Klisz-Verbräuche'!P160), 'Klisz-Verbräuche'!P160*Emissionsfaktoren!O160/1000, 0)</f>
        <v>0</v>
      </c>
      <c r="P325" s="15">
        <f>IF(ISNUMBER('Klisz-Verbräuche'!Q160), 'Klisz-Verbräuche'!Q160*Emissionsfaktoren!P160/1000, 0)</f>
        <v>0</v>
      </c>
      <c r="Q325" s="15">
        <f>IF(ISNUMBER('Klisz-Verbräuche'!R160), 'Klisz-Verbräuche'!R160*Emissionsfaktoren!Q160/1000, 0)</f>
        <v>0</v>
      </c>
      <c r="R325" s="15">
        <f>IF(ISNUMBER('Klisz-Verbräuche'!S160), 'Klisz-Verbräuche'!S160*Emissionsfaktoren!R160/1000, 0)</f>
        <v>0</v>
      </c>
      <c r="S325" s="15">
        <f>IF(ISNUMBER('Klisz-Verbräuche'!T160), 'Klisz-Verbräuche'!T160*Emissionsfaktoren!S160/1000, 0)</f>
        <v>0</v>
      </c>
      <c r="T325" s="15">
        <f>IF(ISNUMBER('Klisz-Verbräuche'!U160), 'Klisz-Verbräuche'!U160*Emissionsfaktoren!T160/1000, 0)</f>
        <v>0</v>
      </c>
      <c r="U325" s="15">
        <f>IF(ISNUMBER('Klisz-Verbräuche'!V160), 'Klisz-Verbräuche'!V160*Emissionsfaktoren!U160/1000, 0)</f>
        <v>0</v>
      </c>
      <c r="V325" s="15">
        <f>IF(ISNUMBER('Klisz-Verbräuche'!W160), 'Klisz-Verbräuche'!W160*Emissionsfaktoren!V160/1000, 0)</f>
        <v>0</v>
      </c>
      <c r="W325" s="15">
        <f>IF(ISNUMBER('Klisz-Verbräuche'!X160), 'Klisz-Verbräuche'!X160*Emissionsfaktoren!W160/1000, 0)</f>
        <v>0</v>
      </c>
      <c r="X325" s="15">
        <f>IF(ISNUMBER('Klisz-Verbräuche'!Y160), 'Klisz-Verbräuche'!Y160*Emissionsfaktoren!X160/1000, 0)</f>
        <v>0</v>
      </c>
    </row>
    <row r="326" spans="2:24" ht="16.5" hidden="1" x14ac:dyDescent="0.45">
      <c r="B326" s="15">
        <v>101</v>
      </c>
      <c r="C326" s="20" t="str">
        <f>'Refsz-Verbräuche'!C161</f>
        <v>Multifunktionsdrucker mittel (54 x 56 x 52 cm)</v>
      </c>
      <c r="D326" t="s">
        <v>208</v>
      </c>
      <c r="E326" s="15">
        <f>IF(ISNUMBER('Klisz-Verbräuche'!F161), 'Klisz-Verbräuche'!F161*Emissionsfaktoren!E161/1000, 0)</f>
        <v>0</v>
      </c>
      <c r="F326" s="15">
        <f>IF(ISNUMBER('Klisz-Verbräuche'!G161), 'Klisz-Verbräuche'!G161*Emissionsfaktoren!F161/1000, 0)</f>
        <v>0</v>
      </c>
      <c r="G326" s="15">
        <f>IF(ISNUMBER('Klisz-Verbräuche'!H161), 'Klisz-Verbräuche'!H161*Emissionsfaktoren!G161/1000, 0)</f>
        <v>0</v>
      </c>
      <c r="H326" s="15">
        <f>IF(ISNUMBER('Klisz-Verbräuche'!I161), 'Klisz-Verbräuche'!I161*Emissionsfaktoren!H161/1000, 0)</f>
        <v>0</v>
      </c>
      <c r="I326" s="15">
        <f>IF(ISNUMBER('Klisz-Verbräuche'!J161), 'Klisz-Verbräuche'!J161*Emissionsfaktoren!I161/1000, 0)</f>
        <v>0</v>
      </c>
      <c r="J326" s="15">
        <f>IF(ISNUMBER('Klisz-Verbräuche'!K161), 'Klisz-Verbräuche'!K161*Emissionsfaktoren!J161/1000, 0)</f>
        <v>0</v>
      </c>
      <c r="K326" s="15">
        <f>IF(ISNUMBER('Klisz-Verbräuche'!L161), 'Klisz-Verbräuche'!L161*Emissionsfaktoren!K161/1000, 0)</f>
        <v>0</v>
      </c>
      <c r="L326" s="15">
        <f>IF(ISNUMBER('Klisz-Verbräuche'!M161), 'Klisz-Verbräuche'!M161*Emissionsfaktoren!L161/1000, 0)</f>
        <v>0</v>
      </c>
      <c r="M326" s="15">
        <f>IF(ISNUMBER('Klisz-Verbräuche'!N161), 'Klisz-Verbräuche'!N161*Emissionsfaktoren!M161/1000, 0)</f>
        <v>0</v>
      </c>
      <c r="N326" s="15">
        <f>IF(ISNUMBER('Klisz-Verbräuche'!O161), 'Klisz-Verbräuche'!O161*Emissionsfaktoren!N161/1000, 0)</f>
        <v>0</v>
      </c>
      <c r="O326" s="15">
        <f>IF(ISNUMBER('Klisz-Verbräuche'!P161), 'Klisz-Verbräuche'!P161*Emissionsfaktoren!O161/1000, 0)</f>
        <v>0</v>
      </c>
      <c r="P326" s="15">
        <f>IF(ISNUMBER('Klisz-Verbräuche'!Q161), 'Klisz-Verbräuche'!Q161*Emissionsfaktoren!P161/1000, 0)</f>
        <v>0</v>
      </c>
      <c r="Q326" s="15">
        <f>IF(ISNUMBER('Klisz-Verbräuche'!R161), 'Klisz-Verbräuche'!R161*Emissionsfaktoren!Q161/1000, 0)</f>
        <v>0</v>
      </c>
      <c r="R326" s="15">
        <f>IF(ISNUMBER('Klisz-Verbräuche'!S161), 'Klisz-Verbräuche'!S161*Emissionsfaktoren!R161/1000, 0)</f>
        <v>0</v>
      </c>
      <c r="S326" s="15">
        <f>IF(ISNUMBER('Klisz-Verbräuche'!T161), 'Klisz-Verbräuche'!T161*Emissionsfaktoren!S161/1000, 0)</f>
        <v>0</v>
      </c>
      <c r="T326" s="15">
        <f>IF(ISNUMBER('Klisz-Verbräuche'!U161), 'Klisz-Verbräuche'!U161*Emissionsfaktoren!T161/1000, 0)</f>
        <v>0</v>
      </c>
      <c r="U326" s="15">
        <f>IF(ISNUMBER('Klisz-Verbräuche'!V161), 'Klisz-Verbräuche'!V161*Emissionsfaktoren!U161/1000, 0)</f>
        <v>0</v>
      </c>
      <c r="V326" s="15">
        <f>IF(ISNUMBER('Klisz-Verbräuche'!W161), 'Klisz-Verbräuche'!W161*Emissionsfaktoren!V161/1000, 0)</f>
        <v>0</v>
      </c>
      <c r="W326" s="15">
        <f>IF(ISNUMBER('Klisz-Verbräuche'!X161), 'Klisz-Verbräuche'!X161*Emissionsfaktoren!W161/1000, 0)</f>
        <v>0</v>
      </c>
      <c r="X326" s="15">
        <f>IF(ISNUMBER('Klisz-Verbräuche'!Y161), 'Klisz-Verbräuche'!Y161*Emissionsfaktoren!X161/1000, 0)</f>
        <v>0</v>
      </c>
    </row>
    <row r="327" spans="2:24" ht="16.5" hidden="1" x14ac:dyDescent="0.45">
      <c r="B327" s="15">
        <v>102</v>
      </c>
      <c r="C327" s="20" t="str">
        <f>'Refsz-Verbräuche'!C162</f>
        <v>Multifunktionsdrucker groß (114 x 65 x 59 cm)</v>
      </c>
      <c r="D327" t="s">
        <v>208</v>
      </c>
      <c r="E327" s="15">
        <f>IF(ISNUMBER('Klisz-Verbräuche'!F162), 'Klisz-Verbräuche'!F162*Emissionsfaktoren!E162/1000, 0)</f>
        <v>0</v>
      </c>
      <c r="F327" s="15">
        <f>IF(ISNUMBER('Klisz-Verbräuche'!G162), 'Klisz-Verbräuche'!G162*Emissionsfaktoren!F162/1000, 0)</f>
        <v>0</v>
      </c>
      <c r="G327" s="15">
        <f>IF(ISNUMBER('Klisz-Verbräuche'!H162), 'Klisz-Verbräuche'!H162*Emissionsfaktoren!G162/1000, 0)</f>
        <v>0</v>
      </c>
      <c r="H327" s="15">
        <f>IF(ISNUMBER('Klisz-Verbräuche'!I162), 'Klisz-Verbräuche'!I162*Emissionsfaktoren!H162/1000, 0)</f>
        <v>0</v>
      </c>
      <c r="I327" s="15">
        <f>IF(ISNUMBER('Klisz-Verbräuche'!J162), 'Klisz-Verbräuche'!J162*Emissionsfaktoren!I162/1000, 0)</f>
        <v>0</v>
      </c>
      <c r="J327" s="15">
        <f>IF(ISNUMBER('Klisz-Verbräuche'!K162), 'Klisz-Verbräuche'!K162*Emissionsfaktoren!J162/1000, 0)</f>
        <v>0</v>
      </c>
      <c r="K327" s="15">
        <f>IF(ISNUMBER('Klisz-Verbräuche'!L162), 'Klisz-Verbräuche'!L162*Emissionsfaktoren!K162/1000, 0)</f>
        <v>0</v>
      </c>
      <c r="L327" s="15">
        <f>IF(ISNUMBER('Klisz-Verbräuche'!M162), 'Klisz-Verbräuche'!M162*Emissionsfaktoren!L162/1000, 0)</f>
        <v>0</v>
      </c>
      <c r="M327" s="15">
        <f>IF(ISNUMBER('Klisz-Verbräuche'!N162), 'Klisz-Verbräuche'!N162*Emissionsfaktoren!M162/1000, 0)</f>
        <v>0</v>
      </c>
      <c r="N327" s="15">
        <f>IF(ISNUMBER('Klisz-Verbräuche'!O162), 'Klisz-Verbräuche'!O162*Emissionsfaktoren!N162/1000, 0)</f>
        <v>0</v>
      </c>
      <c r="O327" s="15">
        <f>IF(ISNUMBER('Klisz-Verbräuche'!P162), 'Klisz-Verbräuche'!P162*Emissionsfaktoren!O162/1000, 0)</f>
        <v>0</v>
      </c>
      <c r="P327" s="15">
        <f>IF(ISNUMBER('Klisz-Verbräuche'!Q162), 'Klisz-Verbräuche'!Q162*Emissionsfaktoren!P162/1000, 0)</f>
        <v>0</v>
      </c>
      <c r="Q327" s="15">
        <f>IF(ISNUMBER('Klisz-Verbräuche'!R162), 'Klisz-Verbräuche'!R162*Emissionsfaktoren!Q162/1000, 0)</f>
        <v>0</v>
      </c>
      <c r="R327" s="15">
        <f>IF(ISNUMBER('Klisz-Verbräuche'!S162), 'Klisz-Verbräuche'!S162*Emissionsfaktoren!R162/1000, 0)</f>
        <v>0</v>
      </c>
      <c r="S327" s="15">
        <f>IF(ISNUMBER('Klisz-Verbräuche'!T162), 'Klisz-Verbräuche'!T162*Emissionsfaktoren!S162/1000, 0)</f>
        <v>0</v>
      </c>
      <c r="T327" s="15">
        <f>IF(ISNUMBER('Klisz-Verbräuche'!U162), 'Klisz-Verbräuche'!U162*Emissionsfaktoren!T162/1000, 0)</f>
        <v>0</v>
      </c>
      <c r="U327" s="15">
        <f>IF(ISNUMBER('Klisz-Verbräuche'!V162), 'Klisz-Verbräuche'!V162*Emissionsfaktoren!U162/1000, 0)</f>
        <v>0</v>
      </c>
      <c r="V327" s="15">
        <f>IF(ISNUMBER('Klisz-Verbräuche'!W162), 'Klisz-Verbräuche'!W162*Emissionsfaktoren!V162/1000, 0)</f>
        <v>0</v>
      </c>
      <c r="W327" s="15">
        <f>IF(ISNUMBER('Klisz-Verbräuche'!X162), 'Klisz-Verbräuche'!X162*Emissionsfaktoren!W162/1000, 0)</f>
        <v>0</v>
      </c>
      <c r="X327" s="15">
        <f>IF(ISNUMBER('Klisz-Verbräuche'!Y162), 'Klisz-Verbräuche'!Y162*Emissionsfaktoren!X162/1000, 0)</f>
        <v>0</v>
      </c>
    </row>
    <row r="328" spans="2:24" ht="16.5" hidden="1" x14ac:dyDescent="0.45">
      <c r="B328" s="15">
        <v>103</v>
      </c>
      <c r="C328" s="20" t="str">
        <f>'Refsz-Verbräuche'!C163</f>
        <v>Toner</v>
      </c>
      <c r="D328" t="s">
        <v>208</v>
      </c>
      <c r="E328" s="15">
        <f>IF(ISNUMBER('Klisz-Verbräuche'!F163), 'Klisz-Verbräuche'!F163*Emissionsfaktoren!E163/1000, 0)</f>
        <v>0</v>
      </c>
      <c r="F328" s="15">
        <f>IF(ISNUMBER('Klisz-Verbräuche'!G163), 'Klisz-Verbräuche'!G163*Emissionsfaktoren!F163/1000, 0)</f>
        <v>0</v>
      </c>
      <c r="G328" s="15">
        <f>IF(ISNUMBER('Klisz-Verbräuche'!H163), 'Klisz-Verbräuche'!H163*Emissionsfaktoren!G163/1000, 0)</f>
        <v>0</v>
      </c>
      <c r="H328" s="15">
        <f>IF(ISNUMBER('Klisz-Verbräuche'!I163), 'Klisz-Verbräuche'!I163*Emissionsfaktoren!H163/1000, 0)</f>
        <v>0</v>
      </c>
      <c r="I328" s="15">
        <f>IF(ISNUMBER('Klisz-Verbräuche'!J163), 'Klisz-Verbräuche'!J163*Emissionsfaktoren!I163/1000, 0)</f>
        <v>0</v>
      </c>
      <c r="J328" s="15">
        <f>IF(ISNUMBER('Klisz-Verbräuche'!K163), 'Klisz-Verbräuche'!K163*Emissionsfaktoren!J163/1000, 0)</f>
        <v>0</v>
      </c>
      <c r="K328" s="15">
        <f>IF(ISNUMBER('Klisz-Verbräuche'!L163), 'Klisz-Verbräuche'!L163*Emissionsfaktoren!K163/1000, 0)</f>
        <v>0</v>
      </c>
      <c r="L328" s="15">
        <f>IF(ISNUMBER('Klisz-Verbräuche'!M163), 'Klisz-Verbräuche'!M163*Emissionsfaktoren!L163/1000, 0)</f>
        <v>0</v>
      </c>
      <c r="M328" s="15">
        <f>IF(ISNUMBER('Klisz-Verbräuche'!N163), 'Klisz-Verbräuche'!N163*Emissionsfaktoren!M163/1000, 0)</f>
        <v>0</v>
      </c>
      <c r="N328" s="15">
        <f>IF(ISNUMBER('Klisz-Verbräuche'!O163), 'Klisz-Verbräuche'!O163*Emissionsfaktoren!N163/1000, 0)</f>
        <v>0</v>
      </c>
      <c r="O328" s="15">
        <f>IF(ISNUMBER('Klisz-Verbräuche'!P163), 'Klisz-Verbräuche'!P163*Emissionsfaktoren!O163/1000, 0)</f>
        <v>0</v>
      </c>
      <c r="P328" s="15">
        <f>IF(ISNUMBER('Klisz-Verbräuche'!Q163), 'Klisz-Verbräuche'!Q163*Emissionsfaktoren!P163/1000, 0)</f>
        <v>0</v>
      </c>
      <c r="Q328" s="15">
        <f>IF(ISNUMBER('Klisz-Verbräuche'!R163), 'Klisz-Verbräuche'!R163*Emissionsfaktoren!Q163/1000, 0)</f>
        <v>0</v>
      </c>
      <c r="R328" s="15">
        <f>IF(ISNUMBER('Klisz-Verbräuche'!S163), 'Klisz-Verbräuche'!S163*Emissionsfaktoren!R163/1000, 0)</f>
        <v>0</v>
      </c>
      <c r="S328" s="15">
        <f>IF(ISNUMBER('Klisz-Verbräuche'!T163), 'Klisz-Verbräuche'!T163*Emissionsfaktoren!S163/1000, 0)</f>
        <v>0</v>
      </c>
      <c r="T328" s="15">
        <f>IF(ISNUMBER('Klisz-Verbräuche'!U163), 'Klisz-Verbräuche'!U163*Emissionsfaktoren!T163/1000, 0)</f>
        <v>0</v>
      </c>
      <c r="U328" s="15">
        <f>IF(ISNUMBER('Klisz-Verbräuche'!V163), 'Klisz-Verbräuche'!V163*Emissionsfaktoren!U163/1000, 0)</f>
        <v>0</v>
      </c>
      <c r="V328" s="15">
        <f>IF(ISNUMBER('Klisz-Verbräuche'!W163), 'Klisz-Verbräuche'!W163*Emissionsfaktoren!V163/1000, 0)</f>
        <v>0</v>
      </c>
      <c r="W328" s="15">
        <f>IF(ISNUMBER('Klisz-Verbräuche'!X163), 'Klisz-Verbräuche'!X163*Emissionsfaktoren!W163/1000, 0)</f>
        <v>0</v>
      </c>
      <c r="X328" s="15">
        <f>IF(ISNUMBER('Klisz-Verbräuche'!Y163), 'Klisz-Verbräuche'!Y163*Emissionsfaktoren!X163/1000, 0)</f>
        <v>0</v>
      </c>
    </row>
    <row r="329" spans="2:24" ht="16.5" hidden="1" x14ac:dyDescent="0.45">
      <c r="B329" s="15">
        <v>104</v>
      </c>
      <c r="C329" s="20">
        <f>'Refsz-Verbräuche'!C164</f>
        <v>0</v>
      </c>
      <c r="D329" t="s">
        <v>208</v>
      </c>
      <c r="E329" s="15">
        <f>IF(ISNUMBER('Klisz-Verbräuche'!F164), 'Klisz-Verbräuche'!F164*Emissionsfaktoren!E164/1000, 0)</f>
        <v>0</v>
      </c>
      <c r="F329" s="15">
        <f>IF(ISNUMBER('Klisz-Verbräuche'!G164), 'Klisz-Verbräuche'!G164*Emissionsfaktoren!F164/1000, 0)</f>
        <v>0</v>
      </c>
      <c r="G329" s="15">
        <f>IF(ISNUMBER('Klisz-Verbräuche'!H164), 'Klisz-Verbräuche'!H164*Emissionsfaktoren!G164/1000, 0)</f>
        <v>0</v>
      </c>
      <c r="H329" s="15">
        <f>IF(ISNUMBER('Klisz-Verbräuche'!I164), 'Klisz-Verbräuche'!I164*Emissionsfaktoren!H164/1000, 0)</f>
        <v>0</v>
      </c>
      <c r="I329" s="15">
        <f>IF(ISNUMBER('Klisz-Verbräuche'!J164), 'Klisz-Verbräuche'!J164*Emissionsfaktoren!I164/1000, 0)</f>
        <v>0</v>
      </c>
      <c r="J329" s="15">
        <f>IF(ISNUMBER('Klisz-Verbräuche'!K164), 'Klisz-Verbräuche'!K164*Emissionsfaktoren!J164/1000, 0)</f>
        <v>0</v>
      </c>
      <c r="K329" s="15">
        <f>IF(ISNUMBER('Klisz-Verbräuche'!L164), 'Klisz-Verbräuche'!L164*Emissionsfaktoren!K164/1000, 0)</f>
        <v>0</v>
      </c>
      <c r="L329" s="15">
        <f>IF(ISNUMBER('Klisz-Verbräuche'!M164), 'Klisz-Verbräuche'!M164*Emissionsfaktoren!L164/1000, 0)</f>
        <v>0</v>
      </c>
      <c r="M329" s="15">
        <f>IF(ISNUMBER('Klisz-Verbräuche'!N164), 'Klisz-Verbräuche'!N164*Emissionsfaktoren!M164/1000, 0)</f>
        <v>0</v>
      </c>
      <c r="N329" s="15">
        <f>IF(ISNUMBER('Klisz-Verbräuche'!O164), 'Klisz-Verbräuche'!O164*Emissionsfaktoren!N164/1000, 0)</f>
        <v>0</v>
      </c>
      <c r="O329" s="15">
        <f>IF(ISNUMBER('Klisz-Verbräuche'!P164), 'Klisz-Verbräuche'!P164*Emissionsfaktoren!O164/1000, 0)</f>
        <v>0</v>
      </c>
      <c r="P329" s="15">
        <f>IF(ISNUMBER('Klisz-Verbräuche'!Q164), 'Klisz-Verbräuche'!Q164*Emissionsfaktoren!P164/1000, 0)</f>
        <v>0</v>
      </c>
      <c r="Q329" s="15">
        <f>IF(ISNUMBER('Klisz-Verbräuche'!R164), 'Klisz-Verbräuche'!R164*Emissionsfaktoren!Q164/1000, 0)</f>
        <v>0</v>
      </c>
      <c r="R329" s="15">
        <f>IF(ISNUMBER('Klisz-Verbräuche'!S164), 'Klisz-Verbräuche'!S164*Emissionsfaktoren!R164/1000, 0)</f>
        <v>0</v>
      </c>
      <c r="S329" s="15">
        <f>IF(ISNUMBER('Klisz-Verbräuche'!T164), 'Klisz-Verbräuche'!T164*Emissionsfaktoren!S164/1000, 0)</f>
        <v>0</v>
      </c>
      <c r="T329" s="15">
        <f>IF(ISNUMBER('Klisz-Verbräuche'!U164), 'Klisz-Verbräuche'!U164*Emissionsfaktoren!T164/1000, 0)</f>
        <v>0</v>
      </c>
      <c r="U329" s="15">
        <f>IF(ISNUMBER('Klisz-Verbräuche'!V164), 'Klisz-Verbräuche'!V164*Emissionsfaktoren!U164/1000, 0)</f>
        <v>0</v>
      </c>
      <c r="V329" s="15">
        <f>IF(ISNUMBER('Klisz-Verbräuche'!W164), 'Klisz-Verbräuche'!W164*Emissionsfaktoren!V164/1000, 0)</f>
        <v>0</v>
      </c>
      <c r="W329" s="15">
        <f>IF(ISNUMBER('Klisz-Verbräuche'!X164), 'Klisz-Verbräuche'!X164*Emissionsfaktoren!W164/1000, 0)</f>
        <v>0</v>
      </c>
      <c r="X329" s="15">
        <f>IF(ISNUMBER('Klisz-Verbräuche'!Y164), 'Klisz-Verbräuche'!Y164*Emissionsfaktoren!X164/1000, 0)</f>
        <v>0</v>
      </c>
    </row>
    <row r="330" spans="2:24" ht="16.5" hidden="1" x14ac:dyDescent="0.45">
      <c r="B330" s="15">
        <v>105</v>
      </c>
      <c r="C330" s="20" t="str">
        <f>'Refsz-Verbräuche'!C165</f>
        <v>Bioabfall, Grünschnitt (Kompostierung)</v>
      </c>
      <c r="D330" t="s">
        <v>208</v>
      </c>
      <c r="E330" s="15">
        <f>IF(ISNUMBER('Klisz-Verbräuche'!F165), 'Klisz-Verbräuche'!F165*Emissionsfaktoren!E165/1000, 0)</f>
        <v>0</v>
      </c>
      <c r="F330" s="15">
        <f>IF(ISNUMBER('Klisz-Verbräuche'!G165), 'Klisz-Verbräuche'!G165*Emissionsfaktoren!F165/1000, 0)</f>
        <v>0</v>
      </c>
      <c r="G330" s="15">
        <f>IF(ISNUMBER('Klisz-Verbräuche'!H165), 'Klisz-Verbräuche'!H165*Emissionsfaktoren!G165/1000, 0)</f>
        <v>0</v>
      </c>
      <c r="H330" s="15">
        <f>IF(ISNUMBER('Klisz-Verbräuche'!I165), 'Klisz-Verbräuche'!I165*Emissionsfaktoren!H165/1000, 0)</f>
        <v>0</v>
      </c>
      <c r="I330" s="15">
        <f>IF(ISNUMBER('Refsz-Verbräuche'!I164), 'Refsz-Verbräuche'!I164*Emissionsfaktoren!I165/1000, 0)</f>
        <v>0</v>
      </c>
      <c r="J330" s="15">
        <f>IF(ISNUMBER('Klisz-Verbräuche'!K165), 'Klisz-Verbräuche'!K165*Emissionsfaktoren!J165/1000, 0)</f>
        <v>0</v>
      </c>
      <c r="K330" s="15">
        <f>IF(ISNUMBER('Klisz-Verbräuche'!L165), 'Klisz-Verbräuche'!L165*Emissionsfaktoren!K165/1000, 0)</f>
        <v>0</v>
      </c>
      <c r="L330" s="15">
        <f>IF(ISNUMBER('Klisz-Verbräuche'!M165), 'Klisz-Verbräuche'!M165*Emissionsfaktoren!L165/1000, 0)</f>
        <v>0</v>
      </c>
      <c r="M330" s="15">
        <f>IF(ISNUMBER('Klisz-Verbräuche'!N165), 'Klisz-Verbräuche'!N165*Emissionsfaktoren!M165/1000, 0)</f>
        <v>0</v>
      </c>
      <c r="N330" s="15">
        <f>IF(ISNUMBER('Klisz-Verbräuche'!O165), 'Klisz-Verbräuche'!O165*Emissionsfaktoren!N165/1000, 0)</f>
        <v>0</v>
      </c>
      <c r="O330" s="15">
        <f>IF(ISNUMBER('Klisz-Verbräuche'!P165), 'Klisz-Verbräuche'!P165*Emissionsfaktoren!O165/1000, 0)</f>
        <v>0</v>
      </c>
      <c r="P330" s="15">
        <f>IF(ISNUMBER('Klisz-Verbräuche'!Q165), 'Klisz-Verbräuche'!Q165*Emissionsfaktoren!P165/1000, 0)</f>
        <v>0</v>
      </c>
      <c r="Q330" s="15">
        <f>IF(ISNUMBER('Klisz-Verbräuche'!R165), 'Klisz-Verbräuche'!R165*Emissionsfaktoren!Q165/1000, 0)</f>
        <v>0</v>
      </c>
      <c r="R330" s="15">
        <f>IF(ISNUMBER('Klisz-Verbräuche'!S165), 'Klisz-Verbräuche'!S165*Emissionsfaktoren!R165/1000, 0)</f>
        <v>0</v>
      </c>
      <c r="S330" s="15">
        <f>IF(ISNUMBER('Klisz-Verbräuche'!T165), 'Klisz-Verbräuche'!T165*Emissionsfaktoren!S165/1000, 0)</f>
        <v>0</v>
      </c>
      <c r="T330" s="15">
        <f>IF(ISNUMBER('Klisz-Verbräuche'!U165), 'Klisz-Verbräuche'!U165*Emissionsfaktoren!T165/1000, 0)</f>
        <v>0</v>
      </c>
      <c r="U330" s="15">
        <f>IF(ISNUMBER('Klisz-Verbräuche'!V165), 'Klisz-Verbräuche'!V165*Emissionsfaktoren!U165/1000, 0)</f>
        <v>0</v>
      </c>
      <c r="V330" s="15">
        <f>IF(ISNUMBER('Klisz-Verbräuche'!W165), 'Klisz-Verbräuche'!W165*Emissionsfaktoren!V165/1000, 0)</f>
        <v>0</v>
      </c>
      <c r="W330" s="15">
        <f>IF(ISNUMBER('Klisz-Verbräuche'!X165), 'Klisz-Verbräuche'!X165*Emissionsfaktoren!W165/1000, 0)</f>
        <v>0</v>
      </c>
      <c r="X330" s="15">
        <f>IF(ISNUMBER('Klisz-Verbräuche'!Y165), 'Klisz-Verbräuche'!Y165*Emissionsfaktoren!X165/1000, 0)</f>
        <v>0</v>
      </c>
    </row>
    <row r="331" spans="2:24" ht="16.5" hidden="1" x14ac:dyDescent="0.45">
      <c r="B331" s="15">
        <v>106</v>
      </c>
      <c r="C331" s="20" t="str">
        <f>'Refsz-Verbräuche'!C166</f>
        <v>Bioabfall (Verbrennung)</v>
      </c>
      <c r="D331" t="s">
        <v>208</v>
      </c>
      <c r="E331" s="15">
        <f>IF(ISNUMBER('Klisz-Verbräuche'!F166), 'Klisz-Verbräuche'!F166*Emissionsfaktoren!E166/1000, 0)</f>
        <v>0</v>
      </c>
      <c r="F331" s="15">
        <f>IF(ISNUMBER('Klisz-Verbräuche'!G166), 'Klisz-Verbräuche'!G166*Emissionsfaktoren!F166/1000, 0)</f>
        <v>0</v>
      </c>
      <c r="G331" s="15">
        <f>IF(ISNUMBER('Klisz-Verbräuche'!H166), 'Klisz-Verbräuche'!H166*Emissionsfaktoren!G166/1000, 0)</f>
        <v>0</v>
      </c>
      <c r="H331" s="15">
        <f>IF(ISNUMBER('Klisz-Verbräuche'!I166), 'Klisz-Verbräuche'!I166*Emissionsfaktoren!H166/1000, 0)</f>
        <v>0</v>
      </c>
      <c r="I331" s="15">
        <f>IF(ISNUMBER('Refsz-Verbräuche'!I165), 'Refsz-Verbräuche'!I165*Emissionsfaktoren!I166/1000, 0)</f>
        <v>0</v>
      </c>
      <c r="J331" s="15">
        <f>IF(ISNUMBER('Klisz-Verbräuche'!K166), 'Klisz-Verbräuche'!K166*Emissionsfaktoren!J166/1000, 0)</f>
        <v>0</v>
      </c>
      <c r="K331" s="15">
        <f>IF(ISNUMBER('Klisz-Verbräuche'!L166), 'Klisz-Verbräuche'!L166*Emissionsfaktoren!K166/1000, 0)</f>
        <v>0</v>
      </c>
      <c r="L331" s="15">
        <f>IF(ISNUMBER('Klisz-Verbräuche'!M166), 'Klisz-Verbräuche'!M166*Emissionsfaktoren!L166/1000, 0)</f>
        <v>0</v>
      </c>
      <c r="M331" s="15">
        <f>IF(ISNUMBER('Klisz-Verbräuche'!N166), 'Klisz-Verbräuche'!N166*Emissionsfaktoren!M166/1000, 0)</f>
        <v>0</v>
      </c>
      <c r="N331" s="15">
        <f>IF(ISNUMBER('Klisz-Verbräuche'!O166), 'Klisz-Verbräuche'!O166*Emissionsfaktoren!N166/1000, 0)</f>
        <v>0</v>
      </c>
      <c r="O331" s="15">
        <f>IF(ISNUMBER('Klisz-Verbräuche'!P166), 'Klisz-Verbräuche'!P166*Emissionsfaktoren!O166/1000, 0)</f>
        <v>0</v>
      </c>
      <c r="P331" s="15">
        <f>IF(ISNUMBER('Klisz-Verbräuche'!Q166), 'Klisz-Verbräuche'!Q166*Emissionsfaktoren!P166/1000, 0)</f>
        <v>0</v>
      </c>
      <c r="Q331" s="15">
        <f>IF(ISNUMBER('Klisz-Verbräuche'!R166), 'Klisz-Verbräuche'!R166*Emissionsfaktoren!Q166/1000, 0)</f>
        <v>0</v>
      </c>
      <c r="R331" s="15">
        <f>IF(ISNUMBER('Klisz-Verbräuche'!S166), 'Klisz-Verbräuche'!S166*Emissionsfaktoren!R166/1000, 0)</f>
        <v>0</v>
      </c>
      <c r="S331" s="15">
        <f>IF(ISNUMBER('Klisz-Verbräuche'!T166), 'Klisz-Verbräuche'!T166*Emissionsfaktoren!S166/1000, 0)</f>
        <v>0</v>
      </c>
      <c r="T331" s="15">
        <f>IF(ISNUMBER('Klisz-Verbräuche'!U166), 'Klisz-Verbräuche'!U166*Emissionsfaktoren!T166/1000, 0)</f>
        <v>0</v>
      </c>
      <c r="U331" s="15">
        <f>IF(ISNUMBER('Klisz-Verbräuche'!V166), 'Klisz-Verbräuche'!V166*Emissionsfaktoren!U166/1000, 0)</f>
        <v>0</v>
      </c>
      <c r="V331" s="15">
        <f>IF(ISNUMBER('Klisz-Verbräuche'!W166), 'Klisz-Verbräuche'!W166*Emissionsfaktoren!V166/1000, 0)</f>
        <v>0</v>
      </c>
      <c r="W331" s="15">
        <f>IF(ISNUMBER('Klisz-Verbräuche'!X166), 'Klisz-Verbräuche'!X166*Emissionsfaktoren!W166/1000, 0)</f>
        <v>0</v>
      </c>
      <c r="X331" s="15">
        <f>IF(ISNUMBER('Klisz-Verbräuche'!Y166), 'Klisz-Verbräuche'!Y166*Emissionsfaktoren!X166/1000, 0)</f>
        <v>0</v>
      </c>
    </row>
    <row r="332" spans="2:24" ht="16.5" hidden="1" x14ac:dyDescent="0.45">
      <c r="B332" s="15">
        <v>107</v>
      </c>
      <c r="C332" s="20" t="str">
        <f>'Refsz-Verbräuche'!C167</f>
        <v>Papierabfall</v>
      </c>
      <c r="D332" t="s">
        <v>208</v>
      </c>
      <c r="E332" s="15">
        <f>IF(ISNUMBER('Klisz-Verbräuche'!F167), 'Klisz-Verbräuche'!F167*Emissionsfaktoren!E167/1000, 0)</f>
        <v>0</v>
      </c>
      <c r="F332" s="15">
        <f>IF(ISNUMBER('Klisz-Verbräuche'!G167), 'Klisz-Verbräuche'!G167*Emissionsfaktoren!F167/1000, 0)</f>
        <v>0</v>
      </c>
      <c r="G332" s="15">
        <f>IF(ISNUMBER('Klisz-Verbräuche'!H167), 'Klisz-Verbräuche'!H167*Emissionsfaktoren!G167/1000, 0)</f>
        <v>0</v>
      </c>
      <c r="H332" s="15">
        <f>IF(ISNUMBER('Klisz-Verbräuche'!I167), 'Klisz-Verbräuche'!I167*Emissionsfaktoren!H167/1000, 0)</f>
        <v>0</v>
      </c>
      <c r="I332" s="15">
        <f>IF(ISNUMBER('Refsz-Verbräuche'!I166), 'Refsz-Verbräuche'!I166*Emissionsfaktoren!I167/1000, 0)</f>
        <v>0</v>
      </c>
      <c r="J332" s="15">
        <f>IF(ISNUMBER('Klisz-Verbräuche'!K167), 'Klisz-Verbräuche'!K167*Emissionsfaktoren!J167/1000, 0)</f>
        <v>0</v>
      </c>
      <c r="K332" s="15">
        <f>IF(ISNUMBER('Klisz-Verbräuche'!L167), 'Klisz-Verbräuche'!L167*Emissionsfaktoren!K167/1000, 0)</f>
        <v>0</v>
      </c>
      <c r="L332" s="15">
        <f>IF(ISNUMBER('Klisz-Verbräuche'!M167), 'Klisz-Verbräuche'!M167*Emissionsfaktoren!L167/1000, 0)</f>
        <v>0</v>
      </c>
      <c r="M332" s="15">
        <f>IF(ISNUMBER('Klisz-Verbräuche'!N167), 'Klisz-Verbräuche'!N167*Emissionsfaktoren!M167/1000, 0)</f>
        <v>0</v>
      </c>
      <c r="N332" s="15">
        <f>IF(ISNUMBER('Klisz-Verbräuche'!O167), 'Klisz-Verbräuche'!O167*Emissionsfaktoren!N167/1000, 0)</f>
        <v>0</v>
      </c>
      <c r="O332" s="15">
        <f>IF(ISNUMBER('Klisz-Verbräuche'!P167), 'Klisz-Verbräuche'!P167*Emissionsfaktoren!O167/1000, 0)</f>
        <v>0</v>
      </c>
      <c r="P332" s="15">
        <f>IF(ISNUMBER('Klisz-Verbräuche'!Q167), 'Klisz-Verbräuche'!Q167*Emissionsfaktoren!P167/1000, 0)</f>
        <v>0</v>
      </c>
      <c r="Q332" s="15">
        <f>IF(ISNUMBER('Klisz-Verbräuche'!R167), 'Klisz-Verbräuche'!R167*Emissionsfaktoren!Q167/1000, 0)</f>
        <v>0</v>
      </c>
      <c r="R332" s="15">
        <f>IF(ISNUMBER('Klisz-Verbräuche'!S167), 'Klisz-Verbräuche'!S167*Emissionsfaktoren!R167/1000, 0)</f>
        <v>0</v>
      </c>
      <c r="S332" s="15">
        <f>IF(ISNUMBER('Klisz-Verbräuche'!T167), 'Klisz-Verbräuche'!T167*Emissionsfaktoren!S167/1000, 0)</f>
        <v>0</v>
      </c>
      <c r="T332" s="15">
        <f>IF(ISNUMBER('Klisz-Verbräuche'!U167), 'Klisz-Verbräuche'!U167*Emissionsfaktoren!T167/1000, 0)</f>
        <v>0</v>
      </c>
      <c r="U332" s="15">
        <f>IF(ISNUMBER('Klisz-Verbräuche'!V167), 'Klisz-Verbräuche'!V167*Emissionsfaktoren!U167/1000, 0)</f>
        <v>0</v>
      </c>
      <c r="V332" s="15">
        <f>IF(ISNUMBER('Klisz-Verbräuche'!W167), 'Klisz-Verbräuche'!W167*Emissionsfaktoren!V167/1000, 0)</f>
        <v>0</v>
      </c>
      <c r="W332" s="15">
        <f>IF(ISNUMBER('Klisz-Verbräuche'!X167), 'Klisz-Verbräuche'!X167*Emissionsfaktoren!W167/1000, 0)</f>
        <v>0</v>
      </c>
      <c r="X332" s="15">
        <f>IF(ISNUMBER('Klisz-Verbräuche'!Y167), 'Klisz-Verbräuche'!Y167*Emissionsfaktoren!X167/1000, 0)</f>
        <v>0</v>
      </c>
    </row>
    <row r="333" spans="2:24" ht="16.5" hidden="1" x14ac:dyDescent="0.45">
      <c r="B333" s="15">
        <v>108</v>
      </c>
      <c r="C333" s="20" t="str">
        <f>'Refsz-Verbräuche'!C168</f>
        <v>Plastik- und Verpackungsabfall</v>
      </c>
      <c r="D333" t="s">
        <v>208</v>
      </c>
      <c r="E333" s="15">
        <f>IF(ISNUMBER('Klisz-Verbräuche'!F168), 'Klisz-Verbräuche'!F168*Emissionsfaktoren!E168/1000, 0)</f>
        <v>0</v>
      </c>
      <c r="F333" s="15">
        <f>IF(ISNUMBER('Klisz-Verbräuche'!G168), 'Klisz-Verbräuche'!G168*Emissionsfaktoren!F168/1000, 0)</f>
        <v>0</v>
      </c>
      <c r="G333" s="15">
        <f>IF(ISNUMBER('Klisz-Verbräuche'!H168), 'Klisz-Verbräuche'!H168*Emissionsfaktoren!G168/1000, 0)</f>
        <v>0</v>
      </c>
      <c r="H333" s="15">
        <f>IF(ISNUMBER('Klisz-Verbräuche'!I168), 'Klisz-Verbräuche'!I168*Emissionsfaktoren!H168/1000, 0)</f>
        <v>0</v>
      </c>
      <c r="I333" s="15">
        <f>IF(ISNUMBER('Refsz-Verbräuche'!I167), 'Refsz-Verbräuche'!I167*Emissionsfaktoren!I168/1000, 0)</f>
        <v>0</v>
      </c>
      <c r="J333" s="15">
        <f>IF(ISNUMBER('Klisz-Verbräuche'!K168), 'Klisz-Verbräuche'!K168*Emissionsfaktoren!J168/1000, 0)</f>
        <v>0</v>
      </c>
      <c r="K333" s="15">
        <f>IF(ISNUMBER('Klisz-Verbräuche'!L168), 'Klisz-Verbräuche'!L168*Emissionsfaktoren!K168/1000, 0)</f>
        <v>0</v>
      </c>
      <c r="L333" s="15">
        <f>IF(ISNUMBER('Klisz-Verbräuche'!M168), 'Klisz-Verbräuche'!M168*Emissionsfaktoren!L168/1000, 0)</f>
        <v>0</v>
      </c>
      <c r="M333" s="15">
        <f>IF(ISNUMBER('Klisz-Verbräuche'!N168), 'Klisz-Verbräuche'!N168*Emissionsfaktoren!M168/1000, 0)</f>
        <v>0</v>
      </c>
      <c r="N333" s="15">
        <f>IF(ISNUMBER('Klisz-Verbräuche'!O168), 'Klisz-Verbräuche'!O168*Emissionsfaktoren!N168/1000, 0)</f>
        <v>0</v>
      </c>
      <c r="O333" s="15">
        <f>IF(ISNUMBER('Klisz-Verbräuche'!P168), 'Klisz-Verbräuche'!P168*Emissionsfaktoren!O168/1000, 0)</f>
        <v>0</v>
      </c>
      <c r="P333" s="15">
        <f>IF(ISNUMBER('Klisz-Verbräuche'!Q168), 'Klisz-Verbräuche'!Q168*Emissionsfaktoren!P168/1000, 0)</f>
        <v>0</v>
      </c>
      <c r="Q333" s="15">
        <f>IF(ISNUMBER('Klisz-Verbräuche'!R168), 'Klisz-Verbräuche'!R168*Emissionsfaktoren!Q168/1000, 0)</f>
        <v>0</v>
      </c>
      <c r="R333" s="15">
        <f>IF(ISNUMBER('Klisz-Verbräuche'!S168), 'Klisz-Verbräuche'!S168*Emissionsfaktoren!R168/1000, 0)</f>
        <v>0</v>
      </c>
      <c r="S333" s="15">
        <f>IF(ISNUMBER('Klisz-Verbräuche'!T168), 'Klisz-Verbräuche'!T168*Emissionsfaktoren!S168/1000, 0)</f>
        <v>0</v>
      </c>
      <c r="T333" s="15">
        <f>IF(ISNUMBER('Klisz-Verbräuche'!U168), 'Klisz-Verbräuche'!U168*Emissionsfaktoren!T168/1000, 0)</f>
        <v>0</v>
      </c>
      <c r="U333" s="15">
        <f>IF(ISNUMBER('Klisz-Verbräuche'!V168), 'Klisz-Verbräuche'!V168*Emissionsfaktoren!U168/1000, 0)</f>
        <v>0</v>
      </c>
      <c r="V333" s="15">
        <f>IF(ISNUMBER('Klisz-Verbräuche'!W168), 'Klisz-Verbräuche'!W168*Emissionsfaktoren!V168/1000, 0)</f>
        <v>0</v>
      </c>
      <c r="W333" s="15">
        <f>IF(ISNUMBER('Klisz-Verbräuche'!X168), 'Klisz-Verbräuche'!X168*Emissionsfaktoren!W168/1000, 0)</f>
        <v>0</v>
      </c>
      <c r="X333" s="15">
        <f>IF(ISNUMBER('Klisz-Verbräuche'!Y168), 'Klisz-Verbräuche'!Y168*Emissionsfaktoren!X168/1000, 0)</f>
        <v>0</v>
      </c>
    </row>
    <row r="334" spans="2:24" ht="16.5" hidden="1" x14ac:dyDescent="0.45">
      <c r="B334" s="15">
        <v>109</v>
      </c>
      <c r="C334" s="20" t="str">
        <f>'Refsz-Verbräuche'!C169</f>
        <v>Restmüll</v>
      </c>
      <c r="D334" t="s">
        <v>208</v>
      </c>
      <c r="E334" s="15">
        <f>IF(ISNUMBER('Klisz-Verbräuche'!F169), 'Klisz-Verbräuche'!F169*Emissionsfaktoren!E169/1000, 0)</f>
        <v>0</v>
      </c>
      <c r="F334" s="15">
        <f>IF(ISNUMBER('Klisz-Verbräuche'!G169), 'Klisz-Verbräuche'!G169*Emissionsfaktoren!F169/1000, 0)</f>
        <v>0</v>
      </c>
      <c r="G334" s="15">
        <f>IF(ISNUMBER('Klisz-Verbräuche'!H169), 'Klisz-Verbräuche'!H169*Emissionsfaktoren!G169/1000, 0)</f>
        <v>0</v>
      </c>
      <c r="H334" s="15">
        <f>IF(ISNUMBER('Klisz-Verbräuche'!I169), 'Klisz-Verbräuche'!I169*Emissionsfaktoren!H169/1000, 0)</f>
        <v>0</v>
      </c>
      <c r="I334" s="15">
        <f>IF(ISNUMBER('Refsz-Verbräuche'!I168), 'Refsz-Verbräuche'!I168*Emissionsfaktoren!I169/1000, 0)</f>
        <v>0</v>
      </c>
      <c r="J334" s="15">
        <f>IF(ISNUMBER('Klisz-Verbräuche'!K169), 'Klisz-Verbräuche'!K169*Emissionsfaktoren!J169/1000, 0)</f>
        <v>0</v>
      </c>
      <c r="K334" s="15">
        <f>IF(ISNUMBER('Klisz-Verbräuche'!L169), 'Klisz-Verbräuche'!L169*Emissionsfaktoren!K169/1000, 0)</f>
        <v>0</v>
      </c>
      <c r="L334" s="15">
        <f>IF(ISNUMBER('Klisz-Verbräuche'!M169), 'Klisz-Verbräuche'!M169*Emissionsfaktoren!L169/1000, 0)</f>
        <v>0</v>
      </c>
      <c r="M334" s="15">
        <f>IF(ISNUMBER('Klisz-Verbräuche'!N169), 'Klisz-Verbräuche'!N169*Emissionsfaktoren!M169/1000, 0)</f>
        <v>0</v>
      </c>
      <c r="N334" s="15">
        <f>IF(ISNUMBER('Klisz-Verbräuche'!O169), 'Klisz-Verbräuche'!O169*Emissionsfaktoren!N169/1000, 0)</f>
        <v>0</v>
      </c>
      <c r="O334" s="15">
        <f>IF(ISNUMBER('Klisz-Verbräuche'!P169), 'Klisz-Verbräuche'!P169*Emissionsfaktoren!O169/1000, 0)</f>
        <v>0</v>
      </c>
      <c r="P334" s="15">
        <f>IF(ISNUMBER('Klisz-Verbräuche'!Q169), 'Klisz-Verbräuche'!Q169*Emissionsfaktoren!P169/1000, 0)</f>
        <v>0</v>
      </c>
      <c r="Q334" s="15">
        <f>IF(ISNUMBER('Klisz-Verbräuche'!R169), 'Klisz-Verbräuche'!R169*Emissionsfaktoren!Q169/1000, 0)</f>
        <v>0</v>
      </c>
      <c r="R334" s="15">
        <f>IF(ISNUMBER('Klisz-Verbräuche'!S169), 'Klisz-Verbräuche'!S169*Emissionsfaktoren!R169/1000, 0)</f>
        <v>0</v>
      </c>
      <c r="S334" s="15">
        <f>IF(ISNUMBER('Klisz-Verbräuche'!T169), 'Klisz-Verbräuche'!T169*Emissionsfaktoren!S169/1000, 0)</f>
        <v>0</v>
      </c>
      <c r="T334" s="15">
        <f>IF(ISNUMBER('Klisz-Verbräuche'!U169), 'Klisz-Verbräuche'!U169*Emissionsfaktoren!T169/1000, 0)</f>
        <v>0</v>
      </c>
      <c r="U334" s="15">
        <f>IF(ISNUMBER('Klisz-Verbräuche'!V169), 'Klisz-Verbräuche'!V169*Emissionsfaktoren!U169/1000, 0)</f>
        <v>0</v>
      </c>
      <c r="V334" s="15">
        <f>IF(ISNUMBER('Klisz-Verbräuche'!W169), 'Klisz-Verbräuche'!W169*Emissionsfaktoren!V169/1000, 0)</f>
        <v>0</v>
      </c>
      <c r="W334" s="15">
        <f>IF(ISNUMBER('Klisz-Verbräuche'!X169), 'Klisz-Verbräuche'!X169*Emissionsfaktoren!W169/1000, 0)</f>
        <v>0</v>
      </c>
      <c r="X334" s="15">
        <f>IF(ISNUMBER('Klisz-Verbräuche'!Y169), 'Klisz-Verbräuche'!Y169*Emissionsfaktoren!X169/1000, 0)</f>
        <v>0</v>
      </c>
    </row>
    <row r="335" spans="2:24" ht="16.5" hidden="1" x14ac:dyDescent="0.45">
      <c r="B335" s="15">
        <v>110</v>
      </c>
      <c r="C335" s="20" t="str">
        <f>'Refsz-Verbräuche'!C170</f>
        <v>Sperrmüll</v>
      </c>
      <c r="D335" t="s">
        <v>208</v>
      </c>
      <c r="E335" s="15">
        <f>IF(ISNUMBER('Klisz-Verbräuche'!F170), 'Klisz-Verbräuche'!F170*Emissionsfaktoren!E170/1000, 0)</f>
        <v>0</v>
      </c>
      <c r="F335" s="15">
        <f>IF(ISNUMBER('Klisz-Verbräuche'!G170), 'Klisz-Verbräuche'!G170*Emissionsfaktoren!F170/1000, 0)</f>
        <v>0</v>
      </c>
      <c r="G335" s="15">
        <f>IF(ISNUMBER('Klisz-Verbräuche'!H170), 'Klisz-Verbräuche'!H170*Emissionsfaktoren!G170/1000, 0)</f>
        <v>0</v>
      </c>
      <c r="H335" s="15">
        <f>IF(ISNUMBER('Klisz-Verbräuche'!I170), 'Klisz-Verbräuche'!I170*Emissionsfaktoren!H170/1000, 0)</f>
        <v>0</v>
      </c>
      <c r="I335" s="15">
        <f>IF(ISNUMBER('Refsz-Verbräuche'!I169), 'Refsz-Verbräuche'!I169*Emissionsfaktoren!I170/1000, 0)</f>
        <v>0</v>
      </c>
      <c r="J335" s="15">
        <f>IF(ISNUMBER('Klisz-Verbräuche'!K170), 'Klisz-Verbräuche'!K170*Emissionsfaktoren!J170/1000, 0)</f>
        <v>0</v>
      </c>
      <c r="K335" s="15">
        <f>IF(ISNUMBER('Klisz-Verbräuche'!L170), 'Klisz-Verbräuche'!L170*Emissionsfaktoren!K170/1000, 0)</f>
        <v>0</v>
      </c>
      <c r="L335" s="15">
        <f>IF(ISNUMBER('Klisz-Verbräuche'!M170), 'Klisz-Verbräuche'!M170*Emissionsfaktoren!L170/1000, 0)</f>
        <v>0</v>
      </c>
      <c r="M335" s="15">
        <f>IF(ISNUMBER('Klisz-Verbräuche'!N170), 'Klisz-Verbräuche'!N170*Emissionsfaktoren!M170/1000, 0)</f>
        <v>0</v>
      </c>
      <c r="N335" s="15">
        <f>IF(ISNUMBER('Klisz-Verbräuche'!O170), 'Klisz-Verbräuche'!O170*Emissionsfaktoren!N170/1000, 0)</f>
        <v>0</v>
      </c>
      <c r="O335" s="15">
        <f>IF(ISNUMBER('Klisz-Verbräuche'!P170), 'Klisz-Verbräuche'!P170*Emissionsfaktoren!O170/1000, 0)</f>
        <v>0</v>
      </c>
      <c r="P335" s="15">
        <f>IF(ISNUMBER('Klisz-Verbräuche'!Q170), 'Klisz-Verbräuche'!Q170*Emissionsfaktoren!P170/1000, 0)</f>
        <v>0</v>
      </c>
      <c r="Q335" s="15">
        <f>IF(ISNUMBER('Klisz-Verbräuche'!R170), 'Klisz-Verbräuche'!R170*Emissionsfaktoren!Q170/1000, 0)</f>
        <v>0</v>
      </c>
      <c r="R335" s="15">
        <f>IF(ISNUMBER('Klisz-Verbräuche'!S170), 'Klisz-Verbräuche'!S170*Emissionsfaktoren!R170/1000, 0)</f>
        <v>0</v>
      </c>
      <c r="S335" s="15">
        <f>IF(ISNUMBER('Klisz-Verbräuche'!T170), 'Klisz-Verbräuche'!T170*Emissionsfaktoren!S170/1000, 0)</f>
        <v>0</v>
      </c>
      <c r="T335" s="15">
        <f>IF(ISNUMBER('Klisz-Verbräuche'!U170), 'Klisz-Verbräuche'!U170*Emissionsfaktoren!T170/1000, 0)</f>
        <v>0</v>
      </c>
      <c r="U335" s="15">
        <f>IF(ISNUMBER('Klisz-Verbräuche'!V170), 'Klisz-Verbräuche'!V170*Emissionsfaktoren!U170/1000, 0)</f>
        <v>0</v>
      </c>
      <c r="V335" s="15">
        <f>IF(ISNUMBER('Klisz-Verbräuche'!W170), 'Klisz-Verbräuche'!W170*Emissionsfaktoren!V170/1000, 0)</f>
        <v>0</v>
      </c>
      <c r="W335" s="15">
        <f>IF(ISNUMBER('Klisz-Verbräuche'!X170), 'Klisz-Verbräuche'!X170*Emissionsfaktoren!W170/1000, 0)</f>
        <v>0</v>
      </c>
      <c r="X335" s="15">
        <f>IF(ISNUMBER('Klisz-Verbräuche'!Y170), 'Klisz-Verbräuche'!Y170*Emissionsfaktoren!X170/1000, 0)</f>
        <v>0</v>
      </c>
    </row>
    <row r="336" spans="2:24" ht="16.5" hidden="1" x14ac:dyDescent="0.45">
      <c r="B336" s="15">
        <v>111</v>
      </c>
      <c r="C336" s="20" t="str">
        <f>'Refsz-Verbräuche'!C171</f>
        <v>Altholz</v>
      </c>
      <c r="D336" t="s">
        <v>208</v>
      </c>
      <c r="E336" s="15">
        <f>IF(ISNUMBER('Klisz-Verbräuche'!F171), 'Klisz-Verbräuche'!F171*Emissionsfaktoren!E171/1000, 0)</f>
        <v>0</v>
      </c>
      <c r="F336" s="15">
        <f>IF(ISNUMBER('Klisz-Verbräuche'!G171), 'Klisz-Verbräuche'!G171*Emissionsfaktoren!F171/1000, 0)</f>
        <v>0</v>
      </c>
      <c r="G336" s="15">
        <f>IF(ISNUMBER('Klisz-Verbräuche'!H171), 'Klisz-Verbräuche'!H171*Emissionsfaktoren!G171/1000, 0)</f>
        <v>0</v>
      </c>
      <c r="H336" s="15">
        <f>IF(ISNUMBER('Klisz-Verbräuche'!I171), 'Klisz-Verbräuche'!I171*Emissionsfaktoren!H171/1000, 0)</f>
        <v>0</v>
      </c>
      <c r="I336" s="15">
        <f>IF(ISNUMBER('Refsz-Verbräuche'!I170), 'Refsz-Verbräuche'!I170*Emissionsfaktoren!I171/1000, 0)</f>
        <v>0</v>
      </c>
      <c r="J336" s="15">
        <f>IF(ISNUMBER('Klisz-Verbräuche'!K171), 'Klisz-Verbräuche'!K171*Emissionsfaktoren!J171/1000, 0)</f>
        <v>0</v>
      </c>
      <c r="K336" s="15">
        <f>IF(ISNUMBER('Klisz-Verbräuche'!L171), 'Klisz-Verbräuche'!L171*Emissionsfaktoren!K171/1000, 0)</f>
        <v>0</v>
      </c>
      <c r="L336" s="15">
        <f>IF(ISNUMBER('Klisz-Verbräuche'!M171), 'Klisz-Verbräuche'!M171*Emissionsfaktoren!L171/1000, 0)</f>
        <v>0</v>
      </c>
      <c r="M336" s="15">
        <f>IF(ISNUMBER('Klisz-Verbräuche'!N171), 'Klisz-Verbräuche'!N171*Emissionsfaktoren!M171/1000, 0)</f>
        <v>0</v>
      </c>
      <c r="N336" s="15">
        <f>IF(ISNUMBER('Klisz-Verbräuche'!O171), 'Klisz-Verbräuche'!O171*Emissionsfaktoren!N171/1000, 0)</f>
        <v>0</v>
      </c>
      <c r="O336" s="15">
        <f>IF(ISNUMBER('Klisz-Verbräuche'!P171), 'Klisz-Verbräuche'!P171*Emissionsfaktoren!O171/1000, 0)</f>
        <v>0</v>
      </c>
      <c r="P336" s="15">
        <f>IF(ISNUMBER('Klisz-Verbräuche'!Q171), 'Klisz-Verbräuche'!Q171*Emissionsfaktoren!P171/1000, 0)</f>
        <v>0</v>
      </c>
      <c r="Q336" s="15">
        <f>IF(ISNUMBER('Klisz-Verbräuche'!R171), 'Klisz-Verbräuche'!R171*Emissionsfaktoren!Q171/1000, 0)</f>
        <v>0</v>
      </c>
      <c r="R336" s="15">
        <f>IF(ISNUMBER('Klisz-Verbräuche'!S171), 'Klisz-Verbräuche'!S171*Emissionsfaktoren!R171/1000, 0)</f>
        <v>0</v>
      </c>
      <c r="S336" s="15">
        <f>IF(ISNUMBER('Klisz-Verbräuche'!T171), 'Klisz-Verbräuche'!T171*Emissionsfaktoren!S171/1000, 0)</f>
        <v>0</v>
      </c>
      <c r="T336" s="15">
        <f>IF(ISNUMBER('Klisz-Verbräuche'!U171), 'Klisz-Verbräuche'!U171*Emissionsfaktoren!T171/1000, 0)</f>
        <v>0</v>
      </c>
      <c r="U336" s="15">
        <f>IF(ISNUMBER('Klisz-Verbräuche'!V171), 'Klisz-Verbräuche'!V171*Emissionsfaktoren!U171/1000, 0)</f>
        <v>0</v>
      </c>
      <c r="V336" s="15">
        <f>IF(ISNUMBER('Klisz-Verbräuche'!W171), 'Klisz-Verbräuche'!W171*Emissionsfaktoren!V171/1000, 0)</f>
        <v>0</v>
      </c>
      <c r="W336" s="15">
        <f>IF(ISNUMBER('Klisz-Verbräuche'!X171), 'Klisz-Verbräuche'!X171*Emissionsfaktoren!W171/1000, 0)</f>
        <v>0</v>
      </c>
      <c r="X336" s="15">
        <f>IF(ISNUMBER('Klisz-Verbräuche'!Y171), 'Klisz-Verbräuche'!Y171*Emissionsfaktoren!X171/1000, 0)</f>
        <v>0</v>
      </c>
    </row>
    <row r="337" spans="2:24" ht="16.5" hidden="1" x14ac:dyDescent="0.45">
      <c r="B337" s="15">
        <v>112</v>
      </c>
      <c r="C337" s="20" t="str">
        <f>'Refsz-Verbräuche'!C172</f>
        <v>Altglas</v>
      </c>
      <c r="D337" t="s">
        <v>208</v>
      </c>
      <c r="E337" s="15">
        <f>IF(ISNUMBER('Klisz-Verbräuche'!F172), 'Klisz-Verbräuche'!F172*Emissionsfaktoren!E172/1000, 0)</f>
        <v>0</v>
      </c>
      <c r="F337" s="15">
        <f>IF(ISNUMBER('Klisz-Verbräuche'!G172), 'Klisz-Verbräuche'!G172*Emissionsfaktoren!F172/1000, 0)</f>
        <v>0</v>
      </c>
      <c r="G337" s="15">
        <f>IF(ISNUMBER('Klisz-Verbräuche'!H172), 'Klisz-Verbräuche'!H172*Emissionsfaktoren!G172/1000, 0)</f>
        <v>0</v>
      </c>
      <c r="H337" s="15">
        <f>IF(ISNUMBER('Klisz-Verbräuche'!I172), 'Klisz-Verbräuche'!I172*Emissionsfaktoren!H172/1000, 0)</f>
        <v>0</v>
      </c>
      <c r="I337" s="15">
        <f>IF(ISNUMBER('Refsz-Verbräuche'!I171), 'Refsz-Verbräuche'!I171*Emissionsfaktoren!I172/1000, 0)</f>
        <v>0</v>
      </c>
      <c r="J337" s="15">
        <f>IF(ISNUMBER('Klisz-Verbräuche'!K172), 'Klisz-Verbräuche'!K172*Emissionsfaktoren!J172/1000, 0)</f>
        <v>0</v>
      </c>
      <c r="K337" s="15">
        <f>IF(ISNUMBER('Klisz-Verbräuche'!L172), 'Klisz-Verbräuche'!L172*Emissionsfaktoren!K172/1000, 0)</f>
        <v>0</v>
      </c>
      <c r="L337" s="15">
        <f>IF(ISNUMBER('Klisz-Verbräuche'!M172), 'Klisz-Verbräuche'!M172*Emissionsfaktoren!L172/1000, 0)</f>
        <v>0</v>
      </c>
      <c r="M337" s="15">
        <f>IF(ISNUMBER('Klisz-Verbräuche'!N172), 'Klisz-Verbräuche'!N172*Emissionsfaktoren!M172/1000, 0)</f>
        <v>0</v>
      </c>
      <c r="N337" s="15">
        <f>IF(ISNUMBER('Klisz-Verbräuche'!O172), 'Klisz-Verbräuche'!O172*Emissionsfaktoren!N172/1000, 0)</f>
        <v>0</v>
      </c>
      <c r="O337" s="15">
        <f>IF(ISNUMBER('Klisz-Verbräuche'!P172), 'Klisz-Verbräuche'!P172*Emissionsfaktoren!O172/1000, 0)</f>
        <v>0</v>
      </c>
      <c r="P337" s="15">
        <f>IF(ISNUMBER('Klisz-Verbräuche'!Q172), 'Klisz-Verbräuche'!Q172*Emissionsfaktoren!P172/1000, 0)</f>
        <v>0</v>
      </c>
      <c r="Q337" s="15">
        <f>IF(ISNUMBER('Klisz-Verbräuche'!R172), 'Klisz-Verbräuche'!R172*Emissionsfaktoren!Q172/1000, 0)</f>
        <v>0</v>
      </c>
      <c r="R337" s="15">
        <f>IF(ISNUMBER('Klisz-Verbräuche'!S172), 'Klisz-Verbräuche'!S172*Emissionsfaktoren!R172/1000, 0)</f>
        <v>0</v>
      </c>
      <c r="S337" s="15">
        <f>IF(ISNUMBER('Klisz-Verbräuche'!T172), 'Klisz-Verbräuche'!T172*Emissionsfaktoren!S172/1000, 0)</f>
        <v>0</v>
      </c>
      <c r="T337" s="15">
        <f>IF(ISNUMBER('Klisz-Verbräuche'!U172), 'Klisz-Verbräuche'!U172*Emissionsfaktoren!T172/1000, 0)</f>
        <v>0</v>
      </c>
      <c r="U337" s="15">
        <f>IF(ISNUMBER('Klisz-Verbräuche'!V172), 'Klisz-Verbräuche'!V172*Emissionsfaktoren!U172/1000, 0)</f>
        <v>0</v>
      </c>
      <c r="V337" s="15">
        <f>IF(ISNUMBER('Klisz-Verbräuche'!W172), 'Klisz-Verbräuche'!W172*Emissionsfaktoren!V172/1000, 0)</f>
        <v>0</v>
      </c>
      <c r="W337" s="15">
        <f>IF(ISNUMBER('Klisz-Verbräuche'!X172), 'Klisz-Verbräuche'!X172*Emissionsfaktoren!W172/1000, 0)</f>
        <v>0</v>
      </c>
      <c r="X337" s="15">
        <f>IF(ISNUMBER('Klisz-Verbräuche'!Y172), 'Klisz-Verbräuche'!Y172*Emissionsfaktoren!X172/1000, 0)</f>
        <v>0</v>
      </c>
    </row>
    <row r="338" spans="2:24" ht="16.5" hidden="1" x14ac:dyDescent="0.45">
      <c r="B338" s="15">
        <v>113</v>
      </c>
      <c r="C338" s="20" t="str">
        <f>'Refsz-Verbräuche'!C173</f>
        <v>E-Großgeräte (Abfall)</v>
      </c>
      <c r="D338" t="s">
        <v>208</v>
      </c>
      <c r="E338" s="15">
        <f>IF(ISNUMBER('Klisz-Verbräuche'!F173), 'Klisz-Verbräuche'!F173*Emissionsfaktoren!E173/1000, 0)</f>
        <v>0</v>
      </c>
      <c r="F338" s="15">
        <f>IF(ISNUMBER('Klisz-Verbräuche'!G173), 'Klisz-Verbräuche'!G173*Emissionsfaktoren!F173/1000, 0)</f>
        <v>0</v>
      </c>
      <c r="G338" s="15">
        <f>IF(ISNUMBER('Klisz-Verbräuche'!H173), 'Klisz-Verbräuche'!H173*Emissionsfaktoren!G173/1000, 0)</f>
        <v>0</v>
      </c>
      <c r="H338" s="15">
        <f>IF(ISNUMBER('Klisz-Verbräuche'!I173), 'Klisz-Verbräuche'!I173*Emissionsfaktoren!H173/1000, 0)</f>
        <v>0</v>
      </c>
      <c r="I338" s="15">
        <f>IF(ISNUMBER('Refsz-Verbräuche'!I172), 'Refsz-Verbräuche'!I172*Emissionsfaktoren!I173/1000, 0)</f>
        <v>0</v>
      </c>
      <c r="J338" s="15">
        <f>IF(ISNUMBER('Klisz-Verbräuche'!K173), 'Klisz-Verbräuche'!K173*Emissionsfaktoren!J173/1000, 0)</f>
        <v>0</v>
      </c>
      <c r="K338" s="15">
        <f>IF(ISNUMBER('Klisz-Verbräuche'!L173), 'Klisz-Verbräuche'!L173*Emissionsfaktoren!K173/1000, 0)</f>
        <v>0</v>
      </c>
      <c r="L338" s="15">
        <f>IF(ISNUMBER('Klisz-Verbräuche'!M173), 'Klisz-Verbräuche'!M173*Emissionsfaktoren!L173/1000, 0)</f>
        <v>0</v>
      </c>
      <c r="M338" s="15">
        <f>IF(ISNUMBER('Klisz-Verbräuche'!N173), 'Klisz-Verbräuche'!N173*Emissionsfaktoren!M173/1000, 0)</f>
        <v>0</v>
      </c>
      <c r="N338" s="15">
        <f>IF(ISNUMBER('Klisz-Verbräuche'!O173), 'Klisz-Verbräuche'!O173*Emissionsfaktoren!N173/1000, 0)</f>
        <v>0</v>
      </c>
      <c r="O338" s="15">
        <f>IF(ISNUMBER('Klisz-Verbräuche'!P173), 'Klisz-Verbräuche'!P173*Emissionsfaktoren!O173/1000, 0)</f>
        <v>0</v>
      </c>
      <c r="P338" s="15">
        <f>IF(ISNUMBER('Klisz-Verbräuche'!Q173), 'Klisz-Verbräuche'!Q173*Emissionsfaktoren!P173/1000, 0)</f>
        <v>0</v>
      </c>
      <c r="Q338" s="15">
        <f>IF(ISNUMBER('Klisz-Verbräuche'!R173), 'Klisz-Verbräuche'!R173*Emissionsfaktoren!Q173/1000, 0)</f>
        <v>0</v>
      </c>
      <c r="R338" s="15">
        <f>IF(ISNUMBER('Klisz-Verbräuche'!S173), 'Klisz-Verbräuche'!S173*Emissionsfaktoren!R173/1000, 0)</f>
        <v>0</v>
      </c>
      <c r="S338" s="15">
        <f>IF(ISNUMBER('Klisz-Verbräuche'!T173), 'Klisz-Verbräuche'!T173*Emissionsfaktoren!S173/1000, 0)</f>
        <v>0</v>
      </c>
      <c r="T338" s="15">
        <f>IF(ISNUMBER('Klisz-Verbräuche'!U173), 'Klisz-Verbräuche'!U173*Emissionsfaktoren!T173/1000, 0)</f>
        <v>0</v>
      </c>
      <c r="U338" s="15">
        <f>IF(ISNUMBER('Klisz-Verbräuche'!V173), 'Klisz-Verbräuche'!V173*Emissionsfaktoren!U173/1000, 0)</f>
        <v>0</v>
      </c>
      <c r="V338" s="15">
        <f>IF(ISNUMBER('Klisz-Verbräuche'!W173), 'Klisz-Verbräuche'!W173*Emissionsfaktoren!V173/1000, 0)</f>
        <v>0</v>
      </c>
      <c r="W338" s="15">
        <f>IF(ISNUMBER('Klisz-Verbräuche'!X173), 'Klisz-Verbräuche'!X173*Emissionsfaktoren!W173/1000, 0)</f>
        <v>0</v>
      </c>
      <c r="X338" s="15">
        <f>IF(ISNUMBER('Klisz-Verbräuche'!Y173), 'Klisz-Verbräuche'!Y173*Emissionsfaktoren!X173/1000, 0)</f>
        <v>0</v>
      </c>
    </row>
    <row r="339" spans="2:24" ht="16.5" hidden="1" x14ac:dyDescent="0.45">
      <c r="B339" s="15">
        <v>114</v>
      </c>
      <c r="C339" s="20" t="str">
        <f>'Refsz-Verbräuche'!C174</f>
        <v>Metalle (Abfall)</v>
      </c>
      <c r="D339" t="s">
        <v>208</v>
      </c>
      <c r="E339" s="15">
        <f>IF(ISNUMBER('Klisz-Verbräuche'!F174), 'Klisz-Verbräuche'!F174*Emissionsfaktoren!E174/1000, 0)</f>
        <v>0</v>
      </c>
      <c r="F339" s="15">
        <f>IF(ISNUMBER('Klisz-Verbräuche'!G174), 'Klisz-Verbräuche'!G174*Emissionsfaktoren!F174/1000, 0)</f>
        <v>0</v>
      </c>
      <c r="G339" s="15">
        <f>IF(ISNUMBER('Klisz-Verbräuche'!H174), 'Klisz-Verbräuche'!H174*Emissionsfaktoren!G174/1000, 0)</f>
        <v>0</v>
      </c>
      <c r="H339" s="15">
        <f>IF(ISNUMBER('Klisz-Verbräuche'!I174), 'Klisz-Verbräuche'!I174*Emissionsfaktoren!H174/1000, 0)</f>
        <v>0</v>
      </c>
      <c r="I339" s="15">
        <f>IF(ISNUMBER('Refsz-Verbräuche'!I173), 'Refsz-Verbräuche'!I173*Emissionsfaktoren!I174/1000, 0)</f>
        <v>0</v>
      </c>
      <c r="J339" s="15">
        <f>IF(ISNUMBER('Klisz-Verbräuche'!K174), 'Klisz-Verbräuche'!K174*Emissionsfaktoren!J174/1000, 0)</f>
        <v>0</v>
      </c>
      <c r="K339" s="15">
        <f>IF(ISNUMBER('Klisz-Verbräuche'!L174), 'Klisz-Verbräuche'!L174*Emissionsfaktoren!K174/1000, 0)</f>
        <v>0</v>
      </c>
      <c r="L339" s="15">
        <f>IF(ISNUMBER('Klisz-Verbräuche'!M174), 'Klisz-Verbräuche'!M174*Emissionsfaktoren!L174/1000, 0)</f>
        <v>0</v>
      </c>
      <c r="M339" s="15">
        <f>IF(ISNUMBER('Klisz-Verbräuche'!N174), 'Klisz-Verbräuche'!N174*Emissionsfaktoren!M174/1000, 0)</f>
        <v>0</v>
      </c>
      <c r="N339" s="15">
        <f>IF(ISNUMBER('Klisz-Verbräuche'!O174), 'Klisz-Verbräuche'!O174*Emissionsfaktoren!N174/1000, 0)</f>
        <v>0</v>
      </c>
      <c r="O339" s="15">
        <f>IF(ISNUMBER('Klisz-Verbräuche'!P174), 'Klisz-Verbräuche'!P174*Emissionsfaktoren!O174/1000, 0)</f>
        <v>0</v>
      </c>
      <c r="P339" s="15">
        <f>IF(ISNUMBER('Klisz-Verbräuche'!Q174), 'Klisz-Verbräuche'!Q174*Emissionsfaktoren!P174/1000, 0)</f>
        <v>0</v>
      </c>
      <c r="Q339" s="15">
        <f>IF(ISNUMBER('Klisz-Verbräuche'!R174), 'Klisz-Verbräuche'!R174*Emissionsfaktoren!Q174/1000, 0)</f>
        <v>0</v>
      </c>
      <c r="R339" s="15">
        <f>IF(ISNUMBER('Klisz-Verbräuche'!S174), 'Klisz-Verbräuche'!S174*Emissionsfaktoren!R174/1000, 0)</f>
        <v>0</v>
      </c>
      <c r="S339" s="15">
        <f>IF(ISNUMBER('Klisz-Verbräuche'!T174), 'Klisz-Verbräuche'!T174*Emissionsfaktoren!S174/1000, 0)</f>
        <v>0</v>
      </c>
      <c r="T339" s="15">
        <f>IF(ISNUMBER('Klisz-Verbräuche'!U174), 'Klisz-Verbräuche'!U174*Emissionsfaktoren!T174/1000, 0)</f>
        <v>0</v>
      </c>
      <c r="U339" s="15">
        <f>IF(ISNUMBER('Klisz-Verbräuche'!V174), 'Klisz-Verbräuche'!V174*Emissionsfaktoren!U174/1000, 0)</f>
        <v>0</v>
      </c>
      <c r="V339" s="15">
        <f>IF(ISNUMBER('Klisz-Verbräuche'!W174), 'Klisz-Verbräuche'!W174*Emissionsfaktoren!V174/1000, 0)</f>
        <v>0</v>
      </c>
      <c r="W339" s="15">
        <f>IF(ISNUMBER('Klisz-Verbräuche'!X174), 'Klisz-Verbräuche'!X174*Emissionsfaktoren!W174/1000, 0)</f>
        <v>0</v>
      </c>
      <c r="X339" s="15">
        <f>IF(ISNUMBER('Klisz-Verbräuche'!Y174), 'Klisz-Verbräuche'!Y174*Emissionsfaktoren!X174/1000, 0)</f>
        <v>0</v>
      </c>
    </row>
    <row r="340" spans="2:24" ht="16.5" hidden="1" x14ac:dyDescent="0.45">
      <c r="B340" s="15">
        <v>115</v>
      </c>
      <c r="C340" s="20" t="str">
        <f>'Refsz-Verbräuche'!C175</f>
        <v>Bauschutt</v>
      </c>
      <c r="D340" t="s">
        <v>208</v>
      </c>
      <c r="E340" s="15">
        <f>IF(ISNUMBER('Klisz-Verbräuche'!F175), 'Klisz-Verbräuche'!F175*Emissionsfaktoren!E175/1000, 0)</f>
        <v>0</v>
      </c>
      <c r="F340" s="15">
        <f>IF(ISNUMBER('Klisz-Verbräuche'!G175), 'Klisz-Verbräuche'!G175*Emissionsfaktoren!F175/1000, 0)</f>
        <v>0</v>
      </c>
      <c r="G340" s="15">
        <f>IF(ISNUMBER('Klisz-Verbräuche'!H175), 'Klisz-Verbräuche'!H175*Emissionsfaktoren!G175/1000, 0)</f>
        <v>0</v>
      </c>
      <c r="H340" s="15">
        <f>IF(ISNUMBER('Klisz-Verbräuche'!I175), 'Klisz-Verbräuche'!I175*Emissionsfaktoren!H175/1000, 0)</f>
        <v>0</v>
      </c>
      <c r="I340" s="15">
        <f>IF(ISNUMBER('Refsz-Verbräuche'!I174), 'Refsz-Verbräuche'!I174*Emissionsfaktoren!I175/1000, 0)</f>
        <v>0</v>
      </c>
      <c r="J340" s="15">
        <f>IF(ISNUMBER('Klisz-Verbräuche'!K175), 'Klisz-Verbräuche'!K175*Emissionsfaktoren!J175/1000, 0)</f>
        <v>0</v>
      </c>
      <c r="K340" s="15">
        <f>IF(ISNUMBER('Klisz-Verbräuche'!L175), 'Klisz-Verbräuche'!L175*Emissionsfaktoren!K175/1000, 0)</f>
        <v>0</v>
      </c>
      <c r="L340" s="15">
        <f>IF(ISNUMBER('Klisz-Verbräuche'!M175), 'Klisz-Verbräuche'!M175*Emissionsfaktoren!L175/1000, 0)</f>
        <v>0</v>
      </c>
      <c r="M340" s="15">
        <f>IF(ISNUMBER('Klisz-Verbräuche'!N175), 'Klisz-Verbräuche'!N175*Emissionsfaktoren!M175/1000, 0)</f>
        <v>0</v>
      </c>
      <c r="N340" s="15">
        <f>IF(ISNUMBER('Klisz-Verbräuche'!O175), 'Klisz-Verbräuche'!O175*Emissionsfaktoren!N175/1000, 0)</f>
        <v>0</v>
      </c>
      <c r="O340" s="15">
        <f>IF(ISNUMBER('Klisz-Verbräuche'!P175), 'Klisz-Verbräuche'!P175*Emissionsfaktoren!O175/1000, 0)</f>
        <v>0</v>
      </c>
      <c r="P340" s="15">
        <f>IF(ISNUMBER('Klisz-Verbräuche'!Q175), 'Klisz-Verbräuche'!Q175*Emissionsfaktoren!P175/1000, 0)</f>
        <v>0</v>
      </c>
      <c r="Q340" s="15">
        <f>IF(ISNUMBER('Klisz-Verbräuche'!R175), 'Klisz-Verbräuche'!R175*Emissionsfaktoren!Q175/1000, 0)</f>
        <v>0</v>
      </c>
      <c r="R340" s="15">
        <f>IF(ISNUMBER('Klisz-Verbräuche'!S175), 'Klisz-Verbräuche'!S175*Emissionsfaktoren!R175/1000, 0)</f>
        <v>0</v>
      </c>
      <c r="S340" s="15">
        <f>IF(ISNUMBER('Klisz-Verbräuche'!T175), 'Klisz-Verbräuche'!T175*Emissionsfaktoren!S175/1000, 0)</f>
        <v>0</v>
      </c>
      <c r="T340" s="15">
        <f>IF(ISNUMBER('Klisz-Verbräuche'!U175), 'Klisz-Verbräuche'!U175*Emissionsfaktoren!T175/1000, 0)</f>
        <v>0</v>
      </c>
      <c r="U340" s="15">
        <f>IF(ISNUMBER('Klisz-Verbräuche'!V175), 'Klisz-Verbräuche'!V175*Emissionsfaktoren!U175/1000, 0)</f>
        <v>0</v>
      </c>
      <c r="V340" s="15">
        <f>IF(ISNUMBER('Klisz-Verbräuche'!W175), 'Klisz-Verbräuche'!W175*Emissionsfaktoren!V175/1000, 0)</f>
        <v>0</v>
      </c>
      <c r="W340" s="15">
        <f>IF(ISNUMBER('Klisz-Verbräuche'!X175), 'Klisz-Verbräuche'!X175*Emissionsfaktoren!W175/1000, 0)</f>
        <v>0</v>
      </c>
      <c r="X340" s="15">
        <f>IF(ISNUMBER('Klisz-Verbräuche'!Y175), 'Klisz-Verbräuche'!Y175*Emissionsfaktoren!X175/1000, 0)</f>
        <v>0</v>
      </c>
    </row>
    <row r="341" spans="2:24" ht="16.5" hidden="1" x14ac:dyDescent="0.45">
      <c r="B341" s="15">
        <v>116</v>
      </c>
      <c r="C341" s="20">
        <f>'Refsz-Verbräuche'!C176</f>
        <v>0</v>
      </c>
      <c r="D341" t="s">
        <v>208</v>
      </c>
      <c r="E341" s="15">
        <f>IF(ISNUMBER('Klisz-Verbräuche'!F176), 'Klisz-Verbräuche'!F176*Emissionsfaktoren!E176/1000, 0)</f>
        <v>0</v>
      </c>
      <c r="F341" s="15">
        <f>IF(ISNUMBER('Klisz-Verbräuche'!G176), 'Klisz-Verbräuche'!G176*Emissionsfaktoren!F176/1000, 0)</f>
        <v>0</v>
      </c>
      <c r="G341" s="15">
        <f>IF(ISNUMBER('Klisz-Verbräuche'!H176), 'Klisz-Verbräuche'!H176*Emissionsfaktoren!G176/1000, 0)</f>
        <v>0</v>
      </c>
      <c r="H341" s="15">
        <f>IF(ISNUMBER('Klisz-Verbräuche'!I176), 'Klisz-Verbräuche'!I176*Emissionsfaktoren!H176/1000, 0)</f>
        <v>0</v>
      </c>
      <c r="I341" s="15">
        <f>IF(ISNUMBER('Klisz-Verbräuche'!J176), 'Klisz-Verbräuche'!J176*Emissionsfaktoren!I176/1000, 0)</f>
        <v>0</v>
      </c>
      <c r="J341" s="15">
        <f>IF(ISNUMBER('Klisz-Verbräuche'!K176), 'Klisz-Verbräuche'!K176*Emissionsfaktoren!J176/1000, 0)</f>
        <v>0</v>
      </c>
      <c r="K341" s="15">
        <f>IF(ISNUMBER('Klisz-Verbräuche'!L176), 'Klisz-Verbräuche'!L176*Emissionsfaktoren!K176/1000, 0)</f>
        <v>0</v>
      </c>
      <c r="L341" s="15">
        <f>IF(ISNUMBER('Klisz-Verbräuche'!M176), 'Klisz-Verbräuche'!M176*Emissionsfaktoren!L176/1000, 0)</f>
        <v>0</v>
      </c>
      <c r="M341" s="15">
        <f>IF(ISNUMBER('Klisz-Verbräuche'!N176), 'Klisz-Verbräuche'!N176*Emissionsfaktoren!M176/1000, 0)</f>
        <v>0</v>
      </c>
      <c r="N341" s="15">
        <f>IF(ISNUMBER('Klisz-Verbräuche'!O176), 'Klisz-Verbräuche'!O176*Emissionsfaktoren!N176/1000, 0)</f>
        <v>0</v>
      </c>
      <c r="O341" s="15">
        <f>IF(ISNUMBER('Klisz-Verbräuche'!P176), 'Klisz-Verbräuche'!P176*Emissionsfaktoren!O176/1000, 0)</f>
        <v>0</v>
      </c>
      <c r="P341" s="15">
        <f>IF(ISNUMBER('Klisz-Verbräuche'!Q176), 'Klisz-Verbräuche'!Q176*Emissionsfaktoren!P176/1000, 0)</f>
        <v>0</v>
      </c>
      <c r="Q341" s="15">
        <f>IF(ISNUMBER('Klisz-Verbräuche'!R176), 'Klisz-Verbräuche'!R176*Emissionsfaktoren!Q176/1000, 0)</f>
        <v>0</v>
      </c>
      <c r="R341" s="15">
        <f>IF(ISNUMBER('Klisz-Verbräuche'!S176), 'Klisz-Verbräuche'!S176*Emissionsfaktoren!R176/1000, 0)</f>
        <v>0</v>
      </c>
      <c r="S341" s="15">
        <f>IF(ISNUMBER('Klisz-Verbräuche'!T176), 'Klisz-Verbräuche'!T176*Emissionsfaktoren!S176/1000, 0)</f>
        <v>0</v>
      </c>
      <c r="T341" s="15">
        <f>IF(ISNUMBER('Klisz-Verbräuche'!U176), 'Klisz-Verbräuche'!U176*Emissionsfaktoren!T176/1000, 0)</f>
        <v>0</v>
      </c>
      <c r="U341" s="15">
        <f>IF(ISNUMBER('Klisz-Verbräuche'!V176), 'Klisz-Verbräuche'!V176*Emissionsfaktoren!U176/1000, 0)</f>
        <v>0</v>
      </c>
      <c r="V341" s="15">
        <f>IF(ISNUMBER('Klisz-Verbräuche'!W176), 'Klisz-Verbräuche'!W176*Emissionsfaktoren!V176/1000, 0)</f>
        <v>0</v>
      </c>
      <c r="W341" s="15">
        <f>IF(ISNUMBER('Klisz-Verbräuche'!X176), 'Klisz-Verbräuche'!X176*Emissionsfaktoren!W176/1000, 0)</f>
        <v>0</v>
      </c>
      <c r="X341" s="15">
        <f>IF(ISNUMBER('Klisz-Verbräuche'!Y176), 'Klisz-Verbräuche'!Y176*Emissionsfaktoren!X176/1000, 0)</f>
        <v>0</v>
      </c>
    </row>
    <row r="342" spans="2:24" ht="16.5" hidden="1" x14ac:dyDescent="0.45">
      <c r="B342" s="15">
        <v>117</v>
      </c>
      <c r="C342" s="20" t="str">
        <f>'Refsz-Verbräuche'!C177</f>
        <v>Branntkalk</v>
      </c>
      <c r="D342" t="s">
        <v>208</v>
      </c>
      <c r="E342" s="15">
        <f>IF(ISNUMBER('Klisz-Verbräuche'!F177), 'Klisz-Verbräuche'!F177*Emissionsfaktoren!E177/1000, 0)</f>
        <v>0</v>
      </c>
      <c r="F342" s="15">
        <f>IF(ISNUMBER('Klisz-Verbräuche'!G177), 'Klisz-Verbräuche'!G177*Emissionsfaktoren!F177/1000, 0)</f>
        <v>0</v>
      </c>
      <c r="G342" s="15">
        <f>IF(ISNUMBER('Klisz-Verbräuche'!H177), 'Klisz-Verbräuche'!H177*Emissionsfaktoren!G177/1000, 0)</f>
        <v>0</v>
      </c>
      <c r="H342" s="15">
        <f>IF(ISNUMBER('Klisz-Verbräuche'!I177), 'Klisz-Verbräuche'!I177*Emissionsfaktoren!H177/1000, 0)</f>
        <v>0</v>
      </c>
      <c r="I342" s="15">
        <f>IF(ISNUMBER('Klisz-Verbräuche'!J177), 'Klisz-Verbräuche'!J177*Emissionsfaktoren!I177/1000, 0)</f>
        <v>0</v>
      </c>
      <c r="J342" s="15">
        <f>IF(ISNUMBER('Klisz-Verbräuche'!K177), 'Klisz-Verbräuche'!K177*Emissionsfaktoren!J177/1000, 0)</f>
        <v>0</v>
      </c>
      <c r="K342" s="15">
        <f>IF(ISNUMBER('Klisz-Verbräuche'!L177), 'Klisz-Verbräuche'!L177*Emissionsfaktoren!K177/1000, 0)</f>
        <v>0</v>
      </c>
      <c r="L342" s="15">
        <f>IF(ISNUMBER('Klisz-Verbräuche'!M177), 'Klisz-Verbräuche'!M177*Emissionsfaktoren!L177/1000, 0)</f>
        <v>0</v>
      </c>
      <c r="M342" s="15">
        <f>IF(ISNUMBER('Klisz-Verbräuche'!N177), 'Klisz-Verbräuche'!N177*Emissionsfaktoren!M177/1000, 0)</f>
        <v>0</v>
      </c>
      <c r="N342" s="15">
        <f>IF(ISNUMBER('Klisz-Verbräuche'!O177), 'Klisz-Verbräuche'!O177*Emissionsfaktoren!N177/1000, 0)</f>
        <v>0</v>
      </c>
      <c r="O342" s="15">
        <f>IF(ISNUMBER('Klisz-Verbräuche'!P177), 'Klisz-Verbräuche'!P177*Emissionsfaktoren!O177/1000, 0)</f>
        <v>0</v>
      </c>
      <c r="P342" s="15">
        <f>IF(ISNUMBER('Klisz-Verbräuche'!Q177), 'Klisz-Verbräuche'!Q177*Emissionsfaktoren!P177/1000, 0)</f>
        <v>0</v>
      </c>
      <c r="Q342" s="15">
        <f>IF(ISNUMBER('Klisz-Verbräuche'!R177), 'Klisz-Verbräuche'!R177*Emissionsfaktoren!Q177/1000, 0)</f>
        <v>0</v>
      </c>
      <c r="R342" s="15">
        <f>IF(ISNUMBER('Klisz-Verbräuche'!S177), 'Klisz-Verbräuche'!S177*Emissionsfaktoren!R177/1000, 0)</f>
        <v>0</v>
      </c>
      <c r="S342" s="15">
        <f>IF(ISNUMBER('Klisz-Verbräuche'!T177), 'Klisz-Verbräuche'!T177*Emissionsfaktoren!S177/1000, 0)</f>
        <v>0</v>
      </c>
      <c r="T342" s="15">
        <f>IF(ISNUMBER('Klisz-Verbräuche'!U177), 'Klisz-Verbräuche'!U177*Emissionsfaktoren!T177/1000, 0)</f>
        <v>0</v>
      </c>
      <c r="U342" s="15">
        <f>IF(ISNUMBER('Klisz-Verbräuche'!V177), 'Klisz-Verbräuche'!V177*Emissionsfaktoren!U177/1000, 0)</f>
        <v>0</v>
      </c>
      <c r="V342" s="15">
        <f>IF(ISNUMBER('Klisz-Verbräuche'!W177), 'Klisz-Verbräuche'!W177*Emissionsfaktoren!V177/1000, 0)</f>
        <v>0</v>
      </c>
      <c r="W342" s="15">
        <f>IF(ISNUMBER('Klisz-Verbräuche'!X177), 'Klisz-Verbräuche'!X177*Emissionsfaktoren!W177/1000, 0)</f>
        <v>0</v>
      </c>
      <c r="X342" s="15">
        <f>IF(ISNUMBER('Klisz-Verbräuche'!Y177), 'Klisz-Verbräuche'!Y177*Emissionsfaktoren!X177/1000, 0)</f>
        <v>0</v>
      </c>
    </row>
    <row r="343" spans="2:24" ht="16.5" hidden="1" x14ac:dyDescent="0.45">
      <c r="B343" s="15">
        <v>118</v>
      </c>
      <c r="C343" s="20" t="str">
        <f>'Refsz-Verbräuche'!C178</f>
        <v>Gips</v>
      </c>
      <c r="D343" t="s">
        <v>208</v>
      </c>
      <c r="E343" s="15">
        <f>IF(ISNUMBER('Klisz-Verbräuche'!F178), 'Klisz-Verbräuche'!F178*Emissionsfaktoren!E178/1000, 0)</f>
        <v>0</v>
      </c>
      <c r="F343" s="15">
        <f>IF(ISNUMBER('Klisz-Verbräuche'!G178), 'Klisz-Verbräuche'!G178*Emissionsfaktoren!F178/1000, 0)</f>
        <v>0</v>
      </c>
      <c r="G343" s="15">
        <f>IF(ISNUMBER('Klisz-Verbräuche'!H178), 'Klisz-Verbräuche'!H178*Emissionsfaktoren!G178/1000, 0)</f>
        <v>0</v>
      </c>
      <c r="H343" s="15">
        <f>IF(ISNUMBER('Klisz-Verbräuche'!I178), 'Klisz-Verbräuche'!I178*Emissionsfaktoren!H178/1000, 0)</f>
        <v>0</v>
      </c>
      <c r="I343" s="15">
        <f>IF(ISNUMBER('Klisz-Verbräuche'!J178), 'Klisz-Verbräuche'!J178*Emissionsfaktoren!I178/1000, 0)</f>
        <v>0</v>
      </c>
      <c r="J343" s="15">
        <f>IF(ISNUMBER('Klisz-Verbräuche'!K178), 'Klisz-Verbräuche'!K178*Emissionsfaktoren!J178/1000, 0)</f>
        <v>0</v>
      </c>
      <c r="K343" s="15">
        <f>IF(ISNUMBER('Klisz-Verbräuche'!L178), 'Klisz-Verbräuche'!L178*Emissionsfaktoren!K178/1000, 0)</f>
        <v>0</v>
      </c>
      <c r="L343" s="15">
        <f>IF(ISNUMBER('Klisz-Verbräuche'!M178), 'Klisz-Verbräuche'!M178*Emissionsfaktoren!L178/1000, 0)</f>
        <v>0</v>
      </c>
      <c r="M343" s="15">
        <f>IF(ISNUMBER('Klisz-Verbräuche'!N178), 'Klisz-Verbräuche'!N178*Emissionsfaktoren!M178/1000, 0)</f>
        <v>0</v>
      </c>
      <c r="N343" s="15">
        <f>IF(ISNUMBER('Klisz-Verbräuche'!O178), 'Klisz-Verbräuche'!O178*Emissionsfaktoren!N178/1000, 0)</f>
        <v>0</v>
      </c>
      <c r="O343" s="15">
        <f>IF(ISNUMBER('Klisz-Verbräuche'!P178), 'Klisz-Verbräuche'!P178*Emissionsfaktoren!O178/1000, 0)</f>
        <v>0</v>
      </c>
      <c r="P343" s="15">
        <f>IF(ISNUMBER('Klisz-Verbräuche'!Q178), 'Klisz-Verbräuche'!Q178*Emissionsfaktoren!P178/1000, 0)</f>
        <v>0</v>
      </c>
      <c r="Q343" s="15">
        <f>IF(ISNUMBER('Klisz-Verbräuche'!R178), 'Klisz-Verbräuche'!R178*Emissionsfaktoren!Q178/1000, 0)</f>
        <v>0</v>
      </c>
      <c r="R343" s="15">
        <f>IF(ISNUMBER('Klisz-Verbräuche'!S178), 'Klisz-Verbräuche'!S178*Emissionsfaktoren!R178/1000, 0)</f>
        <v>0</v>
      </c>
      <c r="S343" s="15">
        <f>IF(ISNUMBER('Klisz-Verbräuche'!T178), 'Klisz-Verbräuche'!T178*Emissionsfaktoren!S178/1000, 0)</f>
        <v>0</v>
      </c>
      <c r="T343" s="15">
        <f>IF(ISNUMBER('Klisz-Verbräuche'!U178), 'Klisz-Verbräuche'!U178*Emissionsfaktoren!T178/1000, 0)</f>
        <v>0</v>
      </c>
      <c r="U343" s="15">
        <f>IF(ISNUMBER('Klisz-Verbräuche'!V178), 'Klisz-Verbräuche'!V178*Emissionsfaktoren!U178/1000, 0)</f>
        <v>0</v>
      </c>
      <c r="V343" s="15">
        <f>IF(ISNUMBER('Klisz-Verbräuche'!W178), 'Klisz-Verbräuche'!W178*Emissionsfaktoren!V178/1000, 0)</f>
        <v>0</v>
      </c>
      <c r="W343" s="15">
        <f>IF(ISNUMBER('Klisz-Verbräuche'!X178), 'Klisz-Verbräuche'!X178*Emissionsfaktoren!W178/1000, 0)</f>
        <v>0</v>
      </c>
      <c r="X343" s="15">
        <f>IF(ISNUMBER('Klisz-Verbräuche'!Y178), 'Klisz-Verbräuche'!Y178*Emissionsfaktoren!X178/1000, 0)</f>
        <v>0</v>
      </c>
    </row>
    <row r="344" spans="2:24" ht="16.5" hidden="1" x14ac:dyDescent="0.45">
      <c r="B344" s="15">
        <v>119</v>
      </c>
      <c r="C344" s="20" t="str">
        <f>'Refsz-Verbräuche'!C179</f>
        <v>Gipsplatte</v>
      </c>
      <c r="D344" t="s">
        <v>208</v>
      </c>
      <c r="E344" s="15">
        <f>IF(ISNUMBER('Klisz-Verbräuche'!F179), 'Klisz-Verbräuche'!F179*Emissionsfaktoren!E179/1000, 0)</f>
        <v>0</v>
      </c>
      <c r="F344" s="15">
        <f>IF(ISNUMBER('Klisz-Verbräuche'!G179), 'Klisz-Verbräuche'!G179*Emissionsfaktoren!F179/1000, 0)</f>
        <v>0</v>
      </c>
      <c r="G344" s="15">
        <f>IF(ISNUMBER('Klisz-Verbräuche'!H179), 'Klisz-Verbräuche'!H179*Emissionsfaktoren!G179/1000, 0)</f>
        <v>0</v>
      </c>
      <c r="H344" s="15">
        <f>IF(ISNUMBER('Klisz-Verbräuche'!I179), 'Klisz-Verbräuche'!I179*Emissionsfaktoren!H179/1000, 0)</f>
        <v>0</v>
      </c>
      <c r="I344" s="15">
        <f>IF(ISNUMBER('Klisz-Verbräuche'!J179), 'Klisz-Verbräuche'!J179*Emissionsfaktoren!I179/1000, 0)</f>
        <v>0</v>
      </c>
      <c r="J344" s="15">
        <f>IF(ISNUMBER('Klisz-Verbräuche'!K179), 'Klisz-Verbräuche'!K179*Emissionsfaktoren!J179/1000, 0)</f>
        <v>0</v>
      </c>
      <c r="K344" s="15">
        <f>IF(ISNUMBER('Klisz-Verbräuche'!L179), 'Klisz-Verbräuche'!L179*Emissionsfaktoren!K179/1000, 0)</f>
        <v>0</v>
      </c>
      <c r="L344" s="15">
        <f>IF(ISNUMBER('Klisz-Verbräuche'!M179), 'Klisz-Verbräuche'!M179*Emissionsfaktoren!L179/1000, 0)</f>
        <v>0</v>
      </c>
      <c r="M344" s="15">
        <f>IF(ISNUMBER('Klisz-Verbräuche'!N179), 'Klisz-Verbräuche'!N179*Emissionsfaktoren!M179/1000, 0)</f>
        <v>0</v>
      </c>
      <c r="N344" s="15">
        <f>IF(ISNUMBER('Klisz-Verbräuche'!O179), 'Klisz-Verbräuche'!O179*Emissionsfaktoren!N179/1000, 0)</f>
        <v>0</v>
      </c>
      <c r="O344" s="15">
        <f>IF(ISNUMBER('Klisz-Verbräuche'!P179), 'Klisz-Verbräuche'!P179*Emissionsfaktoren!O179/1000, 0)</f>
        <v>0</v>
      </c>
      <c r="P344" s="15">
        <f>IF(ISNUMBER('Klisz-Verbräuche'!Q179), 'Klisz-Verbräuche'!Q179*Emissionsfaktoren!P179/1000, 0)</f>
        <v>0</v>
      </c>
      <c r="Q344" s="15">
        <f>IF(ISNUMBER('Klisz-Verbräuche'!R179), 'Klisz-Verbräuche'!R179*Emissionsfaktoren!Q179/1000, 0)</f>
        <v>0</v>
      </c>
      <c r="R344" s="15">
        <f>IF(ISNUMBER('Klisz-Verbräuche'!S179), 'Klisz-Verbräuche'!S179*Emissionsfaktoren!R179/1000, 0)</f>
        <v>0</v>
      </c>
      <c r="S344" s="15">
        <f>IF(ISNUMBER('Klisz-Verbräuche'!T179), 'Klisz-Verbräuche'!T179*Emissionsfaktoren!S179/1000, 0)</f>
        <v>0</v>
      </c>
      <c r="T344" s="15">
        <f>IF(ISNUMBER('Klisz-Verbräuche'!U179), 'Klisz-Verbräuche'!U179*Emissionsfaktoren!T179/1000, 0)</f>
        <v>0</v>
      </c>
      <c r="U344" s="15">
        <f>IF(ISNUMBER('Klisz-Verbräuche'!V179), 'Klisz-Verbräuche'!V179*Emissionsfaktoren!U179/1000, 0)</f>
        <v>0</v>
      </c>
      <c r="V344" s="15">
        <f>IF(ISNUMBER('Klisz-Verbräuche'!W179), 'Klisz-Verbräuche'!W179*Emissionsfaktoren!V179/1000, 0)</f>
        <v>0</v>
      </c>
      <c r="W344" s="15">
        <f>IF(ISNUMBER('Klisz-Verbräuche'!X179), 'Klisz-Verbräuche'!X179*Emissionsfaktoren!W179/1000, 0)</f>
        <v>0</v>
      </c>
      <c r="X344" s="15">
        <f>IF(ISNUMBER('Klisz-Verbräuche'!Y179), 'Klisz-Verbräuche'!Y179*Emissionsfaktoren!X179/1000, 0)</f>
        <v>0</v>
      </c>
    </row>
    <row r="345" spans="2:24" ht="16.5" hidden="1" x14ac:dyDescent="0.45">
      <c r="B345" s="15">
        <v>120</v>
      </c>
      <c r="C345" s="20" t="str">
        <f>'Refsz-Verbräuche'!C180</f>
        <v>Glas (flach)</v>
      </c>
      <c r="D345" t="s">
        <v>208</v>
      </c>
      <c r="E345" s="15">
        <f>IF(ISNUMBER('Klisz-Verbräuche'!F180), 'Klisz-Verbräuche'!F180*Emissionsfaktoren!E180/1000, 0)</f>
        <v>0</v>
      </c>
      <c r="F345" s="15">
        <f>IF(ISNUMBER('Klisz-Verbräuche'!G180), 'Klisz-Verbräuche'!G180*Emissionsfaktoren!F180/1000, 0)</f>
        <v>0</v>
      </c>
      <c r="G345" s="15">
        <f>IF(ISNUMBER('Klisz-Verbräuche'!H180), 'Klisz-Verbräuche'!H180*Emissionsfaktoren!G180/1000, 0)</f>
        <v>0</v>
      </c>
      <c r="H345" s="15">
        <f>IF(ISNUMBER('Klisz-Verbräuche'!I180), 'Klisz-Verbräuche'!I180*Emissionsfaktoren!H180/1000, 0)</f>
        <v>0</v>
      </c>
      <c r="I345" s="15">
        <f>IF(ISNUMBER('Klisz-Verbräuche'!J180), 'Klisz-Verbräuche'!J180*Emissionsfaktoren!I180/1000, 0)</f>
        <v>0</v>
      </c>
      <c r="J345" s="15">
        <f>IF(ISNUMBER('Klisz-Verbräuche'!K180), 'Klisz-Verbräuche'!K180*Emissionsfaktoren!J180/1000, 0)</f>
        <v>0</v>
      </c>
      <c r="K345" s="15">
        <f>IF(ISNUMBER('Klisz-Verbräuche'!L180), 'Klisz-Verbräuche'!L180*Emissionsfaktoren!K180/1000, 0)</f>
        <v>0</v>
      </c>
      <c r="L345" s="15">
        <f>IF(ISNUMBER('Klisz-Verbräuche'!M180), 'Klisz-Verbräuche'!M180*Emissionsfaktoren!L180/1000, 0)</f>
        <v>0</v>
      </c>
      <c r="M345" s="15">
        <f>IF(ISNUMBER('Klisz-Verbräuche'!N180), 'Klisz-Verbräuche'!N180*Emissionsfaktoren!M180/1000, 0)</f>
        <v>0</v>
      </c>
      <c r="N345" s="15">
        <f>IF(ISNUMBER('Klisz-Verbräuche'!O180), 'Klisz-Verbräuche'!O180*Emissionsfaktoren!N180/1000, 0)</f>
        <v>0</v>
      </c>
      <c r="O345" s="15">
        <f>IF(ISNUMBER('Klisz-Verbräuche'!P180), 'Klisz-Verbräuche'!P180*Emissionsfaktoren!O180/1000, 0)</f>
        <v>0</v>
      </c>
      <c r="P345" s="15">
        <f>IF(ISNUMBER('Klisz-Verbräuche'!Q180), 'Klisz-Verbräuche'!Q180*Emissionsfaktoren!P180/1000, 0)</f>
        <v>0</v>
      </c>
      <c r="Q345" s="15">
        <f>IF(ISNUMBER('Klisz-Verbräuche'!R180), 'Klisz-Verbräuche'!R180*Emissionsfaktoren!Q180/1000, 0)</f>
        <v>0</v>
      </c>
      <c r="R345" s="15">
        <f>IF(ISNUMBER('Klisz-Verbräuche'!S180), 'Klisz-Verbräuche'!S180*Emissionsfaktoren!R180/1000, 0)</f>
        <v>0</v>
      </c>
      <c r="S345" s="15">
        <f>IF(ISNUMBER('Klisz-Verbräuche'!T180), 'Klisz-Verbräuche'!T180*Emissionsfaktoren!S180/1000, 0)</f>
        <v>0</v>
      </c>
      <c r="T345" s="15">
        <f>IF(ISNUMBER('Klisz-Verbräuche'!U180), 'Klisz-Verbräuche'!U180*Emissionsfaktoren!T180/1000, 0)</f>
        <v>0</v>
      </c>
      <c r="U345" s="15">
        <f>IF(ISNUMBER('Klisz-Verbräuche'!V180), 'Klisz-Verbräuche'!V180*Emissionsfaktoren!U180/1000, 0)</f>
        <v>0</v>
      </c>
      <c r="V345" s="15">
        <f>IF(ISNUMBER('Klisz-Verbräuche'!W180), 'Klisz-Verbräuche'!W180*Emissionsfaktoren!V180/1000, 0)</f>
        <v>0</v>
      </c>
      <c r="W345" s="15">
        <f>IF(ISNUMBER('Klisz-Verbräuche'!X180), 'Klisz-Verbräuche'!X180*Emissionsfaktoren!W180/1000, 0)</f>
        <v>0</v>
      </c>
      <c r="X345" s="15">
        <f>IF(ISNUMBER('Klisz-Verbräuche'!Y180), 'Klisz-Verbräuche'!Y180*Emissionsfaktoren!X180/1000, 0)</f>
        <v>0</v>
      </c>
    </row>
    <row r="346" spans="2:24" ht="16.5" hidden="1" x14ac:dyDescent="0.45">
      <c r="B346" s="15">
        <v>121</v>
      </c>
      <c r="C346" s="20" t="str">
        <f>'Refsz-Verbräuche'!C181</f>
        <v>Gussasphalt</v>
      </c>
      <c r="D346" t="s">
        <v>208</v>
      </c>
      <c r="E346" s="15">
        <f>IF(ISNUMBER('Klisz-Verbräuche'!F181), 'Klisz-Verbräuche'!F181*Emissionsfaktoren!E181/1000, 0)</f>
        <v>0</v>
      </c>
      <c r="F346" s="15">
        <f>IF(ISNUMBER('Klisz-Verbräuche'!G181), 'Klisz-Verbräuche'!G181*Emissionsfaktoren!F181/1000, 0)</f>
        <v>0</v>
      </c>
      <c r="G346" s="15">
        <f>IF(ISNUMBER('Klisz-Verbräuche'!H181), 'Klisz-Verbräuche'!H181*Emissionsfaktoren!G181/1000, 0)</f>
        <v>0</v>
      </c>
      <c r="H346" s="15">
        <f>IF(ISNUMBER('Klisz-Verbräuche'!I181), 'Klisz-Verbräuche'!I181*Emissionsfaktoren!H181/1000, 0)</f>
        <v>0</v>
      </c>
      <c r="I346" s="15">
        <f>IF(ISNUMBER('Klisz-Verbräuche'!J181), 'Klisz-Verbräuche'!J181*Emissionsfaktoren!I181/1000, 0)</f>
        <v>0</v>
      </c>
      <c r="J346" s="15">
        <f>IF(ISNUMBER('Klisz-Verbräuche'!K181), 'Klisz-Verbräuche'!K181*Emissionsfaktoren!J181/1000, 0)</f>
        <v>0</v>
      </c>
      <c r="K346" s="15">
        <f>IF(ISNUMBER('Klisz-Verbräuche'!L181), 'Klisz-Verbräuche'!L181*Emissionsfaktoren!K181/1000, 0)</f>
        <v>0</v>
      </c>
      <c r="L346" s="15">
        <f>IF(ISNUMBER('Klisz-Verbräuche'!M181), 'Klisz-Verbräuche'!M181*Emissionsfaktoren!L181/1000, 0)</f>
        <v>0</v>
      </c>
      <c r="M346" s="15">
        <f>IF(ISNUMBER('Klisz-Verbräuche'!N181), 'Klisz-Verbräuche'!N181*Emissionsfaktoren!M181/1000, 0)</f>
        <v>0</v>
      </c>
      <c r="N346" s="15">
        <f>IF(ISNUMBER('Klisz-Verbräuche'!O181), 'Klisz-Verbräuche'!O181*Emissionsfaktoren!N181/1000, 0)</f>
        <v>0</v>
      </c>
      <c r="O346" s="15">
        <f>IF(ISNUMBER('Klisz-Verbräuche'!P181), 'Klisz-Verbräuche'!P181*Emissionsfaktoren!O181/1000, 0)</f>
        <v>0</v>
      </c>
      <c r="P346" s="15">
        <f>IF(ISNUMBER('Klisz-Verbräuche'!Q181), 'Klisz-Verbräuche'!Q181*Emissionsfaktoren!P181/1000, 0)</f>
        <v>0</v>
      </c>
      <c r="Q346" s="15">
        <f>IF(ISNUMBER('Klisz-Verbräuche'!R181), 'Klisz-Verbräuche'!R181*Emissionsfaktoren!Q181/1000, 0)</f>
        <v>0</v>
      </c>
      <c r="R346" s="15">
        <f>IF(ISNUMBER('Klisz-Verbräuche'!S181), 'Klisz-Verbräuche'!S181*Emissionsfaktoren!R181/1000, 0)</f>
        <v>0</v>
      </c>
      <c r="S346" s="15">
        <f>IF(ISNUMBER('Klisz-Verbräuche'!T181), 'Klisz-Verbräuche'!T181*Emissionsfaktoren!S181/1000, 0)</f>
        <v>0</v>
      </c>
      <c r="T346" s="15">
        <f>IF(ISNUMBER('Klisz-Verbräuche'!U181), 'Klisz-Verbräuche'!U181*Emissionsfaktoren!T181/1000, 0)</f>
        <v>0</v>
      </c>
      <c r="U346" s="15">
        <f>IF(ISNUMBER('Klisz-Verbräuche'!V181), 'Klisz-Verbräuche'!V181*Emissionsfaktoren!U181/1000, 0)</f>
        <v>0</v>
      </c>
      <c r="V346" s="15">
        <f>IF(ISNUMBER('Klisz-Verbräuche'!W181), 'Klisz-Verbräuche'!W181*Emissionsfaktoren!V181/1000, 0)</f>
        <v>0</v>
      </c>
      <c r="W346" s="15">
        <f>IF(ISNUMBER('Klisz-Verbräuche'!X181), 'Klisz-Verbräuche'!X181*Emissionsfaktoren!W181/1000, 0)</f>
        <v>0</v>
      </c>
      <c r="X346" s="15">
        <f>IF(ISNUMBER('Klisz-Verbräuche'!Y181), 'Klisz-Verbräuche'!Y181*Emissionsfaktoren!X181/1000, 0)</f>
        <v>0</v>
      </c>
    </row>
    <row r="347" spans="2:24" ht="16.5" hidden="1" x14ac:dyDescent="0.45">
      <c r="B347" s="15">
        <v>122</v>
      </c>
      <c r="C347" s="20" t="str">
        <f>'Refsz-Verbräuche'!C182</f>
        <v>Kalksandstein</v>
      </c>
      <c r="D347" t="s">
        <v>208</v>
      </c>
      <c r="E347" s="15">
        <f>IF(ISNUMBER('Klisz-Verbräuche'!F182), 'Klisz-Verbräuche'!F182*Emissionsfaktoren!E182/1000, 0)</f>
        <v>0</v>
      </c>
      <c r="F347" s="15">
        <f>IF(ISNUMBER('Klisz-Verbräuche'!G182), 'Klisz-Verbräuche'!G182*Emissionsfaktoren!F182/1000, 0)</f>
        <v>0</v>
      </c>
      <c r="G347" s="15">
        <f>IF(ISNUMBER('Klisz-Verbräuche'!H182), 'Klisz-Verbräuche'!H182*Emissionsfaktoren!G182/1000, 0)</f>
        <v>0</v>
      </c>
      <c r="H347" s="15">
        <f>IF(ISNUMBER('Klisz-Verbräuche'!I182), 'Klisz-Verbräuche'!I182*Emissionsfaktoren!H182/1000, 0)</f>
        <v>0</v>
      </c>
      <c r="I347" s="15">
        <f>IF(ISNUMBER('Klisz-Verbräuche'!J182), 'Klisz-Verbräuche'!J182*Emissionsfaktoren!I182/1000, 0)</f>
        <v>0</v>
      </c>
      <c r="J347" s="15">
        <f>IF(ISNUMBER('Klisz-Verbräuche'!K182), 'Klisz-Verbräuche'!K182*Emissionsfaktoren!J182/1000, 0)</f>
        <v>0</v>
      </c>
      <c r="K347" s="15">
        <f>IF(ISNUMBER('Klisz-Verbräuche'!L182), 'Klisz-Verbräuche'!L182*Emissionsfaktoren!K182/1000, 0)</f>
        <v>0</v>
      </c>
      <c r="L347" s="15">
        <f>IF(ISNUMBER('Klisz-Verbräuche'!M182), 'Klisz-Verbräuche'!M182*Emissionsfaktoren!L182/1000, 0)</f>
        <v>0</v>
      </c>
      <c r="M347" s="15">
        <f>IF(ISNUMBER('Klisz-Verbräuche'!N182), 'Klisz-Verbräuche'!N182*Emissionsfaktoren!M182/1000, 0)</f>
        <v>0</v>
      </c>
      <c r="N347" s="15">
        <f>IF(ISNUMBER('Klisz-Verbräuche'!O182), 'Klisz-Verbräuche'!O182*Emissionsfaktoren!N182/1000, 0)</f>
        <v>0</v>
      </c>
      <c r="O347" s="15">
        <f>IF(ISNUMBER('Klisz-Verbräuche'!P182), 'Klisz-Verbräuche'!P182*Emissionsfaktoren!O182/1000, 0)</f>
        <v>0</v>
      </c>
      <c r="P347" s="15">
        <f>IF(ISNUMBER('Klisz-Verbräuche'!Q182), 'Klisz-Verbräuche'!Q182*Emissionsfaktoren!P182/1000, 0)</f>
        <v>0</v>
      </c>
      <c r="Q347" s="15">
        <f>IF(ISNUMBER('Klisz-Verbräuche'!R182), 'Klisz-Verbräuche'!R182*Emissionsfaktoren!Q182/1000, 0)</f>
        <v>0</v>
      </c>
      <c r="R347" s="15">
        <f>IF(ISNUMBER('Klisz-Verbräuche'!S182), 'Klisz-Verbräuche'!S182*Emissionsfaktoren!R182/1000, 0)</f>
        <v>0</v>
      </c>
      <c r="S347" s="15">
        <f>IF(ISNUMBER('Klisz-Verbräuche'!T182), 'Klisz-Verbräuche'!T182*Emissionsfaktoren!S182/1000, 0)</f>
        <v>0</v>
      </c>
      <c r="T347" s="15">
        <f>IF(ISNUMBER('Klisz-Verbräuche'!U182), 'Klisz-Verbräuche'!U182*Emissionsfaktoren!T182/1000, 0)</f>
        <v>0</v>
      </c>
      <c r="U347" s="15">
        <f>IF(ISNUMBER('Klisz-Verbräuche'!V182), 'Klisz-Verbräuche'!V182*Emissionsfaktoren!U182/1000, 0)</f>
        <v>0</v>
      </c>
      <c r="V347" s="15">
        <f>IF(ISNUMBER('Klisz-Verbräuche'!W182), 'Klisz-Verbräuche'!W182*Emissionsfaktoren!V182/1000, 0)</f>
        <v>0</v>
      </c>
      <c r="W347" s="15">
        <f>IF(ISNUMBER('Klisz-Verbräuche'!X182), 'Klisz-Verbräuche'!X182*Emissionsfaktoren!W182/1000, 0)</f>
        <v>0</v>
      </c>
      <c r="X347" s="15">
        <f>IF(ISNUMBER('Klisz-Verbräuche'!Y182), 'Klisz-Verbräuche'!Y182*Emissionsfaktoren!X182/1000, 0)</f>
        <v>0</v>
      </c>
    </row>
    <row r="348" spans="2:24" ht="16.5" hidden="1" x14ac:dyDescent="0.45">
      <c r="B348" s="15">
        <v>123</v>
      </c>
      <c r="C348" s="20" t="str">
        <f>'Refsz-Verbräuche'!C183</f>
        <v>Porenbetonstein</v>
      </c>
      <c r="D348" t="s">
        <v>208</v>
      </c>
      <c r="E348" s="15">
        <f>IF(ISNUMBER('Klisz-Verbräuche'!F183), 'Klisz-Verbräuche'!F183*Emissionsfaktoren!E183/1000, 0)</f>
        <v>0</v>
      </c>
      <c r="F348" s="15">
        <f>IF(ISNUMBER('Klisz-Verbräuche'!G183), 'Klisz-Verbräuche'!G183*Emissionsfaktoren!F183/1000, 0)</f>
        <v>0</v>
      </c>
      <c r="G348" s="15">
        <f>IF(ISNUMBER('Klisz-Verbräuche'!H183), 'Klisz-Verbräuche'!H183*Emissionsfaktoren!G183/1000, 0)</f>
        <v>0</v>
      </c>
      <c r="H348" s="15">
        <f>IF(ISNUMBER('Klisz-Verbräuche'!I183), 'Klisz-Verbräuche'!I183*Emissionsfaktoren!H183/1000, 0)</f>
        <v>0</v>
      </c>
      <c r="I348" s="15">
        <f>IF(ISNUMBER('Klisz-Verbräuche'!J183), 'Klisz-Verbräuche'!J183*Emissionsfaktoren!I183/1000, 0)</f>
        <v>0</v>
      </c>
      <c r="J348" s="15">
        <f>IF(ISNUMBER('Klisz-Verbräuche'!K183), 'Klisz-Verbräuche'!K183*Emissionsfaktoren!J183/1000, 0)</f>
        <v>0</v>
      </c>
      <c r="K348" s="15">
        <f>IF(ISNUMBER('Klisz-Verbräuche'!L183), 'Klisz-Verbräuche'!L183*Emissionsfaktoren!K183/1000, 0)</f>
        <v>0</v>
      </c>
      <c r="L348" s="15">
        <f>IF(ISNUMBER('Klisz-Verbräuche'!M183), 'Klisz-Verbräuche'!M183*Emissionsfaktoren!L183/1000, 0)</f>
        <v>0</v>
      </c>
      <c r="M348" s="15">
        <f>IF(ISNUMBER('Klisz-Verbräuche'!N183), 'Klisz-Verbräuche'!N183*Emissionsfaktoren!M183/1000, 0)</f>
        <v>0</v>
      </c>
      <c r="N348" s="15">
        <f>IF(ISNUMBER('Klisz-Verbräuche'!O183), 'Klisz-Verbräuche'!O183*Emissionsfaktoren!N183/1000, 0)</f>
        <v>0</v>
      </c>
      <c r="O348" s="15">
        <f>IF(ISNUMBER('Klisz-Verbräuche'!P183), 'Klisz-Verbräuche'!P183*Emissionsfaktoren!O183/1000, 0)</f>
        <v>0</v>
      </c>
      <c r="P348" s="15">
        <f>IF(ISNUMBER('Klisz-Verbräuche'!Q183), 'Klisz-Verbräuche'!Q183*Emissionsfaktoren!P183/1000, 0)</f>
        <v>0</v>
      </c>
      <c r="Q348" s="15">
        <f>IF(ISNUMBER('Klisz-Verbräuche'!R183), 'Klisz-Verbräuche'!R183*Emissionsfaktoren!Q183/1000, 0)</f>
        <v>0</v>
      </c>
      <c r="R348" s="15">
        <f>IF(ISNUMBER('Klisz-Verbräuche'!S183), 'Klisz-Verbräuche'!S183*Emissionsfaktoren!R183/1000, 0)</f>
        <v>0</v>
      </c>
      <c r="S348" s="15">
        <f>IF(ISNUMBER('Klisz-Verbräuche'!T183), 'Klisz-Verbräuche'!T183*Emissionsfaktoren!S183/1000, 0)</f>
        <v>0</v>
      </c>
      <c r="T348" s="15">
        <f>IF(ISNUMBER('Klisz-Verbräuche'!U183), 'Klisz-Verbräuche'!U183*Emissionsfaktoren!T183/1000, 0)</f>
        <v>0</v>
      </c>
      <c r="U348" s="15">
        <f>IF(ISNUMBER('Klisz-Verbräuche'!V183), 'Klisz-Verbräuche'!V183*Emissionsfaktoren!U183/1000, 0)</f>
        <v>0</v>
      </c>
      <c r="V348" s="15">
        <f>IF(ISNUMBER('Klisz-Verbräuche'!W183), 'Klisz-Verbräuche'!W183*Emissionsfaktoren!V183/1000, 0)</f>
        <v>0</v>
      </c>
      <c r="W348" s="15">
        <f>IF(ISNUMBER('Klisz-Verbräuche'!X183), 'Klisz-Verbräuche'!X183*Emissionsfaktoren!W183/1000, 0)</f>
        <v>0</v>
      </c>
      <c r="X348" s="15">
        <f>IF(ISNUMBER('Klisz-Verbräuche'!Y183), 'Klisz-Verbräuche'!Y183*Emissionsfaktoren!X183/1000, 0)</f>
        <v>0</v>
      </c>
    </row>
    <row r="349" spans="2:24" ht="16.5" hidden="1" x14ac:dyDescent="0.45">
      <c r="B349" s="15">
        <v>124</v>
      </c>
      <c r="C349" s="20" t="str">
        <f>'Refsz-Verbräuche'!C184</f>
        <v>Steinwolle</v>
      </c>
      <c r="D349" t="s">
        <v>208</v>
      </c>
      <c r="E349" s="15">
        <f>IF(ISNUMBER('Klisz-Verbräuche'!F184), 'Klisz-Verbräuche'!F184*Emissionsfaktoren!E184/1000, 0)</f>
        <v>0</v>
      </c>
      <c r="F349" s="15">
        <f>IF(ISNUMBER('Klisz-Verbräuche'!G184), 'Klisz-Verbräuche'!G184*Emissionsfaktoren!F184/1000, 0)</f>
        <v>0</v>
      </c>
      <c r="G349" s="15">
        <f>IF(ISNUMBER('Klisz-Verbräuche'!H184), 'Klisz-Verbräuche'!H184*Emissionsfaktoren!G184/1000, 0)</f>
        <v>0</v>
      </c>
      <c r="H349" s="15">
        <f>IF(ISNUMBER('Klisz-Verbräuche'!I184), 'Klisz-Verbräuche'!I184*Emissionsfaktoren!H184/1000, 0)</f>
        <v>0</v>
      </c>
      <c r="I349" s="15">
        <f>IF(ISNUMBER('Klisz-Verbräuche'!J184), 'Klisz-Verbräuche'!J184*Emissionsfaktoren!I184/1000, 0)</f>
        <v>0</v>
      </c>
      <c r="J349" s="15">
        <f>IF(ISNUMBER('Klisz-Verbräuche'!K184), 'Klisz-Verbräuche'!K184*Emissionsfaktoren!J184/1000, 0)</f>
        <v>0</v>
      </c>
      <c r="K349" s="15">
        <f>IF(ISNUMBER('Klisz-Verbräuche'!L184), 'Klisz-Verbräuche'!L184*Emissionsfaktoren!K184/1000, 0)</f>
        <v>0</v>
      </c>
      <c r="L349" s="15">
        <f>IF(ISNUMBER('Klisz-Verbräuche'!M184), 'Klisz-Verbräuche'!M184*Emissionsfaktoren!L184/1000, 0)</f>
        <v>0</v>
      </c>
      <c r="M349" s="15">
        <f>IF(ISNUMBER('Klisz-Verbräuche'!N184), 'Klisz-Verbräuche'!N184*Emissionsfaktoren!M184/1000, 0)</f>
        <v>0</v>
      </c>
      <c r="N349" s="15">
        <f>IF(ISNUMBER('Klisz-Verbräuche'!O184), 'Klisz-Verbräuche'!O184*Emissionsfaktoren!N184/1000, 0)</f>
        <v>0</v>
      </c>
      <c r="O349" s="15">
        <f>IF(ISNUMBER('Klisz-Verbräuche'!P184), 'Klisz-Verbräuche'!P184*Emissionsfaktoren!O184/1000, 0)</f>
        <v>0</v>
      </c>
      <c r="P349" s="15">
        <f>IF(ISNUMBER('Klisz-Verbräuche'!Q184), 'Klisz-Verbräuche'!Q184*Emissionsfaktoren!P184/1000, 0)</f>
        <v>0</v>
      </c>
      <c r="Q349" s="15">
        <f>IF(ISNUMBER('Klisz-Verbräuche'!R184), 'Klisz-Verbräuche'!R184*Emissionsfaktoren!Q184/1000, 0)</f>
        <v>0</v>
      </c>
      <c r="R349" s="15">
        <f>IF(ISNUMBER('Klisz-Verbräuche'!S184), 'Klisz-Verbräuche'!S184*Emissionsfaktoren!R184/1000, 0)</f>
        <v>0</v>
      </c>
      <c r="S349" s="15">
        <f>IF(ISNUMBER('Klisz-Verbräuche'!T184), 'Klisz-Verbräuche'!T184*Emissionsfaktoren!S184/1000, 0)</f>
        <v>0</v>
      </c>
      <c r="T349" s="15">
        <f>IF(ISNUMBER('Klisz-Verbräuche'!U184), 'Klisz-Verbräuche'!U184*Emissionsfaktoren!T184/1000, 0)</f>
        <v>0</v>
      </c>
      <c r="U349" s="15">
        <f>IF(ISNUMBER('Klisz-Verbräuche'!V184), 'Klisz-Verbräuche'!V184*Emissionsfaktoren!U184/1000, 0)</f>
        <v>0</v>
      </c>
      <c r="V349" s="15">
        <f>IF(ISNUMBER('Klisz-Verbräuche'!W184), 'Klisz-Verbräuche'!W184*Emissionsfaktoren!V184/1000, 0)</f>
        <v>0</v>
      </c>
      <c r="W349" s="15">
        <f>IF(ISNUMBER('Klisz-Verbräuche'!X184), 'Klisz-Verbräuche'!X184*Emissionsfaktoren!W184/1000, 0)</f>
        <v>0</v>
      </c>
      <c r="X349" s="15">
        <f>IF(ISNUMBER('Klisz-Verbräuche'!Y184), 'Klisz-Verbräuche'!Y184*Emissionsfaktoren!X184/1000, 0)</f>
        <v>0</v>
      </c>
    </row>
    <row r="350" spans="2:24" ht="16.5" hidden="1" x14ac:dyDescent="0.45">
      <c r="B350" s="15">
        <v>125</v>
      </c>
      <c r="C350" s="20" t="str">
        <f>'Refsz-Verbräuche'!C185</f>
        <v>Tonziegel (fürs Dach)</v>
      </c>
      <c r="D350" t="s">
        <v>208</v>
      </c>
      <c r="E350" s="15">
        <f>IF(ISNUMBER('Klisz-Verbräuche'!F185), 'Klisz-Verbräuche'!F185*Emissionsfaktoren!E185/1000, 0)</f>
        <v>0</v>
      </c>
      <c r="F350" s="15">
        <f>IF(ISNUMBER('Klisz-Verbräuche'!G185), 'Klisz-Verbräuche'!G185*Emissionsfaktoren!F185/1000, 0)</f>
        <v>0</v>
      </c>
      <c r="G350" s="15">
        <f>IF(ISNUMBER('Klisz-Verbräuche'!H185), 'Klisz-Verbräuche'!H185*Emissionsfaktoren!G185/1000, 0)</f>
        <v>0</v>
      </c>
      <c r="H350" s="15">
        <f>IF(ISNUMBER('Klisz-Verbräuche'!I185), 'Klisz-Verbräuche'!I185*Emissionsfaktoren!H185/1000, 0)</f>
        <v>0</v>
      </c>
      <c r="I350" s="15">
        <f>IF(ISNUMBER('Klisz-Verbräuche'!J185), 'Klisz-Verbräuche'!J185*Emissionsfaktoren!I185/1000, 0)</f>
        <v>0</v>
      </c>
      <c r="J350" s="15">
        <f>IF(ISNUMBER('Klisz-Verbräuche'!K185), 'Klisz-Verbräuche'!K185*Emissionsfaktoren!J185/1000, 0)</f>
        <v>0</v>
      </c>
      <c r="K350" s="15">
        <f>IF(ISNUMBER('Klisz-Verbräuche'!L185), 'Klisz-Verbräuche'!L185*Emissionsfaktoren!K185/1000, 0)</f>
        <v>0</v>
      </c>
      <c r="L350" s="15">
        <f>IF(ISNUMBER('Klisz-Verbräuche'!M185), 'Klisz-Verbräuche'!M185*Emissionsfaktoren!L185/1000, 0)</f>
        <v>0</v>
      </c>
      <c r="M350" s="15">
        <f>IF(ISNUMBER('Klisz-Verbräuche'!N185), 'Klisz-Verbräuche'!N185*Emissionsfaktoren!M185/1000, 0)</f>
        <v>0</v>
      </c>
      <c r="N350" s="15">
        <f>IF(ISNUMBER('Klisz-Verbräuche'!O185), 'Klisz-Verbräuche'!O185*Emissionsfaktoren!N185/1000, 0)</f>
        <v>0</v>
      </c>
      <c r="O350" s="15">
        <f>IF(ISNUMBER('Klisz-Verbräuche'!P185), 'Klisz-Verbräuche'!P185*Emissionsfaktoren!O185/1000, 0)</f>
        <v>0</v>
      </c>
      <c r="P350" s="15">
        <f>IF(ISNUMBER('Klisz-Verbräuche'!Q185), 'Klisz-Verbräuche'!Q185*Emissionsfaktoren!P185/1000, 0)</f>
        <v>0</v>
      </c>
      <c r="Q350" s="15">
        <f>IF(ISNUMBER('Klisz-Verbräuche'!R185), 'Klisz-Verbräuche'!R185*Emissionsfaktoren!Q185/1000, 0)</f>
        <v>0</v>
      </c>
      <c r="R350" s="15">
        <f>IF(ISNUMBER('Klisz-Verbräuche'!S185), 'Klisz-Verbräuche'!S185*Emissionsfaktoren!R185/1000, 0)</f>
        <v>0</v>
      </c>
      <c r="S350" s="15">
        <f>IF(ISNUMBER('Klisz-Verbräuche'!T185), 'Klisz-Verbräuche'!T185*Emissionsfaktoren!S185/1000, 0)</f>
        <v>0</v>
      </c>
      <c r="T350" s="15">
        <f>IF(ISNUMBER('Klisz-Verbräuche'!U185), 'Klisz-Verbräuche'!U185*Emissionsfaktoren!T185/1000, 0)</f>
        <v>0</v>
      </c>
      <c r="U350" s="15">
        <f>IF(ISNUMBER('Klisz-Verbräuche'!V185), 'Klisz-Verbräuche'!V185*Emissionsfaktoren!U185/1000, 0)</f>
        <v>0</v>
      </c>
      <c r="V350" s="15">
        <f>IF(ISNUMBER('Klisz-Verbräuche'!W185), 'Klisz-Verbräuche'!W185*Emissionsfaktoren!V185/1000, 0)</f>
        <v>0</v>
      </c>
      <c r="W350" s="15">
        <f>IF(ISNUMBER('Klisz-Verbräuche'!X185), 'Klisz-Verbräuche'!X185*Emissionsfaktoren!W185/1000, 0)</f>
        <v>0</v>
      </c>
      <c r="X350" s="15">
        <f>IF(ISNUMBER('Klisz-Verbräuche'!Y185), 'Klisz-Verbräuche'!Y185*Emissionsfaktoren!X185/1000, 0)</f>
        <v>0</v>
      </c>
    </row>
    <row r="351" spans="2:24" ht="16.5" hidden="1" x14ac:dyDescent="0.45">
      <c r="B351" s="15">
        <v>126</v>
      </c>
      <c r="C351" s="20" t="str">
        <f>'Refsz-Verbräuche'!C186</f>
        <v>Zement (Portland)</v>
      </c>
      <c r="D351" t="s">
        <v>208</v>
      </c>
      <c r="E351" s="15">
        <f>IF(ISNUMBER('Klisz-Verbräuche'!F186), 'Klisz-Verbräuche'!F186*Emissionsfaktoren!E186/1000, 0)</f>
        <v>0</v>
      </c>
      <c r="F351" s="15">
        <f>IF(ISNUMBER('Klisz-Verbräuche'!G186), 'Klisz-Verbräuche'!G186*Emissionsfaktoren!F186/1000, 0)</f>
        <v>0</v>
      </c>
      <c r="G351" s="15">
        <f>IF(ISNUMBER('Klisz-Verbräuche'!H186), 'Klisz-Verbräuche'!H186*Emissionsfaktoren!G186/1000, 0)</f>
        <v>0</v>
      </c>
      <c r="H351" s="15">
        <f>IF(ISNUMBER('Klisz-Verbräuche'!I186), 'Klisz-Verbräuche'!I186*Emissionsfaktoren!H186/1000, 0)</f>
        <v>0</v>
      </c>
      <c r="I351" s="15">
        <f>IF(ISNUMBER('Klisz-Verbräuche'!J186), 'Klisz-Verbräuche'!J186*Emissionsfaktoren!I186/1000, 0)</f>
        <v>0</v>
      </c>
      <c r="J351" s="15">
        <f>IF(ISNUMBER('Klisz-Verbräuche'!K186), 'Klisz-Verbräuche'!K186*Emissionsfaktoren!J186/1000, 0)</f>
        <v>0</v>
      </c>
      <c r="K351" s="15">
        <f>IF(ISNUMBER('Klisz-Verbräuche'!L186), 'Klisz-Verbräuche'!L186*Emissionsfaktoren!K186/1000, 0)</f>
        <v>0</v>
      </c>
      <c r="L351" s="15">
        <f>IF(ISNUMBER('Klisz-Verbräuche'!M186), 'Klisz-Verbräuche'!M186*Emissionsfaktoren!L186/1000, 0)</f>
        <v>0</v>
      </c>
      <c r="M351" s="15">
        <f>IF(ISNUMBER('Klisz-Verbräuche'!N186), 'Klisz-Verbräuche'!N186*Emissionsfaktoren!M186/1000, 0)</f>
        <v>0</v>
      </c>
      <c r="N351" s="15">
        <f>IF(ISNUMBER('Klisz-Verbräuche'!O186), 'Klisz-Verbräuche'!O186*Emissionsfaktoren!N186/1000, 0)</f>
        <v>0</v>
      </c>
      <c r="O351" s="15">
        <f>IF(ISNUMBER('Klisz-Verbräuche'!P186), 'Klisz-Verbräuche'!P186*Emissionsfaktoren!O186/1000, 0)</f>
        <v>0</v>
      </c>
      <c r="P351" s="15">
        <f>IF(ISNUMBER('Klisz-Verbräuche'!Q186), 'Klisz-Verbräuche'!Q186*Emissionsfaktoren!P186/1000, 0)</f>
        <v>0</v>
      </c>
      <c r="Q351" s="15">
        <f>IF(ISNUMBER('Klisz-Verbräuche'!R186), 'Klisz-Verbräuche'!R186*Emissionsfaktoren!Q186/1000, 0)</f>
        <v>0</v>
      </c>
      <c r="R351" s="15">
        <f>IF(ISNUMBER('Klisz-Verbräuche'!S186), 'Klisz-Verbräuche'!S186*Emissionsfaktoren!R186/1000, 0)</f>
        <v>0</v>
      </c>
      <c r="S351" s="15">
        <f>IF(ISNUMBER('Klisz-Verbräuche'!T186), 'Klisz-Verbräuche'!T186*Emissionsfaktoren!S186/1000, 0)</f>
        <v>0</v>
      </c>
      <c r="T351" s="15">
        <f>IF(ISNUMBER('Klisz-Verbräuche'!U186), 'Klisz-Verbräuche'!U186*Emissionsfaktoren!T186/1000, 0)</f>
        <v>0</v>
      </c>
      <c r="U351" s="15">
        <f>IF(ISNUMBER('Klisz-Verbräuche'!V186), 'Klisz-Verbräuche'!V186*Emissionsfaktoren!U186/1000, 0)</f>
        <v>0</v>
      </c>
      <c r="V351" s="15">
        <f>IF(ISNUMBER('Klisz-Verbräuche'!W186), 'Klisz-Verbräuche'!W186*Emissionsfaktoren!V186/1000, 0)</f>
        <v>0</v>
      </c>
      <c r="W351" s="15">
        <f>IF(ISNUMBER('Klisz-Verbräuche'!X186), 'Klisz-Verbräuche'!X186*Emissionsfaktoren!W186/1000, 0)</f>
        <v>0</v>
      </c>
      <c r="X351" s="15">
        <f>IF(ISNUMBER('Klisz-Verbräuche'!Y186), 'Klisz-Verbräuche'!Y186*Emissionsfaktoren!X186/1000, 0)</f>
        <v>0</v>
      </c>
    </row>
    <row r="352" spans="2:24" ht="16.5" hidden="1" x14ac:dyDescent="0.45">
      <c r="B352" s="15">
        <v>127</v>
      </c>
      <c r="C352" s="20" t="str">
        <f>'Refsz-Verbräuche'!C187</f>
        <v>Kies</v>
      </c>
      <c r="D352" t="s">
        <v>208</v>
      </c>
      <c r="E352" s="15">
        <f>IF(ISNUMBER('Klisz-Verbräuche'!F187), 'Klisz-Verbräuche'!F187*Emissionsfaktoren!E187/1000, 0)</f>
        <v>0</v>
      </c>
      <c r="F352" s="15">
        <f>IF(ISNUMBER('Klisz-Verbräuche'!G187), 'Klisz-Verbräuche'!G187*Emissionsfaktoren!F187/1000, 0)</f>
        <v>0</v>
      </c>
      <c r="G352" s="15">
        <f>IF(ISNUMBER('Klisz-Verbräuche'!H187), 'Klisz-Verbräuche'!H187*Emissionsfaktoren!G187/1000, 0)</f>
        <v>0</v>
      </c>
      <c r="H352" s="15">
        <f>IF(ISNUMBER('Klisz-Verbräuche'!I187), 'Klisz-Verbräuche'!I187*Emissionsfaktoren!H187/1000, 0)</f>
        <v>0</v>
      </c>
      <c r="I352" s="15">
        <f>IF(ISNUMBER('Klisz-Verbräuche'!J187), 'Klisz-Verbräuche'!J187*Emissionsfaktoren!I187/1000, 0)</f>
        <v>0</v>
      </c>
      <c r="J352" s="15">
        <f>IF(ISNUMBER('Klisz-Verbräuche'!K187), 'Klisz-Verbräuche'!K187*Emissionsfaktoren!J187/1000, 0)</f>
        <v>0</v>
      </c>
      <c r="K352" s="15">
        <f>IF(ISNUMBER('Klisz-Verbräuche'!L187), 'Klisz-Verbräuche'!L187*Emissionsfaktoren!K187/1000, 0)</f>
        <v>0</v>
      </c>
      <c r="L352" s="15">
        <f>IF(ISNUMBER('Klisz-Verbräuche'!M187), 'Klisz-Verbräuche'!M187*Emissionsfaktoren!L187/1000, 0)</f>
        <v>0</v>
      </c>
      <c r="M352" s="15">
        <f>IF(ISNUMBER('Klisz-Verbräuche'!N187), 'Klisz-Verbräuche'!N187*Emissionsfaktoren!M187/1000, 0)</f>
        <v>0</v>
      </c>
      <c r="N352" s="15">
        <f>IF(ISNUMBER('Klisz-Verbräuche'!O187), 'Klisz-Verbräuche'!O187*Emissionsfaktoren!N187/1000, 0)</f>
        <v>0</v>
      </c>
      <c r="O352" s="15">
        <f>IF(ISNUMBER('Klisz-Verbräuche'!P187), 'Klisz-Verbräuche'!P187*Emissionsfaktoren!O187/1000, 0)</f>
        <v>0</v>
      </c>
      <c r="P352" s="15">
        <f>IF(ISNUMBER('Klisz-Verbräuche'!Q187), 'Klisz-Verbräuche'!Q187*Emissionsfaktoren!P187/1000, 0)</f>
        <v>0</v>
      </c>
      <c r="Q352" s="15">
        <f>IF(ISNUMBER('Klisz-Verbräuche'!R187), 'Klisz-Verbräuche'!R187*Emissionsfaktoren!Q187/1000, 0)</f>
        <v>0</v>
      </c>
      <c r="R352" s="15">
        <f>IF(ISNUMBER('Klisz-Verbräuche'!S187), 'Klisz-Verbräuche'!S187*Emissionsfaktoren!R187/1000, 0)</f>
        <v>0</v>
      </c>
      <c r="S352" s="15">
        <f>IF(ISNUMBER('Klisz-Verbräuche'!T187), 'Klisz-Verbräuche'!T187*Emissionsfaktoren!S187/1000, 0)</f>
        <v>0</v>
      </c>
      <c r="T352" s="15">
        <f>IF(ISNUMBER('Klisz-Verbräuche'!U187), 'Klisz-Verbräuche'!U187*Emissionsfaktoren!T187/1000, 0)</f>
        <v>0</v>
      </c>
      <c r="U352" s="15">
        <f>IF(ISNUMBER('Klisz-Verbräuche'!V187), 'Klisz-Verbräuche'!V187*Emissionsfaktoren!U187/1000, 0)</f>
        <v>0</v>
      </c>
      <c r="V352" s="15">
        <f>IF(ISNUMBER('Klisz-Verbräuche'!W187), 'Klisz-Verbräuche'!W187*Emissionsfaktoren!V187/1000, 0)</f>
        <v>0</v>
      </c>
      <c r="W352" s="15">
        <f>IF(ISNUMBER('Klisz-Verbräuche'!X187), 'Klisz-Verbräuche'!X187*Emissionsfaktoren!W187/1000, 0)</f>
        <v>0</v>
      </c>
      <c r="X352" s="15">
        <f>IF(ISNUMBER('Klisz-Verbräuche'!Y187), 'Klisz-Verbräuche'!Y187*Emissionsfaktoren!X187/1000, 0)</f>
        <v>0</v>
      </c>
    </row>
    <row r="353" spans="2:24" ht="16.5" hidden="1" x14ac:dyDescent="0.45">
      <c r="B353" s="15">
        <v>128</v>
      </c>
      <c r="C353" s="20" t="str">
        <f>'Refsz-Verbräuche'!C188</f>
        <v>Sand</v>
      </c>
      <c r="D353" t="s">
        <v>208</v>
      </c>
      <c r="E353" s="15">
        <f>IF(ISNUMBER('Klisz-Verbräuche'!F188), 'Klisz-Verbräuche'!F188*Emissionsfaktoren!E188/1000, 0)</f>
        <v>0</v>
      </c>
      <c r="F353" s="15">
        <f>IF(ISNUMBER('Klisz-Verbräuche'!G188), 'Klisz-Verbräuche'!G188*Emissionsfaktoren!F188/1000, 0)</f>
        <v>0</v>
      </c>
      <c r="G353" s="15">
        <f>IF(ISNUMBER('Klisz-Verbräuche'!H188), 'Klisz-Verbräuche'!H188*Emissionsfaktoren!G188/1000, 0)</f>
        <v>0</v>
      </c>
      <c r="H353" s="15">
        <f>IF(ISNUMBER('Klisz-Verbräuche'!I188), 'Klisz-Verbräuche'!I188*Emissionsfaktoren!H188/1000, 0)</f>
        <v>0</v>
      </c>
      <c r="I353" s="15">
        <f>IF(ISNUMBER('Klisz-Verbräuche'!J188), 'Klisz-Verbräuche'!J188*Emissionsfaktoren!I188/1000, 0)</f>
        <v>0</v>
      </c>
      <c r="J353" s="15">
        <f>IF(ISNUMBER('Klisz-Verbräuche'!K188), 'Klisz-Verbräuche'!K188*Emissionsfaktoren!J188/1000, 0)</f>
        <v>0</v>
      </c>
      <c r="K353" s="15">
        <f>IF(ISNUMBER('Klisz-Verbräuche'!L188), 'Klisz-Verbräuche'!L188*Emissionsfaktoren!K188/1000, 0)</f>
        <v>0</v>
      </c>
      <c r="L353" s="15">
        <f>IF(ISNUMBER('Klisz-Verbräuche'!M188), 'Klisz-Verbräuche'!M188*Emissionsfaktoren!L188/1000, 0)</f>
        <v>0</v>
      </c>
      <c r="M353" s="15">
        <f>IF(ISNUMBER('Klisz-Verbräuche'!N188), 'Klisz-Verbräuche'!N188*Emissionsfaktoren!M188/1000, 0)</f>
        <v>0</v>
      </c>
      <c r="N353" s="15">
        <f>IF(ISNUMBER('Klisz-Verbräuche'!O188), 'Klisz-Verbräuche'!O188*Emissionsfaktoren!N188/1000, 0)</f>
        <v>0</v>
      </c>
      <c r="O353" s="15">
        <f>IF(ISNUMBER('Klisz-Verbräuche'!P188), 'Klisz-Verbräuche'!P188*Emissionsfaktoren!O188/1000, 0)</f>
        <v>0</v>
      </c>
      <c r="P353" s="15">
        <f>IF(ISNUMBER('Klisz-Verbräuche'!Q188), 'Klisz-Verbräuche'!Q188*Emissionsfaktoren!P188/1000, 0)</f>
        <v>0</v>
      </c>
      <c r="Q353" s="15">
        <f>IF(ISNUMBER('Klisz-Verbräuche'!R188), 'Klisz-Verbräuche'!R188*Emissionsfaktoren!Q188/1000, 0)</f>
        <v>0</v>
      </c>
      <c r="R353" s="15">
        <f>IF(ISNUMBER('Klisz-Verbräuche'!S188), 'Klisz-Verbräuche'!S188*Emissionsfaktoren!R188/1000, 0)</f>
        <v>0</v>
      </c>
      <c r="S353" s="15">
        <f>IF(ISNUMBER('Klisz-Verbräuche'!T188), 'Klisz-Verbräuche'!T188*Emissionsfaktoren!S188/1000, 0)</f>
        <v>0</v>
      </c>
      <c r="T353" s="15">
        <f>IF(ISNUMBER('Klisz-Verbräuche'!U188), 'Klisz-Verbräuche'!U188*Emissionsfaktoren!T188/1000, 0)</f>
        <v>0</v>
      </c>
      <c r="U353" s="15">
        <f>IF(ISNUMBER('Klisz-Verbräuche'!V188), 'Klisz-Verbräuche'!V188*Emissionsfaktoren!U188/1000, 0)</f>
        <v>0</v>
      </c>
      <c r="V353" s="15">
        <f>IF(ISNUMBER('Klisz-Verbräuche'!W188), 'Klisz-Verbräuche'!W188*Emissionsfaktoren!V188/1000, 0)</f>
        <v>0</v>
      </c>
      <c r="W353" s="15">
        <f>IF(ISNUMBER('Klisz-Verbräuche'!X188), 'Klisz-Verbräuche'!X188*Emissionsfaktoren!W188/1000, 0)</f>
        <v>0</v>
      </c>
      <c r="X353" s="15">
        <f>IF(ISNUMBER('Klisz-Verbräuche'!Y188), 'Klisz-Verbräuche'!Y188*Emissionsfaktoren!X188/1000, 0)</f>
        <v>0</v>
      </c>
    </row>
    <row r="354" spans="2:24" ht="16.5" hidden="1" x14ac:dyDescent="0.45">
      <c r="B354" s="15">
        <v>129</v>
      </c>
      <c r="C354" s="20" t="str">
        <f>'Refsz-Verbräuche'!C189</f>
        <v>Kupferdraht</v>
      </c>
      <c r="D354" t="s">
        <v>208</v>
      </c>
      <c r="E354" s="15">
        <f>IF(ISNUMBER('Klisz-Verbräuche'!F189), 'Klisz-Verbräuche'!F189*Emissionsfaktoren!E189/1000, 0)</f>
        <v>0</v>
      </c>
      <c r="F354" s="15">
        <f>IF(ISNUMBER('Klisz-Verbräuche'!G189), 'Klisz-Verbräuche'!G189*Emissionsfaktoren!F189/1000, 0)</f>
        <v>0</v>
      </c>
      <c r="G354" s="15">
        <f>IF(ISNUMBER('Klisz-Verbräuche'!H189), 'Klisz-Verbräuche'!H189*Emissionsfaktoren!G189/1000, 0)</f>
        <v>0</v>
      </c>
      <c r="H354" s="15">
        <f>IF(ISNUMBER('Klisz-Verbräuche'!I189), 'Klisz-Verbräuche'!I189*Emissionsfaktoren!H189/1000, 0)</f>
        <v>0</v>
      </c>
      <c r="I354" s="15">
        <f>IF(ISNUMBER('Klisz-Verbräuche'!J189), 'Klisz-Verbräuche'!J189*Emissionsfaktoren!I189/1000, 0)</f>
        <v>0</v>
      </c>
      <c r="J354" s="15">
        <f>IF(ISNUMBER('Klisz-Verbräuche'!K189), 'Klisz-Verbräuche'!K189*Emissionsfaktoren!J189/1000, 0)</f>
        <v>0</v>
      </c>
      <c r="K354" s="15">
        <f>IF(ISNUMBER('Klisz-Verbräuche'!L189), 'Klisz-Verbräuche'!L189*Emissionsfaktoren!K189/1000, 0)</f>
        <v>0</v>
      </c>
      <c r="L354" s="15">
        <f>IF(ISNUMBER('Klisz-Verbräuche'!M189), 'Klisz-Verbräuche'!M189*Emissionsfaktoren!L189/1000, 0)</f>
        <v>0</v>
      </c>
      <c r="M354" s="15">
        <f>IF(ISNUMBER('Klisz-Verbräuche'!N189), 'Klisz-Verbräuche'!N189*Emissionsfaktoren!M189/1000, 0)</f>
        <v>0</v>
      </c>
      <c r="N354" s="15">
        <f>IF(ISNUMBER('Klisz-Verbräuche'!O189), 'Klisz-Verbräuche'!O189*Emissionsfaktoren!N189/1000, 0)</f>
        <v>0</v>
      </c>
      <c r="O354" s="15">
        <f>IF(ISNUMBER('Klisz-Verbräuche'!P189), 'Klisz-Verbräuche'!P189*Emissionsfaktoren!O189/1000, 0)</f>
        <v>0</v>
      </c>
      <c r="P354" s="15">
        <f>IF(ISNUMBER('Klisz-Verbräuche'!Q189), 'Klisz-Verbräuche'!Q189*Emissionsfaktoren!P189/1000, 0)</f>
        <v>0</v>
      </c>
      <c r="Q354" s="15">
        <f>IF(ISNUMBER('Klisz-Verbräuche'!R189), 'Klisz-Verbräuche'!R189*Emissionsfaktoren!Q189/1000, 0)</f>
        <v>0</v>
      </c>
      <c r="R354" s="15">
        <f>IF(ISNUMBER('Klisz-Verbräuche'!S189), 'Klisz-Verbräuche'!S189*Emissionsfaktoren!R189/1000, 0)</f>
        <v>0</v>
      </c>
      <c r="S354" s="15">
        <f>IF(ISNUMBER('Klisz-Verbräuche'!T189), 'Klisz-Verbräuche'!T189*Emissionsfaktoren!S189/1000, 0)</f>
        <v>0</v>
      </c>
      <c r="T354" s="15">
        <f>IF(ISNUMBER('Klisz-Verbräuche'!U189), 'Klisz-Verbräuche'!U189*Emissionsfaktoren!T189/1000, 0)</f>
        <v>0</v>
      </c>
      <c r="U354" s="15">
        <f>IF(ISNUMBER('Klisz-Verbräuche'!V189), 'Klisz-Verbräuche'!V189*Emissionsfaktoren!U189/1000, 0)</f>
        <v>0</v>
      </c>
      <c r="V354" s="15">
        <f>IF(ISNUMBER('Klisz-Verbräuche'!W189), 'Klisz-Verbräuche'!W189*Emissionsfaktoren!V189/1000, 0)</f>
        <v>0</v>
      </c>
      <c r="W354" s="15">
        <f>IF(ISNUMBER('Klisz-Verbräuche'!X189), 'Klisz-Verbräuche'!X189*Emissionsfaktoren!W189/1000, 0)</f>
        <v>0</v>
      </c>
      <c r="X354" s="15">
        <f>IF(ISNUMBER('Klisz-Verbräuche'!Y189), 'Klisz-Verbräuche'!Y189*Emissionsfaktoren!X189/1000, 0)</f>
        <v>0</v>
      </c>
    </row>
    <row r="355" spans="2:24" ht="16.5" hidden="1" x14ac:dyDescent="0.45">
      <c r="B355" s="15">
        <v>130</v>
      </c>
      <c r="C355" s="20" t="str">
        <f>'Refsz-Verbräuche'!C190</f>
        <v>Kupferrohr</v>
      </c>
      <c r="D355" t="s">
        <v>208</v>
      </c>
      <c r="E355" s="15">
        <f>IF(ISNUMBER('Klisz-Verbräuche'!F190), 'Klisz-Verbräuche'!F190*Emissionsfaktoren!E190/1000, 0)</f>
        <v>0</v>
      </c>
      <c r="F355" s="15">
        <f>IF(ISNUMBER('Klisz-Verbräuche'!G190), 'Klisz-Verbräuche'!G190*Emissionsfaktoren!F190/1000, 0)</f>
        <v>0</v>
      </c>
      <c r="G355" s="15">
        <f>IF(ISNUMBER('Klisz-Verbräuche'!H190), 'Klisz-Verbräuche'!H190*Emissionsfaktoren!G190/1000, 0)</f>
        <v>0</v>
      </c>
      <c r="H355" s="15">
        <f>IF(ISNUMBER('Klisz-Verbräuche'!I190), 'Klisz-Verbräuche'!I190*Emissionsfaktoren!H190/1000, 0)</f>
        <v>0</v>
      </c>
      <c r="I355" s="15">
        <f>IF(ISNUMBER('Klisz-Verbräuche'!J190), 'Klisz-Verbräuche'!J190*Emissionsfaktoren!I190/1000, 0)</f>
        <v>0</v>
      </c>
      <c r="J355" s="15">
        <f>IF(ISNUMBER('Klisz-Verbräuche'!K190), 'Klisz-Verbräuche'!K190*Emissionsfaktoren!J190/1000, 0)</f>
        <v>0</v>
      </c>
      <c r="K355" s="15">
        <f>IF(ISNUMBER('Klisz-Verbräuche'!L190), 'Klisz-Verbräuche'!L190*Emissionsfaktoren!K190/1000, 0)</f>
        <v>0</v>
      </c>
      <c r="L355" s="15">
        <f>IF(ISNUMBER('Klisz-Verbräuche'!M190), 'Klisz-Verbräuche'!M190*Emissionsfaktoren!L190/1000, 0)</f>
        <v>0</v>
      </c>
      <c r="M355" s="15">
        <f>IF(ISNUMBER('Klisz-Verbräuche'!N190), 'Klisz-Verbräuche'!N190*Emissionsfaktoren!M190/1000, 0)</f>
        <v>0</v>
      </c>
      <c r="N355" s="15">
        <f>IF(ISNUMBER('Klisz-Verbräuche'!O190), 'Klisz-Verbräuche'!O190*Emissionsfaktoren!N190/1000, 0)</f>
        <v>0</v>
      </c>
      <c r="O355" s="15">
        <f>IF(ISNUMBER('Klisz-Verbräuche'!P190), 'Klisz-Verbräuche'!P190*Emissionsfaktoren!O190/1000, 0)</f>
        <v>0</v>
      </c>
      <c r="P355" s="15">
        <f>IF(ISNUMBER('Klisz-Verbräuche'!Q190), 'Klisz-Verbräuche'!Q190*Emissionsfaktoren!P190/1000, 0)</f>
        <v>0</v>
      </c>
      <c r="Q355" s="15">
        <f>IF(ISNUMBER('Klisz-Verbräuche'!R190), 'Klisz-Verbräuche'!R190*Emissionsfaktoren!Q190/1000, 0)</f>
        <v>0</v>
      </c>
      <c r="R355" s="15">
        <f>IF(ISNUMBER('Klisz-Verbräuche'!S190), 'Klisz-Verbräuche'!S190*Emissionsfaktoren!R190/1000, 0)</f>
        <v>0</v>
      </c>
      <c r="S355" s="15">
        <f>IF(ISNUMBER('Klisz-Verbräuche'!T190), 'Klisz-Verbräuche'!T190*Emissionsfaktoren!S190/1000, 0)</f>
        <v>0</v>
      </c>
      <c r="T355" s="15">
        <f>IF(ISNUMBER('Klisz-Verbräuche'!U190), 'Klisz-Verbräuche'!U190*Emissionsfaktoren!T190/1000, 0)</f>
        <v>0</v>
      </c>
      <c r="U355" s="15">
        <f>IF(ISNUMBER('Klisz-Verbräuche'!V190), 'Klisz-Verbräuche'!V190*Emissionsfaktoren!U190/1000, 0)</f>
        <v>0</v>
      </c>
      <c r="V355" s="15">
        <f>IF(ISNUMBER('Klisz-Verbräuche'!W190), 'Klisz-Verbräuche'!W190*Emissionsfaktoren!V190/1000, 0)</f>
        <v>0</v>
      </c>
      <c r="W355" s="15">
        <f>IF(ISNUMBER('Klisz-Verbräuche'!X190), 'Klisz-Verbräuche'!X190*Emissionsfaktoren!W190/1000, 0)</f>
        <v>0</v>
      </c>
      <c r="X355" s="15">
        <f>IF(ISNUMBER('Klisz-Verbräuche'!Y190), 'Klisz-Verbräuche'!Y190*Emissionsfaktoren!X190/1000, 0)</f>
        <v>0</v>
      </c>
    </row>
    <row r="356" spans="2:24" ht="16.5" hidden="1" x14ac:dyDescent="0.45">
      <c r="B356" s="15">
        <v>131</v>
      </c>
      <c r="C356" s="20" t="str">
        <f>'Refsz-Verbräuche'!C191</f>
        <v>Stahl-Blech</v>
      </c>
      <c r="D356" t="s">
        <v>208</v>
      </c>
      <c r="E356" s="15">
        <f>IF(ISNUMBER('Klisz-Verbräuche'!F191), 'Klisz-Verbräuche'!F191*Emissionsfaktoren!E191/1000, 0)</f>
        <v>0</v>
      </c>
      <c r="F356" s="15">
        <f>IF(ISNUMBER('Klisz-Verbräuche'!G191), 'Klisz-Verbräuche'!G191*Emissionsfaktoren!F191/1000, 0)</f>
        <v>0</v>
      </c>
      <c r="G356" s="15">
        <f>IF(ISNUMBER('Klisz-Verbräuche'!H191), 'Klisz-Verbräuche'!H191*Emissionsfaktoren!G191/1000, 0)</f>
        <v>0</v>
      </c>
      <c r="H356" s="15">
        <f>IF(ISNUMBER('Klisz-Verbräuche'!I191), 'Klisz-Verbräuche'!I191*Emissionsfaktoren!H191/1000, 0)</f>
        <v>0</v>
      </c>
      <c r="I356" s="15">
        <f>IF(ISNUMBER('Klisz-Verbräuche'!J191), 'Klisz-Verbräuche'!J191*Emissionsfaktoren!I191/1000, 0)</f>
        <v>0</v>
      </c>
      <c r="J356" s="15">
        <f>IF(ISNUMBER('Klisz-Verbräuche'!K191), 'Klisz-Verbräuche'!K191*Emissionsfaktoren!J191/1000, 0)</f>
        <v>0</v>
      </c>
      <c r="K356" s="15">
        <f>IF(ISNUMBER('Klisz-Verbräuche'!L191), 'Klisz-Verbräuche'!L191*Emissionsfaktoren!K191/1000, 0)</f>
        <v>0</v>
      </c>
      <c r="L356" s="15">
        <f>IF(ISNUMBER('Klisz-Verbräuche'!M191), 'Klisz-Verbräuche'!M191*Emissionsfaktoren!L191/1000, 0)</f>
        <v>0</v>
      </c>
      <c r="M356" s="15">
        <f>IF(ISNUMBER('Klisz-Verbräuche'!N191), 'Klisz-Verbräuche'!N191*Emissionsfaktoren!M191/1000, 0)</f>
        <v>0</v>
      </c>
      <c r="N356" s="15">
        <f>IF(ISNUMBER('Klisz-Verbräuche'!O191), 'Klisz-Verbräuche'!O191*Emissionsfaktoren!N191/1000, 0)</f>
        <v>0</v>
      </c>
      <c r="O356" s="15">
        <f>IF(ISNUMBER('Klisz-Verbräuche'!P191), 'Klisz-Verbräuche'!P191*Emissionsfaktoren!O191/1000, 0)</f>
        <v>0</v>
      </c>
      <c r="P356" s="15">
        <f>IF(ISNUMBER('Klisz-Verbräuche'!Q191), 'Klisz-Verbräuche'!Q191*Emissionsfaktoren!P191/1000, 0)</f>
        <v>0</v>
      </c>
      <c r="Q356" s="15">
        <f>IF(ISNUMBER('Klisz-Verbräuche'!R191), 'Klisz-Verbräuche'!R191*Emissionsfaktoren!Q191/1000, 0)</f>
        <v>0</v>
      </c>
      <c r="R356" s="15">
        <f>IF(ISNUMBER('Klisz-Verbräuche'!S191), 'Klisz-Verbräuche'!S191*Emissionsfaktoren!R191/1000, 0)</f>
        <v>0</v>
      </c>
      <c r="S356" s="15">
        <f>IF(ISNUMBER('Klisz-Verbräuche'!T191), 'Klisz-Verbräuche'!T191*Emissionsfaktoren!S191/1000, 0)</f>
        <v>0</v>
      </c>
      <c r="T356" s="15">
        <f>IF(ISNUMBER('Klisz-Verbräuche'!U191), 'Klisz-Verbräuche'!U191*Emissionsfaktoren!T191/1000, 0)</f>
        <v>0</v>
      </c>
      <c r="U356" s="15">
        <f>IF(ISNUMBER('Klisz-Verbräuche'!V191), 'Klisz-Verbräuche'!V191*Emissionsfaktoren!U191/1000, 0)</f>
        <v>0</v>
      </c>
      <c r="V356" s="15">
        <f>IF(ISNUMBER('Klisz-Verbräuche'!W191), 'Klisz-Verbräuche'!W191*Emissionsfaktoren!V191/1000, 0)</f>
        <v>0</v>
      </c>
      <c r="W356" s="15">
        <f>IF(ISNUMBER('Klisz-Verbräuche'!X191), 'Klisz-Verbräuche'!X191*Emissionsfaktoren!W191/1000, 0)</f>
        <v>0</v>
      </c>
      <c r="X356" s="15">
        <f>IF(ISNUMBER('Klisz-Verbräuche'!Y191), 'Klisz-Verbräuche'!Y191*Emissionsfaktoren!X191/1000, 0)</f>
        <v>0</v>
      </c>
    </row>
    <row r="357" spans="2:24" ht="16.5" hidden="1" x14ac:dyDescent="0.45">
      <c r="B357" s="15">
        <v>132</v>
      </c>
      <c r="C357" s="20" t="str">
        <f>'Refsz-Verbräuche'!C192</f>
        <v>Stahl-Blech verzinkt</v>
      </c>
      <c r="D357" t="s">
        <v>208</v>
      </c>
      <c r="E357" s="15">
        <f>IF(ISNUMBER('Klisz-Verbräuche'!F192), 'Klisz-Verbräuche'!F192*Emissionsfaktoren!E192/1000, 0)</f>
        <v>0</v>
      </c>
      <c r="F357" s="15">
        <f>IF(ISNUMBER('Klisz-Verbräuche'!G192), 'Klisz-Verbräuche'!G192*Emissionsfaktoren!F192/1000, 0)</f>
        <v>0</v>
      </c>
      <c r="G357" s="15">
        <f>IF(ISNUMBER('Klisz-Verbräuche'!H192), 'Klisz-Verbräuche'!H192*Emissionsfaktoren!G192/1000, 0)</f>
        <v>0</v>
      </c>
      <c r="H357" s="15">
        <f>IF(ISNUMBER('Klisz-Verbräuche'!I192), 'Klisz-Verbräuche'!I192*Emissionsfaktoren!H192/1000, 0)</f>
        <v>0</v>
      </c>
      <c r="I357" s="15">
        <f>IF(ISNUMBER('Klisz-Verbräuche'!J192), 'Klisz-Verbräuche'!J192*Emissionsfaktoren!I192/1000, 0)</f>
        <v>0</v>
      </c>
      <c r="J357" s="15">
        <f>IF(ISNUMBER('Klisz-Verbräuche'!K192), 'Klisz-Verbräuche'!K192*Emissionsfaktoren!J192/1000, 0)</f>
        <v>0</v>
      </c>
      <c r="K357" s="15">
        <f>IF(ISNUMBER('Klisz-Verbräuche'!L192), 'Klisz-Verbräuche'!L192*Emissionsfaktoren!K192/1000, 0)</f>
        <v>0</v>
      </c>
      <c r="L357" s="15">
        <f>IF(ISNUMBER('Klisz-Verbräuche'!M192), 'Klisz-Verbräuche'!M192*Emissionsfaktoren!L192/1000, 0)</f>
        <v>0</v>
      </c>
      <c r="M357" s="15">
        <f>IF(ISNUMBER('Klisz-Verbräuche'!N192), 'Klisz-Verbräuche'!N192*Emissionsfaktoren!M192/1000, 0)</f>
        <v>0</v>
      </c>
      <c r="N357" s="15">
        <f>IF(ISNUMBER('Klisz-Verbräuche'!O192), 'Klisz-Verbräuche'!O192*Emissionsfaktoren!N192/1000, 0)</f>
        <v>0</v>
      </c>
      <c r="O357" s="15">
        <f>IF(ISNUMBER('Klisz-Verbräuche'!P192), 'Klisz-Verbräuche'!P192*Emissionsfaktoren!O192/1000, 0)</f>
        <v>0</v>
      </c>
      <c r="P357" s="15">
        <f>IF(ISNUMBER('Klisz-Verbräuche'!Q192), 'Klisz-Verbräuche'!Q192*Emissionsfaktoren!P192/1000, 0)</f>
        <v>0</v>
      </c>
      <c r="Q357" s="15">
        <f>IF(ISNUMBER('Klisz-Verbräuche'!R192), 'Klisz-Verbräuche'!R192*Emissionsfaktoren!Q192/1000, 0)</f>
        <v>0</v>
      </c>
      <c r="R357" s="15">
        <f>IF(ISNUMBER('Klisz-Verbräuche'!S192), 'Klisz-Verbräuche'!S192*Emissionsfaktoren!R192/1000, 0)</f>
        <v>0</v>
      </c>
      <c r="S357" s="15">
        <f>IF(ISNUMBER('Klisz-Verbräuche'!T192), 'Klisz-Verbräuche'!T192*Emissionsfaktoren!S192/1000, 0)</f>
        <v>0</v>
      </c>
      <c r="T357" s="15">
        <f>IF(ISNUMBER('Klisz-Verbräuche'!U192), 'Klisz-Verbräuche'!U192*Emissionsfaktoren!T192/1000, 0)</f>
        <v>0</v>
      </c>
      <c r="U357" s="15">
        <f>IF(ISNUMBER('Klisz-Verbräuche'!V192), 'Klisz-Verbräuche'!V192*Emissionsfaktoren!U192/1000, 0)</f>
        <v>0</v>
      </c>
      <c r="V357" s="15">
        <f>IF(ISNUMBER('Klisz-Verbräuche'!W192), 'Klisz-Verbräuche'!W192*Emissionsfaktoren!V192/1000, 0)</f>
        <v>0</v>
      </c>
      <c r="W357" s="15">
        <f>IF(ISNUMBER('Klisz-Verbräuche'!X192), 'Klisz-Verbräuche'!X192*Emissionsfaktoren!W192/1000, 0)</f>
        <v>0</v>
      </c>
      <c r="X357" s="15">
        <f>IF(ISNUMBER('Klisz-Verbräuche'!Y192), 'Klisz-Verbräuche'!Y192*Emissionsfaktoren!X192/1000, 0)</f>
        <v>0</v>
      </c>
    </row>
    <row r="358" spans="2:24" ht="16.5" hidden="1" x14ac:dyDescent="0.45">
      <c r="B358" s="15">
        <v>133</v>
      </c>
      <c r="C358" s="20" t="str">
        <f>'Refsz-Verbräuche'!C193</f>
        <v>Stahl-Elektro</v>
      </c>
      <c r="D358" t="s">
        <v>208</v>
      </c>
      <c r="E358" s="15">
        <f>IF(ISNUMBER('Klisz-Verbräuche'!F193), 'Klisz-Verbräuche'!F193*Emissionsfaktoren!E193/1000, 0)</f>
        <v>0</v>
      </c>
      <c r="F358" s="15">
        <f>IF(ISNUMBER('Klisz-Verbräuche'!G193), 'Klisz-Verbräuche'!G193*Emissionsfaktoren!F193/1000, 0)</f>
        <v>0</v>
      </c>
      <c r="G358" s="15">
        <f>IF(ISNUMBER('Klisz-Verbräuche'!H193), 'Klisz-Verbräuche'!H193*Emissionsfaktoren!G193/1000, 0)</f>
        <v>0</v>
      </c>
      <c r="H358" s="15">
        <f>IF(ISNUMBER('Klisz-Verbräuche'!I193), 'Klisz-Verbräuche'!I193*Emissionsfaktoren!H193/1000, 0)</f>
        <v>0</v>
      </c>
      <c r="I358" s="15">
        <f>IF(ISNUMBER('Klisz-Verbräuche'!J193), 'Klisz-Verbräuche'!J193*Emissionsfaktoren!I193/1000, 0)</f>
        <v>0</v>
      </c>
      <c r="J358" s="15">
        <f>IF(ISNUMBER('Klisz-Verbräuche'!K193), 'Klisz-Verbräuche'!K193*Emissionsfaktoren!J193/1000, 0)</f>
        <v>0</v>
      </c>
      <c r="K358" s="15">
        <f>IF(ISNUMBER('Klisz-Verbräuche'!L193), 'Klisz-Verbräuche'!L193*Emissionsfaktoren!K193/1000, 0)</f>
        <v>0</v>
      </c>
      <c r="L358" s="15">
        <f>IF(ISNUMBER('Klisz-Verbräuche'!M193), 'Klisz-Verbräuche'!M193*Emissionsfaktoren!L193/1000, 0)</f>
        <v>0</v>
      </c>
      <c r="M358" s="15">
        <f>IF(ISNUMBER('Klisz-Verbräuche'!N193), 'Klisz-Verbräuche'!N193*Emissionsfaktoren!M193/1000, 0)</f>
        <v>0</v>
      </c>
      <c r="N358" s="15">
        <f>IF(ISNUMBER('Klisz-Verbräuche'!O193), 'Klisz-Verbräuche'!O193*Emissionsfaktoren!N193/1000, 0)</f>
        <v>0</v>
      </c>
      <c r="O358" s="15">
        <f>IF(ISNUMBER('Klisz-Verbräuche'!P193), 'Klisz-Verbräuche'!P193*Emissionsfaktoren!O193/1000, 0)</f>
        <v>0</v>
      </c>
      <c r="P358" s="15">
        <f>IF(ISNUMBER('Klisz-Verbräuche'!Q193), 'Klisz-Verbräuche'!Q193*Emissionsfaktoren!P193/1000, 0)</f>
        <v>0</v>
      </c>
      <c r="Q358" s="15">
        <f>IF(ISNUMBER('Klisz-Verbräuche'!R193), 'Klisz-Verbräuche'!R193*Emissionsfaktoren!Q193/1000, 0)</f>
        <v>0</v>
      </c>
      <c r="R358" s="15">
        <f>IF(ISNUMBER('Klisz-Verbräuche'!S193), 'Klisz-Verbräuche'!S193*Emissionsfaktoren!R193/1000, 0)</f>
        <v>0</v>
      </c>
      <c r="S358" s="15">
        <f>IF(ISNUMBER('Klisz-Verbräuche'!T193), 'Klisz-Verbräuche'!T193*Emissionsfaktoren!S193/1000, 0)</f>
        <v>0</v>
      </c>
      <c r="T358" s="15">
        <f>IF(ISNUMBER('Klisz-Verbräuche'!U193), 'Klisz-Verbräuche'!U193*Emissionsfaktoren!T193/1000, 0)</f>
        <v>0</v>
      </c>
      <c r="U358" s="15">
        <f>IF(ISNUMBER('Klisz-Verbräuche'!V193), 'Klisz-Verbräuche'!V193*Emissionsfaktoren!U193/1000, 0)</f>
        <v>0</v>
      </c>
      <c r="V358" s="15">
        <f>IF(ISNUMBER('Klisz-Verbräuche'!W193), 'Klisz-Verbräuche'!W193*Emissionsfaktoren!V193/1000, 0)</f>
        <v>0</v>
      </c>
      <c r="W358" s="15">
        <f>IF(ISNUMBER('Klisz-Verbräuche'!X193), 'Klisz-Verbräuche'!X193*Emissionsfaktoren!W193/1000, 0)</f>
        <v>0</v>
      </c>
      <c r="X358" s="15">
        <f>IF(ISNUMBER('Klisz-Verbräuche'!Y193), 'Klisz-Verbräuche'!Y193*Emissionsfaktoren!X193/1000, 0)</f>
        <v>0</v>
      </c>
    </row>
    <row r="359" spans="2:24" ht="16.5" hidden="1" x14ac:dyDescent="0.45">
      <c r="B359" s="15">
        <v>134</v>
      </c>
      <c r="C359" s="20" t="str">
        <f>'Refsz-Verbräuche'!C194</f>
        <v>Stahl-mix</v>
      </c>
      <c r="D359" t="s">
        <v>208</v>
      </c>
      <c r="E359" s="15">
        <f>IF(ISNUMBER('Klisz-Verbräuche'!F194), 'Klisz-Verbräuche'!F194*Emissionsfaktoren!E194/1000, 0)</f>
        <v>0</v>
      </c>
      <c r="F359" s="15">
        <f>IF(ISNUMBER('Klisz-Verbräuche'!G194), 'Klisz-Verbräuche'!G194*Emissionsfaktoren!F194/1000, 0)</f>
        <v>0</v>
      </c>
      <c r="G359" s="15">
        <f>IF(ISNUMBER('Klisz-Verbräuche'!H194), 'Klisz-Verbräuche'!H194*Emissionsfaktoren!G194/1000, 0)</f>
        <v>0</v>
      </c>
      <c r="H359" s="15">
        <f>IF(ISNUMBER('Klisz-Verbräuche'!I194), 'Klisz-Verbräuche'!I194*Emissionsfaktoren!H194/1000, 0)</f>
        <v>0</v>
      </c>
      <c r="I359" s="15">
        <f>IF(ISNUMBER('Klisz-Verbräuche'!J194), 'Klisz-Verbräuche'!J194*Emissionsfaktoren!I194/1000, 0)</f>
        <v>0</v>
      </c>
      <c r="J359" s="15">
        <f>IF(ISNUMBER('Klisz-Verbräuche'!K194), 'Klisz-Verbräuche'!K194*Emissionsfaktoren!J194/1000, 0)</f>
        <v>0</v>
      </c>
      <c r="K359" s="15">
        <f>IF(ISNUMBER('Klisz-Verbräuche'!L194), 'Klisz-Verbräuche'!L194*Emissionsfaktoren!K194/1000, 0)</f>
        <v>0</v>
      </c>
      <c r="L359" s="15">
        <f>IF(ISNUMBER('Klisz-Verbräuche'!M194), 'Klisz-Verbräuche'!M194*Emissionsfaktoren!L194/1000, 0)</f>
        <v>0</v>
      </c>
      <c r="M359" s="15">
        <f>IF(ISNUMBER('Klisz-Verbräuche'!N194), 'Klisz-Verbräuche'!N194*Emissionsfaktoren!M194/1000, 0)</f>
        <v>0</v>
      </c>
      <c r="N359" s="15">
        <f>IF(ISNUMBER('Klisz-Verbräuche'!O194), 'Klisz-Verbräuche'!O194*Emissionsfaktoren!N194/1000, 0)</f>
        <v>0</v>
      </c>
      <c r="O359" s="15">
        <f>IF(ISNUMBER('Klisz-Verbräuche'!P194), 'Klisz-Verbräuche'!P194*Emissionsfaktoren!O194/1000, 0)</f>
        <v>0</v>
      </c>
      <c r="P359" s="15">
        <f>IF(ISNUMBER('Klisz-Verbräuche'!Q194), 'Klisz-Verbräuche'!Q194*Emissionsfaktoren!P194/1000, 0)</f>
        <v>0</v>
      </c>
      <c r="Q359" s="15">
        <f>IF(ISNUMBER('Klisz-Verbräuche'!R194), 'Klisz-Verbräuche'!R194*Emissionsfaktoren!Q194/1000, 0)</f>
        <v>0</v>
      </c>
      <c r="R359" s="15">
        <f>IF(ISNUMBER('Klisz-Verbräuche'!S194), 'Klisz-Verbräuche'!S194*Emissionsfaktoren!R194/1000, 0)</f>
        <v>0</v>
      </c>
      <c r="S359" s="15">
        <f>IF(ISNUMBER('Klisz-Verbräuche'!T194), 'Klisz-Verbräuche'!T194*Emissionsfaktoren!S194/1000, 0)</f>
        <v>0</v>
      </c>
      <c r="T359" s="15">
        <f>IF(ISNUMBER('Klisz-Verbräuche'!U194), 'Klisz-Verbräuche'!U194*Emissionsfaktoren!T194/1000, 0)</f>
        <v>0</v>
      </c>
      <c r="U359" s="15">
        <f>IF(ISNUMBER('Klisz-Verbräuche'!V194), 'Klisz-Verbräuche'!V194*Emissionsfaktoren!U194/1000, 0)</f>
        <v>0</v>
      </c>
      <c r="V359" s="15">
        <f>IF(ISNUMBER('Klisz-Verbräuche'!W194), 'Klisz-Verbräuche'!W194*Emissionsfaktoren!V194/1000, 0)</f>
        <v>0</v>
      </c>
      <c r="W359" s="15">
        <f>IF(ISNUMBER('Klisz-Verbräuche'!X194), 'Klisz-Verbräuche'!X194*Emissionsfaktoren!W194/1000, 0)</f>
        <v>0</v>
      </c>
      <c r="X359" s="15">
        <f>IF(ISNUMBER('Klisz-Verbräuche'!Y194), 'Klisz-Verbräuche'!Y194*Emissionsfaktoren!X194/1000, 0)</f>
        <v>0</v>
      </c>
    </row>
    <row r="360" spans="2:24" ht="16.5" hidden="1" x14ac:dyDescent="0.45">
      <c r="B360" s="15">
        <v>135</v>
      </c>
      <c r="C360" s="20" t="str">
        <f>'Refsz-Verbräuche'!C195</f>
        <v>Beton</v>
      </c>
      <c r="D360" t="s">
        <v>208</v>
      </c>
      <c r="E360" s="15">
        <f>IF(ISNUMBER('Klisz-Verbräuche'!F195), 'Klisz-Verbräuche'!F195*Emissionsfaktoren!E195/1000, 0)</f>
        <v>0</v>
      </c>
      <c r="F360" s="15">
        <f>IF(ISNUMBER('Klisz-Verbräuche'!G195), 'Klisz-Verbräuche'!G195*Emissionsfaktoren!F195/1000, 0)</f>
        <v>0</v>
      </c>
      <c r="G360" s="15">
        <f>IF(ISNUMBER('Klisz-Verbräuche'!H195), 'Klisz-Verbräuche'!H195*Emissionsfaktoren!G195/1000, 0)</f>
        <v>0</v>
      </c>
      <c r="H360" s="15">
        <f>IF(ISNUMBER('Klisz-Verbräuche'!I195), 'Klisz-Verbräuche'!I195*Emissionsfaktoren!H195/1000, 0)</f>
        <v>0</v>
      </c>
      <c r="I360" s="15">
        <f>IF(ISNUMBER('Klisz-Verbräuche'!J195), 'Klisz-Verbräuche'!J195*Emissionsfaktoren!I195/1000, 0)</f>
        <v>0</v>
      </c>
      <c r="J360" s="15">
        <f>IF(ISNUMBER('Klisz-Verbräuche'!K195), 'Klisz-Verbräuche'!K195*Emissionsfaktoren!J195/1000, 0)</f>
        <v>0</v>
      </c>
      <c r="K360" s="15">
        <f>IF(ISNUMBER('Klisz-Verbräuche'!L195), 'Klisz-Verbräuche'!L195*Emissionsfaktoren!K195/1000, 0)</f>
        <v>0</v>
      </c>
      <c r="L360" s="15">
        <f>IF(ISNUMBER('Klisz-Verbräuche'!M195), 'Klisz-Verbräuche'!M195*Emissionsfaktoren!L195/1000, 0)</f>
        <v>0</v>
      </c>
      <c r="M360" s="15">
        <f>IF(ISNUMBER('Klisz-Verbräuche'!N195), 'Klisz-Verbräuche'!N195*Emissionsfaktoren!M195/1000, 0)</f>
        <v>0</v>
      </c>
      <c r="N360" s="15">
        <f>IF(ISNUMBER('Klisz-Verbräuche'!O195), 'Klisz-Verbräuche'!O195*Emissionsfaktoren!N195/1000, 0)</f>
        <v>0</v>
      </c>
      <c r="O360" s="15">
        <f>IF(ISNUMBER('Klisz-Verbräuche'!P195), 'Klisz-Verbräuche'!P195*Emissionsfaktoren!O195/1000, 0)</f>
        <v>0</v>
      </c>
      <c r="P360" s="15">
        <f>IF(ISNUMBER('Klisz-Verbräuche'!Q195), 'Klisz-Verbräuche'!Q195*Emissionsfaktoren!P195/1000, 0)</f>
        <v>0</v>
      </c>
      <c r="Q360" s="15">
        <f>IF(ISNUMBER('Klisz-Verbräuche'!R195), 'Klisz-Verbräuche'!R195*Emissionsfaktoren!Q195/1000, 0)</f>
        <v>0</v>
      </c>
      <c r="R360" s="15">
        <f>IF(ISNUMBER('Klisz-Verbräuche'!S195), 'Klisz-Verbräuche'!S195*Emissionsfaktoren!R195/1000, 0)</f>
        <v>0</v>
      </c>
      <c r="S360" s="15">
        <f>IF(ISNUMBER('Klisz-Verbräuche'!T195), 'Klisz-Verbräuche'!T195*Emissionsfaktoren!S195/1000, 0)</f>
        <v>0</v>
      </c>
      <c r="T360" s="15">
        <f>IF(ISNUMBER('Klisz-Verbräuche'!U195), 'Klisz-Verbräuche'!U195*Emissionsfaktoren!T195/1000, 0)</f>
        <v>0</v>
      </c>
      <c r="U360" s="15">
        <f>IF(ISNUMBER('Klisz-Verbräuche'!V195), 'Klisz-Verbräuche'!V195*Emissionsfaktoren!U195/1000, 0)</f>
        <v>0</v>
      </c>
      <c r="V360" s="15">
        <f>IF(ISNUMBER('Klisz-Verbräuche'!W195), 'Klisz-Verbräuche'!W195*Emissionsfaktoren!V195/1000, 0)</f>
        <v>0</v>
      </c>
      <c r="W360" s="15">
        <f>IF(ISNUMBER('Klisz-Verbräuche'!X195), 'Klisz-Verbräuche'!X195*Emissionsfaktoren!W195/1000, 0)</f>
        <v>0</v>
      </c>
      <c r="X360" s="15">
        <f>IF(ISNUMBER('Klisz-Verbräuche'!Y195), 'Klisz-Verbräuche'!Y195*Emissionsfaktoren!X195/1000, 0)</f>
        <v>0</v>
      </c>
    </row>
    <row r="361" spans="2:24" ht="16.5" hidden="1" x14ac:dyDescent="0.45">
      <c r="B361" s="15">
        <v>136</v>
      </c>
      <c r="C361" s="20" t="str">
        <f>'Refsz-Verbräuche'!C196</f>
        <v>Glaswolle</v>
      </c>
      <c r="D361" t="s">
        <v>208</v>
      </c>
      <c r="E361" s="15">
        <f>IF(ISNUMBER('Klisz-Verbräuche'!F196), 'Klisz-Verbräuche'!F196*Emissionsfaktoren!E196/1000, 0)</f>
        <v>0</v>
      </c>
      <c r="F361" s="15">
        <f>IF(ISNUMBER('Klisz-Verbräuche'!G196), 'Klisz-Verbräuche'!G196*Emissionsfaktoren!F196/1000, 0)</f>
        <v>0</v>
      </c>
      <c r="G361" s="15">
        <f>IF(ISNUMBER('Klisz-Verbräuche'!H196), 'Klisz-Verbräuche'!H196*Emissionsfaktoren!G196/1000, 0)</f>
        <v>0</v>
      </c>
      <c r="H361" s="15">
        <f>IF(ISNUMBER('Klisz-Verbräuche'!I196), 'Klisz-Verbräuche'!I196*Emissionsfaktoren!H196/1000, 0)</f>
        <v>0</v>
      </c>
      <c r="I361" s="15">
        <f>IF(ISNUMBER('Klisz-Verbräuche'!J196), 'Klisz-Verbräuche'!J196*Emissionsfaktoren!I196/1000, 0)</f>
        <v>0</v>
      </c>
      <c r="J361" s="15">
        <f>IF(ISNUMBER('Klisz-Verbräuche'!K196), 'Klisz-Verbräuche'!K196*Emissionsfaktoren!J196/1000, 0)</f>
        <v>0</v>
      </c>
      <c r="K361" s="15">
        <f>IF(ISNUMBER('Klisz-Verbräuche'!L196), 'Klisz-Verbräuche'!L196*Emissionsfaktoren!K196/1000, 0)</f>
        <v>0</v>
      </c>
      <c r="L361" s="15">
        <f>IF(ISNUMBER('Klisz-Verbräuche'!M196), 'Klisz-Verbräuche'!M196*Emissionsfaktoren!L196/1000, 0)</f>
        <v>0</v>
      </c>
      <c r="M361" s="15">
        <f>IF(ISNUMBER('Klisz-Verbräuche'!N196), 'Klisz-Verbräuche'!N196*Emissionsfaktoren!M196/1000, 0)</f>
        <v>0</v>
      </c>
      <c r="N361" s="15">
        <f>IF(ISNUMBER('Klisz-Verbräuche'!O196), 'Klisz-Verbräuche'!O196*Emissionsfaktoren!N196/1000, 0)</f>
        <v>0</v>
      </c>
      <c r="O361" s="15">
        <f>IF(ISNUMBER('Klisz-Verbräuche'!P196), 'Klisz-Verbräuche'!P196*Emissionsfaktoren!O196/1000, 0)</f>
        <v>0</v>
      </c>
      <c r="P361" s="15">
        <f>IF(ISNUMBER('Klisz-Verbräuche'!Q196), 'Klisz-Verbräuche'!Q196*Emissionsfaktoren!P196/1000, 0)</f>
        <v>0</v>
      </c>
      <c r="Q361" s="15">
        <f>IF(ISNUMBER('Klisz-Verbräuche'!R196), 'Klisz-Verbräuche'!R196*Emissionsfaktoren!Q196/1000, 0)</f>
        <v>0</v>
      </c>
      <c r="R361" s="15">
        <f>IF(ISNUMBER('Klisz-Verbräuche'!S196), 'Klisz-Verbräuche'!S196*Emissionsfaktoren!R196/1000, 0)</f>
        <v>0</v>
      </c>
      <c r="S361" s="15">
        <f>IF(ISNUMBER('Klisz-Verbräuche'!T196), 'Klisz-Verbräuche'!T196*Emissionsfaktoren!S196/1000, 0)</f>
        <v>0</v>
      </c>
      <c r="T361" s="15">
        <f>IF(ISNUMBER('Klisz-Verbräuche'!U196), 'Klisz-Verbräuche'!U196*Emissionsfaktoren!T196/1000, 0)</f>
        <v>0</v>
      </c>
      <c r="U361" s="15">
        <f>IF(ISNUMBER('Klisz-Verbräuche'!V196), 'Klisz-Verbräuche'!V196*Emissionsfaktoren!U196/1000, 0)</f>
        <v>0</v>
      </c>
      <c r="V361" s="15">
        <f>IF(ISNUMBER('Klisz-Verbräuche'!W196), 'Klisz-Verbräuche'!W196*Emissionsfaktoren!V196/1000, 0)</f>
        <v>0</v>
      </c>
      <c r="W361" s="15">
        <f>IF(ISNUMBER('Klisz-Verbräuche'!X196), 'Klisz-Verbräuche'!X196*Emissionsfaktoren!W196/1000, 0)</f>
        <v>0</v>
      </c>
      <c r="X361" s="15">
        <f>IF(ISNUMBER('Klisz-Verbräuche'!Y196), 'Klisz-Verbräuche'!Y196*Emissionsfaktoren!X196/1000, 0)</f>
        <v>0</v>
      </c>
    </row>
    <row r="362" spans="2:24" ht="16.5" hidden="1" x14ac:dyDescent="0.45">
      <c r="B362" s="15">
        <v>137</v>
      </c>
      <c r="C362" s="20" t="str">
        <f>'Refsz-Verbräuche'!C197</f>
        <v>Konstruktionsvollholz</v>
      </c>
      <c r="D362" t="s">
        <v>208</v>
      </c>
      <c r="E362" s="15">
        <f>IF(ISNUMBER('Klisz-Verbräuche'!F197), 'Klisz-Verbräuche'!F197*Emissionsfaktoren!E197/1000, 0)</f>
        <v>0</v>
      </c>
      <c r="F362" s="15">
        <f>IF(ISNUMBER('Klisz-Verbräuche'!G197), 'Klisz-Verbräuche'!G197*Emissionsfaktoren!F197/1000, 0)</f>
        <v>0</v>
      </c>
      <c r="G362" s="15">
        <f>IF(ISNUMBER('Klisz-Verbräuche'!H197), 'Klisz-Verbräuche'!H197*Emissionsfaktoren!G197/1000, 0)</f>
        <v>0</v>
      </c>
      <c r="H362" s="15">
        <f>IF(ISNUMBER('Klisz-Verbräuche'!I197), 'Klisz-Verbräuche'!I197*Emissionsfaktoren!H197/1000, 0)</f>
        <v>0</v>
      </c>
      <c r="I362" s="15">
        <f>IF(ISNUMBER('Klisz-Verbräuche'!J197), 'Klisz-Verbräuche'!J197*Emissionsfaktoren!I197/1000, 0)</f>
        <v>0</v>
      </c>
      <c r="J362" s="15">
        <f>IF(ISNUMBER('Klisz-Verbräuche'!K197), 'Klisz-Verbräuche'!K197*Emissionsfaktoren!J197/1000, 0)</f>
        <v>0</v>
      </c>
      <c r="K362" s="15">
        <f>IF(ISNUMBER('Klisz-Verbräuche'!L197), 'Klisz-Verbräuche'!L197*Emissionsfaktoren!K197/1000, 0)</f>
        <v>0</v>
      </c>
      <c r="L362" s="15">
        <f>IF(ISNUMBER('Klisz-Verbräuche'!M197), 'Klisz-Verbräuche'!M197*Emissionsfaktoren!L197/1000, 0)</f>
        <v>0</v>
      </c>
      <c r="M362" s="15">
        <f>IF(ISNUMBER('Klisz-Verbräuche'!N197), 'Klisz-Verbräuche'!N197*Emissionsfaktoren!M197/1000, 0)</f>
        <v>0</v>
      </c>
      <c r="N362" s="15">
        <f>IF(ISNUMBER('Klisz-Verbräuche'!O197), 'Klisz-Verbräuche'!O197*Emissionsfaktoren!N197/1000, 0)</f>
        <v>0</v>
      </c>
      <c r="O362" s="15">
        <f>IF(ISNUMBER('Klisz-Verbräuche'!P197), 'Klisz-Verbräuche'!P197*Emissionsfaktoren!O197/1000, 0)</f>
        <v>0</v>
      </c>
      <c r="P362" s="15">
        <f>IF(ISNUMBER('Klisz-Verbräuche'!Q197), 'Klisz-Verbräuche'!Q197*Emissionsfaktoren!P197/1000, 0)</f>
        <v>0</v>
      </c>
      <c r="Q362" s="15">
        <f>IF(ISNUMBER('Klisz-Verbräuche'!R197), 'Klisz-Verbräuche'!R197*Emissionsfaktoren!Q197/1000, 0)</f>
        <v>0</v>
      </c>
      <c r="R362" s="15">
        <f>IF(ISNUMBER('Klisz-Verbräuche'!S197), 'Klisz-Verbräuche'!S197*Emissionsfaktoren!R197/1000, 0)</f>
        <v>0</v>
      </c>
      <c r="S362" s="15">
        <f>IF(ISNUMBER('Klisz-Verbräuche'!T197), 'Klisz-Verbräuche'!T197*Emissionsfaktoren!S197/1000, 0)</f>
        <v>0</v>
      </c>
      <c r="T362" s="15">
        <f>IF(ISNUMBER('Klisz-Verbräuche'!U197), 'Klisz-Verbräuche'!U197*Emissionsfaktoren!T197/1000, 0)</f>
        <v>0</v>
      </c>
      <c r="U362" s="15">
        <f>IF(ISNUMBER('Klisz-Verbräuche'!V197), 'Klisz-Verbräuche'!V197*Emissionsfaktoren!U197/1000, 0)</f>
        <v>0</v>
      </c>
      <c r="V362" s="15">
        <f>IF(ISNUMBER('Klisz-Verbräuche'!W197), 'Klisz-Verbräuche'!W197*Emissionsfaktoren!V197/1000, 0)</f>
        <v>0</v>
      </c>
      <c r="W362" s="15">
        <f>IF(ISNUMBER('Klisz-Verbräuche'!X197), 'Klisz-Verbräuche'!X197*Emissionsfaktoren!W197/1000, 0)</f>
        <v>0</v>
      </c>
      <c r="X362" s="15">
        <f>IF(ISNUMBER('Klisz-Verbräuche'!Y197), 'Klisz-Verbräuche'!Y197*Emissionsfaktoren!X197/1000, 0)</f>
        <v>0</v>
      </c>
    </row>
    <row r="363" spans="2:24" ht="16.5" hidden="1" x14ac:dyDescent="0.45">
      <c r="B363" s="15">
        <v>138</v>
      </c>
      <c r="C363" s="20" t="str">
        <f>'Refsz-Verbräuche'!C198</f>
        <v>Spanplatte</v>
      </c>
      <c r="D363" t="s">
        <v>208</v>
      </c>
      <c r="E363" s="15">
        <f>IF(ISNUMBER('Klisz-Verbräuche'!F198), 'Klisz-Verbräuche'!F198*Emissionsfaktoren!E198/1000, 0)</f>
        <v>0</v>
      </c>
      <c r="F363" s="15">
        <f>IF(ISNUMBER('Klisz-Verbräuche'!G198), 'Klisz-Verbräuche'!G198*Emissionsfaktoren!F198/1000, 0)</f>
        <v>0</v>
      </c>
      <c r="G363" s="15">
        <f>IF(ISNUMBER('Klisz-Verbräuche'!H198), 'Klisz-Verbräuche'!H198*Emissionsfaktoren!G198/1000, 0)</f>
        <v>0</v>
      </c>
      <c r="H363" s="15">
        <f>IF(ISNUMBER('Klisz-Verbräuche'!I198), 'Klisz-Verbräuche'!I198*Emissionsfaktoren!H198/1000, 0)</f>
        <v>0</v>
      </c>
      <c r="I363" s="15">
        <f>IF(ISNUMBER('Klisz-Verbräuche'!J198), 'Klisz-Verbräuche'!J198*Emissionsfaktoren!I198/1000, 0)</f>
        <v>0</v>
      </c>
      <c r="J363" s="15">
        <f>IF(ISNUMBER('Klisz-Verbräuche'!K198), 'Klisz-Verbräuche'!K198*Emissionsfaktoren!J198/1000, 0)</f>
        <v>0</v>
      </c>
      <c r="K363" s="15">
        <f>IF(ISNUMBER('Klisz-Verbräuche'!L198), 'Klisz-Verbräuche'!L198*Emissionsfaktoren!K198/1000, 0)</f>
        <v>0</v>
      </c>
      <c r="L363" s="15">
        <f>IF(ISNUMBER('Klisz-Verbräuche'!M198), 'Klisz-Verbräuche'!M198*Emissionsfaktoren!L198/1000, 0)</f>
        <v>0</v>
      </c>
      <c r="M363" s="15">
        <f>IF(ISNUMBER('Klisz-Verbräuche'!N198), 'Klisz-Verbräuche'!N198*Emissionsfaktoren!M198/1000, 0)</f>
        <v>0</v>
      </c>
      <c r="N363" s="15">
        <f>IF(ISNUMBER('Klisz-Verbräuche'!O198), 'Klisz-Verbräuche'!O198*Emissionsfaktoren!N198/1000, 0)</f>
        <v>0</v>
      </c>
      <c r="O363" s="15">
        <f>IF(ISNUMBER('Klisz-Verbräuche'!P198), 'Klisz-Verbräuche'!P198*Emissionsfaktoren!O198/1000, 0)</f>
        <v>0</v>
      </c>
      <c r="P363" s="15">
        <f>IF(ISNUMBER('Klisz-Verbräuche'!Q198), 'Klisz-Verbräuche'!Q198*Emissionsfaktoren!P198/1000, 0)</f>
        <v>0</v>
      </c>
      <c r="Q363" s="15">
        <f>IF(ISNUMBER('Klisz-Verbräuche'!R198), 'Klisz-Verbräuche'!R198*Emissionsfaktoren!Q198/1000, 0)</f>
        <v>0</v>
      </c>
      <c r="R363" s="15">
        <f>IF(ISNUMBER('Klisz-Verbräuche'!S198), 'Klisz-Verbräuche'!S198*Emissionsfaktoren!R198/1000, 0)</f>
        <v>0</v>
      </c>
      <c r="S363" s="15">
        <f>IF(ISNUMBER('Klisz-Verbräuche'!T198), 'Klisz-Verbräuche'!T198*Emissionsfaktoren!S198/1000, 0)</f>
        <v>0</v>
      </c>
      <c r="T363" s="15">
        <f>IF(ISNUMBER('Klisz-Verbräuche'!U198), 'Klisz-Verbräuche'!U198*Emissionsfaktoren!T198/1000, 0)</f>
        <v>0</v>
      </c>
      <c r="U363" s="15">
        <f>IF(ISNUMBER('Klisz-Verbräuche'!V198), 'Klisz-Verbräuche'!V198*Emissionsfaktoren!U198/1000, 0)</f>
        <v>0</v>
      </c>
      <c r="V363" s="15">
        <f>IF(ISNUMBER('Klisz-Verbräuche'!W198), 'Klisz-Verbräuche'!W198*Emissionsfaktoren!V198/1000, 0)</f>
        <v>0</v>
      </c>
      <c r="W363" s="15">
        <f>IF(ISNUMBER('Klisz-Verbräuche'!X198), 'Klisz-Verbräuche'!X198*Emissionsfaktoren!W198/1000, 0)</f>
        <v>0</v>
      </c>
      <c r="X363" s="15">
        <f>IF(ISNUMBER('Klisz-Verbräuche'!Y198), 'Klisz-Verbräuche'!Y198*Emissionsfaktoren!X198/1000, 0)</f>
        <v>0</v>
      </c>
    </row>
    <row r="364" spans="2:24" ht="16.5" hidden="1" x14ac:dyDescent="0.45">
      <c r="B364" s="15">
        <v>139</v>
      </c>
      <c r="C364" s="20" t="str">
        <f>'Refsz-Verbräuche'!C199</f>
        <v>Perlit</v>
      </c>
      <c r="D364" t="s">
        <v>208</v>
      </c>
      <c r="E364" s="15">
        <f>IF(ISNUMBER('Klisz-Verbräuche'!F199), 'Klisz-Verbräuche'!F199*Emissionsfaktoren!E199/1000, 0)</f>
        <v>0</v>
      </c>
      <c r="F364" s="15">
        <f>IF(ISNUMBER('Klisz-Verbräuche'!G199), 'Klisz-Verbräuche'!G199*Emissionsfaktoren!F199/1000, 0)</f>
        <v>0</v>
      </c>
      <c r="G364" s="15">
        <f>IF(ISNUMBER('Klisz-Verbräuche'!H199), 'Klisz-Verbräuche'!H199*Emissionsfaktoren!G199/1000, 0)</f>
        <v>0</v>
      </c>
      <c r="H364" s="15">
        <f>IF(ISNUMBER('Klisz-Verbräuche'!I199), 'Klisz-Verbräuche'!I199*Emissionsfaktoren!H199/1000, 0)</f>
        <v>0</v>
      </c>
      <c r="I364" s="15">
        <f>IF(ISNUMBER('Klisz-Verbräuche'!J199), 'Klisz-Verbräuche'!J199*Emissionsfaktoren!I199/1000, 0)</f>
        <v>0</v>
      </c>
      <c r="J364" s="15">
        <f>IF(ISNUMBER('Klisz-Verbräuche'!K199), 'Klisz-Verbräuche'!K199*Emissionsfaktoren!J199/1000, 0)</f>
        <v>0</v>
      </c>
      <c r="K364" s="15">
        <f>IF(ISNUMBER('Klisz-Verbräuche'!L199), 'Klisz-Verbräuche'!L199*Emissionsfaktoren!K199/1000, 0)</f>
        <v>0</v>
      </c>
      <c r="L364" s="15">
        <f>IF(ISNUMBER('Klisz-Verbräuche'!M199), 'Klisz-Verbräuche'!M199*Emissionsfaktoren!L199/1000, 0)</f>
        <v>0</v>
      </c>
      <c r="M364" s="15">
        <f>IF(ISNUMBER('Klisz-Verbräuche'!N199), 'Klisz-Verbräuche'!N199*Emissionsfaktoren!M199/1000, 0)</f>
        <v>0</v>
      </c>
      <c r="N364" s="15">
        <f>IF(ISNUMBER('Klisz-Verbräuche'!O199), 'Klisz-Verbräuche'!O199*Emissionsfaktoren!N199/1000, 0)</f>
        <v>0</v>
      </c>
      <c r="O364" s="15">
        <f>IF(ISNUMBER('Klisz-Verbräuche'!P199), 'Klisz-Verbräuche'!P199*Emissionsfaktoren!O199/1000, 0)</f>
        <v>0</v>
      </c>
      <c r="P364" s="15">
        <f>IF(ISNUMBER('Klisz-Verbräuche'!Q199), 'Klisz-Verbräuche'!Q199*Emissionsfaktoren!P199/1000, 0)</f>
        <v>0</v>
      </c>
      <c r="Q364" s="15">
        <f>IF(ISNUMBER('Klisz-Verbräuche'!R199), 'Klisz-Verbräuche'!R199*Emissionsfaktoren!Q199/1000, 0)</f>
        <v>0</v>
      </c>
      <c r="R364" s="15">
        <f>IF(ISNUMBER('Klisz-Verbräuche'!S199), 'Klisz-Verbräuche'!S199*Emissionsfaktoren!R199/1000, 0)</f>
        <v>0</v>
      </c>
      <c r="S364" s="15">
        <f>IF(ISNUMBER('Klisz-Verbräuche'!T199), 'Klisz-Verbräuche'!T199*Emissionsfaktoren!S199/1000, 0)</f>
        <v>0</v>
      </c>
      <c r="T364" s="15">
        <f>IF(ISNUMBER('Klisz-Verbräuche'!U199), 'Klisz-Verbräuche'!U199*Emissionsfaktoren!T199/1000, 0)</f>
        <v>0</v>
      </c>
      <c r="U364" s="15">
        <f>IF(ISNUMBER('Klisz-Verbräuche'!V199), 'Klisz-Verbräuche'!V199*Emissionsfaktoren!U199/1000, 0)</f>
        <v>0</v>
      </c>
      <c r="V364" s="15">
        <f>IF(ISNUMBER('Klisz-Verbräuche'!W199), 'Klisz-Verbräuche'!W199*Emissionsfaktoren!V199/1000, 0)</f>
        <v>0</v>
      </c>
      <c r="W364" s="15">
        <f>IF(ISNUMBER('Klisz-Verbräuche'!X199), 'Klisz-Verbräuche'!X199*Emissionsfaktoren!W199/1000, 0)</f>
        <v>0</v>
      </c>
      <c r="X364" s="15">
        <f>IF(ISNUMBER('Klisz-Verbräuche'!Y199), 'Klisz-Verbräuche'!Y199*Emissionsfaktoren!X199/1000, 0)</f>
        <v>0</v>
      </c>
    </row>
    <row r="365" spans="2:24" ht="16.5" hidden="1" x14ac:dyDescent="0.45">
      <c r="B365" s="15">
        <v>140</v>
      </c>
      <c r="C365" s="20" t="str">
        <f>'Refsz-Verbräuche'!C200</f>
        <v>Stahlbeton Fertigteil Decke (20cm Dicke)</v>
      </c>
      <c r="D365" t="s">
        <v>208</v>
      </c>
      <c r="E365" s="15">
        <f>IF(ISNUMBER('Klisz-Verbräuche'!F200), 'Klisz-Verbräuche'!F200*Emissionsfaktoren!E200/1000, 0)</f>
        <v>0</v>
      </c>
      <c r="F365" s="15">
        <f>IF(ISNUMBER('Klisz-Verbräuche'!G200), 'Klisz-Verbräuche'!G200*Emissionsfaktoren!F200/1000, 0)</f>
        <v>0</v>
      </c>
      <c r="G365" s="15">
        <f>IF(ISNUMBER('Klisz-Verbräuche'!H200), 'Klisz-Verbräuche'!H200*Emissionsfaktoren!G200/1000, 0)</f>
        <v>0</v>
      </c>
      <c r="H365" s="15">
        <f>IF(ISNUMBER('Klisz-Verbräuche'!I200), 'Klisz-Verbräuche'!I200*Emissionsfaktoren!H200/1000, 0)</f>
        <v>0</v>
      </c>
      <c r="I365" s="15">
        <f>IF(ISNUMBER('Klisz-Verbräuche'!J200), 'Klisz-Verbräuche'!J200*Emissionsfaktoren!I200/1000, 0)</f>
        <v>0</v>
      </c>
      <c r="J365" s="15">
        <f>IF(ISNUMBER('Klisz-Verbräuche'!K200), 'Klisz-Verbräuche'!K200*Emissionsfaktoren!J200/1000, 0)</f>
        <v>0</v>
      </c>
      <c r="K365" s="15">
        <f>IF(ISNUMBER('Klisz-Verbräuche'!L200), 'Klisz-Verbräuche'!L200*Emissionsfaktoren!K200/1000, 0)</f>
        <v>0</v>
      </c>
      <c r="L365" s="15">
        <f>IF(ISNUMBER('Klisz-Verbräuche'!M200), 'Klisz-Verbräuche'!M200*Emissionsfaktoren!L200/1000, 0)</f>
        <v>0</v>
      </c>
      <c r="M365" s="15">
        <f>IF(ISNUMBER('Klisz-Verbräuche'!N200), 'Klisz-Verbräuche'!N200*Emissionsfaktoren!M200/1000, 0)</f>
        <v>0</v>
      </c>
      <c r="N365" s="15">
        <f>IF(ISNUMBER('Klisz-Verbräuche'!O200), 'Klisz-Verbräuche'!O200*Emissionsfaktoren!N200/1000, 0)</f>
        <v>0</v>
      </c>
      <c r="O365" s="15">
        <f>IF(ISNUMBER('Klisz-Verbräuche'!P200), 'Klisz-Verbräuche'!P200*Emissionsfaktoren!O200/1000, 0)</f>
        <v>0</v>
      </c>
      <c r="P365" s="15">
        <f>IF(ISNUMBER('Klisz-Verbräuche'!Q200), 'Klisz-Verbräuche'!Q200*Emissionsfaktoren!P200/1000, 0)</f>
        <v>0</v>
      </c>
      <c r="Q365" s="15">
        <f>IF(ISNUMBER('Klisz-Verbräuche'!R200), 'Klisz-Verbräuche'!R200*Emissionsfaktoren!Q200/1000, 0)</f>
        <v>0</v>
      </c>
      <c r="R365" s="15">
        <f>IF(ISNUMBER('Klisz-Verbräuche'!S200), 'Klisz-Verbräuche'!S200*Emissionsfaktoren!R200/1000, 0)</f>
        <v>0</v>
      </c>
      <c r="S365" s="15">
        <f>IF(ISNUMBER('Klisz-Verbräuche'!T200), 'Klisz-Verbräuche'!T200*Emissionsfaktoren!S200/1000, 0)</f>
        <v>0</v>
      </c>
      <c r="T365" s="15">
        <f>IF(ISNUMBER('Klisz-Verbräuche'!U200), 'Klisz-Verbräuche'!U200*Emissionsfaktoren!T200/1000, 0)</f>
        <v>0</v>
      </c>
      <c r="U365" s="15">
        <f>IF(ISNUMBER('Klisz-Verbräuche'!V200), 'Klisz-Verbräuche'!V200*Emissionsfaktoren!U200/1000, 0)</f>
        <v>0</v>
      </c>
      <c r="V365" s="15">
        <f>IF(ISNUMBER('Klisz-Verbräuche'!W200), 'Klisz-Verbräuche'!W200*Emissionsfaktoren!V200/1000, 0)</f>
        <v>0</v>
      </c>
      <c r="W365" s="15">
        <f>IF(ISNUMBER('Klisz-Verbräuche'!X200), 'Klisz-Verbräuche'!X200*Emissionsfaktoren!W200/1000, 0)</f>
        <v>0</v>
      </c>
      <c r="X365" s="15">
        <f>IF(ISNUMBER('Klisz-Verbräuche'!Y200), 'Klisz-Verbräuche'!Y200*Emissionsfaktoren!X200/1000, 0)</f>
        <v>0</v>
      </c>
    </row>
    <row r="366" spans="2:24" ht="16.5" hidden="1" x14ac:dyDescent="0.45">
      <c r="B366" s="15">
        <v>141</v>
      </c>
      <c r="C366" s="20" t="str">
        <f>'Refsz-Verbräuche'!C201</f>
        <v>Stahlbeton Fertigteil Wand (12cm Dicke)</v>
      </c>
      <c r="D366" t="s">
        <v>208</v>
      </c>
      <c r="E366" s="15">
        <f>IF(ISNUMBER('Klisz-Verbräuche'!F201), 'Klisz-Verbräuche'!F201*Emissionsfaktoren!E201/1000, 0)</f>
        <v>0</v>
      </c>
      <c r="F366" s="15">
        <f>IF(ISNUMBER('Klisz-Verbräuche'!G201), 'Klisz-Verbräuche'!G201*Emissionsfaktoren!F201/1000, 0)</f>
        <v>0</v>
      </c>
      <c r="G366" s="15">
        <f>IF(ISNUMBER('Klisz-Verbräuche'!H201), 'Klisz-Verbräuche'!H201*Emissionsfaktoren!G201/1000, 0)</f>
        <v>0</v>
      </c>
      <c r="H366" s="15">
        <f>IF(ISNUMBER('Klisz-Verbräuche'!I201), 'Klisz-Verbräuche'!I201*Emissionsfaktoren!H201/1000, 0)</f>
        <v>0</v>
      </c>
      <c r="I366" s="15">
        <f>IF(ISNUMBER('Klisz-Verbräuche'!J201), 'Klisz-Verbräuche'!J201*Emissionsfaktoren!I201/1000, 0)</f>
        <v>0</v>
      </c>
      <c r="J366" s="15">
        <f>IF(ISNUMBER('Klisz-Verbräuche'!K201), 'Klisz-Verbräuche'!K201*Emissionsfaktoren!J201/1000, 0)</f>
        <v>0</v>
      </c>
      <c r="K366" s="15">
        <f>IF(ISNUMBER('Klisz-Verbräuche'!L201), 'Klisz-Verbräuche'!L201*Emissionsfaktoren!K201/1000, 0)</f>
        <v>0</v>
      </c>
      <c r="L366" s="15">
        <f>IF(ISNUMBER('Klisz-Verbräuche'!M201), 'Klisz-Verbräuche'!M201*Emissionsfaktoren!L201/1000, 0)</f>
        <v>0</v>
      </c>
      <c r="M366" s="15">
        <f>IF(ISNUMBER('Klisz-Verbräuche'!N201), 'Klisz-Verbräuche'!N201*Emissionsfaktoren!M201/1000, 0)</f>
        <v>0</v>
      </c>
      <c r="N366" s="15">
        <f>IF(ISNUMBER('Klisz-Verbräuche'!O201), 'Klisz-Verbräuche'!O201*Emissionsfaktoren!N201/1000, 0)</f>
        <v>0</v>
      </c>
      <c r="O366" s="15">
        <f>IF(ISNUMBER('Klisz-Verbräuche'!P201), 'Klisz-Verbräuche'!P201*Emissionsfaktoren!O201/1000, 0)</f>
        <v>0</v>
      </c>
      <c r="P366" s="15">
        <f>IF(ISNUMBER('Klisz-Verbräuche'!Q201), 'Klisz-Verbräuche'!Q201*Emissionsfaktoren!P201/1000, 0)</f>
        <v>0</v>
      </c>
      <c r="Q366" s="15">
        <f>IF(ISNUMBER('Klisz-Verbräuche'!R201), 'Klisz-Verbräuche'!R201*Emissionsfaktoren!Q201/1000, 0)</f>
        <v>0</v>
      </c>
      <c r="R366" s="15">
        <f>IF(ISNUMBER('Klisz-Verbräuche'!S201), 'Klisz-Verbräuche'!S201*Emissionsfaktoren!R201/1000, 0)</f>
        <v>0</v>
      </c>
      <c r="S366" s="15">
        <f>IF(ISNUMBER('Klisz-Verbräuche'!T201), 'Klisz-Verbräuche'!T201*Emissionsfaktoren!S201/1000, 0)</f>
        <v>0</v>
      </c>
      <c r="T366" s="15">
        <f>IF(ISNUMBER('Klisz-Verbräuche'!U201), 'Klisz-Verbräuche'!U201*Emissionsfaktoren!T201/1000, 0)</f>
        <v>0</v>
      </c>
      <c r="U366" s="15">
        <f>IF(ISNUMBER('Klisz-Verbräuche'!V201), 'Klisz-Verbräuche'!V201*Emissionsfaktoren!U201/1000, 0)</f>
        <v>0</v>
      </c>
      <c r="V366" s="15">
        <f>IF(ISNUMBER('Klisz-Verbräuche'!W201), 'Klisz-Verbräuche'!W201*Emissionsfaktoren!V201/1000, 0)</f>
        <v>0</v>
      </c>
      <c r="W366" s="15">
        <f>IF(ISNUMBER('Klisz-Verbräuche'!X201), 'Klisz-Verbräuche'!X201*Emissionsfaktoren!W201/1000, 0)</f>
        <v>0</v>
      </c>
      <c r="X366" s="15">
        <f>IF(ISNUMBER('Klisz-Verbräuche'!Y201), 'Klisz-Verbräuche'!Y201*Emissionsfaktoren!X201/1000, 0)</f>
        <v>0</v>
      </c>
    </row>
    <row r="367" spans="2:24" ht="16.5" hidden="1" x14ac:dyDescent="0.45">
      <c r="B367" s="15">
        <v>142</v>
      </c>
      <c r="C367" s="20" t="str">
        <f>'Refsz-Verbräuche'!C202</f>
        <v xml:space="preserve">Stahlbeton Fertigteil Treppe (1,1 m Breite, 9 Stufen a 16 cm) </v>
      </c>
      <c r="D367" t="s">
        <v>208</v>
      </c>
      <c r="E367" s="15">
        <f>IF(ISNUMBER('Klisz-Verbräuche'!F202), 'Klisz-Verbräuche'!F202*Emissionsfaktoren!E202/1000, 0)</f>
        <v>0</v>
      </c>
      <c r="F367" s="15">
        <f>IF(ISNUMBER('Klisz-Verbräuche'!G202), 'Klisz-Verbräuche'!G202*Emissionsfaktoren!F202/1000, 0)</f>
        <v>0</v>
      </c>
      <c r="G367" s="15">
        <f>IF(ISNUMBER('Klisz-Verbräuche'!H202), 'Klisz-Verbräuche'!H202*Emissionsfaktoren!G202/1000, 0)</f>
        <v>0</v>
      </c>
      <c r="H367" s="15">
        <f>IF(ISNUMBER('Klisz-Verbräuche'!I202), 'Klisz-Verbräuche'!I202*Emissionsfaktoren!H202/1000, 0)</f>
        <v>0</v>
      </c>
      <c r="I367" s="15">
        <f>IF(ISNUMBER('Klisz-Verbräuche'!J202), 'Klisz-Verbräuche'!J202*Emissionsfaktoren!I202/1000, 0)</f>
        <v>0</v>
      </c>
      <c r="J367" s="15">
        <f>IF(ISNUMBER('Klisz-Verbräuche'!K202), 'Klisz-Verbräuche'!K202*Emissionsfaktoren!J202/1000, 0)</f>
        <v>0</v>
      </c>
      <c r="K367" s="15">
        <f>IF(ISNUMBER('Klisz-Verbräuche'!L202), 'Klisz-Verbräuche'!L202*Emissionsfaktoren!K202/1000, 0)</f>
        <v>0</v>
      </c>
      <c r="L367" s="15">
        <f>IF(ISNUMBER('Klisz-Verbräuche'!M202), 'Klisz-Verbräuche'!M202*Emissionsfaktoren!L202/1000, 0)</f>
        <v>0</v>
      </c>
      <c r="M367" s="15">
        <f>IF(ISNUMBER('Klisz-Verbräuche'!N202), 'Klisz-Verbräuche'!N202*Emissionsfaktoren!M202/1000, 0)</f>
        <v>0</v>
      </c>
      <c r="N367" s="15">
        <f>IF(ISNUMBER('Klisz-Verbräuche'!O202), 'Klisz-Verbräuche'!O202*Emissionsfaktoren!N202/1000, 0)</f>
        <v>0</v>
      </c>
      <c r="O367" s="15">
        <f>IF(ISNUMBER('Klisz-Verbräuche'!P202), 'Klisz-Verbräuche'!P202*Emissionsfaktoren!O202/1000, 0)</f>
        <v>0</v>
      </c>
      <c r="P367" s="15">
        <f>IF(ISNUMBER('Klisz-Verbräuche'!Q202), 'Klisz-Verbräuche'!Q202*Emissionsfaktoren!P202/1000, 0)</f>
        <v>0</v>
      </c>
      <c r="Q367" s="15">
        <f>IF(ISNUMBER('Klisz-Verbräuche'!R202), 'Klisz-Verbräuche'!R202*Emissionsfaktoren!Q202/1000, 0)</f>
        <v>0</v>
      </c>
      <c r="R367" s="15">
        <f>IF(ISNUMBER('Klisz-Verbräuche'!S202), 'Klisz-Verbräuche'!S202*Emissionsfaktoren!R202/1000, 0)</f>
        <v>0</v>
      </c>
      <c r="S367" s="15">
        <f>IF(ISNUMBER('Klisz-Verbräuche'!T202), 'Klisz-Verbräuche'!T202*Emissionsfaktoren!S202/1000, 0)</f>
        <v>0</v>
      </c>
      <c r="T367" s="15">
        <f>IF(ISNUMBER('Klisz-Verbräuche'!U202), 'Klisz-Verbräuche'!U202*Emissionsfaktoren!T202/1000, 0)</f>
        <v>0</v>
      </c>
      <c r="U367" s="15">
        <f>IF(ISNUMBER('Klisz-Verbräuche'!V202), 'Klisz-Verbräuche'!V202*Emissionsfaktoren!U202/1000, 0)</f>
        <v>0</v>
      </c>
      <c r="V367" s="15">
        <f>IF(ISNUMBER('Klisz-Verbräuche'!W202), 'Klisz-Verbräuche'!W202*Emissionsfaktoren!V202/1000, 0)</f>
        <v>0</v>
      </c>
      <c r="W367" s="15">
        <f>IF(ISNUMBER('Klisz-Verbräuche'!X202), 'Klisz-Verbräuche'!X202*Emissionsfaktoren!W202/1000, 0)</f>
        <v>0</v>
      </c>
      <c r="X367" s="15">
        <f>IF(ISNUMBER('Klisz-Verbräuche'!Y202), 'Klisz-Verbräuche'!Y202*Emissionsfaktoren!X202/1000, 0)</f>
        <v>0</v>
      </c>
    </row>
    <row r="368" spans="2:24" ht="16.5" hidden="1" x14ac:dyDescent="0.45">
      <c r="B368" s="15">
        <v>143</v>
      </c>
      <c r="C368" s="20" t="str">
        <f>'Refsz-Verbräuche'!C203</f>
        <v>Mineralwolle</v>
      </c>
      <c r="D368" t="s">
        <v>208</v>
      </c>
      <c r="E368" s="15">
        <f>IF(ISNUMBER('Klisz-Verbräuche'!F203), 'Klisz-Verbräuche'!F203*Emissionsfaktoren!E203/1000, 0)</f>
        <v>0</v>
      </c>
      <c r="F368" s="15">
        <f>IF(ISNUMBER('Klisz-Verbräuche'!G203), 'Klisz-Verbräuche'!G203*Emissionsfaktoren!F203/1000, 0)</f>
        <v>0</v>
      </c>
      <c r="G368" s="15">
        <f>IF(ISNUMBER('Klisz-Verbräuche'!H203), 'Klisz-Verbräuche'!H203*Emissionsfaktoren!G203/1000, 0)</f>
        <v>0</v>
      </c>
      <c r="H368" s="15">
        <f>IF(ISNUMBER('Klisz-Verbräuche'!I203), 'Klisz-Verbräuche'!I203*Emissionsfaktoren!H203/1000, 0)</f>
        <v>0</v>
      </c>
      <c r="I368" s="15">
        <f>IF(ISNUMBER('Klisz-Verbräuche'!J203), 'Klisz-Verbräuche'!J203*Emissionsfaktoren!I203/1000, 0)</f>
        <v>0</v>
      </c>
      <c r="J368" s="15">
        <f>IF(ISNUMBER('Klisz-Verbräuche'!K203), 'Klisz-Verbräuche'!K203*Emissionsfaktoren!J203/1000, 0)</f>
        <v>0</v>
      </c>
      <c r="K368" s="15">
        <f>IF(ISNUMBER('Klisz-Verbräuche'!L203), 'Klisz-Verbräuche'!L203*Emissionsfaktoren!K203/1000, 0)</f>
        <v>0</v>
      </c>
      <c r="L368" s="15">
        <f>IF(ISNUMBER('Klisz-Verbräuche'!M203), 'Klisz-Verbräuche'!M203*Emissionsfaktoren!L203/1000, 0)</f>
        <v>0</v>
      </c>
      <c r="M368" s="15">
        <f>IF(ISNUMBER('Klisz-Verbräuche'!N203), 'Klisz-Verbräuche'!N203*Emissionsfaktoren!M203/1000, 0)</f>
        <v>0</v>
      </c>
      <c r="N368" s="15">
        <f>IF(ISNUMBER('Klisz-Verbräuche'!O203), 'Klisz-Verbräuche'!O203*Emissionsfaktoren!N203/1000, 0)</f>
        <v>0</v>
      </c>
      <c r="O368" s="15">
        <f>IF(ISNUMBER('Klisz-Verbräuche'!P203), 'Klisz-Verbräuche'!P203*Emissionsfaktoren!O203/1000, 0)</f>
        <v>0</v>
      </c>
      <c r="P368" s="15">
        <f>IF(ISNUMBER('Klisz-Verbräuche'!Q203), 'Klisz-Verbräuche'!Q203*Emissionsfaktoren!P203/1000, 0)</f>
        <v>0</v>
      </c>
      <c r="Q368" s="15">
        <f>IF(ISNUMBER('Klisz-Verbräuche'!R203), 'Klisz-Verbräuche'!R203*Emissionsfaktoren!Q203/1000, 0)</f>
        <v>0</v>
      </c>
      <c r="R368" s="15">
        <f>IF(ISNUMBER('Klisz-Verbräuche'!S203), 'Klisz-Verbräuche'!S203*Emissionsfaktoren!R203/1000, 0)</f>
        <v>0</v>
      </c>
      <c r="S368" s="15">
        <f>IF(ISNUMBER('Klisz-Verbräuche'!T203), 'Klisz-Verbräuche'!T203*Emissionsfaktoren!S203/1000, 0)</f>
        <v>0</v>
      </c>
      <c r="T368" s="15">
        <f>IF(ISNUMBER('Klisz-Verbräuche'!U203), 'Klisz-Verbräuche'!U203*Emissionsfaktoren!T203/1000, 0)</f>
        <v>0</v>
      </c>
      <c r="U368" s="15">
        <f>IF(ISNUMBER('Klisz-Verbräuche'!V203), 'Klisz-Verbräuche'!V203*Emissionsfaktoren!U203/1000, 0)</f>
        <v>0</v>
      </c>
      <c r="V368" s="15">
        <f>IF(ISNUMBER('Klisz-Verbräuche'!W203), 'Klisz-Verbräuche'!W203*Emissionsfaktoren!V203/1000, 0)</f>
        <v>0</v>
      </c>
      <c r="W368" s="15">
        <f>IF(ISNUMBER('Klisz-Verbräuche'!X203), 'Klisz-Verbräuche'!X203*Emissionsfaktoren!W203/1000, 0)</f>
        <v>0</v>
      </c>
      <c r="X368" s="15">
        <f>IF(ISNUMBER('Klisz-Verbräuche'!Y203), 'Klisz-Verbräuche'!Y203*Emissionsfaktoren!X203/1000, 0)</f>
        <v>0</v>
      </c>
    </row>
    <row r="369" spans="2:24" ht="16.5" hidden="1" x14ac:dyDescent="0.45">
      <c r="B369" s="15">
        <v>144</v>
      </c>
      <c r="C369" s="20" t="str">
        <f>'Refsz-Verbräuche'!C204</f>
        <v>Mauerziegel (ungefüllt)</v>
      </c>
      <c r="D369" t="s">
        <v>208</v>
      </c>
      <c r="E369" s="15">
        <f>IF(ISNUMBER('Klisz-Verbräuche'!F204), 'Klisz-Verbräuche'!F204*Emissionsfaktoren!E204/1000, 0)</f>
        <v>0</v>
      </c>
      <c r="F369" s="15">
        <f>IF(ISNUMBER('Klisz-Verbräuche'!G204), 'Klisz-Verbräuche'!G204*Emissionsfaktoren!F204/1000, 0)</f>
        <v>0</v>
      </c>
      <c r="G369" s="15">
        <f>IF(ISNUMBER('Klisz-Verbräuche'!H204), 'Klisz-Verbräuche'!H204*Emissionsfaktoren!G204/1000, 0)</f>
        <v>0</v>
      </c>
      <c r="H369" s="15">
        <f>IF(ISNUMBER('Klisz-Verbräuche'!I204), 'Klisz-Verbräuche'!I204*Emissionsfaktoren!H204/1000, 0)</f>
        <v>0</v>
      </c>
      <c r="I369" s="15">
        <f>IF(ISNUMBER('Klisz-Verbräuche'!J204), 'Klisz-Verbräuche'!J204*Emissionsfaktoren!I204/1000, 0)</f>
        <v>0</v>
      </c>
      <c r="J369" s="15">
        <f>IF(ISNUMBER('Klisz-Verbräuche'!K204), 'Klisz-Verbräuche'!K204*Emissionsfaktoren!J204/1000, 0)</f>
        <v>0</v>
      </c>
      <c r="K369" s="15">
        <f>IF(ISNUMBER('Klisz-Verbräuche'!L204), 'Klisz-Verbräuche'!L204*Emissionsfaktoren!K204/1000, 0)</f>
        <v>0</v>
      </c>
      <c r="L369" s="15">
        <f>IF(ISNUMBER('Klisz-Verbräuche'!M204), 'Klisz-Verbräuche'!M204*Emissionsfaktoren!L204/1000, 0)</f>
        <v>0</v>
      </c>
      <c r="M369" s="15">
        <f>IF(ISNUMBER('Klisz-Verbräuche'!N204), 'Klisz-Verbräuche'!N204*Emissionsfaktoren!M204/1000, 0)</f>
        <v>0</v>
      </c>
      <c r="N369" s="15">
        <f>IF(ISNUMBER('Klisz-Verbräuche'!O204), 'Klisz-Verbräuche'!O204*Emissionsfaktoren!N204/1000, 0)</f>
        <v>0</v>
      </c>
      <c r="O369" s="15">
        <f>IF(ISNUMBER('Klisz-Verbräuche'!P204), 'Klisz-Verbräuche'!P204*Emissionsfaktoren!O204/1000, 0)</f>
        <v>0</v>
      </c>
      <c r="P369" s="15">
        <f>IF(ISNUMBER('Klisz-Verbräuche'!Q204), 'Klisz-Verbräuche'!Q204*Emissionsfaktoren!P204/1000, 0)</f>
        <v>0</v>
      </c>
      <c r="Q369" s="15">
        <f>IF(ISNUMBER('Klisz-Verbräuche'!R204), 'Klisz-Verbräuche'!R204*Emissionsfaktoren!Q204/1000, 0)</f>
        <v>0</v>
      </c>
      <c r="R369" s="15">
        <f>IF(ISNUMBER('Klisz-Verbräuche'!S204), 'Klisz-Verbräuche'!S204*Emissionsfaktoren!R204/1000, 0)</f>
        <v>0</v>
      </c>
      <c r="S369" s="15">
        <f>IF(ISNUMBER('Klisz-Verbräuche'!T204), 'Klisz-Verbräuche'!T204*Emissionsfaktoren!S204/1000, 0)</f>
        <v>0</v>
      </c>
      <c r="T369" s="15">
        <f>IF(ISNUMBER('Klisz-Verbräuche'!U204), 'Klisz-Verbräuche'!U204*Emissionsfaktoren!T204/1000, 0)</f>
        <v>0</v>
      </c>
      <c r="U369" s="15">
        <f>IF(ISNUMBER('Klisz-Verbräuche'!V204), 'Klisz-Verbräuche'!V204*Emissionsfaktoren!U204/1000, 0)</f>
        <v>0</v>
      </c>
      <c r="V369" s="15">
        <f>IF(ISNUMBER('Klisz-Verbräuche'!W204), 'Klisz-Verbräuche'!W204*Emissionsfaktoren!V204/1000, 0)</f>
        <v>0</v>
      </c>
      <c r="W369" s="15">
        <f>IF(ISNUMBER('Klisz-Verbräuche'!X204), 'Klisz-Verbräuche'!X204*Emissionsfaktoren!W204/1000, 0)</f>
        <v>0</v>
      </c>
      <c r="X369" s="15">
        <f>IF(ISNUMBER('Klisz-Verbräuche'!Y204), 'Klisz-Verbräuche'!Y204*Emissionsfaktoren!X204/1000, 0)</f>
        <v>0</v>
      </c>
    </row>
    <row r="370" spans="2:24" ht="16.5" hidden="1" x14ac:dyDescent="0.45">
      <c r="B370" s="15">
        <v>145</v>
      </c>
      <c r="C370" s="20">
        <f>'Refsz-Verbräuche'!C205</f>
        <v>0</v>
      </c>
      <c r="D370" t="s">
        <v>208</v>
      </c>
      <c r="E370" s="15">
        <f>IF(ISNUMBER('Klisz-Verbräuche'!F205), 'Klisz-Verbräuche'!F205*Emissionsfaktoren!E205/1000, 0)</f>
        <v>0</v>
      </c>
      <c r="F370" s="15">
        <f>IF(ISNUMBER('Klisz-Verbräuche'!G205), 'Klisz-Verbräuche'!G205*Emissionsfaktoren!F205/1000, 0)</f>
        <v>0</v>
      </c>
      <c r="G370" s="15">
        <f>IF(ISNUMBER('Klisz-Verbräuche'!H205), 'Klisz-Verbräuche'!H205*Emissionsfaktoren!G205/1000, 0)</f>
        <v>0</v>
      </c>
      <c r="H370" s="15">
        <f>IF(ISNUMBER('Klisz-Verbräuche'!I205), 'Klisz-Verbräuche'!I205*Emissionsfaktoren!H205/1000, 0)</f>
        <v>0</v>
      </c>
      <c r="I370" s="15">
        <f>IF(ISNUMBER('Klisz-Verbräuche'!J205), 'Klisz-Verbräuche'!J205*Emissionsfaktoren!I205/1000, 0)</f>
        <v>0</v>
      </c>
      <c r="J370" s="15">
        <f>IF(ISNUMBER('Klisz-Verbräuche'!K205), 'Klisz-Verbräuche'!K205*Emissionsfaktoren!J205/1000, 0)</f>
        <v>0</v>
      </c>
      <c r="K370" s="15">
        <f>IF(ISNUMBER('Klisz-Verbräuche'!L205), 'Klisz-Verbräuche'!L205*Emissionsfaktoren!K205/1000, 0)</f>
        <v>0</v>
      </c>
      <c r="L370" s="15">
        <f>IF(ISNUMBER('Klisz-Verbräuche'!M205), 'Klisz-Verbräuche'!M205*Emissionsfaktoren!L205/1000, 0)</f>
        <v>0</v>
      </c>
      <c r="M370" s="15">
        <f>IF(ISNUMBER('Klisz-Verbräuche'!N205), 'Klisz-Verbräuche'!N205*Emissionsfaktoren!M205/1000, 0)</f>
        <v>0</v>
      </c>
      <c r="N370" s="15">
        <f>IF(ISNUMBER('Klisz-Verbräuche'!O205), 'Klisz-Verbräuche'!O205*Emissionsfaktoren!N205/1000, 0)</f>
        <v>0</v>
      </c>
      <c r="O370" s="15">
        <f>IF(ISNUMBER('Klisz-Verbräuche'!P205), 'Klisz-Verbräuche'!P205*Emissionsfaktoren!O205/1000, 0)</f>
        <v>0</v>
      </c>
      <c r="P370" s="15">
        <f>IF(ISNUMBER('Klisz-Verbräuche'!Q205), 'Klisz-Verbräuche'!Q205*Emissionsfaktoren!P205/1000, 0)</f>
        <v>0</v>
      </c>
      <c r="Q370" s="15">
        <f>IF(ISNUMBER('Klisz-Verbräuche'!R205), 'Klisz-Verbräuche'!R205*Emissionsfaktoren!Q205/1000, 0)</f>
        <v>0</v>
      </c>
      <c r="R370" s="15">
        <f>IF(ISNUMBER('Klisz-Verbräuche'!S205), 'Klisz-Verbräuche'!S205*Emissionsfaktoren!R205/1000, 0)</f>
        <v>0</v>
      </c>
      <c r="S370" s="15">
        <f>IF(ISNUMBER('Klisz-Verbräuche'!T205), 'Klisz-Verbräuche'!T205*Emissionsfaktoren!S205/1000, 0)</f>
        <v>0</v>
      </c>
      <c r="T370" s="15">
        <f>IF(ISNUMBER('Klisz-Verbräuche'!U205), 'Klisz-Verbräuche'!U205*Emissionsfaktoren!T205/1000, 0)</f>
        <v>0</v>
      </c>
      <c r="U370" s="15">
        <f>IF(ISNUMBER('Klisz-Verbräuche'!V205), 'Klisz-Verbräuche'!V205*Emissionsfaktoren!U205/1000, 0)</f>
        <v>0</v>
      </c>
      <c r="V370" s="15">
        <f>IF(ISNUMBER('Klisz-Verbräuche'!W205), 'Klisz-Verbräuche'!W205*Emissionsfaktoren!V205/1000, 0)</f>
        <v>0</v>
      </c>
      <c r="W370" s="15">
        <f>IF(ISNUMBER('Klisz-Verbräuche'!X205), 'Klisz-Verbräuche'!X205*Emissionsfaktoren!W205/1000, 0)</f>
        <v>0</v>
      </c>
      <c r="X370" s="15">
        <f>IF(ISNUMBER('Klisz-Verbräuche'!Y205), 'Klisz-Verbräuche'!Y205*Emissionsfaktoren!X205/1000, 0)</f>
        <v>0</v>
      </c>
    </row>
    <row r="371" spans="2:24" ht="16.5" hidden="1" x14ac:dyDescent="0.45">
      <c r="B371" s="15">
        <v>146</v>
      </c>
      <c r="C371" s="20" t="str">
        <f>'Refsz-Verbräuche'!C206</f>
        <v>Holzfaserdämmpatte (flexibe Matte)</v>
      </c>
      <c r="D371" t="s">
        <v>208</v>
      </c>
      <c r="E371" s="15">
        <f>IF(ISNUMBER('Klisz-Verbräuche'!F206), 'Klisz-Verbräuche'!F206*Emissionsfaktoren!E208/1000, 0)</f>
        <v>0</v>
      </c>
      <c r="F371" s="15">
        <f>IF(ISNUMBER('Klisz-Verbräuche'!G206), 'Klisz-Verbräuche'!G206*Emissionsfaktoren!F208/1000, 0)</f>
        <v>0</v>
      </c>
      <c r="G371" s="15">
        <f>IF(ISNUMBER('Klisz-Verbräuche'!H206), 'Klisz-Verbräuche'!H206*Emissionsfaktoren!G208/1000, 0)</f>
        <v>0</v>
      </c>
      <c r="H371" s="15">
        <f>IF(ISNUMBER('Klisz-Verbräuche'!I206), 'Klisz-Verbräuche'!I206*Emissionsfaktoren!H208/1000, 0)</f>
        <v>0</v>
      </c>
      <c r="I371" s="15">
        <f>IF(ISNUMBER('Klisz-Verbräuche'!J206), 'Klisz-Verbräuche'!J206*Emissionsfaktoren!I208/1000, 0)</f>
        <v>0</v>
      </c>
      <c r="J371" s="15">
        <f>IF(ISNUMBER('Klisz-Verbräuche'!K206), 'Klisz-Verbräuche'!K206*Emissionsfaktoren!J208/1000, 0)</f>
        <v>0</v>
      </c>
      <c r="K371" s="15">
        <f>IF(ISNUMBER('Klisz-Verbräuche'!L206), 'Klisz-Verbräuche'!L206*Emissionsfaktoren!K208/1000, 0)</f>
        <v>0</v>
      </c>
      <c r="L371" s="15">
        <f>IF(ISNUMBER('Klisz-Verbräuche'!M206), 'Klisz-Verbräuche'!M206*Emissionsfaktoren!L208/1000, 0)</f>
        <v>0</v>
      </c>
      <c r="M371" s="15">
        <f>IF(ISNUMBER('Klisz-Verbräuche'!N206), 'Klisz-Verbräuche'!N206*Emissionsfaktoren!M208/1000, 0)</f>
        <v>0</v>
      </c>
      <c r="N371" s="15">
        <f>IF(ISNUMBER('Klisz-Verbräuche'!O206), 'Klisz-Verbräuche'!O206*Emissionsfaktoren!N208/1000, 0)</f>
        <v>0</v>
      </c>
      <c r="O371" s="15">
        <f>IF(ISNUMBER('Klisz-Verbräuche'!P206), 'Klisz-Verbräuche'!P206*Emissionsfaktoren!O208/1000, 0)</f>
        <v>0</v>
      </c>
      <c r="P371" s="15">
        <f>IF(ISNUMBER('Klisz-Verbräuche'!Q206), 'Klisz-Verbräuche'!Q206*Emissionsfaktoren!P208/1000, 0)</f>
        <v>0</v>
      </c>
      <c r="Q371" s="15">
        <f>IF(ISNUMBER('Klisz-Verbräuche'!R206), 'Klisz-Verbräuche'!R206*Emissionsfaktoren!Q208/1000, 0)</f>
        <v>0</v>
      </c>
      <c r="R371" s="15">
        <f>IF(ISNUMBER('Klisz-Verbräuche'!S206), 'Klisz-Verbräuche'!S206*Emissionsfaktoren!R208/1000, 0)</f>
        <v>0</v>
      </c>
      <c r="S371" s="15">
        <f>IF(ISNUMBER('Klisz-Verbräuche'!T206), 'Klisz-Verbräuche'!T206*Emissionsfaktoren!S208/1000, 0)</f>
        <v>0</v>
      </c>
      <c r="T371" s="15">
        <f>IF(ISNUMBER('Klisz-Verbräuche'!U206), 'Klisz-Verbräuche'!U206*Emissionsfaktoren!T208/1000, 0)</f>
        <v>0</v>
      </c>
      <c r="U371" s="15">
        <f>IF(ISNUMBER('Klisz-Verbräuche'!V206), 'Klisz-Verbräuche'!V206*Emissionsfaktoren!U208/1000, 0)</f>
        <v>0</v>
      </c>
      <c r="V371" s="15">
        <f>IF(ISNUMBER('Klisz-Verbräuche'!W206), 'Klisz-Verbräuche'!W206*Emissionsfaktoren!V208/1000, 0)</f>
        <v>0</v>
      </c>
      <c r="W371" s="15">
        <f>IF(ISNUMBER('Klisz-Verbräuche'!X206), 'Klisz-Verbräuche'!X206*Emissionsfaktoren!W208/1000, 0)</f>
        <v>0</v>
      </c>
      <c r="X371" s="15">
        <f>IF(ISNUMBER('Klisz-Verbräuche'!Y206), 'Klisz-Verbräuche'!Y206*Emissionsfaktoren!X206/1000, 0)</f>
        <v>0</v>
      </c>
    </row>
    <row r="372" spans="2:24" ht="16.5" hidden="1" x14ac:dyDescent="0.45">
      <c r="B372" s="15">
        <v>147</v>
      </c>
      <c r="C372" s="20">
        <f>'Refsz-Verbräuche'!C207</f>
        <v>0</v>
      </c>
      <c r="D372" t="s">
        <v>208</v>
      </c>
      <c r="E372" s="15">
        <f>IF(ISNUMBER('Klisz-Verbräuche'!F207), 'Klisz-Verbräuche'!F207*Emissionsfaktoren!E207/1000, 0)</f>
        <v>0</v>
      </c>
      <c r="F372" s="15">
        <f>IF(ISNUMBER('Klisz-Verbräuche'!G207), 'Klisz-Verbräuche'!G207*Emissionsfaktoren!F207/1000, 0)</f>
        <v>0</v>
      </c>
      <c r="G372" s="15">
        <f>IF(ISNUMBER('Klisz-Verbräuche'!H207), 'Klisz-Verbräuche'!H207*Emissionsfaktoren!G207/1000, 0)</f>
        <v>0</v>
      </c>
      <c r="H372" s="15">
        <f>IF(ISNUMBER('Klisz-Verbräuche'!I207), 'Klisz-Verbräuche'!I207*Emissionsfaktoren!H207/1000, 0)</f>
        <v>0</v>
      </c>
      <c r="I372" s="15">
        <f>IF(ISNUMBER('Klisz-Verbräuche'!J207), 'Klisz-Verbräuche'!J207*Emissionsfaktoren!I207/1000, 0)</f>
        <v>0</v>
      </c>
      <c r="J372" s="15">
        <f>IF(ISNUMBER('Klisz-Verbräuche'!K207), 'Klisz-Verbräuche'!K207*Emissionsfaktoren!J207/1000, 0)</f>
        <v>0</v>
      </c>
      <c r="K372" s="15">
        <f>IF(ISNUMBER('Klisz-Verbräuche'!L207), 'Klisz-Verbräuche'!L207*Emissionsfaktoren!K207/1000, 0)</f>
        <v>0</v>
      </c>
      <c r="L372" s="15">
        <f>IF(ISNUMBER('Klisz-Verbräuche'!M207), 'Klisz-Verbräuche'!M207*Emissionsfaktoren!L207/1000, 0)</f>
        <v>0</v>
      </c>
      <c r="M372" s="15">
        <f>IF(ISNUMBER('Klisz-Verbräuche'!N207), 'Klisz-Verbräuche'!N207*Emissionsfaktoren!M207/1000, 0)</f>
        <v>0</v>
      </c>
      <c r="N372" s="15">
        <f>IF(ISNUMBER('Klisz-Verbräuche'!O207), 'Klisz-Verbräuche'!O207*Emissionsfaktoren!N207/1000, 0)</f>
        <v>0</v>
      </c>
      <c r="O372" s="15">
        <f>IF(ISNUMBER('Klisz-Verbräuche'!P207), 'Klisz-Verbräuche'!P207*Emissionsfaktoren!O207/1000, 0)</f>
        <v>0</v>
      </c>
      <c r="P372" s="15">
        <f>IF(ISNUMBER('Klisz-Verbräuche'!Q207), 'Klisz-Verbräuche'!Q207*Emissionsfaktoren!P207/1000, 0)</f>
        <v>0</v>
      </c>
      <c r="Q372" s="15">
        <f>IF(ISNUMBER('Klisz-Verbräuche'!R207), 'Klisz-Verbräuche'!R207*Emissionsfaktoren!Q207/1000, 0)</f>
        <v>0</v>
      </c>
      <c r="R372" s="15">
        <f>IF(ISNUMBER('Klisz-Verbräuche'!S207), 'Klisz-Verbräuche'!S207*Emissionsfaktoren!R207/1000, 0)</f>
        <v>0</v>
      </c>
      <c r="S372" s="15">
        <f>IF(ISNUMBER('Klisz-Verbräuche'!T207), 'Klisz-Verbräuche'!T207*Emissionsfaktoren!S207/1000, 0)</f>
        <v>0</v>
      </c>
      <c r="T372" s="15">
        <f>IF(ISNUMBER('Klisz-Verbräuche'!U207), 'Klisz-Verbräuche'!U207*Emissionsfaktoren!T207/1000, 0)</f>
        <v>0</v>
      </c>
      <c r="U372" s="15">
        <f>IF(ISNUMBER('Klisz-Verbräuche'!V207), 'Klisz-Verbräuche'!V207*Emissionsfaktoren!U207/1000, 0)</f>
        <v>0</v>
      </c>
      <c r="V372" s="15">
        <f>IF(ISNUMBER('Klisz-Verbräuche'!W207), 'Klisz-Verbräuche'!W207*Emissionsfaktoren!V207/1000, 0)</f>
        <v>0</v>
      </c>
      <c r="W372" s="15">
        <f>IF(ISNUMBER('Klisz-Verbräuche'!X207), 'Klisz-Verbräuche'!X207*Emissionsfaktoren!W207/1000, 0)</f>
        <v>0</v>
      </c>
      <c r="X372" s="15">
        <f>IF(ISNUMBER('Klisz-Verbräuche'!Y207), 'Klisz-Verbräuche'!Y207*Emissionsfaktoren!X207/1000, 0)</f>
        <v>0</v>
      </c>
    </row>
    <row r="373" spans="2:24" ht="16.5" hidden="1" x14ac:dyDescent="0.45">
      <c r="B373" s="15">
        <v>148</v>
      </c>
      <c r="C373" s="20" t="str">
        <f>'Refsz-Verbräuche'!C208</f>
        <v>Kompensation</v>
      </c>
      <c r="D373" t="s">
        <v>208</v>
      </c>
      <c r="E373" s="15">
        <f>IF(ISNUMBER('Klisz-Verbräuche'!F208), 'Klisz-Verbräuche'!F208*Emissionsfaktoren!#REF!/1000, 0)</f>
        <v>0</v>
      </c>
      <c r="F373" s="15">
        <f>IF(ISNUMBER('Klisz-Verbräuche'!G208), 'Klisz-Verbräuche'!G208*Emissionsfaktoren!#REF!/1000, 0)</f>
        <v>0</v>
      </c>
      <c r="G373" s="15">
        <f>IF(ISNUMBER('Klisz-Verbräuche'!H208), 'Klisz-Verbräuche'!H208*Emissionsfaktoren!#REF!/1000, 0)</f>
        <v>0</v>
      </c>
      <c r="H373" s="15">
        <f>IF(ISNUMBER('Klisz-Verbräuche'!I208), 'Klisz-Verbräuche'!I208*Emissionsfaktoren!#REF!/1000, 0)</f>
        <v>0</v>
      </c>
      <c r="I373" s="15">
        <f>IF(ISNUMBER('Klisz-Verbräuche'!J208), 'Klisz-Verbräuche'!J208*Emissionsfaktoren!#REF!/1000, 0)</f>
        <v>0</v>
      </c>
      <c r="J373" s="15">
        <f>IF(ISNUMBER('Klisz-Verbräuche'!K208), 'Klisz-Verbräuche'!K208*Emissionsfaktoren!#REF!/1000, 0)</f>
        <v>0</v>
      </c>
      <c r="K373" s="15">
        <f>IF(ISNUMBER('Klisz-Verbräuche'!L208), 'Klisz-Verbräuche'!L208*Emissionsfaktoren!#REF!/1000, 0)</f>
        <v>0</v>
      </c>
      <c r="L373" s="15">
        <f>IF(ISNUMBER('Klisz-Verbräuche'!M208), 'Klisz-Verbräuche'!M208*Emissionsfaktoren!#REF!/1000, 0)</f>
        <v>0</v>
      </c>
      <c r="M373" s="15">
        <f>IF(ISNUMBER('Klisz-Verbräuche'!N208), 'Klisz-Verbräuche'!N208*Emissionsfaktoren!#REF!/1000, 0)</f>
        <v>0</v>
      </c>
      <c r="N373" s="15">
        <f>IF(ISNUMBER('Klisz-Verbräuche'!O208), 'Klisz-Verbräuche'!O208*Emissionsfaktoren!#REF!/1000, 0)</f>
        <v>0</v>
      </c>
      <c r="O373" s="15">
        <f>IF(ISNUMBER('Klisz-Verbräuche'!P208), 'Klisz-Verbräuche'!P208*Emissionsfaktoren!#REF!/1000, 0)</f>
        <v>0</v>
      </c>
      <c r="P373" s="15">
        <f>IF(ISNUMBER('Klisz-Verbräuche'!Q208), 'Klisz-Verbräuche'!Q208*Emissionsfaktoren!#REF!/1000, 0)</f>
        <v>0</v>
      </c>
      <c r="Q373" s="15">
        <f>IF(ISNUMBER('Klisz-Verbräuche'!R208), 'Klisz-Verbräuche'!R208*Emissionsfaktoren!#REF!/1000, 0)</f>
        <v>0</v>
      </c>
      <c r="R373" s="15">
        <f>IF(ISNUMBER('Klisz-Verbräuche'!S208), 'Klisz-Verbräuche'!S208*Emissionsfaktoren!#REF!/1000, 0)</f>
        <v>0</v>
      </c>
      <c r="S373" s="15">
        <f>IF(ISNUMBER('Klisz-Verbräuche'!T208), 'Klisz-Verbräuche'!T208*Emissionsfaktoren!#REF!/1000, 0)</f>
        <v>0</v>
      </c>
      <c r="T373" s="15">
        <f>IF(ISNUMBER('Klisz-Verbräuche'!U208), 'Klisz-Verbräuche'!U208*Emissionsfaktoren!#REF!/1000, 0)</f>
        <v>0</v>
      </c>
      <c r="U373" s="15">
        <f>IF(ISNUMBER('Klisz-Verbräuche'!V208), 'Klisz-Verbräuche'!V208*Emissionsfaktoren!#REF!/1000, 0)</f>
        <v>0</v>
      </c>
      <c r="V373" s="15">
        <f>IF(ISNUMBER('Klisz-Verbräuche'!W208), 'Klisz-Verbräuche'!W208*Emissionsfaktoren!#REF!/1000, 0)</f>
        <v>0</v>
      </c>
      <c r="W373" s="15">
        <f>IF(ISNUMBER('Klisz-Verbräuche'!X208), 'Klisz-Verbräuche'!X208*Emissionsfaktoren!#REF!/1000, 0)</f>
        <v>0</v>
      </c>
      <c r="X373" s="15">
        <f>IF(ISNUMBER('Klisz-Verbräuche'!Y208), 'Klisz-Verbräuche'!Y208*Emissionsfaktoren!X208/1000, 0)</f>
        <v>0</v>
      </c>
    </row>
    <row r="374" spans="2:24" ht="16.5" hidden="1" x14ac:dyDescent="0.45">
      <c r="B374" s="15">
        <v>149</v>
      </c>
      <c r="C374" s="20">
        <f>'Refsz-Verbräuche'!C209</f>
        <v>0</v>
      </c>
      <c r="D374" t="s">
        <v>208</v>
      </c>
      <c r="E374" s="15">
        <f>IF(ISNUMBER('Klisz-Verbräuche'!F209), 'Klisz-Verbräuche'!F209*Emissionsfaktoren!E209/1000, 0)</f>
        <v>0</v>
      </c>
      <c r="F374" s="15">
        <f>IF(ISNUMBER('Klisz-Verbräuche'!G209), 'Klisz-Verbräuche'!G209*Emissionsfaktoren!F209/1000, 0)</f>
        <v>0</v>
      </c>
      <c r="G374" s="15">
        <f>IF(ISNUMBER('Klisz-Verbräuche'!H209), 'Klisz-Verbräuche'!H209*Emissionsfaktoren!G209/1000, 0)</f>
        <v>0</v>
      </c>
      <c r="H374" s="15">
        <f>IF(ISNUMBER('Klisz-Verbräuche'!I209), 'Klisz-Verbräuche'!I209*Emissionsfaktoren!H209/1000, 0)</f>
        <v>0</v>
      </c>
      <c r="I374" s="15">
        <f>IF(ISNUMBER('Klisz-Verbräuche'!J209), 'Klisz-Verbräuche'!J209*Emissionsfaktoren!I209/1000, 0)</f>
        <v>0</v>
      </c>
      <c r="J374" s="15">
        <f>IF(ISNUMBER('Klisz-Verbräuche'!K209), 'Klisz-Verbräuche'!K209*Emissionsfaktoren!J209/1000, 0)</f>
        <v>0</v>
      </c>
      <c r="K374" s="15">
        <f>IF(ISNUMBER('Klisz-Verbräuche'!L209), 'Klisz-Verbräuche'!L209*Emissionsfaktoren!K209/1000, 0)</f>
        <v>0</v>
      </c>
      <c r="L374" s="15">
        <f>IF(ISNUMBER('Klisz-Verbräuche'!M209), 'Klisz-Verbräuche'!M209*Emissionsfaktoren!L209/1000, 0)</f>
        <v>0</v>
      </c>
      <c r="M374" s="15">
        <f>IF(ISNUMBER('Klisz-Verbräuche'!N209), 'Klisz-Verbräuche'!N209*Emissionsfaktoren!M209/1000, 0)</f>
        <v>0</v>
      </c>
      <c r="N374" s="15">
        <f>IF(ISNUMBER('Klisz-Verbräuche'!O209), 'Klisz-Verbräuche'!O209*Emissionsfaktoren!N209/1000, 0)</f>
        <v>0</v>
      </c>
      <c r="O374" s="15">
        <f>IF(ISNUMBER('Klisz-Verbräuche'!P209), 'Klisz-Verbräuche'!P209*Emissionsfaktoren!O209/1000, 0)</f>
        <v>0</v>
      </c>
      <c r="P374" s="15">
        <f>IF(ISNUMBER('Klisz-Verbräuche'!Q209), 'Klisz-Verbräuche'!Q209*Emissionsfaktoren!P209/1000, 0)</f>
        <v>0</v>
      </c>
      <c r="Q374" s="15">
        <f>IF(ISNUMBER('Klisz-Verbräuche'!R209), 'Klisz-Verbräuche'!R209*Emissionsfaktoren!Q209/1000, 0)</f>
        <v>0</v>
      </c>
      <c r="R374" s="15">
        <f>IF(ISNUMBER('Klisz-Verbräuche'!S209), 'Klisz-Verbräuche'!S209*Emissionsfaktoren!R209/1000, 0)</f>
        <v>0</v>
      </c>
      <c r="S374" s="15">
        <f>IF(ISNUMBER('Klisz-Verbräuche'!T209), 'Klisz-Verbräuche'!T209*Emissionsfaktoren!S209/1000, 0)</f>
        <v>0</v>
      </c>
      <c r="T374" s="15">
        <f>IF(ISNUMBER('Klisz-Verbräuche'!U209), 'Klisz-Verbräuche'!U209*Emissionsfaktoren!T209/1000, 0)</f>
        <v>0</v>
      </c>
      <c r="U374" s="15">
        <f>IF(ISNUMBER('Klisz-Verbräuche'!V209), 'Klisz-Verbräuche'!V209*Emissionsfaktoren!U209/1000, 0)</f>
        <v>0</v>
      </c>
      <c r="V374" s="15">
        <f>IF(ISNUMBER('Klisz-Verbräuche'!W209), 'Klisz-Verbräuche'!W209*Emissionsfaktoren!V209/1000, 0)</f>
        <v>0</v>
      </c>
      <c r="W374" s="15">
        <f>IF(ISNUMBER('Klisz-Verbräuche'!X209), 'Klisz-Verbräuche'!X209*Emissionsfaktoren!W209/1000, 0)</f>
        <v>0</v>
      </c>
      <c r="X374" s="15">
        <f>IF(ISNUMBER('Klisz-Verbräuche'!Y209), 'Klisz-Verbräuche'!Y209*Emissionsfaktoren!X209/1000, 0)</f>
        <v>0</v>
      </c>
    </row>
    <row r="375" spans="2:24" ht="16.5" hidden="1" x14ac:dyDescent="0.45">
      <c r="B375" s="15">
        <v>150</v>
      </c>
      <c r="C375" s="20">
        <f>'Refsz-Verbräuche'!C210</f>
        <v>0</v>
      </c>
      <c r="D375" t="s">
        <v>208</v>
      </c>
      <c r="E375" s="15">
        <f>IF(ISNUMBER('Klisz-Verbräuche'!F210), 'Klisz-Verbräuche'!F210*Emissionsfaktoren!E210/1000, 0)</f>
        <v>0</v>
      </c>
      <c r="F375" s="15">
        <f>IF(ISNUMBER('Klisz-Verbräuche'!G210), 'Klisz-Verbräuche'!G210*Emissionsfaktoren!F210/1000, 0)</f>
        <v>0</v>
      </c>
      <c r="G375" s="15">
        <f>IF(ISNUMBER('Klisz-Verbräuche'!H210), 'Klisz-Verbräuche'!H210*Emissionsfaktoren!G210/1000, 0)</f>
        <v>0</v>
      </c>
      <c r="H375" s="15">
        <f>IF(ISNUMBER('Klisz-Verbräuche'!I210), 'Klisz-Verbräuche'!I210*Emissionsfaktoren!H210/1000, 0)</f>
        <v>0</v>
      </c>
      <c r="I375" s="15">
        <f>IF(ISNUMBER('Klisz-Verbräuche'!J210), 'Klisz-Verbräuche'!J210*Emissionsfaktoren!I210/1000, 0)</f>
        <v>0</v>
      </c>
      <c r="J375" s="15">
        <f>IF(ISNUMBER('Klisz-Verbräuche'!K210), 'Klisz-Verbräuche'!K210*Emissionsfaktoren!J210/1000, 0)</f>
        <v>0</v>
      </c>
      <c r="K375" s="15">
        <f>IF(ISNUMBER('Klisz-Verbräuche'!L210), 'Klisz-Verbräuche'!L210*Emissionsfaktoren!K210/1000, 0)</f>
        <v>0</v>
      </c>
      <c r="L375" s="15">
        <f>IF(ISNUMBER('Klisz-Verbräuche'!M210), 'Klisz-Verbräuche'!M210*Emissionsfaktoren!L210/1000, 0)</f>
        <v>0</v>
      </c>
      <c r="M375" s="15">
        <f>IF(ISNUMBER('Klisz-Verbräuche'!N210), 'Klisz-Verbräuche'!N210*Emissionsfaktoren!M210/1000, 0)</f>
        <v>0</v>
      </c>
      <c r="N375" s="15">
        <f>IF(ISNUMBER('Klisz-Verbräuche'!O210), 'Klisz-Verbräuche'!O210*Emissionsfaktoren!N210/1000, 0)</f>
        <v>0</v>
      </c>
      <c r="O375" s="15">
        <f>IF(ISNUMBER('Klisz-Verbräuche'!P210), 'Klisz-Verbräuche'!P210*Emissionsfaktoren!O210/1000, 0)</f>
        <v>0</v>
      </c>
      <c r="P375" s="15">
        <f>IF(ISNUMBER('Klisz-Verbräuche'!Q210), 'Klisz-Verbräuche'!Q210*Emissionsfaktoren!P210/1000, 0)</f>
        <v>0</v>
      </c>
      <c r="Q375" s="15">
        <f>IF(ISNUMBER('Klisz-Verbräuche'!R210), 'Klisz-Verbräuche'!R210*Emissionsfaktoren!Q210/1000, 0)</f>
        <v>0</v>
      </c>
      <c r="R375" s="15">
        <f>IF(ISNUMBER('Klisz-Verbräuche'!S210), 'Klisz-Verbräuche'!S210*Emissionsfaktoren!R210/1000, 0)</f>
        <v>0</v>
      </c>
      <c r="S375" s="15">
        <f>IF(ISNUMBER('Klisz-Verbräuche'!T210), 'Klisz-Verbräuche'!T210*Emissionsfaktoren!S210/1000, 0)</f>
        <v>0</v>
      </c>
      <c r="T375" s="15">
        <f>IF(ISNUMBER('Klisz-Verbräuche'!U210), 'Klisz-Verbräuche'!U210*Emissionsfaktoren!T210/1000, 0)</f>
        <v>0</v>
      </c>
      <c r="U375" s="15">
        <f>IF(ISNUMBER('Klisz-Verbräuche'!V210), 'Klisz-Verbräuche'!V210*Emissionsfaktoren!U210/1000, 0)</f>
        <v>0</v>
      </c>
      <c r="V375" s="15">
        <f>IF(ISNUMBER('Klisz-Verbräuche'!W210), 'Klisz-Verbräuche'!W210*Emissionsfaktoren!V210/1000, 0)</f>
        <v>0</v>
      </c>
      <c r="W375" s="15">
        <f>IF(ISNUMBER('Klisz-Verbräuche'!X210), 'Klisz-Verbräuche'!X210*Emissionsfaktoren!W210/1000, 0)</f>
        <v>0</v>
      </c>
      <c r="X375" s="15">
        <f>IF(ISNUMBER('Klisz-Verbräuche'!Y210), 'Klisz-Verbräuche'!Y210*Emissionsfaktoren!X210/1000, 0)</f>
        <v>0</v>
      </c>
    </row>
    <row r="376" spans="2:24" ht="16.5" hidden="1" x14ac:dyDescent="0.45">
      <c r="B376" s="15">
        <v>151</v>
      </c>
      <c r="C376" s="20">
        <f>'Refsz-Verbräuche'!C211</f>
        <v>0</v>
      </c>
      <c r="D376" t="s">
        <v>208</v>
      </c>
      <c r="E376" s="15">
        <f>IF(ISNUMBER('Klisz-Verbräuche'!F211), 'Klisz-Verbräuche'!F211*Emissionsfaktoren!E211/1000, 0)</f>
        <v>0</v>
      </c>
      <c r="F376" s="15">
        <f>IF(ISNUMBER('Klisz-Verbräuche'!G211), 'Klisz-Verbräuche'!G211*Emissionsfaktoren!F211/1000, 0)</f>
        <v>0</v>
      </c>
      <c r="G376" s="15">
        <f>IF(ISNUMBER('Klisz-Verbräuche'!H211), 'Klisz-Verbräuche'!H211*Emissionsfaktoren!G211/1000, 0)</f>
        <v>0</v>
      </c>
      <c r="H376" s="15">
        <f>IF(ISNUMBER('Klisz-Verbräuche'!I211), 'Klisz-Verbräuche'!I211*Emissionsfaktoren!H211/1000, 0)</f>
        <v>0</v>
      </c>
      <c r="I376" s="15">
        <f>IF(ISNUMBER('Klisz-Verbräuche'!J211), 'Klisz-Verbräuche'!J211*Emissionsfaktoren!I211/1000, 0)</f>
        <v>0</v>
      </c>
      <c r="J376" s="15">
        <f>IF(ISNUMBER('Klisz-Verbräuche'!K211), 'Klisz-Verbräuche'!K211*Emissionsfaktoren!J211/1000, 0)</f>
        <v>0</v>
      </c>
      <c r="K376" s="15">
        <f>IF(ISNUMBER('Klisz-Verbräuche'!L211), 'Klisz-Verbräuche'!L211*Emissionsfaktoren!K211/1000, 0)</f>
        <v>0</v>
      </c>
      <c r="L376" s="15">
        <f>IF(ISNUMBER('Klisz-Verbräuche'!M211), 'Klisz-Verbräuche'!M211*Emissionsfaktoren!L211/1000, 0)</f>
        <v>0</v>
      </c>
      <c r="M376" s="15">
        <f>IF(ISNUMBER('Klisz-Verbräuche'!N211), 'Klisz-Verbräuche'!N211*Emissionsfaktoren!M211/1000, 0)</f>
        <v>0</v>
      </c>
      <c r="N376" s="15">
        <f>IF(ISNUMBER('Klisz-Verbräuche'!O211), 'Klisz-Verbräuche'!O211*Emissionsfaktoren!N211/1000, 0)</f>
        <v>0</v>
      </c>
      <c r="O376" s="15">
        <f>IF(ISNUMBER('Klisz-Verbräuche'!P211), 'Klisz-Verbräuche'!P211*Emissionsfaktoren!O211/1000, 0)</f>
        <v>0</v>
      </c>
      <c r="P376" s="15">
        <f>IF(ISNUMBER('Klisz-Verbräuche'!Q211), 'Klisz-Verbräuche'!Q211*Emissionsfaktoren!P211/1000, 0)</f>
        <v>0</v>
      </c>
      <c r="Q376" s="15">
        <f>IF(ISNUMBER('Klisz-Verbräuche'!R211), 'Klisz-Verbräuche'!R211*Emissionsfaktoren!Q211/1000, 0)</f>
        <v>0</v>
      </c>
      <c r="R376" s="15">
        <f>IF(ISNUMBER('Klisz-Verbräuche'!S211), 'Klisz-Verbräuche'!S211*Emissionsfaktoren!R211/1000, 0)</f>
        <v>0</v>
      </c>
      <c r="S376" s="15">
        <f>IF(ISNUMBER('Klisz-Verbräuche'!T211), 'Klisz-Verbräuche'!T211*Emissionsfaktoren!S211/1000, 0)</f>
        <v>0</v>
      </c>
      <c r="T376" s="15">
        <f>IF(ISNUMBER('Klisz-Verbräuche'!U211), 'Klisz-Verbräuche'!U211*Emissionsfaktoren!T211/1000, 0)</f>
        <v>0</v>
      </c>
      <c r="U376" s="15">
        <f>IF(ISNUMBER('Klisz-Verbräuche'!V211), 'Klisz-Verbräuche'!V211*Emissionsfaktoren!U211/1000, 0)</f>
        <v>0</v>
      </c>
      <c r="V376" s="15">
        <f>IF(ISNUMBER('Klisz-Verbräuche'!W211), 'Klisz-Verbräuche'!W211*Emissionsfaktoren!V211/1000, 0)</f>
        <v>0</v>
      </c>
      <c r="W376" s="15">
        <f>IF(ISNUMBER('Klisz-Verbräuche'!X211), 'Klisz-Verbräuche'!X211*Emissionsfaktoren!W211/1000, 0)</f>
        <v>0</v>
      </c>
      <c r="X376" s="15">
        <f>IF(ISNUMBER('Klisz-Verbräuche'!Y211), 'Klisz-Verbräuche'!Y211*Emissionsfaktoren!X211/1000, 0)</f>
        <v>0</v>
      </c>
    </row>
    <row r="377" spans="2:24" ht="16.5" hidden="1" x14ac:dyDescent="0.45">
      <c r="B377" s="15">
        <v>152</v>
      </c>
      <c r="C377" s="20">
        <f>'Refsz-Verbräuche'!C212</f>
        <v>0</v>
      </c>
      <c r="D377" t="s">
        <v>208</v>
      </c>
      <c r="E377" s="15">
        <f>IF(ISNUMBER('Klisz-Verbräuche'!F212), 'Klisz-Verbräuche'!F212*Emissionsfaktoren!E212/1000, 0)</f>
        <v>0</v>
      </c>
      <c r="F377" s="15">
        <f>IF(ISNUMBER('Klisz-Verbräuche'!G212), 'Klisz-Verbräuche'!G212*Emissionsfaktoren!F212/1000, 0)</f>
        <v>0</v>
      </c>
      <c r="G377" s="15">
        <f>IF(ISNUMBER('Klisz-Verbräuche'!H212), 'Klisz-Verbräuche'!H212*Emissionsfaktoren!G212/1000, 0)</f>
        <v>0</v>
      </c>
      <c r="H377" s="15">
        <f>IF(ISNUMBER('Klisz-Verbräuche'!I212), 'Klisz-Verbräuche'!I212*Emissionsfaktoren!H212/1000, 0)</f>
        <v>0</v>
      </c>
      <c r="I377" s="15">
        <f>IF(ISNUMBER('Klisz-Verbräuche'!J212), 'Klisz-Verbräuche'!J212*Emissionsfaktoren!I212/1000, 0)</f>
        <v>0</v>
      </c>
      <c r="J377" s="15">
        <f>IF(ISNUMBER('Klisz-Verbräuche'!K212), 'Klisz-Verbräuche'!K212*Emissionsfaktoren!J212/1000, 0)</f>
        <v>0</v>
      </c>
      <c r="K377" s="15">
        <f>IF(ISNUMBER('Klisz-Verbräuche'!L212), 'Klisz-Verbräuche'!L212*Emissionsfaktoren!K212/1000, 0)</f>
        <v>0</v>
      </c>
      <c r="L377" s="15">
        <f>IF(ISNUMBER('Klisz-Verbräuche'!M212), 'Klisz-Verbräuche'!M212*Emissionsfaktoren!L212/1000, 0)</f>
        <v>0</v>
      </c>
      <c r="M377" s="15">
        <f>IF(ISNUMBER('Klisz-Verbräuche'!N212), 'Klisz-Verbräuche'!N212*Emissionsfaktoren!M212/1000, 0)</f>
        <v>0</v>
      </c>
      <c r="N377" s="15">
        <f>IF(ISNUMBER('Klisz-Verbräuche'!O212), 'Klisz-Verbräuche'!O212*Emissionsfaktoren!N212/1000, 0)</f>
        <v>0</v>
      </c>
      <c r="O377" s="15">
        <f>IF(ISNUMBER('Klisz-Verbräuche'!P212), 'Klisz-Verbräuche'!P212*Emissionsfaktoren!O212/1000, 0)</f>
        <v>0</v>
      </c>
      <c r="P377" s="15">
        <f>IF(ISNUMBER('Klisz-Verbräuche'!Q212), 'Klisz-Verbräuche'!Q212*Emissionsfaktoren!P212/1000, 0)</f>
        <v>0</v>
      </c>
      <c r="Q377" s="15">
        <f>IF(ISNUMBER('Klisz-Verbräuche'!R212), 'Klisz-Verbräuche'!R212*Emissionsfaktoren!Q212/1000, 0)</f>
        <v>0</v>
      </c>
      <c r="R377" s="15">
        <f>IF(ISNUMBER('Klisz-Verbräuche'!S212), 'Klisz-Verbräuche'!S212*Emissionsfaktoren!R212/1000, 0)</f>
        <v>0</v>
      </c>
      <c r="S377" s="15">
        <f>IF(ISNUMBER('Klisz-Verbräuche'!T212), 'Klisz-Verbräuche'!T212*Emissionsfaktoren!S212/1000, 0)</f>
        <v>0</v>
      </c>
      <c r="T377" s="15">
        <f>IF(ISNUMBER('Klisz-Verbräuche'!U212), 'Klisz-Verbräuche'!U212*Emissionsfaktoren!T212/1000, 0)</f>
        <v>0</v>
      </c>
      <c r="U377" s="15">
        <f>IF(ISNUMBER('Klisz-Verbräuche'!V212), 'Klisz-Verbräuche'!V212*Emissionsfaktoren!U212/1000, 0)</f>
        <v>0</v>
      </c>
      <c r="V377" s="15">
        <f>IF(ISNUMBER('Klisz-Verbräuche'!W212), 'Klisz-Verbräuche'!W212*Emissionsfaktoren!V212/1000, 0)</f>
        <v>0</v>
      </c>
      <c r="W377" s="15">
        <f>IF(ISNUMBER('Klisz-Verbräuche'!X212), 'Klisz-Verbräuche'!X212*Emissionsfaktoren!W212/1000, 0)</f>
        <v>0</v>
      </c>
      <c r="X377" s="15">
        <f>IF(ISNUMBER('Klisz-Verbräuche'!Y212), 'Klisz-Verbräuche'!Y212*Emissionsfaktoren!X212/1000, 0)</f>
        <v>0</v>
      </c>
    </row>
    <row r="378" spans="2:24" ht="16.5" hidden="1" x14ac:dyDescent="0.45">
      <c r="B378" s="15">
        <v>153</v>
      </c>
      <c r="C378" s="20">
        <f>'Refsz-Verbräuche'!C213</f>
        <v>0</v>
      </c>
      <c r="D378" t="s">
        <v>208</v>
      </c>
      <c r="E378" s="15">
        <f>IF(ISNUMBER('Klisz-Verbräuche'!F213), 'Klisz-Verbräuche'!F213*Emissionsfaktoren!E213/1000, 0)</f>
        <v>0</v>
      </c>
      <c r="F378" s="15">
        <f>IF(ISNUMBER('Klisz-Verbräuche'!G213), 'Klisz-Verbräuche'!G213*Emissionsfaktoren!F213/1000, 0)</f>
        <v>0</v>
      </c>
      <c r="G378" s="15">
        <f>IF(ISNUMBER('Klisz-Verbräuche'!H213), 'Klisz-Verbräuche'!H213*Emissionsfaktoren!G213/1000, 0)</f>
        <v>0</v>
      </c>
      <c r="H378" s="15">
        <f>IF(ISNUMBER('Klisz-Verbräuche'!I213), 'Klisz-Verbräuche'!I213*Emissionsfaktoren!H213/1000, 0)</f>
        <v>0</v>
      </c>
      <c r="I378" s="15">
        <f>IF(ISNUMBER('Klisz-Verbräuche'!J213), 'Klisz-Verbräuche'!J213*Emissionsfaktoren!I213/1000, 0)</f>
        <v>0</v>
      </c>
      <c r="J378" s="15">
        <f>IF(ISNUMBER('Klisz-Verbräuche'!K213), 'Klisz-Verbräuche'!K213*Emissionsfaktoren!J213/1000, 0)</f>
        <v>0</v>
      </c>
      <c r="K378" s="15">
        <f>IF(ISNUMBER('Klisz-Verbräuche'!L213), 'Klisz-Verbräuche'!L213*Emissionsfaktoren!K213/1000, 0)</f>
        <v>0</v>
      </c>
      <c r="L378" s="15">
        <f>IF(ISNUMBER('Klisz-Verbräuche'!M213), 'Klisz-Verbräuche'!M213*Emissionsfaktoren!L213/1000, 0)</f>
        <v>0</v>
      </c>
      <c r="M378" s="15">
        <f>IF(ISNUMBER('Klisz-Verbräuche'!N213), 'Klisz-Verbräuche'!N213*Emissionsfaktoren!M213/1000, 0)</f>
        <v>0</v>
      </c>
      <c r="N378" s="15">
        <f>IF(ISNUMBER('Klisz-Verbräuche'!O213), 'Klisz-Verbräuche'!O213*Emissionsfaktoren!N213/1000, 0)</f>
        <v>0</v>
      </c>
      <c r="O378" s="15">
        <f>IF(ISNUMBER('Klisz-Verbräuche'!P213), 'Klisz-Verbräuche'!P213*Emissionsfaktoren!O213/1000, 0)</f>
        <v>0</v>
      </c>
      <c r="P378" s="15">
        <f>IF(ISNUMBER('Klisz-Verbräuche'!Q213), 'Klisz-Verbräuche'!Q213*Emissionsfaktoren!P213/1000, 0)</f>
        <v>0</v>
      </c>
      <c r="Q378" s="15">
        <f>IF(ISNUMBER('Klisz-Verbräuche'!R213), 'Klisz-Verbräuche'!R213*Emissionsfaktoren!Q213/1000, 0)</f>
        <v>0</v>
      </c>
      <c r="R378" s="15">
        <f>IF(ISNUMBER('Klisz-Verbräuche'!S213), 'Klisz-Verbräuche'!S213*Emissionsfaktoren!R213/1000, 0)</f>
        <v>0</v>
      </c>
      <c r="S378" s="15">
        <f>IF(ISNUMBER('Klisz-Verbräuche'!T213), 'Klisz-Verbräuche'!T213*Emissionsfaktoren!S213/1000, 0)</f>
        <v>0</v>
      </c>
      <c r="T378" s="15">
        <f>IF(ISNUMBER('Klisz-Verbräuche'!U213), 'Klisz-Verbräuche'!U213*Emissionsfaktoren!T213/1000, 0)</f>
        <v>0</v>
      </c>
      <c r="U378" s="15">
        <f>IF(ISNUMBER('Klisz-Verbräuche'!V213), 'Klisz-Verbräuche'!V213*Emissionsfaktoren!U213/1000, 0)</f>
        <v>0</v>
      </c>
      <c r="V378" s="15">
        <f>IF(ISNUMBER('Klisz-Verbräuche'!W213), 'Klisz-Verbräuche'!W213*Emissionsfaktoren!V213/1000, 0)</f>
        <v>0</v>
      </c>
      <c r="W378" s="15">
        <f>IF(ISNUMBER('Klisz-Verbräuche'!X213), 'Klisz-Verbräuche'!X213*Emissionsfaktoren!W213/1000, 0)</f>
        <v>0</v>
      </c>
      <c r="X378" s="15">
        <f>IF(ISNUMBER('Klisz-Verbräuche'!Y213), 'Klisz-Verbräuche'!Y213*Emissionsfaktoren!X213/1000, 0)</f>
        <v>0</v>
      </c>
    </row>
    <row r="379" spans="2:24" ht="16.5" hidden="1" x14ac:dyDescent="0.45">
      <c r="B379" s="15">
        <v>154</v>
      </c>
      <c r="C379" s="20">
        <f>'Refsz-Verbräuche'!C214</f>
        <v>0</v>
      </c>
      <c r="D379" t="s">
        <v>208</v>
      </c>
      <c r="E379" s="15">
        <f>IF(ISNUMBER('Klisz-Verbräuche'!F214), 'Klisz-Verbräuche'!F214*Emissionsfaktoren!E214/1000, 0)</f>
        <v>0</v>
      </c>
      <c r="F379" s="15">
        <f>IF(ISNUMBER('Klisz-Verbräuche'!G214), 'Klisz-Verbräuche'!G214*Emissionsfaktoren!F214/1000, 0)</f>
        <v>0</v>
      </c>
      <c r="G379" s="15">
        <f>IF(ISNUMBER('Klisz-Verbräuche'!H214), 'Klisz-Verbräuche'!H214*Emissionsfaktoren!G214/1000, 0)</f>
        <v>0</v>
      </c>
      <c r="H379" s="15">
        <f>IF(ISNUMBER('Klisz-Verbräuche'!I214), 'Klisz-Verbräuche'!I214*Emissionsfaktoren!H214/1000, 0)</f>
        <v>0</v>
      </c>
      <c r="I379" s="15">
        <f>IF(ISNUMBER('Klisz-Verbräuche'!J214), 'Klisz-Verbräuche'!J214*Emissionsfaktoren!I214/1000, 0)</f>
        <v>0</v>
      </c>
      <c r="J379" s="15">
        <f>IF(ISNUMBER('Klisz-Verbräuche'!K214), 'Klisz-Verbräuche'!K214*Emissionsfaktoren!J214/1000, 0)</f>
        <v>0</v>
      </c>
      <c r="K379" s="15">
        <f>IF(ISNUMBER('Klisz-Verbräuche'!L214), 'Klisz-Verbräuche'!L214*Emissionsfaktoren!K214/1000, 0)</f>
        <v>0</v>
      </c>
      <c r="L379" s="15">
        <f>IF(ISNUMBER('Klisz-Verbräuche'!M214), 'Klisz-Verbräuche'!M214*Emissionsfaktoren!L214/1000, 0)</f>
        <v>0</v>
      </c>
      <c r="M379" s="15">
        <f>IF(ISNUMBER('Klisz-Verbräuche'!N214), 'Klisz-Verbräuche'!N214*Emissionsfaktoren!M214/1000, 0)</f>
        <v>0</v>
      </c>
      <c r="N379" s="15">
        <f>IF(ISNUMBER('Klisz-Verbräuche'!O214), 'Klisz-Verbräuche'!O214*Emissionsfaktoren!N214/1000, 0)</f>
        <v>0</v>
      </c>
      <c r="O379" s="15">
        <f>IF(ISNUMBER('Klisz-Verbräuche'!P214), 'Klisz-Verbräuche'!P214*Emissionsfaktoren!O214/1000, 0)</f>
        <v>0</v>
      </c>
      <c r="P379" s="15">
        <f>IF(ISNUMBER('Klisz-Verbräuche'!Q214), 'Klisz-Verbräuche'!Q214*Emissionsfaktoren!P214/1000, 0)</f>
        <v>0</v>
      </c>
      <c r="Q379" s="15">
        <f>IF(ISNUMBER('Klisz-Verbräuche'!R214), 'Klisz-Verbräuche'!R214*Emissionsfaktoren!Q214/1000, 0)</f>
        <v>0</v>
      </c>
      <c r="R379" s="15">
        <f>IF(ISNUMBER('Klisz-Verbräuche'!S214), 'Klisz-Verbräuche'!S214*Emissionsfaktoren!R214/1000, 0)</f>
        <v>0</v>
      </c>
      <c r="S379" s="15">
        <f>IF(ISNUMBER('Klisz-Verbräuche'!T214), 'Klisz-Verbräuche'!T214*Emissionsfaktoren!S214/1000, 0)</f>
        <v>0</v>
      </c>
      <c r="T379" s="15">
        <f>IF(ISNUMBER('Klisz-Verbräuche'!U214), 'Klisz-Verbräuche'!U214*Emissionsfaktoren!T214/1000, 0)</f>
        <v>0</v>
      </c>
      <c r="U379" s="15">
        <f>IF(ISNUMBER('Klisz-Verbräuche'!V214), 'Klisz-Verbräuche'!V214*Emissionsfaktoren!U214/1000, 0)</f>
        <v>0</v>
      </c>
      <c r="V379" s="15">
        <f>IF(ISNUMBER('Klisz-Verbräuche'!W214), 'Klisz-Verbräuche'!W214*Emissionsfaktoren!V214/1000, 0)</f>
        <v>0</v>
      </c>
      <c r="W379" s="15">
        <f>IF(ISNUMBER('Klisz-Verbräuche'!X214), 'Klisz-Verbräuche'!X214*Emissionsfaktoren!W214/1000, 0)</f>
        <v>0</v>
      </c>
      <c r="X379" s="15">
        <f>IF(ISNUMBER('Klisz-Verbräuche'!Y214), 'Klisz-Verbräuche'!Y214*Emissionsfaktoren!X214/1000, 0)</f>
        <v>0</v>
      </c>
    </row>
    <row r="380" spans="2:24" ht="16.5" hidden="1" x14ac:dyDescent="0.45">
      <c r="B380" s="15">
        <v>155</v>
      </c>
      <c r="C380" s="20">
        <f>'Refsz-Verbräuche'!C215</f>
        <v>0</v>
      </c>
      <c r="D380" t="s">
        <v>208</v>
      </c>
      <c r="E380" s="15">
        <f>IF(ISNUMBER('Klisz-Verbräuche'!F215), 'Klisz-Verbräuche'!F215*Emissionsfaktoren!E215/1000, 0)</f>
        <v>0</v>
      </c>
      <c r="F380" s="15">
        <f>IF(ISNUMBER('Klisz-Verbräuche'!G215), 'Klisz-Verbräuche'!G215*Emissionsfaktoren!F215/1000, 0)</f>
        <v>0</v>
      </c>
      <c r="G380" s="15">
        <f>IF(ISNUMBER('Klisz-Verbräuche'!H215), 'Klisz-Verbräuche'!H215*Emissionsfaktoren!G215/1000, 0)</f>
        <v>0</v>
      </c>
      <c r="H380" s="15">
        <f>IF(ISNUMBER('Klisz-Verbräuche'!I215), 'Klisz-Verbräuche'!I215*Emissionsfaktoren!H215/1000, 0)</f>
        <v>0</v>
      </c>
      <c r="I380" s="15">
        <f>IF(ISNUMBER('Klisz-Verbräuche'!J215), 'Klisz-Verbräuche'!J215*Emissionsfaktoren!I215/1000, 0)</f>
        <v>0</v>
      </c>
      <c r="J380" s="15">
        <f>IF(ISNUMBER('Klisz-Verbräuche'!K215), 'Klisz-Verbräuche'!K215*Emissionsfaktoren!J215/1000, 0)</f>
        <v>0</v>
      </c>
      <c r="K380" s="15">
        <f>IF(ISNUMBER('Klisz-Verbräuche'!L215), 'Klisz-Verbräuche'!L215*Emissionsfaktoren!K215/1000, 0)</f>
        <v>0</v>
      </c>
      <c r="L380" s="15">
        <f>IF(ISNUMBER('Klisz-Verbräuche'!M215), 'Klisz-Verbräuche'!M215*Emissionsfaktoren!L215/1000, 0)</f>
        <v>0</v>
      </c>
      <c r="M380" s="15">
        <f>IF(ISNUMBER('Klisz-Verbräuche'!N215), 'Klisz-Verbräuche'!N215*Emissionsfaktoren!M215/1000, 0)</f>
        <v>0</v>
      </c>
      <c r="N380" s="15">
        <f>IF(ISNUMBER('Klisz-Verbräuche'!O215), 'Klisz-Verbräuche'!O215*Emissionsfaktoren!N215/1000, 0)</f>
        <v>0</v>
      </c>
      <c r="O380" s="15">
        <f>IF(ISNUMBER('Klisz-Verbräuche'!P215), 'Klisz-Verbräuche'!P215*Emissionsfaktoren!O215/1000, 0)</f>
        <v>0</v>
      </c>
      <c r="P380" s="15">
        <f>IF(ISNUMBER('Klisz-Verbräuche'!Q215), 'Klisz-Verbräuche'!Q215*Emissionsfaktoren!P215/1000, 0)</f>
        <v>0</v>
      </c>
      <c r="Q380" s="15">
        <f>IF(ISNUMBER('Klisz-Verbräuche'!R215), 'Klisz-Verbräuche'!R215*Emissionsfaktoren!Q215/1000, 0)</f>
        <v>0</v>
      </c>
      <c r="R380" s="15">
        <f>IF(ISNUMBER('Klisz-Verbräuche'!S215), 'Klisz-Verbräuche'!S215*Emissionsfaktoren!R215/1000, 0)</f>
        <v>0</v>
      </c>
      <c r="S380" s="15">
        <f>IF(ISNUMBER('Klisz-Verbräuche'!T215), 'Klisz-Verbräuche'!T215*Emissionsfaktoren!S215/1000, 0)</f>
        <v>0</v>
      </c>
      <c r="T380" s="15">
        <f>IF(ISNUMBER('Klisz-Verbräuche'!U215), 'Klisz-Verbräuche'!U215*Emissionsfaktoren!T215/1000, 0)</f>
        <v>0</v>
      </c>
      <c r="U380" s="15">
        <f>IF(ISNUMBER('Klisz-Verbräuche'!V215), 'Klisz-Verbräuche'!V215*Emissionsfaktoren!U215/1000, 0)</f>
        <v>0</v>
      </c>
      <c r="V380" s="15">
        <f>IF(ISNUMBER('Klisz-Verbräuche'!W215), 'Klisz-Verbräuche'!W215*Emissionsfaktoren!V215/1000, 0)</f>
        <v>0</v>
      </c>
      <c r="W380" s="15">
        <f>IF(ISNUMBER('Klisz-Verbräuche'!X215), 'Klisz-Verbräuche'!X215*Emissionsfaktoren!W215/1000, 0)</f>
        <v>0</v>
      </c>
      <c r="X380" s="15">
        <f>IF(ISNUMBER('Klisz-Verbräuche'!Y215), 'Klisz-Verbräuche'!Y215*Emissionsfaktoren!X215/1000, 0)</f>
        <v>0</v>
      </c>
    </row>
    <row r="381" spans="2:24" ht="16.5" hidden="1" x14ac:dyDescent="0.45">
      <c r="B381" s="15">
        <v>156</v>
      </c>
      <c r="C381" s="20">
        <f>'Refsz-Verbräuche'!C216</f>
        <v>0</v>
      </c>
      <c r="D381" t="s">
        <v>208</v>
      </c>
      <c r="E381" s="15">
        <f>IF(ISNUMBER('Klisz-Verbräuche'!F216), 'Klisz-Verbräuche'!F216*Emissionsfaktoren!E216/1000, 0)</f>
        <v>0</v>
      </c>
      <c r="F381" s="15">
        <f>IF(ISNUMBER('Klisz-Verbräuche'!G216), 'Klisz-Verbräuche'!G216*Emissionsfaktoren!F216/1000, 0)</f>
        <v>0</v>
      </c>
      <c r="G381" s="15">
        <f>IF(ISNUMBER('Klisz-Verbräuche'!H216), 'Klisz-Verbräuche'!H216*Emissionsfaktoren!G216/1000, 0)</f>
        <v>0</v>
      </c>
      <c r="H381" s="15">
        <f>IF(ISNUMBER('Klisz-Verbräuche'!I216), 'Klisz-Verbräuche'!I216*Emissionsfaktoren!H216/1000, 0)</f>
        <v>0</v>
      </c>
      <c r="I381" s="15">
        <f>IF(ISNUMBER('Klisz-Verbräuche'!J216), 'Klisz-Verbräuche'!J216*Emissionsfaktoren!I216/1000, 0)</f>
        <v>0</v>
      </c>
      <c r="J381" s="15">
        <f>IF(ISNUMBER('Klisz-Verbräuche'!K216), 'Klisz-Verbräuche'!K216*Emissionsfaktoren!J216/1000, 0)</f>
        <v>0</v>
      </c>
      <c r="K381" s="15">
        <f>IF(ISNUMBER('Klisz-Verbräuche'!L216), 'Klisz-Verbräuche'!L216*Emissionsfaktoren!K216/1000, 0)</f>
        <v>0</v>
      </c>
      <c r="L381" s="15">
        <f>IF(ISNUMBER('Klisz-Verbräuche'!M216), 'Klisz-Verbräuche'!M216*Emissionsfaktoren!L216/1000, 0)</f>
        <v>0</v>
      </c>
      <c r="M381" s="15">
        <f>IF(ISNUMBER('Klisz-Verbräuche'!N216), 'Klisz-Verbräuche'!N216*Emissionsfaktoren!M216/1000, 0)</f>
        <v>0</v>
      </c>
      <c r="N381" s="15">
        <f>IF(ISNUMBER('Klisz-Verbräuche'!O216), 'Klisz-Verbräuche'!O216*Emissionsfaktoren!N216/1000, 0)</f>
        <v>0</v>
      </c>
      <c r="O381" s="15">
        <f>IF(ISNUMBER('Klisz-Verbräuche'!P216), 'Klisz-Verbräuche'!P216*Emissionsfaktoren!O216/1000, 0)</f>
        <v>0</v>
      </c>
      <c r="P381" s="15">
        <f>IF(ISNUMBER('Klisz-Verbräuche'!Q216), 'Klisz-Verbräuche'!Q216*Emissionsfaktoren!P216/1000, 0)</f>
        <v>0</v>
      </c>
      <c r="Q381" s="15">
        <f>IF(ISNUMBER('Klisz-Verbräuche'!R216), 'Klisz-Verbräuche'!R216*Emissionsfaktoren!Q216/1000, 0)</f>
        <v>0</v>
      </c>
      <c r="R381" s="15">
        <f>IF(ISNUMBER('Klisz-Verbräuche'!S216), 'Klisz-Verbräuche'!S216*Emissionsfaktoren!R216/1000, 0)</f>
        <v>0</v>
      </c>
      <c r="S381" s="15">
        <f>IF(ISNUMBER('Klisz-Verbräuche'!T216), 'Klisz-Verbräuche'!T216*Emissionsfaktoren!S216/1000, 0)</f>
        <v>0</v>
      </c>
      <c r="T381" s="15">
        <f>IF(ISNUMBER('Klisz-Verbräuche'!U216), 'Klisz-Verbräuche'!U216*Emissionsfaktoren!T216/1000, 0)</f>
        <v>0</v>
      </c>
      <c r="U381" s="15">
        <f>IF(ISNUMBER('Klisz-Verbräuche'!V216), 'Klisz-Verbräuche'!V216*Emissionsfaktoren!U216/1000, 0)</f>
        <v>0</v>
      </c>
      <c r="V381" s="15">
        <f>IF(ISNUMBER('Klisz-Verbräuche'!W216), 'Klisz-Verbräuche'!W216*Emissionsfaktoren!V216/1000, 0)</f>
        <v>0</v>
      </c>
      <c r="W381" s="15">
        <f>IF(ISNUMBER('Klisz-Verbräuche'!X216), 'Klisz-Verbräuche'!X216*Emissionsfaktoren!W216/1000, 0)</f>
        <v>0</v>
      </c>
      <c r="X381" s="15">
        <f>IF(ISNUMBER('Klisz-Verbräuche'!Y216), 'Klisz-Verbräuche'!Y216*Emissionsfaktoren!X216/1000, 0)</f>
        <v>0</v>
      </c>
    </row>
    <row r="382" spans="2:24" ht="16.5" hidden="1" x14ac:dyDescent="0.45">
      <c r="B382" s="15">
        <v>157</v>
      </c>
      <c r="C382" s="20">
        <f>'Refsz-Verbräuche'!C217</f>
        <v>0</v>
      </c>
      <c r="D382" t="s">
        <v>208</v>
      </c>
      <c r="E382" s="15">
        <f>IF(ISNUMBER('Klisz-Verbräuche'!F217), 'Klisz-Verbräuche'!F217*Emissionsfaktoren!E217/1000, 0)</f>
        <v>0</v>
      </c>
      <c r="F382" s="15">
        <f>IF(ISNUMBER('Klisz-Verbräuche'!G217), 'Klisz-Verbräuche'!G217*Emissionsfaktoren!F217/1000, 0)</f>
        <v>0</v>
      </c>
      <c r="G382" s="15">
        <f>IF(ISNUMBER('Klisz-Verbräuche'!H217), 'Klisz-Verbräuche'!H217*Emissionsfaktoren!G217/1000, 0)</f>
        <v>0</v>
      </c>
      <c r="H382" s="15">
        <f>IF(ISNUMBER('Klisz-Verbräuche'!I217), 'Klisz-Verbräuche'!I217*Emissionsfaktoren!H217/1000, 0)</f>
        <v>0</v>
      </c>
      <c r="I382" s="15">
        <f>IF(ISNUMBER('Klisz-Verbräuche'!J217), 'Klisz-Verbräuche'!J217*Emissionsfaktoren!I217/1000, 0)</f>
        <v>0</v>
      </c>
      <c r="J382" s="15">
        <f>IF(ISNUMBER('Klisz-Verbräuche'!K217), 'Klisz-Verbräuche'!K217*Emissionsfaktoren!J217/1000, 0)</f>
        <v>0</v>
      </c>
      <c r="K382" s="15">
        <f>IF(ISNUMBER('Klisz-Verbräuche'!L217), 'Klisz-Verbräuche'!L217*Emissionsfaktoren!K217/1000, 0)</f>
        <v>0</v>
      </c>
      <c r="L382" s="15">
        <f>IF(ISNUMBER('Klisz-Verbräuche'!M217), 'Klisz-Verbräuche'!M217*Emissionsfaktoren!L217/1000, 0)</f>
        <v>0</v>
      </c>
      <c r="M382" s="15">
        <f>IF(ISNUMBER('Klisz-Verbräuche'!N217), 'Klisz-Verbräuche'!N217*Emissionsfaktoren!M217/1000, 0)</f>
        <v>0</v>
      </c>
      <c r="N382" s="15">
        <f>IF(ISNUMBER('Klisz-Verbräuche'!O217), 'Klisz-Verbräuche'!O217*Emissionsfaktoren!N217/1000, 0)</f>
        <v>0</v>
      </c>
      <c r="O382" s="15">
        <f>IF(ISNUMBER('Klisz-Verbräuche'!P217), 'Klisz-Verbräuche'!P217*Emissionsfaktoren!O217/1000, 0)</f>
        <v>0</v>
      </c>
      <c r="P382" s="15">
        <f>IF(ISNUMBER('Klisz-Verbräuche'!Q217), 'Klisz-Verbräuche'!Q217*Emissionsfaktoren!P217/1000, 0)</f>
        <v>0</v>
      </c>
      <c r="Q382" s="15">
        <f>IF(ISNUMBER('Klisz-Verbräuche'!R217), 'Klisz-Verbräuche'!R217*Emissionsfaktoren!Q217/1000, 0)</f>
        <v>0</v>
      </c>
      <c r="R382" s="15">
        <f>IF(ISNUMBER('Klisz-Verbräuche'!S217), 'Klisz-Verbräuche'!S217*Emissionsfaktoren!R217/1000, 0)</f>
        <v>0</v>
      </c>
      <c r="S382" s="15">
        <f>IF(ISNUMBER('Klisz-Verbräuche'!T217), 'Klisz-Verbräuche'!T217*Emissionsfaktoren!S217/1000, 0)</f>
        <v>0</v>
      </c>
      <c r="T382" s="15">
        <f>IF(ISNUMBER('Klisz-Verbräuche'!U217), 'Klisz-Verbräuche'!U217*Emissionsfaktoren!T217/1000, 0)</f>
        <v>0</v>
      </c>
      <c r="U382" s="15">
        <f>IF(ISNUMBER('Klisz-Verbräuche'!V217), 'Klisz-Verbräuche'!V217*Emissionsfaktoren!U217/1000, 0)</f>
        <v>0</v>
      </c>
      <c r="V382" s="15">
        <f>IF(ISNUMBER('Klisz-Verbräuche'!W217), 'Klisz-Verbräuche'!W217*Emissionsfaktoren!V217/1000, 0)</f>
        <v>0</v>
      </c>
      <c r="W382" s="15">
        <f>IF(ISNUMBER('Klisz-Verbräuche'!X217), 'Klisz-Verbräuche'!X217*Emissionsfaktoren!W217/1000, 0)</f>
        <v>0</v>
      </c>
      <c r="X382" s="15">
        <f>IF(ISNUMBER('Klisz-Verbräuche'!Y217), 'Klisz-Verbräuche'!Y217*Emissionsfaktoren!X217/1000, 0)</f>
        <v>0</v>
      </c>
    </row>
    <row r="383" spans="2:24" ht="16.5" hidden="1" x14ac:dyDescent="0.45">
      <c r="B383" s="15">
        <v>158</v>
      </c>
      <c r="C383" s="20">
        <f>'Refsz-Verbräuche'!C218</f>
        <v>0</v>
      </c>
      <c r="D383" t="s">
        <v>208</v>
      </c>
      <c r="E383" s="15">
        <f>IF(ISNUMBER('Klisz-Verbräuche'!F218), 'Klisz-Verbräuche'!F218*Emissionsfaktoren!E218/1000, 0)</f>
        <v>0</v>
      </c>
      <c r="F383" s="15">
        <f>IF(ISNUMBER('Klisz-Verbräuche'!G218), 'Klisz-Verbräuche'!G218*Emissionsfaktoren!F218/1000, 0)</f>
        <v>0</v>
      </c>
      <c r="G383" s="15">
        <f>IF(ISNUMBER('Klisz-Verbräuche'!H218), 'Klisz-Verbräuche'!H218*Emissionsfaktoren!G218/1000, 0)</f>
        <v>0</v>
      </c>
      <c r="H383" s="15">
        <f>IF(ISNUMBER('Klisz-Verbräuche'!I218), 'Klisz-Verbräuche'!I218*Emissionsfaktoren!H218/1000, 0)</f>
        <v>0</v>
      </c>
      <c r="I383" s="15">
        <f>IF(ISNUMBER('Klisz-Verbräuche'!J218), 'Klisz-Verbräuche'!J218*Emissionsfaktoren!I218/1000, 0)</f>
        <v>0</v>
      </c>
      <c r="J383" s="15">
        <f>IF(ISNUMBER('Klisz-Verbräuche'!K218), 'Klisz-Verbräuche'!K218*Emissionsfaktoren!J218/1000, 0)</f>
        <v>0</v>
      </c>
      <c r="K383" s="15">
        <f>IF(ISNUMBER('Klisz-Verbräuche'!L218), 'Klisz-Verbräuche'!L218*Emissionsfaktoren!K218/1000, 0)</f>
        <v>0</v>
      </c>
      <c r="L383" s="15">
        <f>IF(ISNUMBER('Klisz-Verbräuche'!M218), 'Klisz-Verbräuche'!M218*Emissionsfaktoren!L218/1000, 0)</f>
        <v>0</v>
      </c>
      <c r="M383" s="15">
        <f>IF(ISNUMBER('Klisz-Verbräuche'!N218), 'Klisz-Verbräuche'!N218*Emissionsfaktoren!M218/1000, 0)</f>
        <v>0</v>
      </c>
      <c r="N383" s="15">
        <f>IF(ISNUMBER('Klisz-Verbräuche'!O218), 'Klisz-Verbräuche'!O218*Emissionsfaktoren!N218/1000, 0)</f>
        <v>0</v>
      </c>
      <c r="O383" s="15">
        <f>IF(ISNUMBER('Klisz-Verbräuche'!P218), 'Klisz-Verbräuche'!P218*Emissionsfaktoren!O218/1000, 0)</f>
        <v>0</v>
      </c>
      <c r="P383" s="15">
        <f>IF(ISNUMBER('Klisz-Verbräuche'!Q218), 'Klisz-Verbräuche'!Q218*Emissionsfaktoren!P218/1000, 0)</f>
        <v>0</v>
      </c>
      <c r="Q383" s="15">
        <f>IF(ISNUMBER('Klisz-Verbräuche'!R218), 'Klisz-Verbräuche'!R218*Emissionsfaktoren!Q218/1000, 0)</f>
        <v>0</v>
      </c>
      <c r="R383" s="15">
        <f>IF(ISNUMBER('Klisz-Verbräuche'!S218), 'Klisz-Verbräuche'!S218*Emissionsfaktoren!R218/1000, 0)</f>
        <v>0</v>
      </c>
      <c r="S383" s="15">
        <f>IF(ISNUMBER('Klisz-Verbräuche'!T218), 'Klisz-Verbräuche'!T218*Emissionsfaktoren!S218/1000, 0)</f>
        <v>0</v>
      </c>
      <c r="T383" s="15">
        <f>IF(ISNUMBER('Klisz-Verbräuche'!U218), 'Klisz-Verbräuche'!U218*Emissionsfaktoren!T218/1000, 0)</f>
        <v>0</v>
      </c>
      <c r="U383" s="15">
        <f>IF(ISNUMBER('Klisz-Verbräuche'!V218), 'Klisz-Verbräuche'!V218*Emissionsfaktoren!U218/1000, 0)</f>
        <v>0</v>
      </c>
      <c r="V383" s="15">
        <f>IF(ISNUMBER('Klisz-Verbräuche'!W218), 'Klisz-Verbräuche'!W218*Emissionsfaktoren!V218/1000, 0)</f>
        <v>0</v>
      </c>
      <c r="W383" s="15">
        <f>IF(ISNUMBER('Klisz-Verbräuche'!X218), 'Klisz-Verbräuche'!X218*Emissionsfaktoren!W218/1000, 0)</f>
        <v>0</v>
      </c>
      <c r="X383" s="15">
        <f>IF(ISNUMBER('Klisz-Verbräuche'!Y218), 'Klisz-Verbräuche'!Y218*Emissionsfaktoren!X218/1000, 0)</f>
        <v>0</v>
      </c>
    </row>
    <row r="384" spans="2:24" ht="16.5" hidden="1" x14ac:dyDescent="0.45">
      <c r="B384" s="15">
        <v>159</v>
      </c>
      <c r="C384" s="20">
        <f>'Refsz-Verbräuche'!C219</f>
        <v>0</v>
      </c>
      <c r="D384" t="s">
        <v>208</v>
      </c>
      <c r="E384" s="15">
        <f>IF(ISNUMBER('Klisz-Verbräuche'!F219), 'Klisz-Verbräuche'!F219*Emissionsfaktoren!E219/1000, 0)</f>
        <v>0</v>
      </c>
      <c r="F384" s="15">
        <f>IF(ISNUMBER('Klisz-Verbräuche'!G219), 'Klisz-Verbräuche'!G219*Emissionsfaktoren!F219/1000, 0)</f>
        <v>0</v>
      </c>
      <c r="G384" s="15">
        <f>IF(ISNUMBER('Klisz-Verbräuche'!H219), 'Klisz-Verbräuche'!H219*Emissionsfaktoren!G219/1000, 0)</f>
        <v>0</v>
      </c>
      <c r="H384" s="15">
        <f>IF(ISNUMBER('Klisz-Verbräuche'!I219), 'Klisz-Verbräuche'!I219*Emissionsfaktoren!H219/1000, 0)</f>
        <v>0</v>
      </c>
      <c r="I384" s="15">
        <f>IF(ISNUMBER('Klisz-Verbräuche'!J219), 'Klisz-Verbräuche'!J219*Emissionsfaktoren!I219/1000, 0)</f>
        <v>0</v>
      </c>
      <c r="J384" s="15">
        <f>IF(ISNUMBER('Klisz-Verbräuche'!K219), 'Klisz-Verbräuche'!K219*Emissionsfaktoren!J219/1000, 0)</f>
        <v>0</v>
      </c>
      <c r="K384" s="15">
        <f>IF(ISNUMBER('Klisz-Verbräuche'!L219), 'Klisz-Verbräuche'!L219*Emissionsfaktoren!K219/1000, 0)</f>
        <v>0</v>
      </c>
      <c r="L384" s="15">
        <f>IF(ISNUMBER('Klisz-Verbräuche'!M219), 'Klisz-Verbräuche'!M219*Emissionsfaktoren!L219/1000, 0)</f>
        <v>0</v>
      </c>
      <c r="M384" s="15">
        <f>IF(ISNUMBER('Klisz-Verbräuche'!N219), 'Klisz-Verbräuche'!N219*Emissionsfaktoren!M219/1000, 0)</f>
        <v>0</v>
      </c>
      <c r="N384" s="15">
        <f>IF(ISNUMBER('Klisz-Verbräuche'!O219), 'Klisz-Verbräuche'!O219*Emissionsfaktoren!N219/1000, 0)</f>
        <v>0</v>
      </c>
      <c r="O384" s="15">
        <f>IF(ISNUMBER('Klisz-Verbräuche'!P219), 'Klisz-Verbräuche'!P219*Emissionsfaktoren!O219/1000, 0)</f>
        <v>0</v>
      </c>
      <c r="P384" s="15">
        <f>IF(ISNUMBER('Klisz-Verbräuche'!Q219), 'Klisz-Verbräuche'!Q219*Emissionsfaktoren!P219/1000, 0)</f>
        <v>0</v>
      </c>
      <c r="Q384" s="15">
        <f>IF(ISNUMBER('Klisz-Verbräuche'!R219), 'Klisz-Verbräuche'!R219*Emissionsfaktoren!Q219/1000, 0)</f>
        <v>0</v>
      </c>
      <c r="R384" s="15">
        <f>IF(ISNUMBER('Klisz-Verbräuche'!S219), 'Klisz-Verbräuche'!S219*Emissionsfaktoren!R219/1000, 0)</f>
        <v>0</v>
      </c>
      <c r="S384" s="15">
        <f>IF(ISNUMBER('Klisz-Verbräuche'!T219), 'Klisz-Verbräuche'!T219*Emissionsfaktoren!S219/1000, 0)</f>
        <v>0</v>
      </c>
      <c r="T384" s="15">
        <f>IF(ISNUMBER('Klisz-Verbräuche'!U219), 'Klisz-Verbräuche'!U219*Emissionsfaktoren!T219/1000, 0)</f>
        <v>0</v>
      </c>
      <c r="U384" s="15">
        <f>IF(ISNUMBER('Klisz-Verbräuche'!V219), 'Klisz-Verbräuche'!V219*Emissionsfaktoren!U219/1000, 0)</f>
        <v>0</v>
      </c>
      <c r="V384" s="15">
        <f>IF(ISNUMBER('Klisz-Verbräuche'!W219), 'Klisz-Verbräuche'!W219*Emissionsfaktoren!V219/1000, 0)</f>
        <v>0</v>
      </c>
      <c r="W384" s="15">
        <f>IF(ISNUMBER('Klisz-Verbräuche'!X219), 'Klisz-Verbräuche'!X219*Emissionsfaktoren!W219/1000, 0)</f>
        <v>0</v>
      </c>
      <c r="X384" s="15">
        <f>IF(ISNUMBER('Klisz-Verbräuche'!Y219), 'Klisz-Verbräuche'!Y219*Emissionsfaktoren!X219/1000, 0)</f>
        <v>0</v>
      </c>
    </row>
    <row r="385" spans="2:25" ht="16.5" hidden="1" x14ac:dyDescent="0.45">
      <c r="B385" s="15">
        <v>160</v>
      </c>
      <c r="C385" s="20">
        <f>'Refsz-Verbräuche'!C220</f>
        <v>0</v>
      </c>
      <c r="D385" t="s">
        <v>208</v>
      </c>
      <c r="E385" s="15">
        <f>IF(ISNUMBER('Klisz-Verbräuche'!F220), 'Klisz-Verbräuche'!F220*Emissionsfaktoren!E220/1000, 0)</f>
        <v>0</v>
      </c>
      <c r="F385" s="15">
        <f>IF(ISNUMBER('Klisz-Verbräuche'!G220), 'Klisz-Verbräuche'!G220*Emissionsfaktoren!F220/1000, 0)</f>
        <v>0</v>
      </c>
      <c r="G385" s="15">
        <f>IF(ISNUMBER('Klisz-Verbräuche'!H220), 'Klisz-Verbräuche'!H220*Emissionsfaktoren!G220/1000, 0)</f>
        <v>0</v>
      </c>
      <c r="H385" s="15">
        <f>IF(ISNUMBER('Klisz-Verbräuche'!I220), 'Klisz-Verbräuche'!I220*Emissionsfaktoren!H220/1000, 0)</f>
        <v>0</v>
      </c>
      <c r="I385" s="15">
        <f>IF(ISNUMBER('Klisz-Verbräuche'!J220), 'Klisz-Verbräuche'!J220*Emissionsfaktoren!I220/1000, 0)</f>
        <v>0</v>
      </c>
      <c r="J385" s="15">
        <f>IF(ISNUMBER('Klisz-Verbräuche'!K220), 'Klisz-Verbräuche'!K220*Emissionsfaktoren!J220/1000, 0)</f>
        <v>0</v>
      </c>
      <c r="K385" s="15">
        <f>IF(ISNUMBER('Klisz-Verbräuche'!L220), 'Klisz-Verbräuche'!L220*Emissionsfaktoren!K220/1000, 0)</f>
        <v>0</v>
      </c>
      <c r="L385" s="15">
        <f>IF(ISNUMBER('Klisz-Verbräuche'!M220), 'Klisz-Verbräuche'!M220*Emissionsfaktoren!L220/1000, 0)</f>
        <v>0</v>
      </c>
      <c r="M385" s="15">
        <f>IF(ISNUMBER('Klisz-Verbräuche'!N220), 'Klisz-Verbräuche'!N220*Emissionsfaktoren!M220/1000, 0)</f>
        <v>0</v>
      </c>
      <c r="N385" s="15">
        <f>IF(ISNUMBER('Klisz-Verbräuche'!O220), 'Klisz-Verbräuche'!O220*Emissionsfaktoren!N220/1000, 0)</f>
        <v>0</v>
      </c>
      <c r="O385" s="15">
        <f>IF(ISNUMBER('Klisz-Verbräuche'!P220), 'Klisz-Verbräuche'!P220*Emissionsfaktoren!O220/1000, 0)</f>
        <v>0</v>
      </c>
      <c r="P385" s="15">
        <f>IF(ISNUMBER('Klisz-Verbräuche'!Q220), 'Klisz-Verbräuche'!Q220*Emissionsfaktoren!P220/1000, 0)</f>
        <v>0</v>
      </c>
      <c r="Q385" s="15">
        <f>IF(ISNUMBER('Klisz-Verbräuche'!R220), 'Klisz-Verbräuche'!R220*Emissionsfaktoren!Q220/1000, 0)</f>
        <v>0</v>
      </c>
      <c r="R385" s="15">
        <f>IF(ISNUMBER('Klisz-Verbräuche'!S220), 'Klisz-Verbräuche'!S220*Emissionsfaktoren!R220/1000, 0)</f>
        <v>0</v>
      </c>
      <c r="S385" s="15">
        <f>IF(ISNUMBER('Klisz-Verbräuche'!T220), 'Klisz-Verbräuche'!T220*Emissionsfaktoren!S220/1000, 0)</f>
        <v>0</v>
      </c>
      <c r="T385" s="15">
        <f>IF(ISNUMBER('Klisz-Verbräuche'!U220), 'Klisz-Verbräuche'!U220*Emissionsfaktoren!T220/1000, 0)</f>
        <v>0</v>
      </c>
      <c r="U385" s="15">
        <f>IF(ISNUMBER('Klisz-Verbräuche'!V220), 'Klisz-Verbräuche'!V220*Emissionsfaktoren!U220/1000, 0)</f>
        <v>0</v>
      </c>
      <c r="V385" s="15">
        <f>IF(ISNUMBER('Klisz-Verbräuche'!W220), 'Klisz-Verbräuche'!W220*Emissionsfaktoren!V220/1000, 0)</f>
        <v>0</v>
      </c>
      <c r="W385" s="15">
        <f>IF(ISNUMBER('Klisz-Verbräuche'!X220), 'Klisz-Verbräuche'!X220*Emissionsfaktoren!W220/1000, 0)</f>
        <v>0</v>
      </c>
      <c r="X385" s="15">
        <f>IF(ISNUMBER('Klisz-Verbräuche'!Y220), 'Klisz-Verbräuche'!Y220*Emissionsfaktoren!X220/1000, 0)</f>
        <v>0</v>
      </c>
    </row>
    <row r="386" spans="2:25" ht="16.5" hidden="1" x14ac:dyDescent="0.45">
      <c r="B386" s="15">
        <v>161</v>
      </c>
      <c r="C386" s="20">
        <f>'Refsz-Verbräuche'!C221</f>
        <v>0</v>
      </c>
      <c r="D386" t="s">
        <v>208</v>
      </c>
      <c r="E386" s="15">
        <f>IF(ISNUMBER('Klisz-Verbräuche'!F221), 'Klisz-Verbräuche'!F221*Emissionsfaktoren!E221/1000, 0)</f>
        <v>0</v>
      </c>
      <c r="F386" s="15">
        <f>IF(ISNUMBER('Klisz-Verbräuche'!G221), 'Klisz-Verbräuche'!G221*Emissionsfaktoren!F221/1000, 0)</f>
        <v>0</v>
      </c>
      <c r="G386" s="15">
        <f>IF(ISNUMBER('Klisz-Verbräuche'!H221), 'Klisz-Verbräuche'!H221*Emissionsfaktoren!G221/1000, 0)</f>
        <v>0</v>
      </c>
      <c r="H386" s="15">
        <f>IF(ISNUMBER('Klisz-Verbräuche'!I221), 'Klisz-Verbräuche'!I221*Emissionsfaktoren!H221/1000, 0)</f>
        <v>0</v>
      </c>
      <c r="I386" s="15">
        <f>IF(ISNUMBER('Klisz-Verbräuche'!J221), 'Klisz-Verbräuche'!J221*Emissionsfaktoren!I221/1000, 0)</f>
        <v>0</v>
      </c>
      <c r="J386" s="15">
        <f>IF(ISNUMBER('Klisz-Verbräuche'!K221), 'Klisz-Verbräuche'!K221*Emissionsfaktoren!J221/1000, 0)</f>
        <v>0</v>
      </c>
      <c r="K386" s="15">
        <f>IF(ISNUMBER('Klisz-Verbräuche'!L221), 'Klisz-Verbräuche'!L221*Emissionsfaktoren!K221/1000, 0)</f>
        <v>0</v>
      </c>
      <c r="L386" s="15">
        <f>IF(ISNUMBER('Klisz-Verbräuche'!M221), 'Klisz-Verbräuche'!M221*Emissionsfaktoren!L221/1000, 0)</f>
        <v>0</v>
      </c>
      <c r="M386" s="15">
        <f>IF(ISNUMBER('Klisz-Verbräuche'!N221), 'Klisz-Verbräuche'!N221*Emissionsfaktoren!M221/1000, 0)</f>
        <v>0</v>
      </c>
      <c r="N386" s="15">
        <f>IF(ISNUMBER('Klisz-Verbräuche'!O221), 'Klisz-Verbräuche'!O221*Emissionsfaktoren!N221/1000, 0)</f>
        <v>0</v>
      </c>
      <c r="O386" s="15">
        <f>IF(ISNUMBER('Klisz-Verbräuche'!P221), 'Klisz-Verbräuche'!P221*Emissionsfaktoren!O221/1000, 0)</f>
        <v>0</v>
      </c>
      <c r="P386" s="15">
        <f>IF(ISNUMBER('Klisz-Verbräuche'!Q221), 'Klisz-Verbräuche'!Q221*Emissionsfaktoren!P221/1000, 0)</f>
        <v>0</v>
      </c>
      <c r="Q386" s="15">
        <f>IF(ISNUMBER('Klisz-Verbräuche'!R221), 'Klisz-Verbräuche'!R221*Emissionsfaktoren!Q221/1000, 0)</f>
        <v>0</v>
      </c>
      <c r="R386" s="15">
        <f>IF(ISNUMBER('Klisz-Verbräuche'!S221), 'Klisz-Verbräuche'!S221*Emissionsfaktoren!R221/1000, 0)</f>
        <v>0</v>
      </c>
      <c r="S386" s="15">
        <f>IF(ISNUMBER('Klisz-Verbräuche'!T221), 'Klisz-Verbräuche'!T221*Emissionsfaktoren!S221/1000, 0)</f>
        <v>0</v>
      </c>
      <c r="T386" s="15">
        <f>IF(ISNUMBER('Klisz-Verbräuche'!U221), 'Klisz-Verbräuche'!U221*Emissionsfaktoren!T221/1000, 0)</f>
        <v>0</v>
      </c>
      <c r="U386" s="15">
        <f>IF(ISNUMBER('Klisz-Verbräuche'!V221), 'Klisz-Verbräuche'!V221*Emissionsfaktoren!U221/1000, 0)</f>
        <v>0</v>
      </c>
      <c r="V386" s="15">
        <f>IF(ISNUMBER('Klisz-Verbräuche'!W221), 'Klisz-Verbräuche'!W221*Emissionsfaktoren!V221/1000, 0)</f>
        <v>0</v>
      </c>
      <c r="W386" s="15">
        <f>IF(ISNUMBER('Klisz-Verbräuche'!X221), 'Klisz-Verbräuche'!X221*Emissionsfaktoren!W221/1000, 0)</f>
        <v>0</v>
      </c>
      <c r="X386" s="15">
        <f>IF(ISNUMBER('Klisz-Verbräuche'!Y221), 'Klisz-Verbräuche'!Y221*Emissionsfaktoren!X221/1000, 0)</f>
        <v>0</v>
      </c>
    </row>
    <row r="387" spans="2:25" hidden="1" x14ac:dyDescent="0.35"/>
    <row r="388" spans="2:25" hidden="1" x14ac:dyDescent="0.35"/>
    <row r="389" spans="2:25" hidden="1" x14ac:dyDescent="0.35">
      <c r="B389" s="1" t="s">
        <v>480</v>
      </c>
    </row>
    <row r="390" spans="2:25" hidden="1" x14ac:dyDescent="0.35">
      <c r="B390" t="s">
        <v>42</v>
      </c>
      <c r="C390" s="15" t="s">
        <v>28</v>
      </c>
      <c r="D390" t="s">
        <v>2</v>
      </c>
      <c r="E390" t="s">
        <v>3</v>
      </c>
      <c r="F390" t="s">
        <v>4</v>
      </c>
      <c r="G390" t="s">
        <v>5</v>
      </c>
      <c r="H390" t="s">
        <v>6</v>
      </c>
      <c r="I390" t="s">
        <v>7</v>
      </c>
      <c r="J390" t="s">
        <v>8</v>
      </c>
      <c r="K390" t="s">
        <v>9</v>
      </c>
      <c r="L390" t="s">
        <v>10</v>
      </c>
      <c r="M390" t="s">
        <v>11</v>
      </c>
      <c r="N390" t="s">
        <v>12</v>
      </c>
      <c r="O390" t="s">
        <v>13</v>
      </c>
      <c r="P390" t="s">
        <v>14</v>
      </c>
      <c r="Q390" t="s">
        <v>232</v>
      </c>
      <c r="R390" t="s">
        <v>233</v>
      </c>
      <c r="S390" t="s">
        <v>234</v>
      </c>
      <c r="T390" t="s">
        <v>15</v>
      </c>
      <c r="U390" t="s">
        <v>16</v>
      </c>
      <c r="V390" t="s">
        <v>17</v>
      </c>
      <c r="W390" t="s">
        <v>18</v>
      </c>
      <c r="X390" t="s">
        <v>19</v>
      </c>
      <c r="Y390" t="s">
        <v>49</v>
      </c>
    </row>
    <row r="391" spans="2:25" ht="16.5" hidden="1" x14ac:dyDescent="0.45">
      <c r="B391" s="15">
        <v>1</v>
      </c>
      <c r="C391" s="20" t="str">
        <f>'Refsz-Verbräuche'!C61</f>
        <v>Elektrischer Strom (Bundesmix)</v>
      </c>
      <c r="D391" t="s">
        <v>208</v>
      </c>
      <c r="E391" s="15">
        <f>IF(ISNUMBER('Klisz-Verbräuche'!F61), 'Klisz-Verbräuche'!F61*Emissionsfaktoren!E61/1000, 0)</f>
        <v>0</v>
      </c>
      <c r="F391" s="15">
        <f>IF(ISNUMBER('Klisz-Verbräuche'!G61), 'Klisz-Verbräuche'!G61*Emissionsfaktoren!F61/1000, 0)</f>
        <v>0</v>
      </c>
      <c r="G391" s="15">
        <f>IF(ISNUMBER('Klisz-Verbräuche'!H61), 'Klisz-Verbräuche'!H61*Emissionsfaktoren!G61/1000, 0)</f>
        <v>0</v>
      </c>
      <c r="H391" s="15">
        <f>IF(ISNUMBER('Klisz-Verbräuche'!I61), 'Klisz-Verbräuche'!I61*Emissionsfaktoren!H61/1000, 0)</f>
        <v>0</v>
      </c>
      <c r="I391" s="15">
        <f>IF(ISNUMBER('Klisz-Verbräuche'!J61), 'Klisz-Verbräuche'!J61*Emissionsfaktoren!I61/1000, 0)</f>
        <v>0</v>
      </c>
      <c r="J391" s="15">
        <f>IF(ISNUMBER('Klisz-Verbräuche'!K61), 'Klisz-Verbräuche'!K61*Emissionsfaktoren!J61/1000, 0)</f>
        <v>0</v>
      </c>
      <c r="K391" s="15">
        <f>IF(ISNUMBER('Klisz-Verbräuche'!L61), 'Klisz-Verbräuche'!L61*Emissionsfaktoren!K61/1000, 0)</f>
        <v>0</v>
      </c>
      <c r="L391" s="15">
        <f>IF(ISNUMBER('Klisz-Verbräuche'!M61), 'Klisz-Verbräuche'!M61*Emissionsfaktoren!L61/1000, 0)</f>
        <v>0</v>
      </c>
      <c r="M391" s="15">
        <f>IF(ISNUMBER('Klisz-Verbräuche'!N61), 'Klisz-Verbräuche'!N61*Emissionsfaktoren!M61/1000, 0)</f>
        <v>0</v>
      </c>
      <c r="N391" s="15">
        <f>IF(ISNUMBER('Klisz-Verbräuche'!O61), 'Klisz-Verbräuche'!O61*Emissionsfaktoren!N61/1000, 0)</f>
        <v>0</v>
      </c>
      <c r="O391" s="15">
        <f>IF(ISNUMBER('Klisz-Verbräuche'!P61), 'Klisz-Verbräuche'!P61*Emissionsfaktoren!O61/1000, 0)</f>
        <v>0</v>
      </c>
      <c r="P391" s="15">
        <f>IF(ISNUMBER('Klisz-Verbräuche'!Q61), 'Klisz-Verbräuche'!Q61*Emissionsfaktoren!P61/1000, 0)</f>
        <v>0</v>
      </c>
      <c r="Q391" s="15">
        <f>IF(ISNUMBER('Klisz-Verbräuche'!R61), 'Klisz-Verbräuche'!R61*Emissionsfaktoren!Q61/1000, 0)</f>
        <v>0</v>
      </c>
      <c r="R391" s="15">
        <f>IF(ISNUMBER('Klisz-Verbräuche'!S61), 'Klisz-Verbräuche'!S61*Emissionsfaktoren!R61/1000, 0)</f>
        <v>0</v>
      </c>
      <c r="S391" s="15">
        <f>IF(ISNUMBER('Klisz-Verbräuche'!T61), 'Klisz-Verbräuche'!T61*Emissionsfaktoren!S61/1000, 0)</f>
        <v>0</v>
      </c>
      <c r="T391" s="15">
        <f>IF(ISNUMBER('Klisz-Verbräuche'!U61), 'Klisz-Verbräuche'!U61*Emissionsfaktoren!T61/1000, 0)</f>
        <v>0</v>
      </c>
      <c r="U391" s="15">
        <f>IF(ISNUMBER('Klisz-Verbräuche'!V61), 'Klisz-Verbräuche'!V61*Emissionsfaktoren!U61/1000, 0)</f>
        <v>0</v>
      </c>
      <c r="V391" s="15">
        <f>IF(ISNUMBER('Klisz-Verbräuche'!W61), 'Klisz-Verbräuche'!W61*Emissionsfaktoren!V61/1000, 0)</f>
        <v>0</v>
      </c>
      <c r="W391" s="15">
        <f>IF(ISNUMBER('Klisz-Verbräuche'!X61), 'Klisz-Verbräuche'!X61*Emissionsfaktoren!W61/1000, 0)</f>
        <v>0</v>
      </c>
      <c r="X391" s="15">
        <f>IF(ISNUMBER('Klisz-Verbräuche'!Y61), 'Klisz-Verbräuche'!Y61*Emissionsfaktoren!X61/1000, 0)</f>
        <v>0</v>
      </c>
    </row>
    <row r="392" spans="2:25" ht="16.5" hidden="1" x14ac:dyDescent="0.45">
      <c r="B392" s="15">
        <v>2</v>
      </c>
      <c r="C392" s="20" t="str">
        <f>'Refsz-Verbräuche'!C62</f>
        <v>Elektrischer Strom (Bundesmix KS80)</v>
      </c>
      <c r="D392" t="s">
        <v>208</v>
      </c>
      <c r="E392" s="15">
        <f>IF(ISNUMBER('Klisz-Verbräuche'!F62), 'Klisz-Verbräuche'!F62*Emissionsfaktoren!E62/1000, 0)</f>
        <v>0</v>
      </c>
      <c r="F392" s="15">
        <f>IF(ISNUMBER('Klisz-Verbräuche'!G62), 'Klisz-Verbräuche'!G62*Emissionsfaktoren!F62/1000, 0)</f>
        <v>0</v>
      </c>
      <c r="G392" s="15">
        <f>IF(ISNUMBER('Klisz-Verbräuche'!H62), 'Klisz-Verbräuche'!H62*Emissionsfaktoren!G62/1000, 0)</f>
        <v>0</v>
      </c>
      <c r="H392" s="15">
        <f>IF(ISNUMBER('Klisz-Verbräuche'!I62), 'Klisz-Verbräuche'!I62*Emissionsfaktoren!H62/1000, 0)</f>
        <v>0</v>
      </c>
      <c r="I392" s="15">
        <f>IF(ISNUMBER('Klisz-Verbräuche'!J62), 'Klisz-Verbräuche'!J62*Emissionsfaktoren!I62/1000, 0)</f>
        <v>0</v>
      </c>
      <c r="J392" s="15">
        <f>IF(ISNUMBER('Klisz-Verbräuche'!K62), 'Klisz-Verbräuche'!K62*Emissionsfaktoren!J62/1000, 0)</f>
        <v>0</v>
      </c>
      <c r="K392" s="15">
        <f>IF(ISNUMBER('Klisz-Verbräuche'!L62), 'Klisz-Verbräuche'!L62*Emissionsfaktoren!K62/1000, 0)</f>
        <v>0</v>
      </c>
      <c r="L392" s="15">
        <f>IF(ISNUMBER('Klisz-Verbräuche'!M62), 'Klisz-Verbräuche'!M62*Emissionsfaktoren!L62/1000, 0)</f>
        <v>0</v>
      </c>
      <c r="M392" s="15">
        <f>IF(ISNUMBER('Klisz-Verbräuche'!N62), 'Klisz-Verbräuche'!N62*Emissionsfaktoren!M62/1000, 0)</f>
        <v>0</v>
      </c>
      <c r="N392" s="15">
        <f>IF(ISNUMBER('Klisz-Verbräuche'!O62), 'Klisz-Verbräuche'!O62*Emissionsfaktoren!N62/1000, 0)</f>
        <v>0</v>
      </c>
      <c r="O392" s="15">
        <f>IF(ISNUMBER('Klisz-Verbräuche'!P62), 'Klisz-Verbräuche'!P62*Emissionsfaktoren!O62/1000, 0)</f>
        <v>0</v>
      </c>
      <c r="P392" s="15">
        <f>IF(ISNUMBER('Klisz-Verbräuche'!Q62), 'Klisz-Verbräuche'!Q62*Emissionsfaktoren!P62/1000, 0)</f>
        <v>0</v>
      </c>
      <c r="Q392" s="15">
        <f>IF(ISNUMBER('Klisz-Verbräuche'!R62), 'Klisz-Verbräuche'!R62*Emissionsfaktoren!Q62/1000, 0)</f>
        <v>0</v>
      </c>
      <c r="R392" s="15">
        <f>IF(ISNUMBER('Klisz-Verbräuche'!S62), 'Klisz-Verbräuche'!S62*Emissionsfaktoren!R62/1000, 0)</f>
        <v>0</v>
      </c>
      <c r="S392" s="15">
        <f>IF(ISNUMBER('Klisz-Verbräuche'!T62), 'Klisz-Verbräuche'!T62*Emissionsfaktoren!S62/1000, 0)</f>
        <v>0</v>
      </c>
      <c r="T392" s="15">
        <f>IF(ISNUMBER('Klisz-Verbräuche'!U62), 'Klisz-Verbräuche'!U62*Emissionsfaktoren!T62/1000, 0)</f>
        <v>0</v>
      </c>
      <c r="U392" s="15">
        <f>IF(ISNUMBER('Klisz-Verbräuche'!V62), 'Klisz-Verbräuche'!V62*Emissionsfaktoren!U62/1000, 0)</f>
        <v>0</v>
      </c>
      <c r="V392" s="15">
        <f>IF(ISNUMBER('Klisz-Verbräuche'!W62), 'Klisz-Verbräuche'!W62*Emissionsfaktoren!V62/1000, 0)</f>
        <v>0</v>
      </c>
      <c r="W392" s="15">
        <f>IF(ISNUMBER('Klisz-Verbräuche'!X62), 'Klisz-Verbräuche'!X62*Emissionsfaktoren!W62/1000, 0)</f>
        <v>0</v>
      </c>
      <c r="X392" s="15">
        <f>IF(ISNUMBER('Klisz-Verbräuche'!Y62), 'Klisz-Verbräuche'!Y62*Emissionsfaktoren!X62/1000, 0)</f>
        <v>0</v>
      </c>
    </row>
    <row r="393" spans="2:25" ht="16.5" hidden="1" x14ac:dyDescent="0.45">
      <c r="B393" s="15">
        <v>3</v>
      </c>
      <c r="C393" s="20" t="str">
        <f>'Refsz-Verbräuche'!C63</f>
        <v>Elektrischer Strom (individueller Strommix Einrichtung 1)</v>
      </c>
      <c r="D393" t="s">
        <v>208</v>
      </c>
      <c r="E393" s="15">
        <f>IF(ISNUMBER('Klisz-Verbräuche'!F63), 'Klisz-Verbräuche'!F63*Emissionsfaktoren!E63/1000, 0)</f>
        <v>0</v>
      </c>
      <c r="F393" s="15">
        <f>IF(ISNUMBER('Klisz-Verbräuche'!G63), 'Klisz-Verbräuche'!G63*Emissionsfaktoren!F63/1000, 0)</f>
        <v>0</v>
      </c>
      <c r="G393" s="15">
        <f>IF(ISNUMBER('Klisz-Verbräuche'!H63), 'Klisz-Verbräuche'!H63*Emissionsfaktoren!G63/1000, 0)</f>
        <v>0</v>
      </c>
      <c r="H393" s="15">
        <f>IF(ISNUMBER('Klisz-Verbräuche'!I63), 'Klisz-Verbräuche'!I63*Emissionsfaktoren!H63/1000, 0)</f>
        <v>0</v>
      </c>
      <c r="I393" s="15">
        <f>IF(ISNUMBER('Klisz-Verbräuche'!J63), 'Klisz-Verbräuche'!J63*Emissionsfaktoren!I63/1000, 0)</f>
        <v>0</v>
      </c>
      <c r="J393" s="15">
        <f>IF(ISNUMBER('Klisz-Verbräuche'!K63), 'Klisz-Verbräuche'!K63*Emissionsfaktoren!J63/1000, 0)</f>
        <v>0</v>
      </c>
      <c r="K393" s="15">
        <f>IF(ISNUMBER('Klisz-Verbräuche'!L63), 'Klisz-Verbräuche'!L63*Emissionsfaktoren!K63/1000, 0)</f>
        <v>0</v>
      </c>
      <c r="L393" s="15">
        <f>IF(ISNUMBER('Klisz-Verbräuche'!M63), 'Klisz-Verbräuche'!M63*Emissionsfaktoren!L63/1000, 0)</f>
        <v>0</v>
      </c>
      <c r="M393" s="15">
        <f>IF(ISNUMBER('Klisz-Verbräuche'!N63), 'Klisz-Verbräuche'!N63*Emissionsfaktoren!M63/1000, 0)</f>
        <v>0</v>
      </c>
      <c r="N393" s="15">
        <f>IF(ISNUMBER('Klisz-Verbräuche'!O63), 'Klisz-Verbräuche'!O63*Emissionsfaktoren!N63/1000, 0)</f>
        <v>0</v>
      </c>
      <c r="O393" s="15">
        <f>IF(ISNUMBER('Klisz-Verbräuche'!P63), 'Klisz-Verbräuche'!P63*Emissionsfaktoren!O63/1000, 0)</f>
        <v>0</v>
      </c>
      <c r="P393" s="15">
        <f>IF(ISNUMBER('Klisz-Verbräuche'!Q63), 'Klisz-Verbräuche'!Q63*Emissionsfaktoren!P63/1000, 0)</f>
        <v>0</v>
      </c>
      <c r="Q393" s="15">
        <f>IF(ISNUMBER('Klisz-Verbräuche'!R63), 'Klisz-Verbräuche'!R63*Emissionsfaktoren!Q63/1000, 0)</f>
        <v>0</v>
      </c>
      <c r="R393" s="15">
        <f>IF(ISNUMBER('Klisz-Verbräuche'!S63), 'Klisz-Verbräuche'!S63*Emissionsfaktoren!R63/1000, 0)</f>
        <v>0</v>
      </c>
      <c r="S393" s="15">
        <f>IF(ISNUMBER('Klisz-Verbräuche'!T63), 'Klisz-Verbräuche'!T63*Emissionsfaktoren!S63/1000, 0)</f>
        <v>0</v>
      </c>
      <c r="T393" s="15">
        <f>IF(ISNUMBER('Klisz-Verbräuche'!U63), 'Klisz-Verbräuche'!U63*Emissionsfaktoren!T63/1000, 0)</f>
        <v>0</v>
      </c>
      <c r="U393" s="15">
        <f>IF(ISNUMBER('Klisz-Verbräuche'!V63), 'Klisz-Verbräuche'!V63*Emissionsfaktoren!U63/1000, 0)</f>
        <v>0</v>
      </c>
      <c r="V393" s="15">
        <f>IF(ISNUMBER('Klisz-Verbräuche'!W63), 'Klisz-Verbräuche'!W63*Emissionsfaktoren!V63/1000, 0)</f>
        <v>0</v>
      </c>
      <c r="W393" s="15">
        <f>IF(ISNUMBER('Klisz-Verbräuche'!X63), 'Klisz-Verbräuche'!X63*Emissionsfaktoren!W63/1000, 0)</f>
        <v>0</v>
      </c>
      <c r="X393" s="15">
        <f>IF(ISNUMBER('Klisz-Verbräuche'!Y63), 'Klisz-Verbräuche'!Y63*Emissionsfaktoren!X63/1000, 0)</f>
        <v>0</v>
      </c>
    </row>
    <row r="394" spans="2:25" ht="16.5" hidden="1" x14ac:dyDescent="0.45">
      <c r="B394" s="15">
        <v>4</v>
      </c>
      <c r="C394" s="20" t="str">
        <f>'Refsz-Verbräuche'!C64</f>
        <v>Elektrischer Strom (individueller Strommix Einrichtung 2)</v>
      </c>
      <c r="D394" t="s">
        <v>208</v>
      </c>
      <c r="E394" s="15">
        <f>IF(ISNUMBER('Klisz-Verbräuche'!F64), 'Klisz-Verbräuche'!F64*Emissionsfaktoren!E64/1000, 0)</f>
        <v>0</v>
      </c>
      <c r="F394" s="15">
        <f>IF(ISNUMBER('Klisz-Verbräuche'!G64), 'Klisz-Verbräuche'!G64*Emissionsfaktoren!F64/1000, 0)</f>
        <v>0</v>
      </c>
      <c r="G394" s="15">
        <f>IF(ISNUMBER('Klisz-Verbräuche'!H64), 'Klisz-Verbräuche'!H64*Emissionsfaktoren!G64/1000, 0)</f>
        <v>0</v>
      </c>
      <c r="H394" s="15">
        <f>IF(ISNUMBER('Klisz-Verbräuche'!I64), 'Klisz-Verbräuche'!I64*Emissionsfaktoren!H64/1000, 0)</f>
        <v>0</v>
      </c>
      <c r="I394" s="15">
        <f>IF(ISNUMBER('Klisz-Verbräuche'!J64), 'Klisz-Verbräuche'!J64*Emissionsfaktoren!I64/1000, 0)</f>
        <v>0</v>
      </c>
      <c r="J394" s="15">
        <f>IF(ISNUMBER('Klisz-Verbräuche'!K64), 'Klisz-Verbräuche'!K64*Emissionsfaktoren!J64/1000, 0)</f>
        <v>0</v>
      </c>
      <c r="K394" s="15">
        <f>IF(ISNUMBER('Klisz-Verbräuche'!L64), 'Klisz-Verbräuche'!L64*Emissionsfaktoren!K64/1000, 0)</f>
        <v>0</v>
      </c>
      <c r="L394" s="15">
        <f>IF(ISNUMBER('Klisz-Verbräuche'!M64), 'Klisz-Verbräuche'!M64*Emissionsfaktoren!L64/1000, 0)</f>
        <v>0</v>
      </c>
      <c r="M394" s="15">
        <f>IF(ISNUMBER('Klisz-Verbräuche'!N64), 'Klisz-Verbräuche'!N64*Emissionsfaktoren!M64/1000, 0)</f>
        <v>0</v>
      </c>
      <c r="N394" s="15">
        <f>IF(ISNUMBER('Klisz-Verbräuche'!O64), 'Klisz-Verbräuche'!O64*Emissionsfaktoren!N64/1000, 0)</f>
        <v>0</v>
      </c>
      <c r="O394" s="15">
        <f>IF(ISNUMBER('Klisz-Verbräuche'!P64), 'Klisz-Verbräuche'!P64*Emissionsfaktoren!O64/1000, 0)</f>
        <v>0</v>
      </c>
      <c r="P394" s="15">
        <f>IF(ISNUMBER('Klisz-Verbräuche'!Q64), 'Klisz-Verbräuche'!Q64*Emissionsfaktoren!P64/1000, 0)</f>
        <v>0</v>
      </c>
      <c r="Q394" s="15">
        <f>IF(ISNUMBER('Klisz-Verbräuche'!R64), 'Klisz-Verbräuche'!R64*Emissionsfaktoren!Q64/1000, 0)</f>
        <v>0</v>
      </c>
      <c r="R394" s="15">
        <f>IF(ISNUMBER('Klisz-Verbräuche'!S64), 'Klisz-Verbräuche'!S64*Emissionsfaktoren!R64/1000, 0)</f>
        <v>0</v>
      </c>
      <c r="S394" s="15">
        <f>IF(ISNUMBER('Klisz-Verbräuche'!T64), 'Klisz-Verbräuche'!T64*Emissionsfaktoren!S64/1000, 0)</f>
        <v>0</v>
      </c>
      <c r="T394" s="15">
        <f>IF(ISNUMBER('Klisz-Verbräuche'!U64), 'Klisz-Verbräuche'!U64*Emissionsfaktoren!T64/1000, 0)</f>
        <v>0</v>
      </c>
      <c r="U394" s="15">
        <f>IF(ISNUMBER('Klisz-Verbräuche'!V64), 'Klisz-Verbräuche'!V64*Emissionsfaktoren!U64/1000, 0)</f>
        <v>0</v>
      </c>
      <c r="V394" s="15">
        <f>IF(ISNUMBER('Klisz-Verbräuche'!W64), 'Klisz-Verbräuche'!W64*Emissionsfaktoren!V64/1000, 0)</f>
        <v>0</v>
      </c>
      <c r="W394" s="15">
        <f>IF(ISNUMBER('Klisz-Verbräuche'!X64), 'Klisz-Verbräuche'!X64*Emissionsfaktoren!W64/1000, 0)</f>
        <v>0</v>
      </c>
      <c r="X394" s="15">
        <f>IF(ISNUMBER('Klisz-Verbräuche'!Y64), 'Klisz-Verbräuche'!Y64*Emissionsfaktoren!X64/1000, 0)</f>
        <v>0</v>
      </c>
    </row>
    <row r="395" spans="2:25" ht="16.5" hidden="1" x14ac:dyDescent="0.45">
      <c r="B395" s="15">
        <v>5</v>
      </c>
      <c r="C395" s="20" t="str">
        <f>'Refsz-Verbräuche'!C65</f>
        <v>Elektrischer Strom (individueller Strommix Einrichtung 3)</v>
      </c>
      <c r="D395" t="s">
        <v>208</v>
      </c>
      <c r="E395" s="15">
        <f>IF(ISNUMBER('Klisz-Verbräuche'!F65), 'Klisz-Verbräuche'!F65*Emissionsfaktoren!E65/1000, 0)</f>
        <v>0</v>
      </c>
      <c r="F395" s="15">
        <f>IF(ISNUMBER('Klisz-Verbräuche'!G65), 'Klisz-Verbräuche'!G65*Emissionsfaktoren!F65/1000, 0)</f>
        <v>0</v>
      </c>
      <c r="G395" s="15">
        <f>IF(ISNUMBER('Klisz-Verbräuche'!H65), 'Klisz-Verbräuche'!H65*Emissionsfaktoren!G65/1000, 0)</f>
        <v>0</v>
      </c>
      <c r="H395" s="15">
        <f>IF(ISNUMBER('Klisz-Verbräuche'!I65), 'Klisz-Verbräuche'!I65*Emissionsfaktoren!H65/1000, 0)</f>
        <v>0</v>
      </c>
      <c r="I395" s="15">
        <f>IF(ISNUMBER('Klisz-Verbräuche'!J65), 'Klisz-Verbräuche'!J65*Emissionsfaktoren!I65/1000, 0)</f>
        <v>0</v>
      </c>
      <c r="J395" s="15">
        <f>IF(ISNUMBER('Klisz-Verbräuche'!K65), 'Klisz-Verbräuche'!K65*Emissionsfaktoren!J65/1000, 0)</f>
        <v>0</v>
      </c>
      <c r="K395" s="15">
        <f>IF(ISNUMBER('Klisz-Verbräuche'!L65), 'Klisz-Verbräuche'!L65*Emissionsfaktoren!K65/1000, 0)</f>
        <v>0</v>
      </c>
      <c r="L395" s="15">
        <f>IF(ISNUMBER('Klisz-Verbräuche'!M65), 'Klisz-Verbräuche'!M65*Emissionsfaktoren!L65/1000, 0)</f>
        <v>0</v>
      </c>
      <c r="M395" s="15">
        <f>IF(ISNUMBER('Klisz-Verbräuche'!N65), 'Klisz-Verbräuche'!N65*Emissionsfaktoren!M65/1000, 0)</f>
        <v>0</v>
      </c>
      <c r="N395" s="15">
        <f>IF(ISNUMBER('Klisz-Verbräuche'!O65), 'Klisz-Verbräuche'!O65*Emissionsfaktoren!N65/1000, 0)</f>
        <v>0</v>
      </c>
      <c r="O395" s="15">
        <f>IF(ISNUMBER('Klisz-Verbräuche'!P65), 'Klisz-Verbräuche'!P65*Emissionsfaktoren!O65/1000, 0)</f>
        <v>0</v>
      </c>
      <c r="P395" s="15">
        <f>IF(ISNUMBER('Klisz-Verbräuche'!Q65), 'Klisz-Verbräuche'!Q65*Emissionsfaktoren!P65/1000, 0)</f>
        <v>0</v>
      </c>
      <c r="Q395" s="15">
        <f>IF(ISNUMBER('Klisz-Verbräuche'!R65), 'Klisz-Verbräuche'!R65*Emissionsfaktoren!Q65/1000, 0)</f>
        <v>0</v>
      </c>
      <c r="R395" s="15">
        <f>IF(ISNUMBER('Klisz-Verbräuche'!S65), 'Klisz-Verbräuche'!S65*Emissionsfaktoren!R65/1000, 0)</f>
        <v>0</v>
      </c>
      <c r="S395" s="15">
        <f>IF(ISNUMBER('Klisz-Verbräuche'!T65), 'Klisz-Verbräuche'!T65*Emissionsfaktoren!S65/1000, 0)</f>
        <v>0</v>
      </c>
      <c r="T395" s="15">
        <f>IF(ISNUMBER('Klisz-Verbräuche'!U65), 'Klisz-Verbräuche'!U65*Emissionsfaktoren!T65/1000, 0)</f>
        <v>0</v>
      </c>
      <c r="U395" s="15">
        <f>IF(ISNUMBER('Klisz-Verbräuche'!V65), 'Klisz-Verbräuche'!V65*Emissionsfaktoren!U65/1000, 0)</f>
        <v>0</v>
      </c>
      <c r="V395" s="15">
        <f>IF(ISNUMBER('Klisz-Verbräuche'!W65), 'Klisz-Verbräuche'!W65*Emissionsfaktoren!V65/1000, 0)</f>
        <v>0</v>
      </c>
      <c r="W395" s="15">
        <f>IF(ISNUMBER('Klisz-Verbräuche'!X65), 'Klisz-Verbräuche'!X65*Emissionsfaktoren!W65/1000, 0)</f>
        <v>0</v>
      </c>
      <c r="X395" s="15">
        <f>IF(ISNUMBER('Klisz-Verbräuche'!Y65), 'Klisz-Verbräuche'!Y65*Emissionsfaktoren!X65/1000, 0)</f>
        <v>0</v>
      </c>
    </row>
    <row r="396" spans="2:25" ht="16.5" hidden="1" x14ac:dyDescent="0.45">
      <c r="B396" s="15">
        <v>6</v>
      </c>
      <c r="C396" s="20" t="str">
        <f>'Refsz-Verbräuche'!C66</f>
        <v>Elektrischer Strom (individueller Strommix Einrichtung 4)</v>
      </c>
      <c r="D396" t="s">
        <v>208</v>
      </c>
      <c r="E396" s="15">
        <f>IF(ISNUMBER('Klisz-Verbräuche'!F66), 'Klisz-Verbräuche'!F66*Emissionsfaktoren!E66/1000, 0)</f>
        <v>0</v>
      </c>
      <c r="F396" s="15">
        <f>IF(ISNUMBER('Klisz-Verbräuche'!G66), 'Klisz-Verbräuche'!G66*Emissionsfaktoren!F66/1000, 0)</f>
        <v>0</v>
      </c>
      <c r="G396" s="15">
        <f>IF(ISNUMBER('Klisz-Verbräuche'!H66), 'Klisz-Verbräuche'!H66*Emissionsfaktoren!G66/1000, 0)</f>
        <v>0</v>
      </c>
      <c r="H396" s="15">
        <f>IF(ISNUMBER('Klisz-Verbräuche'!I66), 'Klisz-Verbräuche'!I66*Emissionsfaktoren!H66/1000, 0)</f>
        <v>0</v>
      </c>
      <c r="I396" s="15">
        <f>IF(ISNUMBER('Klisz-Verbräuche'!J66), 'Klisz-Verbräuche'!J66*Emissionsfaktoren!I66/1000, 0)</f>
        <v>0</v>
      </c>
      <c r="J396" s="15">
        <f>IF(ISNUMBER('Klisz-Verbräuche'!K66), 'Klisz-Verbräuche'!K66*Emissionsfaktoren!J66/1000, 0)</f>
        <v>0</v>
      </c>
      <c r="K396" s="15">
        <f>IF(ISNUMBER('Klisz-Verbräuche'!L66), 'Klisz-Verbräuche'!L66*Emissionsfaktoren!K66/1000, 0)</f>
        <v>0</v>
      </c>
      <c r="L396" s="15">
        <f>IF(ISNUMBER('Klisz-Verbräuche'!M66), 'Klisz-Verbräuche'!M66*Emissionsfaktoren!L66/1000, 0)</f>
        <v>0</v>
      </c>
      <c r="M396" s="15">
        <f>IF(ISNUMBER('Klisz-Verbräuche'!N66), 'Klisz-Verbräuche'!N66*Emissionsfaktoren!M66/1000, 0)</f>
        <v>0</v>
      </c>
      <c r="N396" s="15">
        <f>IF(ISNUMBER('Klisz-Verbräuche'!O66), 'Klisz-Verbräuche'!O66*Emissionsfaktoren!N66/1000, 0)</f>
        <v>0</v>
      </c>
      <c r="O396" s="15">
        <f>IF(ISNUMBER('Klisz-Verbräuche'!P66), 'Klisz-Verbräuche'!P66*Emissionsfaktoren!O66/1000, 0)</f>
        <v>0</v>
      </c>
      <c r="P396" s="15">
        <f>IF(ISNUMBER('Klisz-Verbräuche'!Q66), 'Klisz-Verbräuche'!Q66*Emissionsfaktoren!P66/1000, 0)</f>
        <v>0</v>
      </c>
      <c r="Q396" s="15">
        <f>IF(ISNUMBER('Klisz-Verbräuche'!R66), 'Klisz-Verbräuche'!R66*Emissionsfaktoren!Q66/1000, 0)</f>
        <v>0</v>
      </c>
      <c r="R396" s="15">
        <f>IF(ISNUMBER('Klisz-Verbräuche'!S66), 'Klisz-Verbräuche'!S66*Emissionsfaktoren!R66/1000, 0)</f>
        <v>0</v>
      </c>
      <c r="S396" s="15">
        <f>IF(ISNUMBER('Klisz-Verbräuche'!T66), 'Klisz-Verbräuche'!T66*Emissionsfaktoren!S66/1000, 0)</f>
        <v>0</v>
      </c>
      <c r="T396" s="15">
        <f>IF(ISNUMBER('Klisz-Verbräuche'!U66), 'Klisz-Verbräuche'!U66*Emissionsfaktoren!T66/1000, 0)</f>
        <v>0</v>
      </c>
      <c r="U396" s="15">
        <f>IF(ISNUMBER('Klisz-Verbräuche'!V66), 'Klisz-Verbräuche'!V66*Emissionsfaktoren!U66/1000, 0)</f>
        <v>0</v>
      </c>
      <c r="V396" s="15">
        <f>IF(ISNUMBER('Klisz-Verbräuche'!W66), 'Klisz-Verbräuche'!W66*Emissionsfaktoren!V66/1000, 0)</f>
        <v>0</v>
      </c>
      <c r="W396" s="15">
        <f>IF(ISNUMBER('Klisz-Verbräuche'!X66), 'Klisz-Verbräuche'!X66*Emissionsfaktoren!W66/1000, 0)</f>
        <v>0</v>
      </c>
      <c r="X396" s="15">
        <f>IF(ISNUMBER('Klisz-Verbräuche'!Y66), 'Klisz-Verbräuche'!Y66*Emissionsfaktoren!X66/1000, 0)</f>
        <v>0</v>
      </c>
    </row>
    <row r="397" spans="2:25" ht="16.5" hidden="1" x14ac:dyDescent="0.45">
      <c r="B397" s="15">
        <v>7</v>
      </c>
      <c r="C397" s="20" t="str">
        <f>'Refsz-Verbräuche'!C67</f>
        <v>Elektrischer Strom (individueller Strommix Einrichtung 5)</v>
      </c>
      <c r="D397" t="s">
        <v>208</v>
      </c>
      <c r="E397" s="15">
        <f>IF(ISNUMBER('Klisz-Verbräuche'!F67), 'Klisz-Verbräuche'!F67*Emissionsfaktoren!E67/1000, 0)</f>
        <v>0</v>
      </c>
      <c r="F397" s="15">
        <f>IF(ISNUMBER('Klisz-Verbräuche'!G67), 'Klisz-Verbräuche'!G67*Emissionsfaktoren!F67/1000, 0)</f>
        <v>0</v>
      </c>
      <c r="G397" s="15">
        <f>IF(ISNUMBER('Klisz-Verbräuche'!H67), 'Klisz-Verbräuche'!H67*Emissionsfaktoren!G67/1000, 0)</f>
        <v>0</v>
      </c>
      <c r="H397" s="15">
        <f>IF(ISNUMBER('Klisz-Verbräuche'!I67), 'Klisz-Verbräuche'!I67*Emissionsfaktoren!H67/1000, 0)</f>
        <v>0</v>
      </c>
      <c r="I397" s="15">
        <f>IF(ISNUMBER('Klisz-Verbräuche'!J67), 'Klisz-Verbräuche'!J67*Emissionsfaktoren!I67/1000, 0)</f>
        <v>0</v>
      </c>
      <c r="J397" s="15">
        <f>IF(ISNUMBER('Klisz-Verbräuche'!K67), 'Klisz-Verbräuche'!K67*Emissionsfaktoren!J67/1000, 0)</f>
        <v>0</v>
      </c>
      <c r="K397" s="15">
        <f>IF(ISNUMBER('Klisz-Verbräuche'!L67), 'Klisz-Verbräuche'!L67*Emissionsfaktoren!K67/1000, 0)</f>
        <v>0</v>
      </c>
      <c r="L397" s="15">
        <f>IF(ISNUMBER('Klisz-Verbräuche'!M67), 'Klisz-Verbräuche'!M67*Emissionsfaktoren!L67/1000, 0)</f>
        <v>0</v>
      </c>
      <c r="M397" s="15">
        <f>IF(ISNUMBER('Klisz-Verbräuche'!N67), 'Klisz-Verbräuche'!N67*Emissionsfaktoren!M67/1000, 0)</f>
        <v>0</v>
      </c>
      <c r="N397" s="15">
        <f>IF(ISNUMBER('Klisz-Verbräuche'!O67), 'Klisz-Verbräuche'!O67*Emissionsfaktoren!N67/1000, 0)</f>
        <v>0</v>
      </c>
      <c r="O397" s="15">
        <f>IF(ISNUMBER('Klisz-Verbräuche'!P67), 'Klisz-Verbräuche'!P67*Emissionsfaktoren!O67/1000, 0)</f>
        <v>0</v>
      </c>
      <c r="P397" s="15">
        <f>IF(ISNUMBER('Klisz-Verbräuche'!Q67), 'Klisz-Verbräuche'!Q67*Emissionsfaktoren!P67/1000, 0)</f>
        <v>0</v>
      </c>
      <c r="Q397" s="15">
        <f>IF(ISNUMBER('Klisz-Verbräuche'!R67), 'Klisz-Verbräuche'!R67*Emissionsfaktoren!Q67/1000, 0)</f>
        <v>0</v>
      </c>
      <c r="R397" s="15">
        <f>IF(ISNUMBER('Klisz-Verbräuche'!S67), 'Klisz-Verbräuche'!S67*Emissionsfaktoren!R67/1000, 0)</f>
        <v>0</v>
      </c>
      <c r="S397" s="15">
        <f>IF(ISNUMBER('Klisz-Verbräuche'!T67), 'Klisz-Verbräuche'!T67*Emissionsfaktoren!S67/1000, 0)</f>
        <v>0</v>
      </c>
      <c r="T397" s="15">
        <f>IF(ISNUMBER('Klisz-Verbräuche'!U67), 'Klisz-Verbräuche'!U67*Emissionsfaktoren!T67/1000, 0)</f>
        <v>0</v>
      </c>
      <c r="U397" s="15">
        <f>IF(ISNUMBER('Klisz-Verbräuche'!V67), 'Klisz-Verbräuche'!V67*Emissionsfaktoren!U67/1000, 0)</f>
        <v>0</v>
      </c>
      <c r="V397" s="15">
        <f>IF(ISNUMBER('Klisz-Verbräuche'!W67), 'Klisz-Verbräuche'!W67*Emissionsfaktoren!V67/1000, 0)</f>
        <v>0</v>
      </c>
      <c r="W397" s="15">
        <f>IF(ISNUMBER('Klisz-Verbräuche'!X67), 'Klisz-Verbräuche'!X67*Emissionsfaktoren!W67/1000, 0)</f>
        <v>0</v>
      </c>
      <c r="X397" s="15">
        <f>IF(ISNUMBER('Klisz-Verbräuche'!Y67), 'Klisz-Verbräuche'!Y67*Emissionsfaktoren!X67/1000, 0)</f>
        <v>0</v>
      </c>
    </row>
    <row r="398" spans="2:25" ht="16.5" hidden="1" x14ac:dyDescent="0.45">
      <c r="B398" s="15">
        <v>8</v>
      </c>
      <c r="C398" s="20" t="str">
        <f>'Refsz-Verbräuche'!C68</f>
        <v>Elektrischer Strom (individueller Strommix Einrichtung 6)</v>
      </c>
      <c r="D398" t="s">
        <v>208</v>
      </c>
      <c r="E398" s="15">
        <f>IF(ISNUMBER('Klisz-Verbräuche'!F68), 'Klisz-Verbräuche'!F68*Emissionsfaktoren!E68/1000, 0)</f>
        <v>0</v>
      </c>
      <c r="F398" s="15">
        <f>IF(ISNUMBER('Klisz-Verbräuche'!G68), 'Klisz-Verbräuche'!G68*Emissionsfaktoren!F68/1000, 0)</f>
        <v>0</v>
      </c>
      <c r="G398" s="15">
        <f>IF(ISNUMBER('Klisz-Verbräuche'!H68), 'Klisz-Verbräuche'!H68*Emissionsfaktoren!G68/1000, 0)</f>
        <v>0</v>
      </c>
      <c r="H398" s="15">
        <f>IF(ISNUMBER('Klisz-Verbräuche'!I68), 'Klisz-Verbräuche'!I68*Emissionsfaktoren!H68/1000, 0)</f>
        <v>0</v>
      </c>
      <c r="I398" s="15">
        <f>IF(ISNUMBER('Klisz-Verbräuche'!J68), 'Klisz-Verbräuche'!J68*Emissionsfaktoren!I68/1000, 0)</f>
        <v>0</v>
      </c>
      <c r="J398" s="15">
        <f>IF(ISNUMBER('Klisz-Verbräuche'!K68), 'Klisz-Verbräuche'!K68*Emissionsfaktoren!J68/1000, 0)</f>
        <v>0</v>
      </c>
      <c r="K398" s="15">
        <f>IF(ISNUMBER('Klisz-Verbräuche'!L68), 'Klisz-Verbräuche'!L68*Emissionsfaktoren!K68/1000, 0)</f>
        <v>0</v>
      </c>
      <c r="L398" s="15">
        <f>IF(ISNUMBER('Klisz-Verbräuche'!M68), 'Klisz-Verbräuche'!M68*Emissionsfaktoren!L68/1000, 0)</f>
        <v>0</v>
      </c>
      <c r="M398" s="15">
        <f>IF(ISNUMBER('Klisz-Verbräuche'!N68), 'Klisz-Verbräuche'!N68*Emissionsfaktoren!M68/1000, 0)</f>
        <v>0</v>
      </c>
      <c r="N398" s="15">
        <f>IF(ISNUMBER('Klisz-Verbräuche'!O68), 'Klisz-Verbräuche'!O68*Emissionsfaktoren!N68/1000, 0)</f>
        <v>0</v>
      </c>
      <c r="O398" s="15">
        <f>IF(ISNUMBER('Klisz-Verbräuche'!P68), 'Klisz-Verbräuche'!P68*Emissionsfaktoren!O68/1000, 0)</f>
        <v>0</v>
      </c>
      <c r="P398" s="15">
        <f>IF(ISNUMBER('Klisz-Verbräuche'!Q68), 'Klisz-Verbräuche'!Q68*Emissionsfaktoren!P68/1000, 0)</f>
        <v>0</v>
      </c>
      <c r="Q398" s="15">
        <f>IF(ISNUMBER('Klisz-Verbräuche'!R68), 'Klisz-Verbräuche'!R68*Emissionsfaktoren!Q68/1000, 0)</f>
        <v>0</v>
      </c>
      <c r="R398" s="15">
        <f>IF(ISNUMBER('Klisz-Verbräuche'!S68), 'Klisz-Verbräuche'!S68*Emissionsfaktoren!R68/1000, 0)</f>
        <v>0</v>
      </c>
      <c r="S398" s="15">
        <f>IF(ISNUMBER('Klisz-Verbräuche'!T68), 'Klisz-Verbräuche'!T68*Emissionsfaktoren!S68/1000, 0)</f>
        <v>0</v>
      </c>
      <c r="T398" s="15">
        <f>IF(ISNUMBER('Klisz-Verbräuche'!U68), 'Klisz-Verbräuche'!U68*Emissionsfaktoren!T68/1000, 0)</f>
        <v>0</v>
      </c>
      <c r="U398" s="15">
        <f>IF(ISNUMBER('Klisz-Verbräuche'!V68), 'Klisz-Verbräuche'!V68*Emissionsfaktoren!U68/1000, 0)</f>
        <v>0</v>
      </c>
      <c r="V398" s="15">
        <f>IF(ISNUMBER('Klisz-Verbräuche'!W68), 'Klisz-Verbräuche'!W68*Emissionsfaktoren!V68/1000, 0)</f>
        <v>0</v>
      </c>
      <c r="W398" s="15">
        <f>IF(ISNUMBER('Klisz-Verbräuche'!X68), 'Klisz-Verbräuche'!X68*Emissionsfaktoren!W68/1000, 0)</f>
        <v>0</v>
      </c>
      <c r="X398" s="15">
        <f>IF(ISNUMBER('Klisz-Verbräuche'!Y68), 'Klisz-Verbräuche'!Y68*Emissionsfaktoren!X68/1000, 0)</f>
        <v>0</v>
      </c>
    </row>
    <row r="399" spans="2:25" ht="16.5" hidden="1" x14ac:dyDescent="0.45">
      <c r="B399" s="15">
        <v>9</v>
      </c>
      <c r="C399" s="20" t="str">
        <f>'Refsz-Verbräuche'!C69</f>
        <v>Elektrischer Strom (BHKW)</v>
      </c>
      <c r="D399" t="s">
        <v>208</v>
      </c>
      <c r="E399" s="15">
        <f>'Strommix &amp; BHKW'!D207+'Strommix &amp; BHKW'!D227+'Strommix &amp; BHKW'!D233+'Strommix &amp; BHKW'!D239</f>
        <v>0</v>
      </c>
      <c r="F399" s="15">
        <f>'Strommix &amp; BHKW'!E207+'Strommix &amp; BHKW'!E227+'Strommix &amp; BHKW'!E233+'Strommix &amp; BHKW'!E239</f>
        <v>0</v>
      </c>
      <c r="G399" s="15">
        <f>'Strommix &amp; BHKW'!F207+'Strommix &amp; BHKW'!F227+'Strommix &amp; BHKW'!F233+'Strommix &amp; BHKW'!F239</f>
        <v>0</v>
      </c>
      <c r="H399" s="15">
        <f>'Strommix &amp; BHKW'!G207+'Strommix &amp; BHKW'!G227+'Strommix &amp; BHKW'!G233+'Strommix &amp; BHKW'!G239</f>
        <v>0</v>
      </c>
      <c r="I399" s="15">
        <f>'Strommix &amp; BHKW'!H207+'Strommix &amp; BHKW'!H227+'Strommix &amp; BHKW'!H233+'Strommix &amp; BHKW'!H239</f>
        <v>0</v>
      </c>
      <c r="J399" s="15">
        <f>'Strommix &amp; BHKW'!I207+'Strommix &amp; BHKW'!I227+'Strommix &amp; BHKW'!I233+'Strommix &amp; BHKW'!I239</f>
        <v>0</v>
      </c>
      <c r="K399" s="15">
        <f>'Strommix &amp; BHKW'!J207+'Strommix &amp; BHKW'!J227+'Strommix &amp; BHKW'!J233+'Strommix &amp; BHKW'!J239</f>
        <v>0</v>
      </c>
      <c r="L399" s="15">
        <f>'Strommix &amp; BHKW'!K207+'Strommix &amp; BHKW'!K227+'Strommix &amp; BHKW'!K233+'Strommix &amp; BHKW'!K239</f>
        <v>0</v>
      </c>
      <c r="M399" s="15">
        <f>'Strommix &amp; BHKW'!L207+'Strommix &amp; BHKW'!L227+'Strommix &amp; BHKW'!L233+'Strommix &amp; BHKW'!L239</f>
        <v>0</v>
      </c>
      <c r="N399" s="15">
        <f>'Strommix &amp; BHKW'!M207+'Strommix &amp; BHKW'!M227+'Strommix &amp; BHKW'!M233+'Strommix &amp; BHKW'!M239</f>
        <v>0</v>
      </c>
      <c r="O399" s="15">
        <f>'Strommix &amp; BHKW'!N207+'Strommix &amp; BHKW'!N227+'Strommix &amp; BHKW'!N233+'Strommix &amp; BHKW'!N239</f>
        <v>0</v>
      </c>
      <c r="P399" s="15">
        <f>'Strommix &amp; BHKW'!O207+'Strommix &amp; BHKW'!O227+'Strommix &amp; BHKW'!O233+'Strommix &amp; BHKW'!O239</f>
        <v>0</v>
      </c>
      <c r="Q399" s="15">
        <f>'Strommix &amp; BHKW'!P207+'Strommix &amp; BHKW'!P227+'Strommix &amp; BHKW'!P233+'Strommix &amp; BHKW'!P239</f>
        <v>0</v>
      </c>
      <c r="R399" s="15">
        <f>'Strommix &amp; BHKW'!Q207+'Strommix &amp; BHKW'!Q227+'Strommix &amp; BHKW'!Q233+'Strommix &amp; BHKW'!Q239</f>
        <v>0</v>
      </c>
      <c r="S399" s="15">
        <f>'Strommix &amp; BHKW'!R207+'Strommix &amp; BHKW'!R227+'Strommix &amp; BHKW'!R233+'Strommix &amp; BHKW'!R239</f>
        <v>0</v>
      </c>
      <c r="T399" s="15">
        <f>'Strommix &amp; BHKW'!S207+'Strommix &amp; BHKW'!S227+'Strommix &amp; BHKW'!S233+'Strommix &amp; BHKW'!S239</f>
        <v>0</v>
      </c>
      <c r="U399" s="15">
        <f>'Strommix &amp; BHKW'!T207+'Strommix &amp; BHKW'!T227+'Strommix &amp; BHKW'!T233+'Strommix &amp; BHKW'!T239</f>
        <v>0</v>
      </c>
      <c r="V399" s="15">
        <f>'Strommix &amp; BHKW'!U207+'Strommix &amp; BHKW'!U227+'Strommix &amp; BHKW'!U233+'Strommix &amp; BHKW'!U239</f>
        <v>0</v>
      </c>
      <c r="W399" s="15">
        <f>'Strommix &amp; BHKW'!V207+'Strommix &amp; BHKW'!V227+'Strommix &amp; BHKW'!V233+'Strommix &amp; BHKW'!V239</f>
        <v>0</v>
      </c>
      <c r="X399" s="15">
        <f>'Strommix &amp; BHKW'!W207+'Strommix &amp; BHKW'!W227+'Strommix &amp; BHKW'!W233+'Strommix &amp; BHKW'!W239</f>
        <v>0</v>
      </c>
    </row>
    <row r="400" spans="2:25" ht="16.5" hidden="1" x14ac:dyDescent="0.45">
      <c r="B400" s="15">
        <v>10</v>
      </c>
      <c r="C400" s="20" t="str">
        <f>'Refsz-Verbräuche'!C70</f>
        <v>Elektrischer Strom (Ökostrom)</v>
      </c>
      <c r="D400" t="s">
        <v>208</v>
      </c>
      <c r="E400" s="15">
        <f>IF(ISNUMBER('Klisz-Verbräuche'!F70), 'Klisz-Verbräuche'!F70*Emissionsfaktoren!E70/1000, 0)</f>
        <v>0</v>
      </c>
      <c r="F400" s="15">
        <f>IF(ISNUMBER('Klisz-Verbräuche'!G70), 'Klisz-Verbräuche'!G70*Emissionsfaktoren!F70/1000, 0)</f>
        <v>0</v>
      </c>
      <c r="G400" s="15">
        <f>IF(ISNUMBER('Klisz-Verbräuche'!H70), 'Klisz-Verbräuche'!H70*Emissionsfaktoren!G70/1000, 0)</f>
        <v>0</v>
      </c>
      <c r="H400" s="15">
        <f>IF(ISNUMBER('Klisz-Verbräuche'!I70), 'Klisz-Verbräuche'!I70*Emissionsfaktoren!H70/1000, 0)</f>
        <v>0</v>
      </c>
      <c r="I400" s="15">
        <f>IF(ISNUMBER('Klisz-Verbräuche'!J70), 'Klisz-Verbräuche'!J70*Emissionsfaktoren!I70/1000, 0)</f>
        <v>0</v>
      </c>
      <c r="J400" s="15">
        <f>IF(ISNUMBER('Klisz-Verbräuche'!K70), 'Klisz-Verbräuche'!K70*Emissionsfaktoren!J70/1000, 0)</f>
        <v>0</v>
      </c>
      <c r="K400" s="15">
        <f>IF(ISNUMBER('Klisz-Verbräuche'!L70), 'Klisz-Verbräuche'!L70*Emissionsfaktoren!K70/1000, 0)</f>
        <v>0</v>
      </c>
      <c r="L400" s="15">
        <f>IF(ISNUMBER('Klisz-Verbräuche'!M70), 'Klisz-Verbräuche'!M70*Emissionsfaktoren!L70/1000, 0)</f>
        <v>0</v>
      </c>
      <c r="M400" s="15">
        <f>IF(ISNUMBER('Klisz-Verbräuche'!N70), 'Klisz-Verbräuche'!N70*Emissionsfaktoren!M70/1000, 0)</f>
        <v>0</v>
      </c>
      <c r="N400" s="15">
        <f>IF(ISNUMBER('Klisz-Verbräuche'!O70), 'Klisz-Verbräuche'!O70*Emissionsfaktoren!N70/1000, 0)</f>
        <v>0</v>
      </c>
      <c r="O400" s="15">
        <f>IF(ISNUMBER('Klisz-Verbräuche'!P70), 'Klisz-Verbräuche'!P70*Emissionsfaktoren!O70/1000, 0)</f>
        <v>0</v>
      </c>
      <c r="P400" s="15">
        <f>IF(ISNUMBER('Klisz-Verbräuche'!Q70), 'Klisz-Verbräuche'!Q70*Emissionsfaktoren!P70/1000, 0)</f>
        <v>0</v>
      </c>
      <c r="Q400" s="15">
        <f>IF(ISNUMBER('Klisz-Verbräuche'!R70), 'Klisz-Verbräuche'!R70*Emissionsfaktoren!Q70/1000, 0)</f>
        <v>0</v>
      </c>
      <c r="R400" s="15">
        <f>IF(ISNUMBER('Klisz-Verbräuche'!S70), 'Klisz-Verbräuche'!S70*Emissionsfaktoren!R70/1000, 0)</f>
        <v>0</v>
      </c>
      <c r="S400" s="15">
        <f>IF(ISNUMBER('Klisz-Verbräuche'!T70), 'Klisz-Verbräuche'!T70*Emissionsfaktoren!S70/1000, 0)</f>
        <v>0</v>
      </c>
      <c r="T400" s="15">
        <f>IF(ISNUMBER('Klisz-Verbräuche'!U70), 'Klisz-Verbräuche'!U70*Emissionsfaktoren!T70/1000, 0)</f>
        <v>0</v>
      </c>
      <c r="U400" s="15">
        <f>IF(ISNUMBER('Klisz-Verbräuche'!V70), 'Klisz-Verbräuche'!V70*Emissionsfaktoren!U70/1000, 0)</f>
        <v>0</v>
      </c>
      <c r="V400" s="15">
        <f>IF(ISNUMBER('Klisz-Verbräuche'!W70), 'Klisz-Verbräuche'!W70*Emissionsfaktoren!V70/1000, 0)</f>
        <v>0</v>
      </c>
      <c r="W400" s="15">
        <f>IF(ISNUMBER('Klisz-Verbräuche'!X70), 'Klisz-Verbräuche'!X70*Emissionsfaktoren!W70/1000, 0)</f>
        <v>0</v>
      </c>
      <c r="X400" s="15">
        <f>IF(ISNUMBER('Klisz-Verbräuche'!Y70), 'Klisz-Verbräuche'!Y70*Emissionsfaktoren!X70/1000, 0)</f>
        <v>0</v>
      </c>
    </row>
    <row r="401" spans="2:24" ht="16.5" hidden="1" x14ac:dyDescent="0.45">
      <c r="B401" s="15">
        <v>11</v>
      </c>
      <c r="C401" s="20" t="str">
        <f>'Refsz-Verbräuche'!C71</f>
        <v>Elektrischer Strom (PV-Eigennutzung)</v>
      </c>
      <c r="D401" t="s">
        <v>208</v>
      </c>
      <c r="E401" s="15">
        <f>IF(ISNUMBER('Klisz-Verbräuche'!F71), 'Klisz-Verbräuche'!F71*Emissionsfaktoren!E71/1000, 0)</f>
        <v>0</v>
      </c>
      <c r="F401" s="15">
        <f>IF(ISNUMBER('Klisz-Verbräuche'!G71), 'Klisz-Verbräuche'!G71*Emissionsfaktoren!F71/1000, 0)</f>
        <v>0</v>
      </c>
      <c r="G401" s="15">
        <f>IF(ISNUMBER('Klisz-Verbräuche'!H71), 'Klisz-Verbräuche'!H71*Emissionsfaktoren!G71/1000, 0)</f>
        <v>0</v>
      </c>
      <c r="H401" s="15">
        <f>IF(ISNUMBER('Klisz-Verbräuche'!I71), 'Klisz-Verbräuche'!I71*Emissionsfaktoren!H71/1000, 0)</f>
        <v>0</v>
      </c>
      <c r="I401" s="15">
        <f>IF(ISNUMBER('Klisz-Verbräuche'!J71), 'Klisz-Verbräuche'!J71*Emissionsfaktoren!I71/1000, 0)</f>
        <v>0</v>
      </c>
      <c r="J401" s="15">
        <f>IF(ISNUMBER('Klisz-Verbräuche'!K71), 'Klisz-Verbräuche'!K71*Emissionsfaktoren!J71/1000, 0)</f>
        <v>0</v>
      </c>
      <c r="K401" s="15">
        <f>IF(ISNUMBER('Klisz-Verbräuche'!L71), 'Klisz-Verbräuche'!L71*Emissionsfaktoren!K71/1000, 0)</f>
        <v>0</v>
      </c>
      <c r="L401" s="15">
        <f>IF(ISNUMBER('Klisz-Verbräuche'!M71), 'Klisz-Verbräuche'!M71*Emissionsfaktoren!L71/1000, 0)</f>
        <v>0</v>
      </c>
      <c r="M401" s="15">
        <f>IF(ISNUMBER('Klisz-Verbräuche'!N71), 'Klisz-Verbräuche'!N71*Emissionsfaktoren!M71/1000, 0)</f>
        <v>0</v>
      </c>
      <c r="N401" s="15">
        <f>IF(ISNUMBER('Klisz-Verbräuche'!O71), 'Klisz-Verbräuche'!O71*Emissionsfaktoren!N71/1000, 0)</f>
        <v>0</v>
      </c>
      <c r="O401" s="15">
        <f>IF(ISNUMBER('Klisz-Verbräuche'!P71), 'Klisz-Verbräuche'!P71*Emissionsfaktoren!O71/1000, 0)</f>
        <v>0</v>
      </c>
      <c r="P401" s="15">
        <f>IF(ISNUMBER('Klisz-Verbräuche'!Q71), 'Klisz-Verbräuche'!Q71*Emissionsfaktoren!P71/1000, 0)</f>
        <v>0</v>
      </c>
      <c r="Q401" s="15">
        <f>IF(ISNUMBER('Klisz-Verbräuche'!R71), 'Klisz-Verbräuche'!R71*Emissionsfaktoren!Q71/1000, 0)</f>
        <v>0</v>
      </c>
      <c r="R401" s="15">
        <f>IF(ISNUMBER('Klisz-Verbräuche'!S71), 'Klisz-Verbräuche'!S71*Emissionsfaktoren!R71/1000, 0)</f>
        <v>0</v>
      </c>
      <c r="S401" s="15">
        <f>IF(ISNUMBER('Klisz-Verbräuche'!T71), 'Klisz-Verbräuche'!T71*Emissionsfaktoren!S71/1000, 0)</f>
        <v>0</v>
      </c>
      <c r="T401" s="15">
        <f>IF(ISNUMBER('Klisz-Verbräuche'!U71), 'Klisz-Verbräuche'!U71*Emissionsfaktoren!T71/1000, 0)</f>
        <v>0</v>
      </c>
      <c r="U401" s="15">
        <f>IF(ISNUMBER('Klisz-Verbräuche'!V71), 'Klisz-Verbräuche'!V71*Emissionsfaktoren!U71/1000, 0)</f>
        <v>0</v>
      </c>
      <c r="V401" s="15">
        <f>IF(ISNUMBER('Klisz-Verbräuche'!W71), 'Klisz-Verbräuche'!W71*Emissionsfaktoren!V71/1000, 0)</f>
        <v>0</v>
      </c>
      <c r="W401" s="15">
        <f>IF(ISNUMBER('Klisz-Verbräuche'!X71), 'Klisz-Verbräuche'!X71*Emissionsfaktoren!W71/1000, 0)</f>
        <v>0</v>
      </c>
      <c r="X401" s="15">
        <f>IF(ISNUMBER('Klisz-Verbräuche'!Y71), 'Klisz-Verbräuche'!Y71*Emissionsfaktoren!X71/1000, 0)</f>
        <v>0</v>
      </c>
    </row>
    <row r="402" spans="2:24" ht="16.5" hidden="1" x14ac:dyDescent="0.45">
      <c r="B402" s="15">
        <v>12</v>
      </c>
      <c r="C402" s="20" t="str">
        <f>'Refsz-Verbräuche'!C72</f>
        <v>Wärme (Erdgas)</v>
      </c>
      <c r="D402" t="s">
        <v>208</v>
      </c>
      <c r="E402" s="15">
        <f>IF(ISNUMBER('Klisz-Verbräuche'!F72), 'Klisz-Verbräuche'!F72*Emissionsfaktoren!E72/1000, 0)</f>
        <v>0</v>
      </c>
      <c r="F402" s="15">
        <f>IF(ISNUMBER('Klisz-Verbräuche'!G72), 'Klisz-Verbräuche'!G72*Emissionsfaktoren!F72/1000, 0)</f>
        <v>0</v>
      </c>
      <c r="G402" s="15">
        <f>IF(ISNUMBER('Klisz-Verbräuche'!H72), 'Klisz-Verbräuche'!H72*Emissionsfaktoren!G72/1000, 0)</f>
        <v>0</v>
      </c>
      <c r="H402" s="15">
        <f>IF(ISNUMBER('Klisz-Verbräuche'!I72), 'Klisz-Verbräuche'!I72*Emissionsfaktoren!H72/1000, 0)</f>
        <v>0</v>
      </c>
      <c r="I402" s="15">
        <f>IF(ISNUMBER('Klisz-Verbräuche'!J72), 'Klisz-Verbräuche'!J72*Emissionsfaktoren!I72/1000, 0)</f>
        <v>0</v>
      </c>
      <c r="J402" s="15">
        <f>IF(ISNUMBER('Klisz-Verbräuche'!K72), 'Klisz-Verbräuche'!K72*Emissionsfaktoren!J72/1000, 0)</f>
        <v>0</v>
      </c>
      <c r="K402" s="15">
        <f>IF(ISNUMBER('Klisz-Verbräuche'!L72), 'Klisz-Verbräuche'!L72*Emissionsfaktoren!K72/1000, 0)</f>
        <v>0</v>
      </c>
      <c r="L402" s="15">
        <f>IF(ISNUMBER('Klisz-Verbräuche'!M72), 'Klisz-Verbräuche'!M72*Emissionsfaktoren!L72/1000, 0)</f>
        <v>0</v>
      </c>
      <c r="M402" s="15">
        <f>IF(ISNUMBER('Klisz-Verbräuche'!N72), 'Klisz-Verbräuche'!N72*Emissionsfaktoren!M72/1000, 0)</f>
        <v>0</v>
      </c>
      <c r="N402" s="15">
        <f>IF(ISNUMBER('Klisz-Verbräuche'!O72), 'Klisz-Verbräuche'!O72*Emissionsfaktoren!N72/1000, 0)</f>
        <v>0</v>
      </c>
      <c r="O402" s="15">
        <f>IF(ISNUMBER('Klisz-Verbräuche'!P72), 'Klisz-Verbräuche'!P72*Emissionsfaktoren!O72/1000, 0)</f>
        <v>0</v>
      </c>
      <c r="P402" s="15">
        <f>IF(ISNUMBER('Klisz-Verbräuche'!Q72), 'Klisz-Verbräuche'!Q72*Emissionsfaktoren!P72/1000, 0)</f>
        <v>0</v>
      </c>
      <c r="Q402" s="15">
        <f>IF(ISNUMBER('Klisz-Verbräuche'!R72), 'Klisz-Verbräuche'!R72*Emissionsfaktoren!Q72/1000, 0)</f>
        <v>0</v>
      </c>
      <c r="R402" s="15">
        <f>IF(ISNUMBER('Klisz-Verbräuche'!S72), 'Klisz-Verbräuche'!S72*Emissionsfaktoren!R72/1000, 0)</f>
        <v>0</v>
      </c>
      <c r="S402" s="15">
        <f>IF(ISNUMBER('Klisz-Verbräuche'!T72), 'Klisz-Verbräuche'!T72*Emissionsfaktoren!S72/1000, 0)</f>
        <v>0</v>
      </c>
      <c r="T402" s="15">
        <f>IF(ISNUMBER('Klisz-Verbräuche'!U72), 'Klisz-Verbräuche'!U72*Emissionsfaktoren!T72/1000, 0)</f>
        <v>0</v>
      </c>
      <c r="U402" s="15">
        <f>IF(ISNUMBER('Klisz-Verbräuche'!V72), 'Klisz-Verbräuche'!V72*Emissionsfaktoren!U72/1000, 0)</f>
        <v>0</v>
      </c>
      <c r="V402" s="15">
        <f>IF(ISNUMBER('Klisz-Verbräuche'!W72), 'Klisz-Verbräuche'!W72*Emissionsfaktoren!V72/1000, 0)</f>
        <v>0</v>
      </c>
      <c r="W402" s="15">
        <f>IF(ISNUMBER('Klisz-Verbräuche'!X72), 'Klisz-Verbräuche'!X72*Emissionsfaktoren!W72/1000, 0)</f>
        <v>0</v>
      </c>
      <c r="X402" s="15">
        <f>IF(ISNUMBER('Klisz-Verbräuche'!Y72), 'Klisz-Verbräuche'!Y72*Emissionsfaktoren!X72/1000, 0)</f>
        <v>0</v>
      </c>
    </row>
    <row r="403" spans="2:24" ht="16.5" hidden="1" x14ac:dyDescent="0.45">
      <c r="B403" s="15">
        <v>13</v>
      </c>
      <c r="C403" s="20" t="str">
        <f>'Refsz-Verbräuche'!C73</f>
        <v>Wärme (BHKW)</v>
      </c>
      <c r="D403" t="s">
        <v>208</v>
      </c>
      <c r="E403" s="15">
        <f>'Strommix &amp; BHKW'!D206+'Strommix &amp; BHKW'!D228+'Strommix &amp; BHKW'!D234+'Strommix &amp; BHKW'!D240</f>
        <v>0</v>
      </c>
      <c r="F403" s="15">
        <f>'Strommix &amp; BHKW'!E206+'Strommix &amp; BHKW'!E228+'Strommix &amp; BHKW'!E234+'Strommix &amp; BHKW'!E240</f>
        <v>0</v>
      </c>
      <c r="G403" s="15">
        <f>'Strommix &amp; BHKW'!F206+'Strommix &amp; BHKW'!F228+'Strommix &amp; BHKW'!F234+'Strommix &amp; BHKW'!F240</f>
        <v>0</v>
      </c>
      <c r="H403" s="15">
        <f>'Strommix &amp; BHKW'!G206+'Strommix &amp; BHKW'!G228+'Strommix &amp; BHKW'!G234+'Strommix &amp; BHKW'!G240</f>
        <v>0</v>
      </c>
      <c r="I403" s="15">
        <f>'Strommix &amp; BHKW'!H206+'Strommix &amp; BHKW'!H228+'Strommix &amp; BHKW'!H234+'Strommix &amp; BHKW'!H240</f>
        <v>0</v>
      </c>
      <c r="J403" s="15">
        <f>'Strommix &amp; BHKW'!I206+'Strommix &amp; BHKW'!I228+'Strommix &amp; BHKW'!I234+'Strommix &amp; BHKW'!I240</f>
        <v>0</v>
      </c>
      <c r="K403" s="15">
        <f>'Strommix &amp; BHKW'!J206+'Strommix &amp; BHKW'!J228+'Strommix &amp; BHKW'!J234+'Strommix &amp; BHKW'!J240</f>
        <v>0</v>
      </c>
      <c r="L403" s="15">
        <f>'Strommix &amp; BHKW'!K206+'Strommix &amp; BHKW'!K228+'Strommix &amp; BHKW'!K234+'Strommix &amp; BHKW'!K240</f>
        <v>0</v>
      </c>
      <c r="M403" s="15">
        <f>'Strommix &amp; BHKW'!L206+'Strommix &amp; BHKW'!L228+'Strommix &amp; BHKW'!L234+'Strommix &amp; BHKW'!L240</f>
        <v>0</v>
      </c>
      <c r="N403" s="15">
        <f>'Strommix &amp; BHKW'!M206+'Strommix &amp; BHKW'!M228+'Strommix &amp; BHKW'!M234+'Strommix &amp; BHKW'!M240</f>
        <v>0</v>
      </c>
      <c r="O403" s="15">
        <f>'Strommix &amp; BHKW'!N206+'Strommix &amp; BHKW'!N228+'Strommix &amp; BHKW'!N234+'Strommix &amp; BHKW'!N240</f>
        <v>0</v>
      </c>
      <c r="P403" s="15">
        <f>'Strommix &amp; BHKW'!O206+'Strommix &amp; BHKW'!O228+'Strommix &amp; BHKW'!O234+'Strommix &amp; BHKW'!O240</f>
        <v>0</v>
      </c>
      <c r="Q403" s="15">
        <f>'Strommix &amp; BHKW'!P206+'Strommix &amp; BHKW'!P228+'Strommix &amp; BHKW'!P234+'Strommix &amp; BHKW'!P240</f>
        <v>0</v>
      </c>
      <c r="R403" s="15">
        <f>'Strommix &amp; BHKW'!Q206+'Strommix &amp; BHKW'!Q228+'Strommix &amp; BHKW'!Q234+'Strommix &amp; BHKW'!Q240</f>
        <v>0</v>
      </c>
      <c r="S403" s="15">
        <f>'Strommix &amp; BHKW'!R206+'Strommix &amp; BHKW'!R228+'Strommix &amp; BHKW'!R234+'Strommix &amp; BHKW'!R240</f>
        <v>0</v>
      </c>
      <c r="T403" s="15">
        <f>'Strommix &amp; BHKW'!S206+'Strommix &amp; BHKW'!S228+'Strommix &amp; BHKW'!S234+'Strommix &amp; BHKW'!S240</f>
        <v>0</v>
      </c>
      <c r="U403" s="15">
        <f>'Strommix &amp; BHKW'!T206+'Strommix &amp; BHKW'!T228+'Strommix &amp; BHKW'!T234+'Strommix &amp; BHKW'!T240</f>
        <v>0</v>
      </c>
      <c r="V403" s="15">
        <f>'Strommix &amp; BHKW'!U206+'Strommix &amp; BHKW'!U228+'Strommix &amp; BHKW'!U234+'Strommix &amp; BHKW'!U240</f>
        <v>0</v>
      </c>
      <c r="W403" s="15">
        <f>'Strommix &amp; BHKW'!V206+'Strommix &amp; BHKW'!V228+'Strommix &amp; BHKW'!V234+'Strommix &amp; BHKW'!V240</f>
        <v>0</v>
      </c>
      <c r="X403" s="15">
        <f>'Strommix &amp; BHKW'!W206+'Strommix &amp; BHKW'!W228+'Strommix &amp; BHKW'!W234+'Strommix &amp; BHKW'!W240</f>
        <v>0</v>
      </c>
    </row>
    <row r="404" spans="2:24" ht="16.5" hidden="1" x14ac:dyDescent="0.45">
      <c r="B404" s="15">
        <v>14</v>
      </c>
      <c r="C404" s="20" t="str">
        <f>'Refsz-Verbräuche'!C74</f>
        <v>Wärme (Biogas)</v>
      </c>
      <c r="D404" t="s">
        <v>208</v>
      </c>
      <c r="E404" s="15">
        <f>IF(ISNUMBER('Klisz-Verbräuche'!F74), 'Klisz-Verbräuche'!F74*Emissionsfaktoren!E74/1000, 0)</f>
        <v>0</v>
      </c>
      <c r="F404" s="15">
        <f>IF(ISNUMBER('Klisz-Verbräuche'!G74), 'Klisz-Verbräuche'!G74*Emissionsfaktoren!F74/1000, 0)</f>
        <v>0</v>
      </c>
      <c r="G404" s="15">
        <f>IF(ISNUMBER('Klisz-Verbräuche'!H74), 'Klisz-Verbräuche'!H74*Emissionsfaktoren!G74/1000, 0)</f>
        <v>0</v>
      </c>
      <c r="H404" s="15">
        <f>IF(ISNUMBER('Klisz-Verbräuche'!I74), 'Klisz-Verbräuche'!I74*Emissionsfaktoren!H74/1000, 0)</f>
        <v>0</v>
      </c>
      <c r="I404" s="15">
        <f>IF(ISNUMBER('Klisz-Verbräuche'!J74), 'Klisz-Verbräuche'!J74*Emissionsfaktoren!I74/1000, 0)</f>
        <v>0</v>
      </c>
      <c r="J404" s="15">
        <f>IF(ISNUMBER('Klisz-Verbräuche'!K74), 'Klisz-Verbräuche'!K74*Emissionsfaktoren!J74/1000, 0)</f>
        <v>0</v>
      </c>
      <c r="K404" s="15">
        <f>IF(ISNUMBER('Klisz-Verbräuche'!L74), 'Klisz-Verbräuche'!L74*Emissionsfaktoren!K74/1000, 0)</f>
        <v>0</v>
      </c>
      <c r="L404" s="15">
        <f>IF(ISNUMBER('Klisz-Verbräuche'!M74), 'Klisz-Verbräuche'!M74*Emissionsfaktoren!L74/1000, 0)</f>
        <v>0</v>
      </c>
      <c r="M404" s="15">
        <f>IF(ISNUMBER('Klisz-Verbräuche'!N74), 'Klisz-Verbräuche'!N74*Emissionsfaktoren!M74/1000, 0)</f>
        <v>0</v>
      </c>
      <c r="N404" s="15">
        <f>IF(ISNUMBER('Klisz-Verbräuche'!O74), 'Klisz-Verbräuche'!O74*Emissionsfaktoren!N74/1000, 0)</f>
        <v>0</v>
      </c>
      <c r="O404" s="15">
        <f>IF(ISNUMBER('Klisz-Verbräuche'!P74), 'Klisz-Verbräuche'!P74*Emissionsfaktoren!O74/1000, 0)</f>
        <v>0</v>
      </c>
      <c r="P404" s="15">
        <f>IF(ISNUMBER('Klisz-Verbräuche'!Q74), 'Klisz-Verbräuche'!Q74*Emissionsfaktoren!P74/1000, 0)</f>
        <v>0</v>
      </c>
      <c r="Q404" s="15">
        <f>IF(ISNUMBER('Klisz-Verbräuche'!R74), 'Klisz-Verbräuche'!R74*Emissionsfaktoren!Q74/1000, 0)</f>
        <v>0</v>
      </c>
      <c r="R404" s="15">
        <f>IF(ISNUMBER('Klisz-Verbräuche'!S74), 'Klisz-Verbräuche'!S74*Emissionsfaktoren!R74/1000, 0)</f>
        <v>0</v>
      </c>
      <c r="S404" s="15">
        <f>IF(ISNUMBER('Klisz-Verbräuche'!T74), 'Klisz-Verbräuche'!T74*Emissionsfaktoren!S74/1000, 0)</f>
        <v>0</v>
      </c>
      <c r="T404" s="15">
        <f>IF(ISNUMBER('Klisz-Verbräuche'!U74), 'Klisz-Verbräuche'!U74*Emissionsfaktoren!T74/1000, 0)</f>
        <v>0</v>
      </c>
      <c r="U404" s="15">
        <f>IF(ISNUMBER('Klisz-Verbräuche'!V74), 'Klisz-Verbräuche'!V74*Emissionsfaktoren!U74/1000, 0)</f>
        <v>0</v>
      </c>
      <c r="V404" s="15">
        <f>IF(ISNUMBER('Klisz-Verbräuche'!W74), 'Klisz-Verbräuche'!W74*Emissionsfaktoren!V74/1000, 0)</f>
        <v>0</v>
      </c>
      <c r="W404" s="15">
        <f>IF(ISNUMBER('Klisz-Verbräuche'!X74), 'Klisz-Verbräuche'!X74*Emissionsfaktoren!W74/1000, 0)</f>
        <v>0</v>
      </c>
      <c r="X404" s="15">
        <f>IF(ISNUMBER('Klisz-Verbräuche'!Y74), 'Klisz-Verbräuche'!Y74*Emissionsfaktoren!X74/1000, 0)</f>
        <v>0</v>
      </c>
    </row>
    <row r="405" spans="2:24" ht="16.5" hidden="1" x14ac:dyDescent="0.45">
      <c r="B405" s="15">
        <v>16</v>
      </c>
      <c r="C405" s="20" t="str">
        <f>'Refsz-Verbräuche'!C75</f>
        <v>Wärme (individueller Emissionsfaktor)</v>
      </c>
      <c r="D405" t="s">
        <v>208</v>
      </c>
      <c r="E405" s="15">
        <f>IF(ISNUMBER('Klisz-Verbräuche'!F75), 'Klisz-Verbräuche'!F75*Emissionsfaktoren!E75/1000, 0)</f>
        <v>0</v>
      </c>
      <c r="F405" s="15">
        <f>IF(ISNUMBER('Klisz-Verbräuche'!G75), 'Klisz-Verbräuche'!G75*Emissionsfaktoren!F75/1000, 0)</f>
        <v>0</v>
      </c>
      <c r="G405" s="15">
        <f>IF(ISNUMBER('Klisz-Verbräuche'!H75), 'Klisz-Verbräuche'!H75*Emissionsfaktoren!G75/1000, 0)</f>
        <v>0</v>
      </c>
      <c r="H405" s="15">
        <f>IF(ISNUMBER('Klisz-Verbräuche'!I75), 'Klisz-Verbräuche'!I75*Emissionsfaktoren!H75/1000, 0)</f>
        <v>0</v>
      </c>
      <c r="I405" s="15">
        <f>IF(ISNUMBER('Klisz-Verbräuche'!J75), 'Klisz-Verbräuche'!J75*Emissionsfaktoren!I75/1000, 0)</f>
        <v>0</v>
      </c>
      <c r="J405" s="15">
        <f>IF(ISNUMBER('Klisz-Verbräuche'!K75), 'Klisz-Verbräuche'!K75*Emissionsfaktoren!J75/1000, 0)</f>
        <v>0</v>
      </c>
      <c r="K405" s="15">
        <f>IF(ISNUMBER('Klisz-Verbräuche'!L75), 'Klisz-Verbräuche'!L75*Emissionsfaktoren!K75/1000, 0)</f>
        <v>0</v>
      </c>
      <c r="L405" s="15">
        <f>IF(ISNUMBER('Klisz-Verbräuche'!M75), 'Klisz-Verbräuche'!M75*Emissionsfaktoren!L75/1000, 0)</f>
        <v>0</v>
      </c>
      <c r="M405" s="15">
        <f>IF(ISNUMBER('Klisz-Verbräuche'!N75), 'Klisz-Verbräuche'!N75*Emissionsfaktoren!M75/1000, 0)</f>
        <v>0</v>
      </c>
      <c r="N405" s="15">
        <f>IF(ISNUMBER('Klisz-Verbräuche'!O75), 'Klisz-Verbräuche'!O75*Emissionsfaktoren!N75/1000, 0)</f>
        <v>0</v>
      </c>
      <c r="O405" s="15">
        <f>IF(ISNUMBER('Klisz-Verbräuche'!P75), 'Klisz-Verbräuche'!P75*Emissionsfaktoren!O75/1000, 0)</f>
        <v>0</v>
      </c>
      <c r="P405" s="15">
        <f>IF(ISNUMBER('Klisz-Verbräuche'!Q75), 'Klisz-Verbräuche'!Q75*Emissionsfaktoren!P75/1000, 0)</f>
        <v>0</v>
      </c>
      <c r="Q405" s="15">
        <f>IF(ISNUMBER('Klisz-Verbräuche'!R75), 'Klisz-Verbräuche'!R75*Emissionsfaktoren!Q75/1000, 0)</f>
        <v>0</v>
      </c>
      <c r="R405" s="15">
        <f>IF(ISNUMBER('Klisz-Verbräuche'!S75), 'Klisz-Verbräuche'!S75*Emissionsfaktoren!R75/1000, 0)</f>
        <v>0</v>
      </c>
      <c r="S405" s="15">
        <f>IF(ISNUMBER('Klisz-Verbräuche'!T75), 'Klisz-Verbräuche'!T75*Emissionsfaktoren!S75/1000, 0)</f>
        <v>0</v>
      </c>
      <c r="T405" s="15">
        <f>IF(ISNUMBER('Klisz-Verbräuche'!U75), 'Klisz-Verbräuche'!U75*Emissionsfaktoren!T75/1000, 0)</f>
        <v>0</v>
      </c>
      <c r="U405" s="15">
        <f>IF(ISNUMBER('Klisz-Verbräuche'!V75), 'Klisz-Verbräuche'!V75*Emissionsfaktoren!U75/1000, 0)</f>
        <v>0</v>
      </c>
      <c r="V405" s="15">
        <f>IF(ISNUMBER('Klisz-Verbräuche'!W75), 'Klisz-Verbräuche'!W75*Emissionsfaktoren!V75/1000, 0)</f>
        <v>0</v>
      </c>
      <c r="W405" s="15">
        <f>IF(ISNUMBER('Klisz-Verbräuche'!X75), 'Klisz-Verbräuche'!X75*Emissionsfaktoren!W75/1000, 0)</f>
        <v>0</v>
      </c>
      <c r="X405" s="15">
        <f>IF(ISNUMBER('Klisz-Verbräuche'!Y75), 'Klisz-Verbräuche'!Y75*Emissionsfaktoren!X75/1000, 0)</f>
        <v>0</v>
      </c>
    </row>
    <row r="406" spans="2:24" ht="16.5" hidden="1" x14ac:dyDescent="0.45">
      <c r="B406" s="15">
        <v>17</v>
      </c>
      <c r="C406" s="20" t="str">
        <f>'Refsz-Verbräuche'!C76</f>
        <v>Wärme (Holzhackschnitzel)</v>
      </c>
      <c r="D406" t="s">
        <v>208</v>
      </c>
      <c r="E406" s="15">
        <f>IF(ISNUMBER('Klisz-Verbräuche'!F76), 'Klisz-Verbräuche'!F76*Emissionsfaktoren!E76/1000, 0)</f>
        <v>0</v>
      </c>
      <c r="F406" s="15">
        <f>IF(ISNUMBER('Klisz-Verbräuche'!G76), 'Klisz-Verbräuche'!G76*Emissionsfaktoren!F76/1000, 0)</f>
        <v>0</v>
      </c>
      <c r="G406" s="15">
        <f>IF(ISNUMBER('Klisz-Verbräuche'!H76), 'Klisz-Verbräuche'!H76*Emissionsfaktoren!G76/1000, 0)</f>
        <v>0</v>
      </c>
      <c r="H406" s="15">
        <f>IF(ISNUMBER('Klisz-Verbräuche'!I76), 'Klisz-Verbräuche'!I76*Emissionsfaktoren!H76/1000, 0)</f>
        <v>0</v>
      </c>
      <c r="I406" s="15">
        <f>IF(ISNUMBER('Klisz-Verbräuche'!J76), 'Klisz-Verbräuche'!J76*Emissionsfaktoren!I76/1000, 0)</f>
        <v>0</v>
      </c>
      <c r="J406" s="15">
        <f>IF(ISNUMBER('Klisz-Verbräuche'!K76), 'Klisz-Verbräuche'!K76*Emissionsfaktoren!J76/1000, 0)</f>
        <v>0</v>
      </c>
      <c r="K406" s="15">
        <f>IF(ISNUMBER('Klisz-Verbräuche'!L76), 'Klisz-Verbräuche'!L76*Emissionsfaktoren!K76/1000, 0)</f>
        <v>0</v>
      </c>
      <c r="L406" s="15">
        <f>IF(ISNUMBER('Klisz-Verbräuche'!M76), 'Klisz-Verbräuche'!M76*Emissionsfaktoren!L76/1000, 0)</f>
        <v>0</v>
      </c>
      <c r="M406" s="15">
        <f>IF(ISNUMBER('Klisz-Verbräuche'!N76), 'Klisz-Verbräuche'!N76*Emissionsfaktoren!M76/1000, 0)</f>
        <v>0</v>
      </c>
      <c r="N406" s="15">
        <f>IF(ISNUMBER('Klisz-Verbräuche'!O76), 'Klisz-Verbräuche'!O76*Emissionsfaktoren!N76/1000, 0)</f>
        <v>0</v>
      </c>
      <c r="O406" s="15">
        <f>IF(ISNUMBER('Klisz-Verbräuche'!P76), 'Klisz-Verbräuche'!P76*Emissionsfaktoren!O76/1000, 0)</f>
        <v>0</v>
      </c>
      <c r="P406" s="15">
        <f>IF(ISNUMBER('Klisz-Verbräuche'!Q76), 'Klisz-Verbräuche'!Q76*Emissionsfaktoren!P76/1000, 0)</f>
        <v>0</v>
      </c>
      <c r="Q406" s="15">
        <f>IF(ISNUMBER('Klisz-Verbräuche'!R76), 'Klisz-Verbräuche'!R76*Emissionsfaktoren!Q76/1000, 0)</f>
        <v>0</v>
      </c>
      <c r="R406" s="15">
        <f>IF(ISNUMBER('Klisz-Verbräuche'!S76), 'Klisz-Verbräuche'!S76*Emissionsfaktoren!R76/1000, 0)</f>
        <v>0</v>
      </c>
      <c r="S406" s="15">
        <f>IF(ISNUMBER('Klisz-Verbräuche'!T76), 'Klisz-Verbräuche'!T76*Emissionsfaktoren!S76/1000, 0)</f>
        <v>0</v>
      </c>
      <c r="T406" s="15">
        <f>IF(ISNUMBER('Klisz-Verbräuche'!U76), 'Klisz-Verbräuche'!U76*Emissionsfaktoren!T76/1000, 0)</f>
        <v>0</v>
      </c>
      <c r="U406" s="15">
        <f>IF(ISNUMBER('Klisz-Verbräuche'!V76), 'Klisz-Verbräuche'!V76*Emissionsfaktoren!U76/1000, 0)</f>
        <v>0</v>
      </c>
      <c r="V406" s="15">
        <f>IF(ISNUMBER('Klisz-Verbräuche'!W76), 'Klisz-Verbräuche'!W76*Emissionsfaktoren!V76/1000, 0)</f>
        <v>0</v>
      </c>
      <c r="W406" s="15">
        <f>IF(ISNUMBER('Klisz-Verbräuche'!X76), 'Klisz-Verbräuche'!X76*Emissionsfaktoren!W76/1000, 0)</f>
        <v>0</v>
      </c>
      <c r="X406" s="15">
        <f>IF(ISNUMBER('Klisz-Verbräuche'!Y76), 'Klisz-Verbräuche'!Y76*Emissionsfaktoren!X76/1000, 0)</f>
        <v>0</v>
      </c>
    </row>
    <row r="407" spans="2:24" ht="16.5" hidden="1" x14ac:dyDescent="0.45">
      <c r="B407" s="15">
        <v>18</v>
      </c>
      <c r="C407" s="20" t="str">
        <f>'Refsz-Verbräuche'!C77</f>
        <v>Wärme (Holzpellets, 10kW/kleinere Zentralheizung)</v>
      </c>
      <c r="D407" t="s">
        <v>208</v>
      </c>
      <c r="E407" s="15">
        <f>IF(ISNUMBER('Klisz-Verbräuche'!F77), 'Klisz-Verbräuche'!F77*Emissionsfaktoren!E77/1000, 0)</f>
        <v>0</v>
      </c>
      <c r="F407" s="15">
        <f>IF(ISNUMBER('Klisz-Verbräuche'!G77), 'Klisz-Verbräuche'!G77*Emissionsfaktoren!F77/1000, 0)</f>
        <v>0</v>
      </c>
      <c r="G407" s="15">
        <f>IF(ISNUMBER('Klisz-Verbräuche'!H77), 'Klisz-Verbräuche'!H77*Emissionsfaktoren!G77/1000, 0)</f>
        <v>0</v>
      </c>
      <c r="H407" s="15">
        <f>IF(ISNUMBER('Klisz-Verbräuche'!I77), 'Klisz-Verbräuche'!I77*Emissionsfaktoren!H77/1000, 0)</f>
        <v>0</v>
      </c>
      <c r="I407" s="15">
        <f>IF(ISNUMBER('Klisz-Verbräuche'!J77), 'Klisz-Verbräuche'!J77*Emissionsfaktoren!I77/1000, 0)</f>
        <v>0</v>
      </c>
      <c r="J407" s="15">
        <f>IF(ISNUMBER('Klisz-Verbräuche'!K77), 'Klisz-Verbräuche'!K77*Emissionsfaktoren!J77/1000, 0)</f>
        <v>0</v>
      </c>
      <c r="K407" s="15">
        <f>IF(ISNUMBER('Klisz-Verbräuche'!L77), 'Klisz-Verbräuche'!L77*Emissionsfaktoren!K77/1000, 0)</f>
        <v>0</v>
      </c>
      <c r="L407" s="15">
        <f>IF(ISNUMBER('Klisz-Verbräuche'!M77), 'Klisz-Verbräuche'!M77*Emissionsfaktoren!L77/1000, 0)</f>
        <v>0</v>
      </c>
      <c r="M407" s="15">
        <f>IF(ISNUMBER('Klisz-Verbräuche'!N77), 'Klisz-Verbräuche'!N77*Emissionsfaktoren!M77/1000, 0)</f>
        <v>0</v>
      </c>
      <c r="N407" s="15">
        <f>IF(ISNUMBER('Klisz-Verbräuche'!O77), 'Klisz-Verbräuche'!O77*Emissionsfaktoren!N77/1000, 0)</f>
        <v>0</v>
      </c>
      <c r="O407" s="15">
        <f>IF(ISNUMBER('Klisz-Verbräuche'!P77), 'Klisz-Verbräuche'!P77*Emissionsfaktoren!O77/1000, 0)</f>
        <v>0</v>
      </c>
      <c r="P407" s="15">
        <f>IF(ISNUMBER('Klisz-Verbräuche'!Q77), 'Klisz-Verbräuche'!Q77*Emissionsfaktoren!P77/1000, 0)</f>
        <v>0</v>
      </c>
      <c r="Q407" s="15">
        <f>IF(ISNUMBER('Klisz-Verbräuche'!R77), 'Klisz-Verbräuche'!R77*Emissionsfaktoren!Q77/1000, 0)</f>
        <v>0</v>
      </c>
      <c r="R407" s="15">
        <f>IF(ISNUMBER('Klisz-Verbräuche'!S77), 'Klisz-Verbräuche'!S77*Emissionsfaktoren!R77/1000, 0)</f>
        <v>0</v>
      </c>
      <c r="S407" s="15">
        <f>IF(ISNUMBER('Klisz-Verbräuche'!T77), 'Klisz-Verbräuche'!T77*Emissionsfaktoren!S77/1000, 0)</f>
        <v>0</v>
      </c>
      <c r="T407" s="15">
        <f>IF(ISNUMBER('Klisz-Verbräuche'!U77), 'Klisz-Verbräuche'!U77*Emissionsfaktoren!T77/1000, 0)</f>
        <v>0</v>
      </c>
      <c r="U407" s="15">
        <f>IF(ISNUMBER('Klisz-Verbräuche'!V77), 'Klisz-Verbräuche'!V77*Emissionsfaktoren!U77/1000, 0)</f>
        <v>0</v>
      </c>
      <c r="V407" s="15">
        <f>IF(ISNUMBER('Klisz-Verbräuche'!W77), 'Klisz-Verbräuche'!W77*Emissionsfaktoren!V77/1000, 0)</f>
        <v>0</v>
      </c>
      <c r="W407" s="15">
        <f>IF(ISNUMBER('Klisz-Verbräuche'!X77), 'Klisz-Verbräuche'!X77*Emissionsfaktoren!W77/1000, 0)</f>
        <v>0</v>
      </c>
      <c r="X407" s="15">
        <f>IF(ISNUMBER('Klisz-Verbräuche'!Y77), 'Klisz-Verbräuche'!Y77*Emissionsfaktoren!X77/1000, 0)</f>
        <v>0</v>
      </c>
    </row>
    <row r="408" spans="2:24" ht="16.5" hidden="1" x14ac:dyDescent="0.45">
      <c r="B408" s="15">
        <v>19</v>
      </c>
      <c r="C408" s="20" t="str">
        <f>'Refsz-Verbräuche'!C78</f>
        <v>Wärme (Holzpellets, 50kW/größere Zentralheizung)</v>
      </c>
      <c r="D408" t="s">
        <v>208</v>
      </c>
      <c r="E408" s="15">
        <f>IF(ISNUMBER('Klisz-Verbräuche'!F78), 'Klisz-Verbräuche'!F78*Emissionsfaktoren!E78/1000, 0)</f>
        <v>0</v>
      </c>
      <c r="F408" s="15">
        <f>IF(ISNUMBER('Klisz-Verbräuche'!G78), 'Klisz-Verbräuche'!G78*Emissionsfaktoren!F78/1000, 0)</f>
        <v>0</v>
      </c>
      <c r="G408" s="15">
        <f>IF(ISNUMBER('Klisz-Verbräuche'!H78), 'Klisz-Verbräuche'!H78*Emissionsfaktoren!G78/1000, 0)</f>
        <v>0</v>
      </c>
      <c r="H408" s="15">
        <f>IF(ISNUMBER('Klisz-Verbräuche'!I78), 'Klisz-Verbräuche'!I78*Emissionsfaktoren!H78/1000, 0)</f>
        <v>0</v>
      </c>
      <c r="I408" s="15">
        <f>IF(ISNUMBER('Klisz-Verbräuche'!J78), 'Klisz-Verbräuche'!J78*Emissionsfaktoren!I78/1000, 0)</f>
        <v>0</v>
      </c>
      <c r="J408" s="15">
        <f>IF(ISNUMBER('Klisz-Verbräuche'!K78), 'Klisz-Verbräuche'!K78*Emissionsfaktoren!J78/1000, 0)</f>
        <v>0</v>
      </c>
      <c r="K408" s="15">
        <f>IF(ISNUMBER('Klisz-Verbräuche'!L78), 'Klisz-Verbräuche'!L78*Emissionsfaktoren!K78/1000, 0)</f>
        <v>0</v>
      </c>
      <c r="L408" s="15">
        <f>IF(ISNUMBER('Klisz-Verbräuche'!M78), 'Klisz-Verbräuche'!M78*Emissionsfaktoren!L78/1000, 0)</f>
        <v>0</v>
      </c>
      <c r="M408" s="15">
        <f>IF(ISNUMBER('Klisz-Verbräuche'!N78), 'Klisz-Verbräuche'!N78*Emissionsfaktoren!M78/1000, 0)</f>
        <v>0</v>
      </c>
      <c r="N408" s="15">
        <f>IF(ISNUMBER('Klisz-Verbräuche'!O78), 'Klisz-Verbräuche'!O78*Emissionsfaktoren!N78/1000, 0)</f>
        <v>0</v>
      </c>
      <c r="O408" s="15">
        <f>IF(ISNUMBER('Klisz-Verbräuche'!P78), 'Klisz-Verbräuche'!P78*Emissionsfaktoren!O78/1000, 0)</f>
        <v>0</v>
      </c>
      <c r="P408" s="15">
        <f>IF(ISNUMBER('Klisz-Verbräuche'!Q78), 'Klisz-Verbräuche'!Q78*Emissionsfaktoren!P78/1000, 0)</f>
        <v>0</v>
      </c>
      <c r="Q408" s="15">
        <f>IF(ISNUMBER('Klisz-Verbräuche'!R78), 'Klisz-Verbräuche'!R78*Emissionsfaktoren!Q78/1000, 0)</f>
        <v>0</v>
      </c>
      <c r="R408" s="15">
        <f>IF(ISNUMBER('Klisz-Verbräuche'!S78), 'Klisz-Verbräuche'!S78*Emissionsfaktoren!R78/1000, 0)</f>
        <v>0</v>
      </c>
      <c r="S408" s="15">
        <f>IF(ISNUMBER('Klisz-Verbräuche'!T78), 'Klisz-Verbräuche'!T78*Emissionsfaktoren!S78/1000, 0)</f>
        <v>0</v>
      </c>
      <c r="T408" s="15">
        <f>IF(ISNUMBER('Klisz-Verbräuche'!U78), 'Klisz-Verbräuche'!U78*Emissionsfaktoren!T78/1000, 0)</f>
        <v>0</v>
      </c>
      <c r="U408" s="15">
        <f>IF(ISNUMBER('Klisz-Verbräuche'!V78), 'Klisz-Verbräuche'!V78*Emissionsfaktoren!U78/1000, 0)</f>
        <v>0</v>
      </c>
      <c r="V408" s="15">
        <f>IF(ISNUMBER('Klisz-Verbräuche'!W78), 'Klisz-Verbräuche'!W78*Emissionsfaktoren!V78/1000, 0)</f>
        <v>0</v>
      </c>
      <c r="W408" s="15">
        <f>IF(ISNUMBER('Klisz-Verbräuche'!X78), 'Klisz-Verbräuche'!X78*Emissionsfaktoren!W78/1000, 0)</f>
        <v>0</v>
      </c>
      <c r="X408" s="15">
        <f>IF(ISNUMBER('Klisz-Verbräuche'!Y78), 'Klisz-Verbräuche'!Y78*Emissionsfaktoren!X78/1000, 0)</f>
        <v>0</v>
      </c>
    </row>
    <row r="409" spans="2:24" ht="16.5" hidden="1" x14ac:dyDescent="0.45">
      <c r="B409" s="15">
        <v>20</v>
      </c>
      <c r="C409" s="20" t="str">
        <f>'Refsz-Verbräuche'!C79</f>
        <v>Wärme (Fernwärme Mix)</v>
      </c>
      <c r="D409" t="s">
        <v>208</v>
      </c>
      <c r="E409" s="15">
        <f>IF(ISNUMBER('Klisz-Verbräuche'!F79), 'Klisz-Verbräuche'!F79*Emissionsfaktoren!E79/1000, 0)</f>
        <v>0</v>
      </c>
      <c r="F409" s="15">
        <f>IF(ISNUMBER('Klisz-Verbräuche'!G79), 'Klisz-Verbräuche'!G79*Emissionsfaktoren!F79/1000, 0)</f>
        <v>0</v>
      </c>
      <c r="G409" s="15">
        <f>IF(ISNUMBER('Klisz-Verbräuche'!H79), 'Klisz-Verbräuche'!H79*Emissionsfaktoren!G79/1000, 0)</f>
        <v>0</v>
      </c>
      <c r="H409" s="15">
        <f>IF(ISNUMBER('Klisz-Verbräuche'!I79), 'Klisz-Verbräuche'!I79*Emissionsfaktoren!H79/1000, 0)</f>
        <v>0</v>
      </c>
      <c r="I409" s="15">
        <f>IF(ISNUMBER('Klisz-Verbräuche'!J79), 'Klisz-Verbräuche'!J79*Emissionsfaktoren!I79/1000, 0)</f>
        <v>0</v>
      </c>
      <c r="J409" s="15">
        <f>IF(ISNUMBER('Klisz-Verbräuche'!K79), 'Klisz-Verbräuche'!K79*Emissionsfaktoren!J79/1000, 0)</f>
        <v>0</v>
      </c>
      <c r="K409" s="15">
        <f>IF(ISNUMBER('Klisz-Verbräuche'!L79), 'Klisz-Verbräuche'!L79*Emissionsfaktoren!K79/1000, 0)</f>
        <v>0</v>
      </c>
      <c r="L409" s="15">
        <f>IF(ISNUMBER('Klisz-Verbräuche'!M79), 'Klisz-Verbräuche'!M79*Emissionsfaktoren!L79/1000, 0)</f>
        <v>0</v>
      </c>
      <c r="M409" s="15">
        <f>IF(ISNUMBER('Klisz-Verbräuche'!N79), 'Klisz-Verbräuche'!N79*Emissionsfaktoren!M79/1000, 0)</f>
        <v>0</v>
      </c>
      <c r="N409" s="15">
        <f>IF(ISNUMBER('Klisz-Verbräuche'!O79), 'Klisz-Verbräuche'!O79*Emissionsfaktoren!N79/1000, 0)</f>
        <v>0</v>
      </c>
      <c r="O409" s="15">
        <f>IF(ISNUMBER('Klisz-Verbräuche'!P79), 'Klisz-Verbräuche'!P79*Emissionsfaktoren!O79/1000, 0)</f>
        <v>0</v>
      </c>
      <c r="P409" s="15">
        <f>IF(ISNUMBER('Klisz-Verbräuche'!Q79), 'Klisz-Verbräuche'!Q79*Emissionsfaktoren!P79/1000, 0)</f>
        <v>0</v>
      </c>
      <c r="Q409" s="15">
        <f>IF(ISNUMBER('Klisz-Verbräuche'!R79), 'Klisz-Verbräuche'!R79*Emissionsfaktoren!Q79/1000, 0)</f>
        <v>0</v>
      </c>
      <c r="R409" s="15">
        <f>IF(ISNUMBER('Klisz-Verbräuche'!S79), 'Klisz-Verbräuche'!S79*Emissionsfaktoren!R79/1000, 0)</f>
        <v>0</v>
      </c>
      <c r="S409" s="15">
        <f>IF(ISNUMBER('Klisz-Verbräuche'!T79), 'Klisz-Verbräuche'!T79*Emissionsfaktoren!S79/1000, 0)</f>
        <v>0</v>
      </c>
      <c r="T409" s="15">
        <f>IF(ISNUMBER('Klisz-Verbräuche'!U79), 'Klisz-Verbräuche'!U79*Emissionsfaktoren!T79/1000, 0)</f>
        <v>0</v>
      </c>
      <c r="U409" s="15">
        <f>IF(ISNUMBER('Klisz-Verbräuche'!V79), 'Klisz-Verbräuche'!V79*Emissionsfaktoren!U79/1000, 0)</f>
        <v>0</v>
      </c>
      <c r="V409" s="15">
        <f>IF(ISNUMBER('Klisz-Verbräuche'!W79), 'Klisz-Verbräuche'!W79*Emissionsfaktoren!V79/1000, 0)</f>
        <v>0</v>
      </c>
      <c r="W409" s="15">
        <f>IF(ISNUMBER('Klisz-Verbräuche'!X79), 'Klisz-Verbräuche'!X79*Emissionsfaktoren!W79/1000, 0)</f>
        <v>0</v>
      </c>
      <c r="X409" s="15">
        <f>IF(ISNUMBER('Klisz-Verbräuche'!Y79), 'Klisz-Verbräuche'!Y79*Emissionsfaktoren!X79/1000, 0)</f>
        <v>0</v>
      </c>
    </row>
    <row r="410" spans="2:24" ht="16.5" hidden="1" x14ac:dyDescent="0.45">
      <c r="B410" s="15">
        <v>21</v>
      </c>
      <c r="C410" s="20" t="str">
        <f>'Refsz-Verbräuche'!C80</f>
        <v>Wärme (Fernwärme Abfall)</v>
      </c>
      <c r="D410" t="s">
        <v>208</v>
      </c>
      <c r="E410" s="15">
        <f>IF(ISNUMBER('Klisz-Verbräuche'!F80), 'Klisz-Verbräuche'!F80*Emissionsfaktoren!E80/1000, 0)</f>
        <v>0</v>
      </c>
      <c r="F410" s="15">
        <f>IF(ISNUMBER('Klisz-Verbräuche'!G80), 'Klisz-Verbräuche'!G80*Emissionsfaktoren!F80/1000, 0)</f>
        <v>0</v>
      </c>
      <c r="G410" s="15">
        <f>IF(ISNUMBER('Klisz-Verbräuche'!H80), 'Klisz-Verbräuche'!H80*Emissionsfaktoren!G80/1000, 0)</f>
        <v>0</v>
      </c>
      <c r="H410" s="15">
        <f>IF(ISNUMBER('Klisz-Verbräuche'!I80), 'Klisz-Verbräuche'!I80*Emissionsfaktoren!H80/1000, 0)</f>
        <v>0</v>
      </c>
      <c r="I410" s="15">
        <f>IF(ISNUMBER('Klisz-Verbräuche'!J80), 'Klisz-Verbräuche'!J80*Emissionsfaktoren!I80/1000, 0)</f>
        <v>0</v>
      </c>
      <c r="J410" s="15">
        <f>IF(ISNUMBER('Klisz-Verbräuche'!K80), 'Klisz-Verbräuche'!K80*Emissionsfaktoren!J80/1000, 0)</f>
        <v>0</v>
      </c>
      <c r="K410" s="15">
        <f>IF(ISNUMBER('Klisz-Verbräuche'!L80), 'Klisz-Verbräuche'!L80*Emissionsfaktoren!K80/1000, 0)</f>
        <v>0</v>
      </c>
      <c r="L410" s="15">
        <f>IF(ISNUMBER('Klisz-Verbräuche'!M80), 'Klisz-Verbräuche'!M80*Emissionsfaktoren!L80/1000, 0)</f>
        <v>0</v>
      </c>
      <c r="M410" s="15">
        <f>IF(ISNUMBER('Klisz-Verbräuche'!N80), 'Klisz-Verbräuche'!N80*Emissionsfaktoren!M80/1000, 0)</f>
        <v>0</v>
      </c>
      <c r="N410" s="15">
        <f>IF(ISNUMBER('Klisz-Verbräuche'!O80), 'Klisz-Verbräuche'!O80*Emissionsfaktoren!N80/1000, 0)</f>
        <v>0</v>
      </c>
      <c r="O410" s="15">
        <f>IF(ISNUMBER('Klisz-Verbräuche'!P80), 'Klisz-Verbräuche'!P80*Emissionsfaktoren!O80/1000, 0)</f>
        <v>0</v>
      </c>
      <c r="P410" s="15">
        <f>IF(ISNUMBER('Klisz-Verbräuche'!Q80), 'Klisz-Verbräuche'!Q80*Emissionsfaktoren!P80/1000, 0)</f>
        <v>0</v>
      </c>
      <c r="Q410" s="15">
        <f>IF(ISNUMBER('Klisz-Verbräuche'!R80), 'Klisz-Verbräuche'!R80*Emissionsfaktoren!Q80/1000, 0)</f>
        <v>0</v>
      </c>
      <c r="R410" s="15">
        <f>IF(ISNUMBER('Klisz-Verbräuche'!S80), 'Klisz-Verbräuche'!S80*Emissionsfaktoren!R80/1000, 0)</f>
        <v>0</v>
      </c>
      <c r="S410" s="15">
        <f>IF(ISNUMBER('Klisz-Verbräuche'!T80), 'Klisz-Verbräuche'!T80*Emissionsfaktoren!S80/1000, 0)</f>
        <v>0</v>
      </c>
      <c r="T410" s="15">
        <f>IF(ISNUMBER('Klisz-Verbräuche'!U80), 'Klisz-Verbräuche'!U80*Emissionsfaktoren!T80/1000, 0)</f>
        <v>0</v>
      </c>
      <c r="U410" s="15">
        <f>IF(ISNUMBER('Klisz-Verbräuche'!V80), 'Klisz-Verbräuche'!V80*Emissionsfaktoren!U80/1000, 0)</f>
        <v>0</v>
      </c>
      <c r="V410" s="15">
        <f>IF(ISNUMBER('Klisz-Verbräuche'!W80), 'Klisz-Verbräuche'!W80*Emissionsfaktoren!V80/1000, 0)</f>
        <v>0</v>
      </c>
      <c r="W410" s="15">
        <f>IF(ISNUMBER('Klisz-Verbräuche'!X80), 'Klisz-Verbräuche'!X80*Emissionsfaktoren!W80/1000, 0)</f>
        <v>0</v>
      </c>
      <c r="X410" s="15">
        <f>IF(ISNUMBER('Klisz-Verbräuche'!Y80), 'Klisz-Verbräuche'!Y80*Emissionsfaktoren!X80/1000, 0)</f>
        <v>0</v>
      </c>
    </row>
    <row r="411" spans="2:24" ht="16.5" hidden="1" x14ac:dyDescent="0.45">
      <c r="B411" s="15">
        <v>22</v>
      </c>
      <c r="C411" s="20" t="str">
        <f>'Refsz-Verbräuche'!C81</f>
        <v>Wärme (Heizöl)</v>
      </c>
      <c r="D411" t="s">
        <v>208</v>
      </c>
      <c r="E411" s="15">
        <f>IF(ISNUMBER('Klisz-Verbräuche'!F81), 'Klisz-Verbräuche'!F81*Emissionsfaktoren!E81/1000, 0)</f>
        <v>0</v>
      </c>
      <c r="F411" s="15">
        <f>IF(ISNUMBER('Klisz-Verbräuche'!G81), 'Klisz-Verbräuche'!G81*Emissionsfaktoren!F81/1000, 0)</f>
        <v>0</v>
      </c>
      <c r="G411" s="15">
        <f>IF(ISNUMBER('Klisz-Verbräuche'!H81), 'Klisz-Verbräuche'!H81*Emissionsfaktoren!G81/1000, 0)</f>
        <v>0</v>
      </c>
      <c r="H411" s="15">
        <f>IF(ISNUMBER('Klisz-Verbräuche'!I81), 'Klisz-Verbräuche'!I81*Emissionsfaktoren!H81/1000, 0)</f>
        <v>0</v>
      </c>
      <c r="I411" s="15">
        <f>IF(ISNUMBER('Klisz-Verbräuche'!J81), 'Klisz-Verbräuche'!J81*Emissionsfaktoren!I81/1000, 0)</f>
        <v>0</v>
      </c>
      <c r="J411" s="15">
        <f>IF(ISNUMBER('Klisz-Verbräuche'!K81), 'Klisz-Verbräuche'!K81*Emissionsfaktoren!J81/1000, 0)</f>
        <v>0</v>
      </c>
      <c r="K411" s="15">
        <f>IF(ISNUMBER('Klisz-Verbräuche'!L81), 'Klisz-Verbräuche'!L81*Emissionsfaktoren!K81/1000, 0)</f>
        <v>0</v>
      </c>
      <c r="L411" s="15">
        <f>IF(ISNUMBER('Klisz-Verbräuche'!M81), 'Klisz-Verbräuche'!M81*Emissionsfaktoren!L81/1000, 0)</f>
        <v>0</v>
      </c>
      <c r="M411" s="15">
        <f>IF(ISNUMBER('Klisz-Verbräuche'!N81), 'Klisz-Verbräuche'!N81*Emissionsfaktoren!M81/1000, 0)</f>
        <v>0</v>
      </c>
      <c r="N411" s="15">
        <f>IF(ISNUMBER('Klisz-Verbräuche'!O81), 'Klisz-Verbräuche'!O81*Emissionsfaktoren!N81/1000, 0)</f>
        <v>0</v>
      </c>
      <c r="O411" s="15">
        <f>IF(ISNUMBER('Klisz-Verbräuche'!P81), 'Klisz-Verbräuche'!P81*Emissionsfaktoren!O81/1000, 0)</f>
        <v>0</v>
      </c>
      <c r="P411" s="15">
        <f>IF(ISNUMBER('Klisz-Verbräuche'!Q81), 'Klisz-Verbräuche'!Q81*Emissionsfaktoren!P81/1000, 0)</f>
        <v>0</v>
      </c>
      <c r="Q411" s="15">
        <f>IF(ISNUMBER('Klisz-Verbräuche'!R81), 'Klisz-Verbräuche'!R81*Emissionsfaktoren!Q81/1000, 0)</f>
        <v>0</v>
      </c>
      <c r="R411" s="15">
        <f>IF(ISNUMBER('Klisz-Verbräuche'!S81), 'Klisz-Verbräuche'!S81*Emissionsfaktoren!R81/1000, 0)</f>
        <v>0</v>
      </c>
      <c r="S411" s="15">
        <f>IF(ISNUMBER('Klisz-Verbräuche'!T81), 'Klisz-Verbräuche'!T81*Emissionsfaktoren!S81/1000, 0)</f>
        <v>0</v>
      </c>
      <c r="T411" s="15">
        <f>IF(ISNUMBER('Klisz-Verbräuche'!U81), 'Klisz-Verbräuche'!U81*Emissionsfaktoren!T81/1000, 0)</f>
        <v>0</v>
      </c>
      <c r="U411" s="15">
        <f>IF(ISNUMBER('Klisz-Verbräuche'!V81), 'Klisz-Verbräuche'!V81*Emissionsfaktoren!U81/1000, 0)</f>
        <v>0</v>
      </c>
      <c r="V411" s="15">
        <f>IF(ISNUMBER('Klisz-Verbräuche'!W81), 'Klisz-Verbräuche'!W81*Emissionsfaktoren!V81/1000, 0)</f>
        <v>0</v>
      </c>
      <c r="W411" s="15">
        <f>IF(ISNUMBER('Klisz-Verbräuche'!X81), 'Klisz-Verbräuche'!X81*Emissionsfaktoren!W81/1000, 0)</f>
        <v>0</v>
      </c>
      <c r="X411" s="15">
        <f>IF(ISNUMBER('Klisz-Verbräuche'!Y81), 'Klisz-Verbräuche'!Y81*Emissionsfaktoren!X81/1000, 0)</f>
        <v>0</v>
      </c>
    </row>
    <row r="412" spans="2:24" ht="16.5" hidden="1" x14ac:dyDescent="0.45">
      <c r="B412" s="15">
        <v>23</v>
      </c>
      <c r="C412" s="20" t="str">
        <f>'Refsz-Verbräuche'!C82</f>
        <v>Wärme (Solarthermie)</v>
      </c>
      <c r="D412" t="s">
        <v>208</v>
      </c>
      <c r="E412" s="15">
        <f>IF(ISNUMBER('Klisz-Verbräuche'!F82), 'Klisz-Verbräuche'!F82*Emissionsfaktoren!E82/1000, 0)</f>
        <v>0</v>
      </c>
      <c r="F412" s="15">
        <f>IF(ISNUMBER('Klisz-Verbräuche'!G82), 'Klisz-Verbräuche'!G82*Emissionsfaktoren!F82/1000, 0)</f>
        <v>0</v>
      </c>
      <c r="G412" s="15">
        <f>IF(ISNUMBER('Klisz-Verbräuche'!H82), 'Klisz-Verbräuche'!H82*Emissionsfaktoren!G82/1000, 0)</f>
        <v>0</v>
      </c>
      <c r="H412" s="15">
        <f>IF(ISNUMBER('Klisz-Verbräuche'!I82), 'Klisz-Verbräuche'!I82*Emissionsfaktoren!H82/1000, 0)</f>
        <v>0</v>
      </c>
      <c r="I412" s="15">
        <f>IF(ISNUMBER('Klisz-Verbräuche'!J82), 'Klisz-Verbräuche'!J82*Emissionsfaktoren!I82/1000, 0)</f>
        <v>0</v>
      </c>
      <c r="J412" s="15">
        <f>IF(ISNUMBER('Klisz-Verbräuche'!K82), 'Klisz-Verbräuche'!K82*Emissionsfaktoren!J82/1000, 0)</f>
        <v>0</v>
      </c>
      <c r="K412" s="15">
        <f>IF(ISNUMBER('Klisz-Verbräuche'!L82), 'Klisz-Verbräuche'!L82*Emissionsfaktoren!K82/1000, 0)</f>
        <v>0</v>
      </c>
      <c r="L412" s="15">
        <f>IF(ISNUMBER('Klisz-Verbräuche'!M82), 'Klisz-Verbräuche'!M82*Emissionsfaktoren!L82/1000, 0)</f>
        <v>0</v>
      </c>
      <c r="M412" s="15">
        <f>IF(ISNUMBER('Klisz-Verbräuche'!N82), 'Klisz-Verbräuche'!N82*Emissionsfaktoren!M82/1000, 0)</f>
        <v>0</v>
      </c>
      <c r="N412" s="15">
        <f>IF(ISNUMBER('Klisz-Verbräuche'!O82), 'Klisz-Verbräuche'!O82*Emissionsfaktoren!N82/1000, 0)</f>
        <v>0</v>
      </c>
      <c r="O412" s="15">
        <f>IF(ISNUMBER('Klisz-Verbräuche'!P82), 'Klisz-Verbräuche'!P82*Emissionsfaktoren!O82/1000, 0)</f>
        <v>0</v>
      </c>
      <c r="P412" s="15">
        <f>IF(ISNUMBER('Klisz-Verbräuche'!Q82), 'Klisz-Verbräuche'!Q82*Emissionsfaktoren!P82/1000, 0)</f>
        <v>0</v>
      </c>
      <c r="Q412" s="15">
        <f>IF(ISNUMBER('Klisz-Verbräuche'!R82), 'Klisz-Verbräuche'!R82*Emissionsfaktoren!Q82/1000, 0)</f>
        <v>0</v>
      </c>
      <c r="R412" s="15">
        <f>IF(ISNUMBER('Klisz-Verbräuche'!S82), 'Klisz-Verbräuche'!S82*Emissionsfaktoren!R82/1000, 0)</f>
        <v>0</v>
      </c>
      <c r="S412" s="15">
        <f>IF(ISNUMBER('Klisz-Verbräuche'!T82), 'Klisz-Verbräuche'!T82*Emissionsfaktoren!S82/1000, 0)</f>
        <v>0</v>
      </c>
      <c r="T412" s="15">
        <f>IF(ISNUMBER('Klisz-Verbräuche'!U82), 'Klisz-Verbräuche'!U82*Emissionsfaktoren!T82/1000, 0)</f>
        <v>0</v>
      </c>
      <c r="U412" s="15">
        <f>IF(ISNUMBER('Klisz-Verbräuche'!V82), 'Klisz-Verbräuche'!V82*Emissionsfaktoren!U82/1000, 0)</f>
        <v>0</v>
      </c>
      <c r="V412" s="15">
        <f>IF(ISNUMBER('Klisz-Verbräuche'!W82), 'Klisz-Verbräuche'!W82*Emissionsfaktoren!V82/1000, 0)</f>
        <v>0</v>
      </c>
      <c r="W412" s="15">
        <f>IF(ISNUMBER('Klisz-Verbräuche'!X82), 'Klisz-Verbräuche'!X82*Emissionsfaktoren!W82/1000, 0)</f>
        <v>0</v>
      </c>
      <c r="X412" s="15">
        <f>IF(ISNUMBER('Klisz-Verbräuche'!Y82), 'Klisz-Verbräuche'!Y82*Emissionsfaktoren!X82/1000, 0)</f>
        <v>0</v>
      </c>
    </row>
    <row r="413" spans="2:24" ht="16.5" hidden="1" x14ac:dyDescent="0.45">
      <c r="B413" s="15">
        <v>24</v>
      </c>
      <c r="C413" s="20" t="str">
        <f>'Refsz-Verbräuche'!C83</f>
        <v>Wärme (Sole-Wasser-Wärmepumpe; Bundesstrommix)</v>
      </c>
      <c r="D413" t="s">
        <v>208</v>
      </c>
      <c r="E413" s="15">
        <f>IF(ISNUMBER('Klisz-Verbräuche'!F83), 'Klisz-Verbräuche'!F83*Emissionsfaktoren!E83/1000, 0)</f>
        <v>0</v>
      </c>
      <c r="F413" s="15">
        <f>IF(ISNUMBER('Klisz-Verbräuche'!G83), 'Klisz-Verbräuche'!G83*Emissionsfaktoren!F83/1000, 0)</f>
        <v>0</v>
      </c>
      <c r="G413" s="15">
        <f>IF(ISNUMBER('Klisz-Verbräuche'!H83), 'Klisz-Verbräuche'!H83*Emissionsfaktoren!G83/1000, 0)</f>
        <v>0</v>
      </c>
      <c r="H413" s="15">
        <f>IF(ISNUMBER('Klisz-Verbräuche'!I83), 'Klisz-Verbräuche'!I83*Emissionsfaktoren!H83/1000, 0)</f>
        <v>0</v>
      </c>
      <c r="I413" s="15">
        <f>IF(ISNUMBER('Klisz-Verbräuche'!J83), 'Klisz-Verbräuche'!J83*Emissionsfaktoren!I83/1000, 0)</f>
        <v>0</v>
      </c>
      <c r="J413" s="15">
        <f>IF(ISNUMBER('Klisz-Verbräuche'!K83), 'Klisz-Verbräuche'!K83*Emissionsfaktoren!J83/1000, 0)</f>
        <v>0</v>
      </c>
      <c r="K413" s="15">
        <f>IF(ISNUMBER('Klisz-Verbräuche'!L83), 'Klisz-Verbräuche'!L83*Emissionsfaktoren!K83/1000, 0)</f>
        <v>0</v>
      </c>
      <c r="L413" s="15">
        <f>IF(ISNUMBER('Klisz-Verbräuche'!M83), 'Klisz-Verbräuche'!M83*Emissionsfaktoren!L83/1000, 0)</f>
        <v>0</v>
      </c>
      <c r="M413" s="15">
        <f>IF(ISNUMBER('Klisz-Verbräuche'!N83), 'Klisz-Verbräuche'!N83*Emissionsfaktoren!M83/1000, 0)</f>
        <v>0</v>
      </c>
      <c r="N413" s="15">
        <f>IF(ISNUMBER('Klisz-Verbräuche'!O83), 'Klisz-Verbräuche'!O83*Emissionsfaktoren!N83/1000, 0)</f>
        <v>0</v>
      </c>
      <c r="O413" s="15">
        <f>IF(ISNUMBER('Klisz-Verbräuche'!P83), 'Klisz-Verbräuche'!P83*Emissionsfaktoren!O83/1000, 0)</f>
        <v>0</v>
      </c>
      <c r="P413" s="15">
        <f>IF(ISNUMBER('Klisz-Verbräuche'!Q83), 'Klisz-Verbräuche'!Q83*Emissionsfaktoren!P83/1000, 0)</f>
        <v>0</v>
      </c>
      <c r="Q413" s="15">
        <f>IF(ISNUMBER('Klisz-Verbräuche'!R83), 'Klisz-Verbräuche'!R83*Emissionsfaktoren!Q83/1000, 0)</f>
        <v>0</v>
      </c>
      <c r="R413" s="15">
        <f>IF(ISNUMBER('Klisz-Verbräuche'!S83), 'Klisz-Verbräuche'!S83*Emissionsfaktoren!R83/1000, 0)</f>
        <v>0</v>
      </c>
      <c r="S413" s="15">
        <f>IF(ISNUMBER('Klisz-Verbräuche'!T83), 'Klisz-Verbräuche'!T83*Emissionsfaktoren!S83/1000, 0)</f>
        <v>0</v>
      </c>
      <c r="T413" s="15">
        <f>IF(ISNUMBER('Klisz-Verbräuche'!U83), 'Klisz-Verbräuche'!U83*Emissionsfaktoren!T83/1000, 0)</f>
        <v>0</v>
      </c>
      <c r="U413" s="15">
        <f>IF(ISNUMBER('Klisz-Verbräuche'!V83), 'Klisz-Verbräuche'!V83*Emissionsfaktoren!U83/1000, 0)</f>
        <v>0</v>
      </c>
      <c r="V413" s="15">
        <f>IF(ISNUMBER('Klisz-Verbräuche'!W83), 'Klisz-Verbräuche'!W83*Emissionsfaktoren!V83/1000, 0)</f>
        <v>0</v>
      </c>
      <c r="W413" s="15">
        <f>IF(ISNUMBER('Klisz-Verbräuche'!X83), 'Klisz-Verbräuche'!X83*Emissionsfaktoren!W83/1000, 0)</f>
        <v>0</v>
      </c>
      <c r="X413" s="15">
        <f>IF(ISNUMBER('Klisz-Verbräuche'!Y83), 'Klisz-Verbräuche'!Y83*Emissionsfaktoren!X83/1000, 0)</f>
        <v>0</v>
      </c>
    </row>
    <row r="414" spans="2:24" ht="16.5" hidden="1" x14ac:dyDescent="0.45">
      <c r="B414" s="15">
        <v>25</v>
      </c>
      <c r="C414" s="20" t="str">
        <f>'Refsz-Verbräuche'!C84</f>
        <v>Wärme (Sole-Wasser-Wärmepumpe; Ökostrom)</v>
      </c>
      <c r="D414" t="s">
        <v>208</v>
      </c>
      <c r="E414" s="15">
        <f>IF(ISNUMBER('Klisz-Verbräuche'!F84), 'Klisz-Verbräuche'!F84*Emissionsfaktoren!E84/1000, 0)</f>
        <v>0</v>
      </c>
      <c r="F414" s="15">
        <f>IF(ISNUMBER('Klisz-Verbräuche'!G84), 'Klisz-Verbräuche'!G84*Emissionsfaktoren!F84/1000, 0)</f>
        <v>0</v>
      </c>
      <c r="G414" s="15">
        <f>IF(ISNUMBER('Klisz-Verbräuche'!H84), 'Klisz-Verbräuche'!H84*Emissionsfaktoren!G84/1000, 0)</f>
        <v>0</v>
      </c>
      <c r="H414" s="15">
        <f>IF(ISNUMBER('Klisz-Verbräuche'!I84), 'Klisz-Verbräuche'!I84*Emissionsfaktoren!H84/1000, 0)</f>
        <v>0</v>
      </c>
      <c r="I414" s="15">
        <f>IF(ISNUMBER('Klisz-Verbräuche'!J84), 'Klisz-Verbräuche'!J84*Emissionsfaktoren!I84/1000, 0)</f>
        <v>0</v>
      </c>
      <c r="J414" s="15">
        <f>IF(ISNUMBER('Klisz-Verbräuche'!K84), 'Klisz-Verbräuche'!K84*Emissionsfaktoren!J84/1000, 0)</f>
        <v>0</v>
      </c>
      <c r="K414" s="15">
        <f>IF(ISNUMBER('Klisz-Verbräuche'!L84), 'Klisz-Verbräuche'!L84*Emissionsfaktoren!K84/1000, 0)</f>
        <v>0</v>
      </c>
      <c r="L414" s="15">
        <f>IF(ISNUMBER('Klisz-Verbräuche'!M84), 'Klisz-Verbräuche'!M84*Emissionsfaktoren!L84/1000, 0)</f>
        <v>0</v>
      </c>
      <c r="M414" s="15">
        <f>IF(ISNUMBER('Klisz-Verbräuche'!N84), 'Klisz-Verbräuche'!N84*Emissionsfaktoren!M84/1000, 0)</f>
        <v>0</v>
      </c>
      <c r="N414" s="15">
        <f>IF(ISNUMBER('Klisz-Verbräuche'!O84), 'Klisz-Verbräuche'!O84*Emissionsfaktoren!N84/1000, 0)</f>
        <v>0</v>
      </c>
      <c r="O414" s="15">
        <f>IF(ISNUMBER('Klisz-Verbräuche'!P84), 'Klisz-Verbräuche'!P84*Emissionsfaktoren!O84/1000, 0)</f>
        <v>0</v>
      </c>
      <c r="P414" s="15">
        <f>IF(ISNUMBER('Klisz-Verbräuche'!Q84), 'Klisz-Verbräuche'!Q84*Emissionsfaktoren!P84/1000, 0)</f>
        <v>0</v>
      </c>
      <c r="Q414" s="15">
        <f>IF(ISNUMBER('Klisz-Verbräuche'!R84), 'Klisz-Verbräuche'!R84*Emissionsfaktoren!Q84/1000, 0)</f>
        <v>0</v>
      </c>
      <c r="R414" s="15">
        <f>IF(ISNUMBER('Klisz-Verbräuche'!S84), 'Klisz-Verbräuche'!S84*Emissionsfaktoren!R84/1000, 0)</f>
        <v>0</v>
      </c>
      <c r="S414" s="15">
        <f>IF(ISNUMBER('Klisz-Verbräuche'!T84), 'Klisz-Verbräuche'!T84*Emissionsfaktoren!S84/1000, 0)</f>
        <v>0</v>
      </c>
      <c r="T414" s="15">
        <f>IF(ISNUMBER('Klisz-Verbräuche'!U84), 'Klisz-Verbräuche'!U84*Emissionsfaktoren!T84/1000, 0)</f>
        <v>0</v>
      </c>
      <c r="U414" s="15">
        <f>IF(ISNUMBER('Klisz-Verbräuche'!V84), 'Klisz-Verbräuche'!V84*Emissionsfaktoren!U84/1000, 0)</f>
        <v>0</v>
      </c>
      <c r="V414" s="15">
        <f>IF(ISNUMBER('Klisz-Verbräuche'!W84), 'Klisz-Verbräuche'!W84*Emissionsfaktoren!V84/1000, 0)</f>
        <v>0</v>
      </c>
      <c r="W414" s="15">
        <f>IF(ISNUMBER('Klisz-Verbräuche'!X84), 'Klisz-Verbräuche'!X84*Emissionsfaktoren!W84/1000, 0)</f>
        <v>0</v>
      </c>
      <c r="X414" s="15">
        <f>IF(ISNUMBER('Klisz-Verbräuche'!Y84), 'Klisz-Verbräuche'!Y84*Emissionsfaktoren!X84/1000, 0)</f>
        <v>0</v>
      </c>
    </row>
    <row r="415" spans="2:24" ht="16.5" hidden="1" x14ac:dyDescent="0.45">
      <c r="B415" s="15">
        <v>26</v>
      </c>
      <c r="C415" s="20" t="str">
        <f>'Refsz-Verbräuche'!C85</f>
        <v>Wärme (individuelle Wärmepumpe)</v>
      </c>
      <c r="D415" t="s">
        <v>208</v>
      </c>
      <c r="E415" s="15">
        <f>IF(ISNUMBER('Klisz-Verbräuche'!F85), 'Klisz-Verbräuche'!F85*Emissionsfaktoren!E85/1000, 0)</f>
        <v>0</v>
      </c>
      <c r="F415" s="15">
        <f>IF(ISNUMBER('Klisz-Verbräuche'!G85), 'Klisz-Verbräuche'!G85*Emissionsfaktoren!F85/1000, 0)</f>
        <v>0</v>
      </c>
      <c r="G415" s="15">
        <f>IF(ISNUMBER('Klisz-Verbräuche'!H85), 'Klisz-Verbräuche'!H85*Emissionsfaktoren!G85/1000, 0)</f>
        <v>0</v>
      </c>
      <c r="H415" s="15">
        <f>IF(ISNUMBER('Klisz-Verbräuche'!I85), 'Klisz-Verbräuche'!I85*Emissionsfaktoren!H85/1000, 0)</f>
        <v>0</v>
      </c>
      <c r="I415" s="15">
        <f>IF(ISNUMBER('Klisz-Verbräuche'!J85), 'Klisz-Verbräuche'!J85*Emissionsfaktoren!I85/1000, 0)</f>
        <v>0</v>
      </c>
      <c r="J415" s="15">
        <f>IF(ISNUMBER('Klisz-Verbräuche'!K85), 'Klisz-Verbräuche'!K85*Emissionsfaktoren!J85/1000, 0)</f>
        <v>0</v>
      </c>
      <c r="K415" s="15">
        <f>IF(ISNUMBER('Klisz-Verbräuche'!L85), 'Klisz-Verbräuche'!L85*Emissionsfaktoren!K85/1000, 0)</f>
        <v>0</v>
      </c>
      <c r="L415" s="15">
        <f>IF(ISNUMBER('Klisz-Verbräuche'!M85), 'Klisz-Verbräuche'!M85*Emissionsfaktoren!L85/1000, 0)</f>
        <v>0</v>
      </c>
      <c r="M415" s="15">
        <f>IF(ISNUMBER('Klisz-Verbräuche'!N85), 'Klisz-Verbräuche'!N85*Emissionsfaktoren!M85/1000, 0)</f>
        <v>0</v>
      </c>
      <c r="N415" s="15">
        <f>IF(ISNUMBER('Klisz-Verbräuche'!O85), 'Klisz-Verbräuche'!O85*Emissionsfaktoren!N85/1000, 0)</f>
        <v>0</v>
      </c>
      <c r="O415" s="15">
        <f>IF(ISNUMBER('Klisz-Verbräuche'!P85), 'Klisz-Verbräuche'!P85*Emissionsfaktoren!O85/1000, 0)</f>
        <v>0</v>
      </c>
      <c r="P415" s="15">
        <f>IF(ISNUMBER('Klisz-Verbräuche'!Q85), 'Klisz-Verbräuche'!Q85*Emissionsfaktoren!P85/1000, 0)</f>
        <v>0</v>
      </c>
      <c r="Q415" s="15">
        <f>IF(ISNUMBER('Klisz-Verbräuche'!R85), 'Klisz-Verbräuche'!R85*Emissionsfaktoren!Q85/1000, 0)</f>
        <v>0</v>
      </c>
      <c r="R415" s="15">
        <f>IF(ISNUMBER('Klisz-Verbräuche'!S85), 'Klisz-Verbräuche'!S85*Emissionsfaktoren!R85/1000, 0)</f>
        <v>0</v>
      </c>
      <c r="S415" s="15">
        <f>IF(ISNUMBER('Klisz-Verbräuche'!T85), 'Klisz-Verbräuche'!T85*Emissionsfaktoren!S85/1000, 0)</f>
        <v>0</v>
      </c>
      <c r="T415" s="15">
        <f>IF(ISNUMBER('Klisz-Verbräuche'!U85), 'Klisz-Verbräuche'!U85*Emissionsfaktoren!T85/1000, 0)</f>
        <v>0</v>
      </c>
      <c r="U415" s="15">
        <f>IF(ISNUMBER('Klisz-Verbräuche'!V85), 'Klisz-Verbräuche'!V85*Emissionsfaktoren!U85/1000, 0)</f>
        <v>0</v>
      </c>
      <c r="V415" s="15">
        <f>IF(ISNUMBER('Klisz-Verbräuche'!W85), 'Klisz-Verbräuche'!W85*Emissionsfaktoren!V85/1000, 0)</f>
        <v>0</v>
      </c>
      <c r="W415" s="15">
        <f>IF(ISNUMBER('Klisz-Verbräuche'!X85), 'Klisz-Verbräuche'!X85*Emissionsfaktoren!W85/1000, 0)</f>
        <v>0</v>
      </c>
      <c r="X415" s="15">
        <f>IF(ISNUMBER('Klisz-Verbräuche'!Y85), 'Klisz-Verbräuche'!Y85*Emissionsfaktoren!X85/1000, 0)</f>
        <v>0</v>
      </c>
    </row>
    <row r="416" spans="2:24" ht="16.5" hidden="1" x14ac:dyDescent="0.45">
      <c r="B416" s="15">
        <v>27</v>
      </c>
      <c r="C416" s="20" t="str">
        <f>'Refsz-Verbräuche'!C86</f>
        <v>Kältemittel (R22)</v>
      </c>
      <c r="D416" t="s">
        <v>208</v>
      </c>
      <c r="E416" s="15">
        <f>IF(ISNUMBER('Klisz-Verbräuche'!F86), 'Klisz-Verbräuche'!F86*Emissionsfaktoren!E86/1000, 0)</f>
        <v>0</v>
      </c>
      <c r="F416" s="15">
        <f>IF(ISNUMBER('Klisz-Verbräuche'!G86), 'Klisz-Verbräuche'!G86*Emissionsfaktoren!F86/1000, 0)</f>
        <v>0</v>
      </c>
      <c r="G416" s="15">
        <f>IF(ISNUMBER('Klisz-Verbräuche'!H86), 'Klisz-Verbräuche'!H86*Emissionsfaktoren!G86/1000, 0)</f>
        <v>0</v>
      </c>
      <c r="H416" s="15">
        <f>IF(ISNUMBER('Klisz-Verbräuche'!I86), 'Klisz-Verbräuche'!I86*Emissionsfaktoren!H86/1000, 0)</f>
        <v>0</v>
      </c>
      <c r="I416" s="15">
        <f>IF(ISNUMBER('Klisz-Verbräuche'!J86), 'Klisz-Verbräuche'!J86*Emissionsfaktoren!I86/1000, 0)</f>
        <v>0</v>
      </c>
      <c r="J416" s="15">
        <f>IF(ISNUMBER('Klisz-Verbräuche'!K86), 'Klisz-Verbräuche'!K86*Emissionsfaktoren!J86/1000, 0)</f>
        <v>0</v>
      </c>
      <c r="K416" s="15">
        <f>IF(ISNUMBER('Klisz-Verbräuche'!L86), 'Klisz-Verbräuche'!L86*Emissionsfaktoren!K86/1000, 0)</f>
        <v>0</v>
      </c>
      <c r="L416" s="15">
        <f>IF(ISNUMBER('Klisz-Verbräuche'!M86), 'Klisz-Verbräuche'!M86*Emissionsfaktoren!L86/1000, 0)</f>
        <v>0</v>
      </c>
      <c r="M416" s="15">
        <f>IF(ISNUMBER('Klisz-Verbräuche'!N86), 'Klisz-Verbräuche'!N86*Emissionsfaktoren!M86/1000, 0)</f>
        <v>0</v>
      </c>
      <c r="N416" s="15">
        <f>IF(ISNUMBER('Klisz-Verbräuche'!O86), 'Klisz-Verbräuche'!O86*Emissionsfaktoren!N86/1000, 0)</f>
        <v>0</v>
      </c>
      <c r="O416" s="15">
        <f>IF(ISNUMBER('Klisz-Verbräuche'!P86), 'Klisz-Verbräuche'!P86*Emissionsfaktoren!O86/1000, 0)</f>
        <v>0</v>
      </c>
      <c r="P416" s="15">
        <f>IF(ISNUMBER('Klisz-Verbräuche'!Q86), 'Klisz-Verbräuche'!Q86*Emissionsfaktoren!P86/1000, 0)</f>
        <v>0</v>
      </c>
      <c r="Q416" s="15">
        <f>IF(ISNUMBER('Klisz-Verbräuche'!R86), 'Klisz-Verbräuche'!R86*Emissionsfaktoren!Q86/1000, 0)</f>
        <v>0</v>
      </c>
      <c r="R416" s="15">
        <f>IF(ISNUMBER('Klisz-Verbräuche'!S86), 'Klisz-Verbräuche'!S86*Emissionsfaktoren!R86/1000, 0)</f>
        <v>0</v>
      </c>
      <c r="S416" s="15">
        <f>IF(ISNUMBER('Klisz-Verbräuche'!T86), 'Klisz-Verbräuche'!T86*Emissionsfaktoren!S86/1000, 0)</f>
        <v>0</v>
      </c>
      <c r="T416" s="15">
        <f>IF(ISNUMBER('Klisz-Verbräuche'!U86), 'Klisz-Verbräuche'!U86*Emissionsfaktoren!T86/1000, 0)</f>
        <v>0</v>
      </c>
      <c r="U416" s="15">
        <f>IF(ISNUMBER('Klisz-Verbräuche'!V86), 'Klisz-Verbräuche'!V86*Emissionsfaktoren!U86/1000, 0)</f>
        <v>0</v>
      </c>
      <c r="V416" s="15">
        <f>IF(ISNUMBER('Klisz-Verbräuche'!W86), 'Klisz-Verbräuche'!W86*Emissionsfaktoren!V86/1000, 0)</f>
        <v>0</v>
      </c>
      <c r="W416" s="15">
        <f>IF(ISNUMBER('Klisz-Verbräuche'!X86), 'Klisz-Verbräuche'!X86*Emissionsfaktoren!W86/1000, 0)</f>
        <v>0</v>
      </c>
      <c r="X416" s="15">
        <f>IF(ISNUMBER('Klisz-Verbräuche'!Y86), 'Klisz-Verbräuche'!Y86*Emissionsfaktoren!X86/1000, 0)</f>
        <v>0</v>
      </c>
    </row>
    <row r="417" spans="2:24" ht="16.5" hidden="1" x14ac:dyDescent="0.45">
      <c r="B417" s="15">
        <v>28</v>
      </c>
      <c r="C417" s="20" t="str">
        <f>'Refsz-Verbräuche'!C87</f>
        <v>Kältemittel (R134A)</v>
      </c>
      <c r="D417" t="s">
        <v>208</v>
      </c>
      <c r="E417" s="15">
        <f>IF(ISNUMBER('Klisz-Verbräuche'!F87), 'Klisz-Verbräuche'!F87*Emissionsfaktoren!E87/1000, 0)</f>
        <v>0</v>
      </c>
      <c r="F417" s="15">
        <f>IF(ISNUMBER('Klisz-Verbräuche'!G87), 'Klisz-Verbräuche'!G87*Emissionsfaktoren!F87/1000, 0)</f>
        <v>0</v>
      </c>
      <c r="G417" s="15">
        <f>IF(ISNUMBER('Klisz-Verbräuche'!H87), 'Klisz-Verbräuche'!H87*Emissionsfaktoren!G87/1000, 0)</f>
        <v>0</v>
      </c>
      <c r="H417" s="15">
        <f>IF(ISNUMBER('Klisz-Verbräuche'!I87), 'Klisz-Verbräuche'!I87*Emissionsfaktoren!H87/1000, 0)</f>
        <v>0</v>
      </c>
      <c r="I417" s="15">
        <f>IF(ISNUMBER('Klisz-Verbräuche'!J87), 'Klisz-Verbräuche'!J87*Emissionsfaktoren!I87/1000, 0)</f>
        <v>0</v>
      </c>
      <c r="J417" s="15">
        <f>IF(ISNUMBER('Klisz-Verbräuche'!K87), 'Klisz-Verbräuche'!K87*Emissionsfaktoren!J87/1000, 0)</f>
        <v>0</v>
      </c>
      <c r="K417" s="15">
        <f>IF(ISNUMBER('Klisz-Verbräuche'!L87), 'Klisz-Verbräuche'!L87*Emissionsfaktoren!K87/1000, 0)</f>
        <v>0</v>
      </c>
      <c r="L417" s="15">
        <f>IF(ISNUMBER('Klisz-Verbräuche'!M87), 'Klisz-Verbräuche'!M87*Emissionsfaktoren!L87/1000, 0)</f>
        <v>0</v>
      </c>
      <c r="M417" s="15">
        <f>IF(ISNUMBER('Klisz-Verbräuche'!N87), 'Klisz-Verbräuche'!N87*Emissionsfaktoren!M87/1000, 0)</f>
        <v>0</v>
      </c>
      <c r="N417" s="15">
        <f>IF(ISNUMBER('Klisz-Verbräuche'!O87), 'Klisz-Verbräuche'!O87*Emissionsfaktoren!N87/1000, 0)</f>
        <v>0</v>
      </c>
      <c r="O417" s="15">
        <f>IF(ISNUMBER('Klisz-Verbräuche'!P87), 'Klisz-Verbräuche'!P87*Emissionsfaktoren!O87/1000, 0)</f>
        <v>0</v>
      </c>
      <c r="P417" s="15">
        <f>IF(ISNUMBER('Klisz-Verbräuche'!Q87), 'Klisz-Verbräuche'!Q87*Emissionsfaktoren!P87/1000, 0)</f>
        <v>0</v>
      </c>
      <c r="Q417" s="15">
        <f>IF(ISNUMBER('Klisz-Verbräuche'!R87), 'Klisz-Verbräuche'!R87*Emissionsfaktoren!Q87/1000, 0)</f>
        <v>0</v>
      </c>
      <c r="R417" s="15">
        <f>IF(ISNUMBER('Klisz-Verbräuche'!S87), 'Klisz-Verbräuche'!S87*Emissionsfaktoren!R87/1000, 0)</f>
        <v>0</v>
      </c>
      <c r="S417" s="15">
        <f>IF(ISNUMBER('Klisz-Verbräuche'!T87), 'Klisz-Verbräuche'!T87*Emissionsfaktoren!S87/1000, 0)</f>
        <v>0</v>
      </c>
      <c r="T417" s="15">
        <f>IF(ISNUMBER('Klisz-Verbräuche'!U87), 'Klisz-Verbräuche'!U87*Emissionsfaktoren!T87/1000, 0)</f>
        <v>0</v>
      </c>
      <c r="U417" s="15">
        <f>IF(ISNUMBER('Klisz-Verbräuche'!V87), 'Klisz-Verbräuche'!V87*Emissionsfaktoren!U87/1000, 0)</f>
        <v>0</v>
      </c>
      <c r="V417" s="15">
        <f>IF(ISNUMBER('Klisz-Verbräuche'!W87), 'Klisz-Verbräuche'!W87*Emissionsfaktoren!V87/1000, 0)</f>
        <v>0</v>
      </c>
      <c r="W417" s="15">
        <f>IF(ISNUMBER('Klisz-Verbräuche'!X87), 'Klisz-Verbräuche'!X87*Emissionsfaktoren!W87/1000, 0)</f>
        <v>0</v>
      </c>
      <c r="X417" s="15">
        <f>IF(ISNUMBER('Klisz-Verbräuche'!Y87), 'Klisz-Verbräuche'!Y87*Emissionsfaktoren!X87/1000, 0)</f>
        <v>0</v>
      </c>
    </row>
    <row r="418" spans="2:24" ht="16.5" hidden="1" x14ac:dyDescent="0.45">
      <c r="B418" s="15">
        <v>29</v>
      </c>
      <c r="C418" s="20" t="str">
        <f>'Refsz-Verbräuche'!C88</f>
        <v>Kältemittel (R404A)</v>
      </c>
      <c r="D418" t="s">
        <v>208</v>
      </c>
      <c r="E418" s="15">
        <f>IF(ISNUMBER('Klisz-Verbräuche'!F88), 'Klisz-Verbräuche'!F88*Emissionsfaktoren!E88/1000, 0)</f>
        <v>0</v>
      </c>
      <c r="F418" s="15">
        <f>IF(ISNUMBER('Klisz-Verbräuche'!G88), 'Klisz-Verbräuche'!G88*Emissionsfaktoren!F88/1000, 0)</f>
        <v>0</v>
      </c>
      <c r="G418" s="15">
        <f>IF(ISNUMBER('Klisz-Verbräuche'!H88), 'Klisz-Verbräuche'!H88*Emissionsfaktoren!G88/1000, 0)</f>
        <v>0</v>
      </c>
      <c r="H418" s="15">
        <f>IF(ISNUMBER('Klisz-Verbräuche'!I88), 'Klisz-Verbräuche'!I88*Emissionsfaktoren!H88/1000, 0)</f>
        <v>0</v>
      </c>
      <c r="I418" s="15">
        <f>IF(ISNUMBER('Klisz-Verbräuche'!J88), 'Klisz-Verbräuche'!J88*Emissionsfaktoren!I88/1000, 0)</f>
        <v>0</v>
      </c>
      <c r="J418" s="15">
        <f>IF(ISNUMBER('Klisz-Verbräuche'!K88), 'Klisz-Verbräuche'!K88*Emissionsfaktoren!J88/1000, 0)</f>
        <v>0</v>
      </c>
      <c r="K418" s="15">
        <f>IF(ISNUMBER('Klisz-Verbräuche'!L88), 'Klisz-Verbräuche'!L88*Emissionsfaktoren!K88/1000, 0)</f>
        <v>0</v>
      </c>
      <c r="L418" s="15">
        <f>IF(ISNUMBER('Klisz-Verbräuche'!M88), 'Klisz-Verbräuche'!M88*Emissionsfaktoren!L88/1000, 0)</f>
        <v>0</v>
      </c>
      <c r="M418" s="15">
        <f>IF(ISNUMBER('Klisz-Verbräuche'!N88), 'Klisz-Verbräuche'!N88*Emissionsfaktoren!M88/1000, 0)</f>
        <v>0</v>
      </c>
      <c r="N418" s="15">
        <f>IF(ISNUMBER('Klisz-Verbräuche'!O88), 'Klisz-Verbräuche'!O88*Emissionsfaktoren!N88/1000, 0)</f>
        <v>0</v>
      </c>
      <c r="O418" s="15">
        <f>IF(ISNUMBER('Klisz-Verbräuche'!P88), 'Klisz-Verbräuche'!P88*Emissionsfaktoren!O88/1000, 0)</f>
        <v>0</v>
      </c>
      <c r="P418" s="15">
        <f>IF(ISNUMBER('Klisz-Verbräuche'!Q88), 'Klisz-Verbräuche'!Q88*Emissionsfaktoren!P88/1000, 0)</f>
        <v>0</v>
      </c>
      <c r="Q418" s="15">
        <f>IF(ISNUMBER('Klisz-Verbräuche'!R88), 'Klisz-Verbräuche'!R88*Emissionsfaktoren!Q88/1000, 0)</f>
        <v>0</v>
      </c>
      <c r="R418" s="15">
        <f>IF(ISNUMBER('Klisz-Verbräuche'!S88), 'Klisz-Verbräuche'!S88*Emissionsfaktoren!R88/1000, 0)</f>
        <v>0</v>
      </c>
      <c r="S418" s="15">
        <f>IF(ISNUMBER('Klisz-Verbräuche'!T88), 'Klisz-Verbräuche'!T88*Emissionsfaktoren!S88/1000, 0)</f>
        <v>0</v>
      </c>
      <c r="T418" s="15">
        <f>IF(ISNUMBER('Klisz-Verbräuche'!U88), 'Klisz-Verbräuche'!U88*Emissionsfaktoren!T88/1000, 0)</f>
        <v>0</v>
      </c>
      <c r="U418" s="15">
        <f>IF(ISNUMBER('Klisz-Verbräuche'!V88), 'Klisz-Verbräuche'!V88*Emissionsfaktoren!U88/1000, 0)</f>
        <v>0</v>
      </c>
      <c r="V418" s="15">
        <f>IF(ISNUMBER('Klisz-Verbräuche'!W88), 'Klisz-Verbräuche'!W88*Emissionsfaktoren!V88/1000, 0)</f>
        <v>0</v>
      </c>
      <c r="W418" s="15">
        <f>IF(ISNUMBER('Klisz-Verbräuche'!X88), 'Klisz-Verbräuche'!X88*Emissionsfaktoren!W88/1000, 0)</f>
        <v>0</v>
      </c>
      <c r="X418" s="15">
        <f>IF(ISNUMBER('Klisz-Verbräuche'!Y88), 'Klisz-Verbräuche'!Y88*Emissionsfaktoren!X88/1000, 0)</f>
        <v>0</v>
      </c>
    </row>
    <row r="419" spans="2:24" ht="16.5" hidden="1" x14ac:dyDescent="0.45">
      <c r="B419" s="15">
        <v>30</v>
      </c>
      <c r="C419" s="20" t="str">
        <f>'Refsz-Verbräuche'!C89</f>
        <v>Kältemittel (R410A)</v>
      </c>
      <c r="D419" t="s">
        <v>208</v>
      </c>
      <c r="E419" s="15">
        <f>IF(ISNUMBER('Klisz-Verbräuche'!F89), 'Klisz-Verbräuche'!F89*Emissionsfaktoren!E89/1000, 0)</f>
        <v>0</v>
      </c>
      <c r="F419" s="15">
        <f>IF(ISNUMBER('Klisz-Verbräuche'!G89), 'Klisz-Verbräuche'!G89*Emissionsfaktoren!F89/1000, 0)</f>
        <v>0</v>
      </c>
      <c r="G419" s="15">
        <f>IF(ISNUMBER('Klisz-Verbräuche'!H89), 'Klisz-Verbräuche'!H89*Emissionsfaktoren!G89/1000, 0)</f>
        <v>0</v>
      </c>
      <c r="H419" s="15">
        <f>IF(ISNUMBER('Klisz-Verbräuche'!I89), 'Klisz-Verbräuche'!I89*Emissionsfaktoren!H89/1000, 0)</f>
        <v>0</v>
      </c>
      <c r="I419" s="15">
        <f>IF(ISNUMBER('Klisz-Verbräuche'!J89), 'Klisz-Verbräuche'!J89*Emissionsfaktoren!I89/1000, 0)</f>
        <v>0</v>
      </c>
      <c r="J419" s="15">
        <f>IF(ISNUMBER('Klisz-Verbräuche'!K89), 'Klisz-Verbräuche'!K89*Emissionsfaktoren!J89/1000, 0)</f>
        <v>0</v>
      </c>
      <c r="K419" s="15">
        <f>IF(ISNUMBER('Klisz-Verbräuche'!L89), 'Klisz-Verbräuche'!L89*Emissionsfaktoren!K89/1000, 0)</f>
        <v>0</v>
      </c>
      <c r="L419" s="15">
        <f>IF(ISNUMBER('Klisz-Verbräuche'!M89), 'Klisz-Verbräuche'!M89*Emissionsfaktoren!L89/1000, 0)</f>
        <v>0</v>
      </c>
      <c r="M419" s="15">
        <f>IF(ISNUMBER('Klisz-Verbräuche'!N89), 'Klisz-Verbräuche'!N89*Emissionsfaktoren!M89/1000, 0)</f>
        <v>0</v>
      </c>
      <c r="N419" s="15">
        <f>IF(ISNUMBER('Klisz-Verbräuche'!O89), 'Klisz-Verbräuche'!O89*Emissionsfaktoren!N89/1000, 0)</f>
        <v>0</v>
      </c>
      <c r="O419" s="15">
        <f>IF(ISNUMBER('Klisz-Verbräuche'!P89), 'Klisz-Verbräuche'!P89*Emissionsfaktoren!O89/1000, 0)</f>
        <v>0</v>
      </c>
      <c r="P419" s="15">
        <f>IF(ISNUMBER('Klisz-Verbräuche'!Q89), 'Klisz-Verbräuche'!Q89*Emissionsfaktoren!P89/1000, 0)</f>
        <v>0</v>
      </c>
      <c r="Q419" s="15">
        <f>IF(ISNUMBER('Klisz-Verbräuche'!R89), 'Klisz-Verbräuche'!R89*Emissionsfaktoren!Q89/1000, 0)</f>
        <v>0</v>
      </c>
      <c r="R419" s="15">
        <f>IF(ISNUMBER('Klisz-Verbräuche'!S89), 'Klisz-Verbräuche'!S89*Emissionsfaktoren!R89/1000, 0)</f>
        <v>0</v>
      </c>
      <c r="S419" s="15">
        <f>IF(ISNUMBER('Klisz-Verbräuche'!T89), 'Klisz-Verbräuche'!T89*Emissionsfaktoren!S89/1000, 0)</f>
        <v>0</v>
      </c>
      <c r="T419" s="15">
        <f>IF(ISNUMBER('Klisz-Verbräuche'!U89), 'Klisz-Verbräuche'!U89*Emissionsfaktoren!T89/1000, 0)</f>
        <v>0</v>
      </c>
      <c r="U419" s="15">
        <f>IF(ISNUMBER('Klisz-Verbräuche'!V89), 'Klisz-Verbräuche'!V89*Emissionsfaktoren!U89/1000, 0)</f>
        <v>0</v>
      </c>
      <c r="V419" s="15">
        <f>IF(ISNUMBER('Klisz-Verbräuche'!W89), 'Klisz-Verbräuche'!W89*Emissionsfaktoren!V89/1000, 0)</f>
        <v>0</v>
      </c>
      <c r="W419" s="15">
        <f>IF(ISNUMBER('Klisz-Verbräuche'!X89), 'Klisz-Verbräuche'!X89*Emissionsfaktoren!W89/1000, 0)</f>
        <v>0</v>
      </c>
      <c r="X419" s="15">
        <f>IF(ISNUMBER('Klisz-Verbräuche'!Y89), 'Klisz-Verbräuche'!Y89*Emissionsfaktoren!X89/1000, 0)</f>
        <v>0</v>
      </c>
    </row>
    <row r="420" spans="2:24" ht="16.5" hidden="1" x14ac:dyDescent="0.45">
      <c r="B420" s="15">
        <v>31</v>
      </c>
      <c r="C420" s="20">
        <f>'Refsz-Verbräuche'!C90</f>
        <v>0</v>
      </c>
      <c r="D420" t="s">
        <v>208</v>
      </c>
      <c r="E420" s="15">
        <f>IF(ISNUMBER('Klisz-Verbräuche'!F90), 'Klisz-Verbräuche'!F90*Emissionsfaktoren!E90/1000, 0)</f>
        <v>0</v>
      </c>
      <c r="F420" s="15">
        <f>IF(ISNUMBER('Klisz-Verbräuche'!G90), 'Klisz-Verbräuche'!G90*Emissionsfaktoren!F90/1000, 0)</f>
        <v>0</v>
      </c>
      <c r="G420" s="15">
        <f>IF(ISNUMBER('Klisz-Verbräuche'!H90), 'Klisz-Verbräuche'!H90*Emissionsfaktoren!G90/1000, 0)</f>
        <v>0</v>
      </c>
      <c r="H420" s="15">
        <f>IF(ISNUMBER('Klisz-Verbräuche'!I90), 'Klisz-Verbräuche'!I90*Emissionsfaktoren!H90/1000, 0)</f>
        <v>0</v>
      </c>
      <c r="I420" s="15">
        <f>IF(ISNUMBER('Klisz-Verbräuche'!J90), 'Klisz-Verbräuche'!J90*Emissionsfaktoren!I90/1000, 0)</f>
        <v>0</v>
      </c>
      <c r="J420" s="15">
        <f>IF(ISNUMBER('Klisz-Verbräuche'!K90), 'Klisz-Verbräuche'!K90*Emissionsfaktoren!J90/1000, 0)</f>
        <v>0</v>
      </c>
      <c r="K420" s="15">
        <f>IF(ISNUMBER('Klisz-Verbräuche'!L90), 'Klisz-Verbräuche'!L90*Emissionsfaktoren!K90/1000, 0)</f>
        <v>0</v>
      </c>
      <c r="L420" s="15">
        <f>IF(ISNUMBER('Klisz-Verbräuche'!M90), 'Klisz-Verbräuche'!M90*Emissionsfaktoren!L90/1000, 0)</f>
        <v>0</v>
      </c>
      <c r="M420" s="15">
        <f>IF(ISNUMBER('Klisz-Verbräuche'!N90), 'Klisz-Verbräuche'!N90*Emissionsfaktoren!M90/1000, 0)</f>
        <v>0</v>
      </c>
      <c r="N420" s="15">
        <f>IF(ISNUMBER('Klisz-Verbräuche'!O90), 'Klisz-Verbräuche'!O90*Emissionsfaktoren!N90/1000, 0)</f>
        <v>0</v>
      </c>
      <c r="O420" s="15">
        <f>IF(ISNUMBER('Klisz-Verbräuche'!P90), 'Klisz-Verbräuche'!P90*Emissionsfaktoren!O90/1000, 0)</f>
        <v>0</v>
      </c>
      <c r="P420" s="15">
        <f>IF(ISNUMBER('Klisz-Verbräuche'!Q90), 'Klisz-Verbräuche'!Q90*Emissionsfaktoren!P90/1000, 0)</f>
        <v>0</v>
      </c>
      <c r="Q420" s="15">
        <f>IF(ISNUMBER('Klisz-Verbräuche'!R90), 'Klisz-Verbräuche'!R90*Emissionsfaktoren!Q90/1000, 0)</f>
        <v>0</v>
      </c>
      <c r="R420" s="15">
        <f>IF(ISNUMBER('Klisz-Verbräuche'!S90), 'Klisz-Verbräuche'!S90*Emissionsfaktoren!R90/1000, 0)</f>
        <v>0</v>
      </c>
      <c r="S420" s="15">
        <f>IF(ISNUMBER('Klisz-Verbräuche'!T90), 'Klisz-Verbräuche'!T90*Emissionsfaktoren!S90/1000, 0)</f>
        <v>0</v>
      </c>
      <c r="T420" s="15">
        <f>IF(ISNUMBER('Klisz-Verbräuche'!U90), 'Klisz-Verbräuche'!U90*Emissionsfaktoren!T90/1000, 0)</f>
        <v>0</v>
      </c>
      <c r="U420" s="15">
        <f>IF(ISNUMBER('Klisz-Verbräuche'!V90), 'Klisz-Verbräuche'!V90*Emissionsfaktoren!U90/1000, 0)</f>
        <v>0</v>
      </c>
      <c r="V420" s="15">
        <f>IF(ISNUMBER('Klisz-Verbräuche'!W90), 'Klisz-Verbräuche'!W90*Emissionsfaktoren!V90/1000, 0)</f>
        <v>0</v>
      </c>
      <c r="W420" s="15">
        <f>IF(ISNUMBER('Klisz-Verbräuche'!X90), 'Klisz-Verbräuche'!X90*Emissionsfaktoren!W90/1000, 0)</f>
        <v>0</v>
      </c>
      <c r="X420" s="15">
        <f>IF(ISNUMBER('Klisz-Verbräuche'!Y90), 'Klisz-Verbräuche'!Y90*Emissionsfaktoren!X90/1000, 0)</f>
        <v>0</v>
      </c>
    </row>
    <row r="421" spans="2:24" ht="16.5" hidden="1" x14ac:dyDescent="0.45">
      <c r="B421" s="15">
        <v>32</v>
      </c>
      <c r="C421" s="20" t="str">
        <f>'Refsz-Verbräuche'!C91</f>
        <v>Fuhrpark (Diesel)</v>
      </c>
      <c r="D421" t="s">
        <v>208</v>
      </c>
      <c r="E421" s="15">
        <f>IF(ISNUMBER('Klisz-Verbräuche'!F91), 'Klisz-Verbräuche'!F91*Emissionsfaktoren!E91/1000, 0)</f>
        <v>0</v>
      </c>
      <c r="F421" s="15">
        <f>IF(ISNUMBER('Klisz-Verbräuche'!G91), 'Klisz-Verbräuche'!G91*Emissionsfaktoren!F91/1000, 0)</f>
        <v>0</v>
      </c>
      <c r="G421" s="15">
        <f>IF(ISNUMBER('Klisz-Verbräuche'!H91), 'Klisz-Verbräuche'!H91*Emissionsfaktoren!G91/1000, 0)</f>
        <v>0</v>
      </c>
      <c r="H421" s="15">
        <f>IF(ISNUMBER('Klisz-Verbräuche'!I91), 'Klisz-Verbräuche'!I91*Emissionsfaktoren!H91/1000, 0)</f>
        <v>0</v>
      </c>
      <c r="I421" s="15">
        <f>IF(ISNUMBER('Klisz-Verbräuche'!J91), 'Klisz-Verbräuche'!J91*Emissionsfaktoren!I91/1000, 0)</f>
        <v>0</v>
      </c>
      <c r="J421" s="15">
        <f>IF(ISNUMBER('Klisz-Verbräuche'!K91), 'Klisz-Verbräuche'!K91*Emissionsfaktoren!J91/1000, 0)</f>
        <v>0</v>
      </c>
      <c r="K421" s="15">
        <f>IF(ISNUMBER('Klisz-Verbräuche'!L91), 'Klisz-Verbräuche'!L91*Emissionsfaktoren!K91/1000, 0)</f>
        <v>0</v>
      </c>
      <c r="L421" s="15">
        <f>IF(ISNUMBER('Klisz-Verbräuche'!M91), 'Klisz-Verbräuche'!M91*Emissionsfaktoren!L91/1000, 0)</f>
        <v>0</v>
      </c>
      <c r="M421" s="15">
        <f>IF(ISNUMBER('Klisz-Verbräuche'!N91), 'Klisz-Verbräuche'!N91*Emissionsfaktoren!M91/1000, 0)</f>
        <v>0</v>
      </c>
      <c r="N421" s="15">
        <f>IF(ISNUMBER('Klisz-Verbräuche'!O91), 'Klisz-Verbräuche'!O91*Emissionsfaktoren!N91/1000, 0)</f>
        <v>0</v>
      </c>
      <c r="O421" s="15">
        <f>IF(ISNUMBER('Klisz-Verbräuche'!P91), 'Klisz-Verbräuche'!P91*Emissionsfaktoren!O91/1000, 0)</f>
        <v>0</v>
      </c>
      <c r="P421" s="15">
        <f>IF(ISNUMBER('Klisz-Verbräuche'!Q91), 'Klisz-Verbräuche'!Q91*Emissionsfaktoren!P91/1000, 0)</f>
        <v>0</v>
      </c>
      <c r="Q421" s="15">
        <f>IF(ISNUMBER('Klisz-Verbräuche'!R91), 'Klisz-Verbräuche'!R91*Emissionsfaktoren!Q91/1000, 0)</f>
        <v>0</v>
      </c>
      <c r="R421" s="15">
        <f>IF(ISNUMBER('Klisz-Verbräuche'!S91), 'Klisz-Verbräuche'!S91*Emissionsfaktoren!R91/1000, 0)</f>
        <v>0</v>
      </c>
      <c r="S421" s="15">
        <f>IF(ISNUMBER('Klisz-Verbräuche'!T91), 'Klisz-Verbräuche'!T91*Emissionsfaktoren!S91/1000, 0)</f>
        <v>0</v>
      </c>
      <c r="T421" s="15">
        <f>IF(ISNUMBER('Klisz-Verbräuche'!U91), 'Klisz-Verbräuche'!U91*Emissionsfaktoren!T91/1000, 0)</f>
        <v>0</v>
      </c>
      <c r="U421" s="15">
        <f>IF(ISNUMBER('Klisz-Verbräuche'!V91), 'Klisz-Verbräuche'!V91*Emissionsfaktoren!U91/1000, 0)</f>
        <v>0</v>
      </c>
      <c r="V421" s="15">
        <f>IF(ISNUMBER('Klisz-Verbräuche'!W91), 'Klisz-Verbräuche'!W91*Emissionsfaktoren!V91/1000, 0)</f>
        <v>0</v>
      </c>
      <c r="W421" s="15">
        <f>IF(ISNUMBER('Klisz-Verbräuche'!X91), 'Klisz-Verbräuche'!X91*Emissionsfaktoren!W91/1000, 0)</f>
        <v>0</v>
      </c>
      <c r="X421" s="15">
        <f>IF(ISNUMBER('Klisz-Verbräuche'!Y91), 'Klisz-Verbräuche'!Y91*Emissionsfaktoren!X91/1000, 0)</f>
        <v>0</v>
      </c>
    </row>
    <row r="422" spans="2:24" ht="16.5" hidden="1" x14ac:dyDescent="0.45">
      <c r="B422" s="15">
        <v>33</v>
      </c>
      <c r="C422" s="20" t="str">
        <f>'Refsz-Verbräuche'!C92</f>
        <v>Fuhrpark (Benzin)</v>
      </c>
      <c r="D422" t="s">
        <v>208</v>
      </c>
      <c r="E422" s="15">
        <f>IF(ISNUMBER('Klisz-Verbräuche'!F92), 'Klisz-Verbräuche'!F92*Emissionsfaktoren!E92/1000, 0)</f>
        <v>0</v>
      </c>
      <c r="F422" s="15">
        <f>IF(ISNUMBER('Klisz-Verbräuche'!G92), 'Klisz-Verbräuche'!G92*Emissionsfaktoren!F92/1000, 0)</f>
        <v>0</v>
      </c>
      <c r="G422" s="15">
        <f>IF(ISNUMBER('Klisz-Verbräuche'!H92), 'Klisz-Verbräuche'!H92*Emissionsfaktoren!G92/1000, 0)</f>
        <v>0</v>
      </c>
      <c r="H422" s="15">
        <f>IF(ISNUMBER('Klisz-Verbräuche'!I92), 'Klisz-Verbräuche'!I92*Emissionsfaktoren!H92/1000, 0)</f>
        <v>0</v>
      </c>
      <c r="I422" s="15">
        <f>IF(ISNUMBER('Klisz-Verbräuche'!J92), 'Klisz-Verbräuche'!J92*Emissionsfaktoren!I92/1000, 0)</f>
        <v>0</v>
      </c>
      <c r="J422" s="15">
        <f>IF(ISNUMBER('Klisz-Verbräuche'!K92), 'Klisz-Verbräuche'!K92*Emissionsfaktoren!J92/1000, 0)</f>
        <v>0</v>
      </c>
      <c r="K422" s="15">
        <f>IF(ISNUMBER('Klisz-Verbräuche'!L92), 'Klisz-Verbräuche'!L92*Emissionsfaktoren!K92/1000, 0)</f>
        <v>0</v>
      </c>
      <c r="L422" s="15">
        <f>IF(ISNUMBER('Klisz-Verbräuche'!M92), 'Klisz-Verbräuche'!M92*Emissionsfaktoren!L92/1000, 0)</f>
        <v>0</v>
      </c>
      <c r="M422" s="15">
        <f>IF(ISNUMBER('Klisz-Verbräuche'!N92), 'Klisz-Verbräuche'!N92*Emissionsfaktoren!M92/1000, 0)</f>
        <v>0</v>
      </c>
      <c r="N422" s="15">
        <f>IF(ISNUMBER('Klisz-Verbräuche'!O92), 'Klisz-Verbräuche'!O92*Emissionsfaktoren!N92/1000, 0)</f>
        <v>0</v>
      </c>
      <c r="O422" s="15">
        <f>IF(ISNUMBER('Klisz-Verbräuche'!P92), 'Klisz-Verbräuche'!P92*Emissionsfaktoren!O92/1000, 0)</f>
        <v>0</v>
      </c>
      <c r="P422" s="15">
        <f>IF(ISNUMBER('Klisz-Verbräuche'!Q92), 'Klisz-Verbräuche'!Q92*Emissionsfaktoren!P92/1000, 0)</f>
        <v>0</v>
      </c>
      <c r="Q422" s="15">
        <f>IF(ISNUMBER('Klisz-Verbräuche'!R92), 'Klisz-Verbräuche'!R92*Emissionsfaktoren!Q92/1000, 0)</f>
        <v>0</v>
      </c>
      <c r="R422" s="15">
        <f>IF(ISNUMBER('Klisz-Verbräuche'!S92), 'Klisz-Verbräuche'!S92*Emissionsfaktoren!R92/1000, 0)</f>
        <v>0</v>
      </c>
      <c r="S422" s="15">
        <f>IF(ISNUMBER('Klisz-Verbräuche'!T92), 'Klisz-Verbräuche'!T92*Emissionsfaktoren!S92/1000, 0)</f>
        <v>0</v>
      </c>
      <c r="T422" s="15">
        <f>IF(ISNUMBER('Klisz-Verbräuche'!U92), 'Klisz-Verbräuche'!U92*Emissionsfaktoren!T92/1000, 0)</f>
        <v>0</v>
      </c>
      <c r="U422" s="15">
        <f>IF(ISNUMBER('Klisz-Verbräuche'!V92), 'Klisz-Verbräuche'!V92*Emissionsfaktoren!U92/1000, 0)</f>
        <v>0</v>
      </c>
      <c r="V422" s="15">
        <f>IF(ISNUMBER('Klisz-Verbräuche'!W92), 'Klisz-Verbräuche'!W92*Emissionsfaktoren!V92/1000, 0)</f>
        <v>0</v>
      </c>
      <c r="W422" s="15">
        <f>IF(ISNUMBER('Klisz-Verbräuche'!X92), 'Klisz-Verbräuche'!X92*Emissionsfaktoren!W92/1000, 0)</f>
        <v>0</v>
      </c>
      <c r="X422" s="15">
        <f>IF(ISNUMBER('Klisz-Verbräuche'!Y92), 'Klisz-Verbräuche'!Y92*Emissionsfaktoren!X92/1000, 0)</f>
        <v>0</v>
      </c>
    </row>
    <row r="423" spans="2:24" ht="16.5" hidden="1" x14ac:dyDescent="0.45">
      <c r="B423" s="15">
        <v>34</v>
      </c>
      <c r="C423" s="20" t="str">
        <f>'Refsz-Verbräuche'!C93</f>
        <v>Fuhrpark (E-Auto/ BEV)</v>
      </c>
      <c r="D423" t="s">
        <v>208</v>
      </c>
      <c r="E423" s="15">
        <f>IF(ISNUMBER('Klisz-Verbräuche'!F93), 'Klisz-Verbräuche'!F93*Emissionsfaktoren!E93/1000, 0)</f>
        <v>0</v>
      </c>
      <c r="F423" s="15">
        <f>IF(ISNUMBER('Klisz-Verbräuche'!G93), 'Klisz-Verbräuche'!G93*Emissionsfaktoren!F93/1000, 0)</f>
        <v>0</v>
      </c>
      <c r="G423" s="15">
        <f>IF(ISNUMBER('Klisz-Verbräuche'!H93), 'Klisz-Verbräuche'!H93*Emissionsfaktoren!G93/1000, 0)</f>
        <v>0</v>
      </c>
      <c r="H423" s="15">
        <f>IF(ISNUMBER('Klisz-Verbräuche'!I93), 'Klisz-Verbräuche'!I93*Emissionsfaktoren!H93/1000, 0)</f>
        <v>0</v>
      </c>
      <c r="I423" s="15">
        <f>IF(ISNUMBER('Klisz-Verbräuche'!J93), 'Klisz-Verbräuche'!J93*Emissionsfaktoren!I93/1000, 0)</f>
        <v>0</v>
      </c>
      <c r="J423" s="15">
        <f>IF(ISNUMBER('Klisz-Verbräuche'!K93), 'Klisz-Verbräuche'!K93*Emissionsfaktoren!J93/1000, 0)</f>
        <v>0</v>
      </c>
      <c r="K423" s="15">
        <f>IF(ISNUMBER('Klisz-Verbräuche'!L93), 'Klisz-Verbräuche'!L93*Emissionsfaktoren!K93/1000, 0)</f>
        <v>0</v>
      </c>
      <c r="L423" s="15">
        <f>IF(ISNUMBER('Klisz-Verbräuche'!M93), 'Klisz-Verbräuche'!M93*Emissionsfaktoren!L93/1000, 0)</f>
        <v>0</v>
      </c>
      <c r="M423" s="15">
        <f>IF(ISNUMBER('Klisz-Verbräuche'!N93), 'Klisz-Verbräuche'!N93*Emissionsfaktoren!M93/1000, 0)</f>
        <v>0</v>
      </c>
      <c r="N423" s="15">
        <f>IF(ISNUMBER('Klisz-Verbräuche'!O93), 'Klisz-Verbräuche'!O93*Emissionsfaktoren!N93/1000, 0)</f>
        <v>0</v>
      </c>
      <c r="O423" s="15">
        <f>IF(ISNUMBER('Klisz-Verbräuche'!P93), 'Klisz-Verbräuche'!P93*Emissionsfaktoren!O93/1000, 0)</f>
        <v>0</v>
      </c>
      <c r="P423" s="15">
        <f>IF(ISNUMBER('Klisz-Verbräuche'!Q93), 'Klisz-Verbräuche'!Q93*Emissionsfaktoren!P93/1000, 0)</f>
        <v>0</v>
      </c>
      <c r="Q423" s="15">
        <f>IF(ISNUMBER('Klisz-Verbräuche'!R93), 'Klisz-Verbräuche'!R93*Emissionsfaktoren!Q93/1000, 0)</f>
        <v>0</v>
      </c>
      <c r="R423" s="15">
        <f>IF(ISNUMBER('Klisz-Verbräuche'!S93), 'Klisz-Verbräuche'!S93*Emissionsfaktoren!R93/1000, 0)</f>
        <v>0</v>
      </c>
      <c r="S423" s="15">
        <f>IF(ISNUMBER('Klisz-Verbräuche'!T93), 'Klisz-Verbräuche'!T93*Emissionsfaktoren!S93/1000, 0)</f>
        <v>0</v>
      </c>
      <c r="T423" s="15">
        <f>IF(ISNUMBER('Klisz-Verbräuche'!U93), 'Klisz-Verbräuche'!U93*Emissionsfaktoren!T93/1000, 0)</f>
        <v>0</v>
      </c>
      <c r="U423" s="15">
        <f>IF(ISNUMBER('Klisz-Verbräuche'!V93), 'Klisz-Verbräuche'!V93*Emissionsfaktoren!U93/1000, 0)</f>
        <v>0</v>
      </c>
      <c r="V423" s="15">
        <f>IF(ISNUMBER('Klisz-Verbräuche'!W93), 'Klisz-Verbräuche'!W93*Emissionsfaktoren!V93/1000, 0)</f>
        <v>0</v>
      </c>
      <c r="W423" s="15">
        <f>IF(ISNUMBER('Klisz-Verbräuche'!X93), 'Klisz-Verbräuche'!X93*Emissionsfaktoren!W93/1000, 0)</f>
        <v>0</v>
      </c>
      <c r="X423" s="15">
        <f>IF(ISNUMBER('Klisz-Verbräuche'!Y93), 'Klisz-Verbräuche'!Y93*Emissionsfaktoren!X93/1000, 0)</f>
        <v>0</v>
      </c>
    </row>
    <row r="424" spans="2:24" ht="16.5" hidden="1" x14ac:dyDescent="0.45">
      <c r="B424" s="15">
        <v>35</v>
      </c>
      <c r="C424" s="20" t="str">
        <f>'Refsz-Verbräuche'!C94</f>
        <v>Fuhrpark (Wasserstoff/ FCEV)</v>
      </c>
      <c r="D424" t="s">
        <v>208</v>
      </c>
      <c r="E424" s="15">
        <f>IF(ISNUMBER('Klisz-Verbräuche'!F94), 'Klisz-Verbräuche'!F94*Emissionsfaktoren!E94/1000, 0)</f>
        <v>0</v>
      </c>
      <c r="F424" s="15">
        <f>IF(ISNUMBER('Klisz-Verbräuche'!G94), 'Klisz-Verbräuche'!G94*Emissionsfaktoren!F94/1000, 0)</f>
        <v>0</v>
      </c>
      <c r="G424" s="15">
        <f>IF(ISNUMBER('Klisz-Verbräuche'!H94), 'Klisz-Verbräuche'!H94*Emissionsfaktoren!G94/1000, 0)</f>
        <v>0</v>
      </c>
      <c r="H424" s="15">
        <f>IF(ISNUMBER('Klisz-Verbräuche'!I94), 'Klisz-Verbräuche'!I94*Emissionsfaktoren!H94/1000, 0)</f>
        <v>0</v>
      </c>
      <c r="I424" s="15">
        <f>IF(ISNUMBER('Klisz-Verbräuche'!J94), 'Klisz-Verbräuche'!J94*Emissionsfaktoren!I94/1000, 0)</f>
        <v>0</v>
      </c>
      <c r="J424" s="15">
        <f>IF(ISNUMBER('Klisz-Verbräuche'!K94), 'Klisz-Verbräuche'!K94*Emissionsfaktoren!J94/1000, 0)</f>
        <v>0</v>
      </c>
      <c r="K424" s="15">
        <f>IF(ISNUMBER('Klisz-Verbräuche'!L94), 'Klisz-Verbräuche'!L94*Emissionsfaktoren!K94/1000, 0)</f>
        <v>0</v>
      </c>
      <c r="L424" s="15">
        <f>IF(ISNUMBER('Klisz-Verbräuche'!M94), 'Klisz-Verbräuche'!M94*Emissionsfaktoren!L94/1000, 0)</f>
        <v>0</v>
      </c>
      <c r="M424" s="15">
        <f>IF(ISNUMBER('Klisz-Verbräuche'!N94), 'Klisz-Verbräuche'!N94*Emissionsfaktoren!M94/1000, 0)</f>
        <v>0</v>
      </c>
      <c r="N424" s="15">
        <f>IF(ISNUMBER('Klisz-Verbräuche'!O94), 'Klisz-Verbräuche'!O94*Emissionsfaktoren!N94/1000, 0)</f>
        <v>0</v>
      </c>
      <c r="O424" s="15">
        <f>IF(ISNUMBER('Klisz-Verbräuche'!P94), 'Klisz-Verbräuche'!P94*Emissionsfaktoren!O94/1000, 0)</f>
        <v>0</v>
      </c>
      <c r="P424" s="15">
        <f>IF(ISNUMBER('Klisz-Verbräuche'!Q94), 'Klisz-Verbräuche'!Q94*Emissionsfaktoren!P94/1000, 0)</f>
        <v>0</v>
      </c>
      <c r="Q424" s="15">
        <f>IF(ISNUMBER('Klisz-Verbräuche'!R94), 'Klisz-Verbräuche'!R94*Emissionsfaktoren!Q94/1000, 0)</f>
        <v>0</v>
      </c>
      <c r="R424" s="15">
        <f>IF(ISNUMBER('Klisz-Verbräuche'!S94), 'Klisz-Verbräuche'!S94*Emissionsfaktoren!R94/1000, 0)</f>
        <v>0</v>
      </c>
      <c r="S424" s="15">
        <f>IF(ISNUMBER('Klisz-Verbräuche'!T94), 'Klisz-Verbräuche'!T94*Emissionsfaktoren!S94/1000, 0)</f>
        <v>0</v>
      </c>
      <c r="T424" s="15">
        <f>IF(ISNUMBER('Klisz-Verbräuche'!U94), 'Klisz-Verbräuche'!U94*Emissionsfaktoren!T94/1000, 0)</f>
        <v>0</v>
      </c>
      <c r="U424" s="15">
        <f>IF(ISNUMBER('Klisz-Verbräuche'!V94), 'Klisz-Verbräuche'!V94*Emissionsfaktoren!U94/1000, 0)</f>
        <v>0</v>
      </c>
      <c r="V424" s="15">
        <f>IF(ISNUMBER('Klisz-Verbräuche'!W94), 'Klisz-Verbräuche'!W94*Emissionsfaktoren!V94/1000, 0)</f>
        <v>0</v>
      </c>
      <c r="W424" s="15">
        <f>IF(ISNUMBER('Klisz-Verbräuche'!X94), 'Klisz-Verbräuche'!X94*Emissionsfaktoren!W94/1000, 0)</f>
        <v>0</v>
      </c>
      <c r="X424" s="15">
        <f>IF(ISNUMBER('Klisz-Verbräuche'!Y94), 'Klisz-Verbräuche'!Y94*Emissionsfaktoren!X94/1000, 0)</f>
        <v>0</v>
      </c>
    </row>
    <row r="425" spans="2:24" ht="16.5" hidden="1" x14ac:dyDescent="0.45">
      <c r="B425" s="15">
        <v>36</v>
      </c>
      <c r="C425" s="20" t="str">
        <f>'Refsz-Verbräuche'!C95</f>
        <v>Fuhrpark (CNG)</v>
      </c>
      <c r="D425" t="s">
        <v>208</v>
      </c>
      <c r="E425" s="15">
        <f>IF(ISNUMBER('Klisz-Verbräuche'!F95), 'Klisz-Verbräuche'!F95*Emissionsfaktoren!E95/1000, 0)</f>
        <v>0</v>
      </c>
      <c r="F425" s="15">
        <f>IF(ISNUMBER('Klisz-Verbräuche'!G95), 'Klisz-Verbräuche'!G95*Emissionsfaktoren!F95/1000, 0)</f>
        <v>0</v>
      </c>
      <c r="G425" s="15">
        <f>IF(ISNUMBER('Klisz-Verbräuche'!H95), 'Klisz-Verbräuche'!H95*Emissionsfaktoren!G95/1000, 0)</f>
        <v>0</v>
      </c>
      <c r="H425" s="15">
        <f>IF(ISNUMBER('Klisz-Verbräuche'!I95), 'Klisz-Verbräuche'!I95*Emissionsfaktoren!H95/1000, 0)</f>
        <v>0</v>
      </c>
      <c r="I425" s="15">
        <f>IF(ISNUMBER('Klisz-Verbräuche'!J95), 'Klisz-Verbräuche'!J95*Emissionsfaktoren!I95/1000, 0)</f>
        <v>0</v>
      </c>
      <c r="J425" s="15">
        <f>IF(ISNUMBER('Klisz-Verbräuche'!K95), 'Klisz-Verbräuche'!K95*Emissionsfaktoren!J95/1000, 0)</f>
        <v>0</v>
      </c>
      <c r="K425" s="15">
        <f>IF(ISNUMBER('Klisz-Verbräuche'!L95), 'Klisz-Verbräuche'!L95*Emissionsfaktoren!K95/1000, 0)</f>
        <v>0</v>
      </c>
      <c r="L425" s="15">
        <f>IF(ISNUMBER('Klisz-Verbräuche'!M95), 'Klisz-Verbräuche'!M95*Emissionsfaktoren!L95/1000, 0)</f>
        <v>0</v>
      </c>
      <c r="M425" s="15">
        <f>IF(ISNUMBER('Klisz-Verbräuche'!N95), 'Klisz-Verbräuche'!N95*Emissionsfaktoren!M95/1000, 0)</f>
        <v>0</v>
      </c>
      <c r="N425" s="15">
        <f>IF(ISNUMBER('Klisz-Verbräuche'!O95), 'Klisz-Verbräuche'!O95*Emissionsfaktoren!N95/1000, 0)</f>
        <v>0</v>
      </c>
      <c r="O425" s="15">
        <f>IF(ISNUMBER('Klisz-Verbräuche'!P95), 'Klisz-Verbräuche'!P95*Emissionsfaktoren!O95/1000, 0)</f>
        <v>0</v>
      </c>
      <c r="P425" s="15">
        <f>IF(ISNUMBER('Klisz-Verbräuche'!Q95), 'Klisz-Verbräuche'!Q95*Emissionsfaktoren!P95/1000, 0)</f>
        <v>0</v>
      </c>
      <c r="Q425" s="15">
        <f>IF(ISNUMBER('Klisz-Verbräuche'!R95), 'Klisz-Verbräuche'!R95*Emissionsfaktoren!Q95/1000, 0)</f>
        <v>0</v>
      </c>
      <c r="R425" s="15">
        <f>IF(ISNUMBER('Klisz-Verbräuche'!S95), 'Klisz-Verbräuche'!S95*Emissionsfaktoren!R95/1000, 0)</f>
        <v>0</v>
      </c>
      <c r="S425" s="15">
        <f>IF(ISNUMBER('Klisz-Verbräuche'!T95), 'Klisz-Verbräuche'!T95*Emissionsfaktoren!S95/1000, 0)</f>
        <v>0</v>
      </c>
      <c r="T425" s="15">
        <f>IF(ISNUMBER('Klisz-Verbräuche'!U95), 'Klisz-Verbräuche'!U95*Emissionsfaktoren!T95/1000, 0)</f>
        <v>0</v>
      </c>
      <c r="U425" s="15">
        <f>IF(ISNUMBER('Klisz-Verbräuche'!V95), 'Klisz-Verbräuche'!V95*Emissionsfaktoren!U95/1000, 0)</f>
        <v>0</v>
      </c>
      <c r="V425" s="15">
        <f>IF(ISNUMBER('Klisz-Verbräuche'!W95), 'Klisz-Verbräuche'!W95*Emissionsfaktoren!V95/1000, 0)</f>
        <v>0</v>
      </c>
      <c r="W425" s="15">
        <f>IF(ISNUMBER('Klisz-Verbräuche'!X95), 'Klisz-Verbräuche'!X95*Emissionsfaktoren!W95/1000, 0)</f>
        <v>0</v>
      </c>
      <c r="X425" s="15">
        <f>IF(ISNUMBER('Klisz-Verbräuche'!Y95), 'Klisz-Verbräuche'!Y95*Emissionsfaktoren!X95/1000, 0)</f>
        <v>0</v>
      </c>
    </row>
    <row r="426" spans="2:24" ht="16.5" hidden="1" x14ac:dyDescent="0.45">
      <c r="B426" s="15">
        <v>37</v>
      </c>
      <c r="C426" s="20" t="str">
        <f>'Refsz-Verbräuche'!C96</f>
        <v>Fuhrpark (Plug-In-Hybrid, PHEV)</v>
      </c>
      <c r="D426" t="s">
        <v>208</v>
      </c>
      <c r="E426" s="15">
        <f>IF(ISNUMBER('Klisz-Verbräuche'!F96), 'Klisz-Verbräuche'!F96*Emissionsfaktoren!E96/1000, 0)</f>
        <v>0</v>
      </c>
      <c r="F426" s="15">
        <f>IF(ISNUMBER('Klisz-Verbräuche'!G96), 'Klisz-Verbräuche'!G96*Emissionsfaktoren!F96/1000, 0)</f>
        <v>0</v>
      </c>
      <c r="G426" s="15">
        <f>IF(ISNUMBER('Klisz-Verbräuche'!H96), 'Klisz-Verbräuche'!H96*Emissionsfaktoren!G96/1000, 0)</f>
        <v>0</v>
      </c>
      <c r="H426" s="15">
        <f>IF(ISNUMBER('Klisz-Verbräuche'!I96), 'Klisz-Verbräuche'!I96*Emissionsfaktoren!H96/1000, 0)</f>
        <v>0</v>
      </c>
      <c r="I426" s="15">
        <f>IF(ISNUMBER('Klisz-Verbräuche'!J96), 'Klisz-Verbräuche'!J96*Emissionsfaktoren!I96/1000, 0)</f>
        <v>0</v>
      </c>
      <c r="J426" s="15">
        <f>IF(ISNUMBER('Klisz-Verbräuche'!K96), 'Klisz-Verbräuche'!K96*Emissionsfaktoren!J96/1000, 0)</f>
        <v>0</v>
      </c>
      <c r="K426" s="15">
        <f>IF(ISNUMBER('Klisz-Verbräuche'!L96), 'Klisz-Verbräuche'!L96*Emissionsfaktoren!K96/1000, 0)</f>
        <v>0</v>
      </c>
      <c r="L426" s="15">
        <f>IF(ISNUMBER('Klisz-Verbräuche'!M96), 'Klisz-Verbräuche'!M96*Emissionsfaktoren!L96/1000, 0)</f>
        <v>0</v>
      </c>
      <c r="M426" s="15">
        <f>IF(ISNUMBER('Klisz-Verbräuche'!N96), 'Klisz-Verbräuche'!N96*Emissionsfaktoren!M96/1000, 0)</f>
        <v>0</v>
      </c>
      <c r="N426" s="15">
        <f>IF(ISNUMBER('Klisz-Verbräuche'!O96), 'Klisz-Verbräuche'!O96*Emissionsfaktoren!N96/1000, 0)</f>
        <v>0</v>
      </c>
      <c r="O426" s="15">
        <f>IF(ISNUMBER('Klisz-Verbräuche'!P96), 'Klisz-Verbräuche'!P96*Emissionsfaktoren!O96/1000, 0)</f>
        <v>0</v>
      </c>
      <c r="P426" s="15">
        <f>IF(ISNUMBER('Klisz-Verbräuche'!Q96), 'Klisz-Verbräuche'!Q96*Emissionsfaktoren!P96/1000, 0)</f>
        <v>0</v>
      </c>
      <c r="Q426" s="15">
        <f>IF(ISNUMBER('Klisz-Verbräuche'!R96), 'Klisz-Verbräuche'!R96*Emissionsfaktoren!Q96/1000, 0)</f>
        <v>0</v>
      </c>
      <c r="R426" s="15">
        <f>IF(ISNUMBER('Klisz-Verbräuche'!S96), 'Klisz-Verbräuche'!S96*Emissionsfaktoren!R96/1000, 0)</f>
        <v>0</v>
      </c>
      <c r="S426" s="15">
        <f>IF(ISNUMBER('Klisz-Verbräuche'!T96), 'Klisz-Verbräuche'!T96*Emissionsfaktoren!S96/1000, 0)</f>
        <v>0</v>
      </c>
      <c r="T426" s="15">
        <f>IF(ISNUMBER('Klisz-Verbräuche'!U96), 'Klisz-Verbräuche'!U96*Emissionsfaktoren!T96/1000, 0)</f>
        <v>0</v>
      </c>
      <c r="U426" s="15">
        <f>IF(ISNUMBER('Klisz-Verbräuche'!V96), 'Klisz-Verbräuche'!V96*Emissionsfaktoren!U96/1000, 0)</f>
        <v>0</v>
      </c>
      <c r="V426" s="15">
        <f>IF(ISNUMBER('Klisz-Verbräuche'!W96), 'Klisz-Verbräuche'!W96*Emissionsfaktoren!V96/1000, 0)</f>
        <v>0</v>
      </c>
      <c r="W426" s="15">
        <f>IF(ISNUMBER('Klisz-Verbräuche'!X96), 'Klisz-Verbräuche'!X96*Emissionsfaktoren!W96/1000, 0)</f>
        <v>0</v>
      </c>
      <c r="X426" s="15">
        <f>IF(ISNUMBER('Klisz-Verbräuche'!Y96), 'Klisz-Verbräuche'!Y96*Emissionsfaktoren!X96/1000, 0)</f>
        <v>0</v>
      </c>
    </row>
    <row r="427" spans="2:24" ht="16.5" hidden="1" x14ac:dyDescent="0.45">
      <c r="B427" s="15">
        <v>38</v>
      </c>
      <c r="C427" s="20">
        <f>'Refsz-Verbräuche'!C97</f>
        <v>0</v>
      </c>
      <c r="D427" t="s">
        <v>208</v>
      </c>
      <c r="E427" s="15">
        <f>IF(ISNUMBER('Klisz-Verbräuche'!F97), 'Klisz-Verbräuche'!F97*Emissionsfaktoren!E97/1000, 0)</f>
        <v>0</v>
      </c>
      <c r="F427" s="15">
        <f>IF(ISNUMBER('Klisz-Verbräuche'!G97), 'Klisz-Verbräuche'!G97*Emissionsfaktoren!F97/1000, 0)</f>
        <v>0</v>
      </c>
      <c r="G427" s="15">
        <f>IF(ISNUMBER('Klisz-Verbräuche'!H97), 'Klisz-Verbräuche'!H97*Emissionsfaktoren!G97/1000, 0)</f>
        <v>0</v>
      </c>
      <c r="H427" s="15">
        <f>IF(ISNUMBER('Klisz-Verbräuche'!I97), 'Klisz-Verbräuche'!I97*Emissionsfaktoren!H97/1000, 0)</f>
        <v>0</v>
      </c>
      <c r="I427" s="15">
        <f>IF(ISNUMBER('Klisz-Verbräuche'!J97), 'Klisz-Verbräuche'!J97*Emissionsfaktoren!I97/1000, 0)</f>
        <v>0</v>
      </c>
      <c r="J427" s="15">
        <f>IF(ISNUMBER('Klisz-Verbräuche'!K97), 'Klisz-Verbräuche'!K97*Emissionsfaktoren!J97/1000, 0)</f>
        <v>0</v>
      </c>
      <c r="K427" s="15">
        <f>IF(ISNUMBER('Klisz-Verbräuche'!L97), 'Klisz-Verbräuche'!L97*Emissionsfaktoren!K97/1000, 0)</f>
        <v>0</v>
      </c>
      <c r="L427" s="15">
        <f>IF(ISNUMBER('Klisz-Verbräuche'!M97), 'Klisz-Verbräuche'!M97*Emissionsfaktoren!L97/1000, 0)</f>
        <v>0</v>
      </c>
      <c r="M427" s="15">
        <f>IF(ISNUMBER('Klisz-Verbräuche'!N97), 'Klisz-Verbräuche'!N97*Emissionsfaktoren!M97/1000, 0)</f>
        <v>0</v>
      </c>
      <c r="N427" s="15">
        <f>IF(ISNUMBER('Klisz-Verbräuche'!O97), 'Klisz-Verbräuche'!O97*Emissionsfaktoren!N97/1000, 0)</f>
        <v>0</v>
      </c>
      <c r="O427" s="15">
        <f>IF(ISNUMBER('Klisz-Verbräuche'!P97), 'Klisz-Verbräuche'!P97*Emissionsfaktoren!O97/1000, 0)</f>
        <v>0</v>
      </c>
      <c r="P427" s="15">
        <f>IF(ISNUMBER('Klisz-Verbräuche'!Q97), 'Klisz-Verbräuche'!Q97*Emissionsfaktoren!P97/1000, 0)</f>
        <v>0</v>
      </c>
      <c r="Q427" s="15">
        <f>IF(ISNUMBER('Klisz-Verbräuche'!R97), 'Klisz-Verbräuche'!R97*Emissionsfaktoren!Q97/1000, 0)</f>
        <v>0</v>
      </c>
      <c r="R427" s="15">
        <f>IF(ISNUMBER('Klisz-Verbräuche'!S97), 'Klisz-Verbräuche'!S97*Emissionsfaktoren!R97/1000, 0)</f>
        <v>0</v>
      </c>
      <c r="S427" s="15">
        <f>IF(ISNUMBER('Klisz-Verbräuche'!T97), 'Klisz-Verbräuche'!T97*Emissionsfaktoren!S97/1000, 0)</f>
        <v>0</v>
      </c>
      <c r="T427" s="15">
        <f>IF(ISNUMBER('Klisz-Verbräuche'!U97), 'Klisz-Verbräuche'!U97*Emissionsfaktoren!T97/1000, 0)</f>
        <v>0</v>
      </c>
      <c r="U427" s="15">
        <f>IF(ISNUMBER('Klisz-Verbräuche'!V97), 'Klisz-Verbräuche'!V97*Emissionsfaktoren!U97/1000, 0)</f>
        <v>0</v>
      </c>
      <c r="V427" s="15">
        <f>IF(ISNUMBER('Klisz-Verbräuche'!W97), 'Klisz-Verbräuche'!W97*Emissionsfaktoren!V97/1000, 0)</f>
        <v>0</v>
      </c>
      <c r="W427" s="15">
        <f>IF(ISNUMBER('Klisz-Verbräuche'!X97), 'Klisz-Verbräuche'!X97*Emissionsfaktoren!W97/1000, 0)</f>
        <v>0</v>
      </c>
      <c r="X427" s="15">
        <f>IF(ISNUMBER('Klisz-Verbräuche'!Y97), 'Klisz-Verbräuche'!Y97*Emissionsfaktoren!X97/1000, 0)</f>
        <v>0</v>
      </c>
    </row>
    <row r="428" spans="2:24" ht="16.5" hidden="1" x14ac:dyDescent="0.45">
      <c r="B428" s="15">
        <v>39</v>
      </c>
      <c r="C428" s="20" t="str">
        <f>'Refsz-Verbräuche'!C98</f>
        <v>DR - Flugreisen</v>
      </c>
      <c r="D428" t="s">
        <v>208</v>
      </c>
      <c r="E428" s="15">
        <f>IF(ISNUMBER('Klisz-Verbräuche'!F98), 'Klisz-Verbräuche'!F98*Emissionsfaktoren!E98/1000, 0)</f>
        <v>0</v>
      </c>
      <c r="F428" s="15">
        <f>IF(ISNUMBER('Klisz-Verbräuche'!G98), 'Klisz-Verbräuche'!G98*Emissionsfaktoren!F98/1000, 0)</f>
        <v>0</v>
      </c>
      <c r="G428" s="15">
        <f>IF(ISNUMBER('Klisz-Verbräuche'!H98), 'Klisz-Verbräuche'!H98*Emissionsfaktoren!G98/1000, 0)</f>
        <v>0</v>
      </c>
      <c r="H428" s="15">
        <f>IF(ISNUMBER('Klisz-Verbräuche'!I98), 'Klisz-Verbräuche'!I98*Emissionsfaktoren!H98/1000, 0)</f>
        <v>0</v>
      </c>
      <c r="I428" s="15">
        <f>IF(ISNUMBER('Klisz-Verbräuche'!J98), 'Klisz-Verbräuche'!J98*Emissionsfaktoren!I98/1000, 0)</f>
        <v>0</v>
      </c>
      <c r="J428" s="15">
        <f>IF(ISNUMBER('Klisz-Verbräuche'!K98), 'Klisz-Verbräuche'!K98*Emissionsfaktoren!J98/1000, 0)</f>
        <v>0</v>
      </c>
      <c r="K428" s="15">
        <f>IF(ISNUMBER('Klisz-Verbräuche'!L98), 'Klisz-Verbräuche'!L98*Emissionsfaktoren!K98/1000, 0)</f>
        <v>0</v>
      </c>
      <c r="L428" s="15">
        <f>IF(ISNUMBER('Klisz-Verbräuche'!M98), 'Klisz-Verbräuche'!M98*Emissionsfaktoren!L98/1000, 0)</f>
        <v>0</v>
      </c>
      <c r="M428" s="15">
        <f>IF(ISNUMBER('Klisz-Verbräuche'!N98), 'Klisz-Verbräuche'!N98*Emissionsfaktoren!M98/1000, 0)</f>
        <v>0</v>
      </c>
      <c r="N428" s="15">
        <f>IF(ISNUMBER('Klisz-Verbräuche'!O98), 'Klisz-Verbräuche'!O98*Emissionsfaktoren!N98/1000, 0)</f>
        <v>0</v>
      </c>
      <c r="O428" s="15">
        <f>IF(ISNUMBER('Klisz-Verbräuche'!P98), 'Klisz-Verbräuche'!P98*Emissionsfaktoren!O98/1000, 0)</f>
        <v>0</v>
      </c>
      <c r="P428" s="15">
        <f>IF(ISNUMBER('Klisz-Verbräuche'!Q98), 'Klisz-Verbräuche'!Q98*Emissionsfaktoren!P98/1000, 0)</f>
        <v>0</v>
      </c>
      <c r="Q428" s="15">
        <f>IF(ISNUMBER('Klisz-Verbräuche'!R98), 'Klisz-Verbräuche'!R98*Emissionsfaktoren!Q98/1000, 0)</f>
        <v>0</v>
      </c>
      <c r="R428" s="15">
        <f>IF(ISNUMBER('Klisz-Verbräuche'!S98), 'Klisz-Verbräuche'!S98*Emissionsfaktoren!R98/1000, 0)</f>
        <v>0</v>
      </c>
      <c r="S428" s="15">
        <f>IF(ISNUMBER('Klisz-Verbräuche'!T98), 'Klisz-Verbräuche'!T98*Emissionsfaktoren!S98/1000, 0)</f>
        <v>0</v>
      </c>
      <c r="T428" s="15">
        <f>IF(ISNUMBER('Klisz-Verbräuche'!U98), 'Klisz-Verbräuche'!U98*Emissionsfaktoren!T98/1000, 0)</f>
        <v>0</v>
      </c>
      <c r="U428" s="15">
        <f>IF(ISNUMBER('Klisz-Verbräuche'!V98), 'Klisz-Verbräuche'!V98*Emissionsfaktoren!U98/1000, 0)</f>
        <v>0</v>
      </c>
      <c r="V428" s="15">
        <f>IF(ISNUMBER('Klisz-Verbräuche'!W98), 'Klisz-Verbräuche'!W98*Emissionsfaktoren!V98/1000, 0)</f>
        <v>0</v>
      </c>
      <c r="W428" s="15">
        <f>IF(ISNUMBER('Klisz-Verbräuche'!X98), 'Klisz-Verbräuche'!X98*Emissionsfaktoren!W98/1000, 0)</f>
        <v>0</v>
      </c>
      <c r="X428" s="15">
        <f>IF(ISNUMBER('Klisz-Verbräuche'!Y98), 'Klisz-Verbräuche'!Y98*Emissionsfaktoren!X98/1000, 0)</f>
        <v>0</v>
      </c>
    </row>
    <row r="429" spans="2:24" ht="16.5" hidden="1" x14ac:dyDescent="0.45">
      <c r="B429" s="15">
        <v>40</v>
      </c>
      <c r="C429" s="20" t="str">
        <f>'Refsz-Verbräuche'!C99</f>
        <v>DR - Eisenbahn (Fernverkehr)</v>
      </c>
      <c r="D429" t="s">
        <v>208</v>
      </c>
      <c r="E429" s="15">
        <f>IF(ISNUMBER('Klisz-Verbräuche'!F99), 'Klisz-Verbräuche'!F99*Emissionsfaktoren!E99/1000, 0)</f>
        <v>0</v>
      </c>
      <c r="F429" s="15">
        <f>IF(ISNUMBER('Klisz-Verbräuche'!G99), 'Klisz-Verbräuche'!G99*Emissionsfaktoren!F99/1000, 0)</f>
        <v>0</v>
      </c>
      <c r="G429" s="15">
        <f>IF(ISNUMBER('Klisz-Verbräuche'!H99), 'Klisz-Verbräuche'!H99*Emissionsfaktoren!G99/1000, 0)</f>
        <v>0</v>
      </c>
      <c r="H429" s="15">
        <f>IF(ISNUMBER('Klisz-Verbräuche'!I99), 'Klisz-Verbräuche'!I99*Emissionsfaktoren!H99/1000, 0)</f>
        <v>0</v>
      </c>
      <c r="I429" s="15">
        <f>IF(ISNUMBER('Klisz-Verbräuche'!J99), 'Klisz-Verbräuche'!J99*Emissionsfaktoren!I99/1000, 0)</f>
        <v>0</v>
      </c>
      <c r="J429" s="15">
        <f>IF(ISNUMBER('Klisz-Verbräuche'!K99), 'Klisz-Verbräuche'!K99*Emissionsfaktoren!J99/1000, 0)</f>
        <v>0</v>
      </c>
      <c r="K429" s="15">
        <f>IF(ISNUMBER('Klisz-Verbräuche'!L99), 'Klisz-Verbräuche'!L99*Emissionsfaktoren!K99/1000, 0)</f>
        <v>0</v>
      </c>
      <c r="L429" s="15">
        <f>IF(ISNUMBER('Klisz-Verbräuche'!M99), 'Klisz-Verbräuche'!M99*Emissionsfaktoren!L99/1000, 0)</f>
        <v>0</v>
      </c>
      <c r="M429" s="15">
        <f>IF(ISNUMBER('Klisz-Verbräuche'!N99), 'Klisz-Verbräuche'!N99*Emissionsfaktoren!M99/1000, 0)</f>
        <v>0</v>
      </c>
      <c r="N429" s="15">
        <f>IF(ISNUMBER('Klisz-Verbräuche'!O99), 'Klisz-Verbräuche'!O99*Emissionsfaktoren!N99/1000, 0)</f>
        <v>0</v>
      </c>
      <c r="O429" s="15">
        <f>IF(ISNUMBER('Klisz-Verbräuche'!P99), 'Klisz-Verbräuche'!P99*Emissionsfaktoren!O99/1000, 0)</f>
        <v>0</v>
      </c>
      <c r="P429" s="15">
        <f>IF(ISNUMBER('Klisz-Verbräuche'!Q99), 'Klisz-Verbräuche'!Q99*Emissionsfaktoren!P99/1000, 0)</f>
        <v>0</v>
      </c>
      <c r="Q429" s="15">
        <f>IF(ISNUMBER('Klisz-Verbräuche'!R99), 'Klisz-Verbräuche'!R99*Emissionsfaktoren!Q99/1000, 0)</f>
        <v>0</v>
      </c>
      <c r="R429" s="15">
        <f>IF(ISNUMBER('Klisz-Verbräuche'!S99), 'Klisz-Verbräuche'!S99*Emissionsfaktoren!R99/1000, 0)</f>
        <v>0</v>
      </c>
      <c r="S429" s="15">
        <f>IF(ISNUMBER('Klisz-Verbräuche'!T99), 'Klisz-Verbräuche'!T99*Emissionsfaktoren!S99/1000, 0)</f>
        <v>0</v>
      </c>
      <c r="T429" s="15">
        <f>IF(ISNUMBER('Klisz-Verbräuche'!U99), 'Klisz-Verbräuche'!U99*Emissionsfaktoren!T99/1000, 0)</f>
        <v>0</v>
      </c>
      <c r="U429" s="15">
        <f>IF(ISNUMBER('Klisz-Verbräuche'!V99), 'Klisz-Verbräuche'!V99*Emissionsfaktoren!U99/1000, 0)</f>
        <v>0</v>
      </c>
      <c r="V429" s="15">
        <f>IF(ISNUMBER('Klisz-Verbräuche'!W99), 'Klisz-Verbräuche'!W99*Emissionsfaktoren!V99/1000, 0)</f>
        <v>0</v>
      </c>
      <c r="W429" s="15">
        <f>IF(ISNUMBER('Klisz-Verbräuche'!X99), 'Klisz-Verbräuche'!X99*Emissionsfaktoren!W99/1000, 0)</f>
        <v>0</v>
      </c>
      <c r="X429" s="15">
        <f>IF(ISNUMBER('Klisz-Verbräuche'!Y99), 'Klisz-Verbräuche'!Y99*Emissionsfaktoren!X99/1000, 0)</f>
        <v>0</v>
      </c>
    </row>
    <row r="430" spans="2:24" ht="16.5" hidden="1" x14ac:dyDescent="0.45">
      <c r="B430" s="15">
        <v>41</v>
      </c>
      <c r="C430" s="20" t="str">
        <f>'Refsz-Verbräuche'!C100</f>
        <v>DR - Eisenbahn (Nahverkehr)</v>
      </c>
      <c r="D430" t="s">
        <v>208</v>
      </c>
      <c r="E430" s="15">
        <f>IF(ISNUMBER('Klisz-Verbräuche'!F100), 'Klisz-Verbräuche'!F100*Emissionsfaktoren!E100/1000, 0)</f>
        <v>0</v>
      </c>
      <c r="F430" s="15">
        <f>IF(ISNUMBER('Klisz-Verbräuche'!G100), 'Klisz-Verbräuche'!G100*Emissionsfaktoren!F100/1000, 0)</f>
        <v>0</v>
      </c>
      <c r="G430" s="15">
        <f>IF(ISNUMBER('Klisz-Verbräuche'!H100), 'Klisz-Verbräuche'!H100*Emissionsfaktoren!G100/1000, 0)</f>
        <v>0</v>
      </c>
      <c r="H430" s="15">
        <f>IF(ISNUMBER('Klisz-Verbräuche'!I100), 'Klisz-Verbräuche'!I100*Emissionsfaktoren!H100/1000, 0)</f>
        <v>0</v>
      </c>
      <c r="I430" s="15">
        <f>IF(ISNUMBER('Klisz-Verbräuche'!J100), 'Klisz-Verbräuche'!J100*Emissionsfaktoren!I100/1000, 0)</f>
        <v>0</v>
      </c>
      <c r="J430" s="15">
        <f>IF(ISNUMBER('Klisz-Verbräuche'!K100), 'Klisz-Verbräuche'!K100*Emissionsfaktoren!J100/1000, 0)</f>
        <v>0</v>
      </c>
      <c r="K430" s="15">
        <f>IF(ISNUMBER('Klisz-Verbräuche'!L100), 'Klisz-Verbräuche'!L100*Emissionsfaktoren!K100/1000, 0)</f>
        <v>0</v>
      </c>
      <c r="L430" s="15">
        <f>IF(ISNUMBER('Klisz-Verbräuche'!M100), 'Klisz-Verbräuche'!M100*Emissionsfaktoren!L100/1000, 0)</f>
        <v>0</v>
      </c>
      <c r="M430" s="15">
        <f>IF(ISNUMBER('Klisz-Verbräuche'!N100), 'Klisz-Verbräuche'!N100*Emissionsfaktoren!M100/1000, 0)</f>
        <v>0</v>
      </c>
      <c r="N430" s="15">
        <f>IF(ISNUMBER('Klisz-Verbräuche'!O100), 'Klisz-Verbräuche'!O100*Emissionsfaktoren!N100/1000, 0)</f>
        <v>0</v>
      </c>
      <c r="O430" s="15">
        <f>IF(ISNUMBER('Klisz-Verbräuche'!P100), 'Klisz-Verbräuche'!P100*Emissionsfaktoren!O100/1000, 0)</f>
        <v>0</v>
      </c>
      <c r="P430" s="15">
        <f>IF(ISNUMBER('Klisz-Verbräuche'!Q100), 'Klisz-Verbräuche'!Q100*Emissionsfaktoren!P100/1000, 0)</f>
        <v>0</v>
      </c>
      <c r="Q430" s="15">
        <f>IF(ISNUMBER('Klisz-Verbräuche'!R100), 'Klisz-Verbräuche'!R100*Emissionsfaktoren!Q100/1000, 0)</f>
        <v>0</v>
      </c>
      <c r="R430" s="15">
        <f>IF(ISNUMBER('Klisz-Verbräuche'!S100), 'Klisz-Verbräuche'!S100*Emissionsfaktoren!R100/1000, 0)</f>
        <v>0</v>
      </c>
      <c r="S430" s="15">
        <f>IF(ISNUMBER('Klisz-Verbräuche'!T100), 'Klisz-Verbräuche'!T100*Emissionsfaktoren!S100/1000, 0)</f>
        <v>0</v>
      </c>
      <c r="T430" s="15">
        <f>IF(ISNUMBER('Klisz-Verbräuche'!U100), 'Klisz-Verbräuche'!U100*Emissionsfaktoren!T100/1000, 0)</f>
        <v>0</v>
      </c>
      <c r="U430" s="15">
        <f>IF(ISNUMBER('Klisz-Verbräuche'!V100), 'Klisz-Verbräuche'!V100*Emissionsfaktoren!U100/1000, 0)</f>
        <v>0</v>
      </c>
      <c r="V430" s="15">
        <f>IF(ISNUMBER('Klisz-Verbräuche'!W100), 'Klisz-Verbräuche'!W100*Emissionsfaktoren!V100/1000, 0)</f>
        <v>0</v>
      </c>
      <c r="W430" s="15">
        <f>IF(ISNUMBER('Klisz-Verbräuche'!X100), 'Klisz-Verbräuche'!X100*Emissionsfaktoren!W100/1000, 0)</f>
        <v>0</v>
      </c>
      <c r="X430" s="15">
        <f>IF(ISNUMBER('Klisz-Verbräuche'!Y100), 'Klisz-Verbräuche'!Y100*Emissionsfaktoren!X100/1000, 0)</f>
        <v>0</v>
      </c>
    </row>
    <row r="431" spans="2:24" ht="16.5" hidden="1" x14ac:dyDescent="0.45">
      <c r="B431" s="15">
        <v>42</v>
      </c>
      <c r="C431" s="20" t="str">
        <f>'Refsz-Verbräuche'!C101</f>
        <v>DR - Reisebus, Linienbus (Fernverkehr)</v>
      </c>
      <c r="D431" t="s">
        <v>208</v>
      </c>
      <c r="E431" s="15">
        <f>IF(ISNUMBER('Klisz-Verbräuche'!F101), 'Klisz-Verbräuche'!F101*Emissionsfaktoren!E101/1000, 0)</f>
        <v>0</v>
      </c>
      <c r="F431" s="15">
        <f>IF(ISNUMBER('Klisz-Verbräuche'!G101), 'Klisz-Verbräuche'!G101*Emissionsfaktoren!F101/1000, 0)</f>
        <v>0</v>
      </c>
      <c r="G431" s="15">
        <f>IF(ISNUMBER('Klisz-Verbräuche'!H101), 'Klisz-Verbräuche'!H101*Emissionsfaktoren!G101/1000, 0)</f>
        <v>0</v>
      </c>
      <c r="H431" s="15">
        <f>IF(ISNUMBER('Klisz-Verbräuche'!I101), 'Klisz-Verbräuche'!I101*Emissionsfaktoren!H101/1000, 0)</f>
        <v>0</v>
      </c>
      <c r="I431" s="15">
        <f>IF(ISNUMBER('Klisz-Verbräuche'!J101), 'Klisz-Verbräuche'!J101*Emissionsfaktoren!I101/1000, 0)</f>
        <v>0</v>
      </c>
      <c r="J431" s="15">
        <f>IF(ISNUMBER('Klisz-Verbräuche'!K101), 'Klisz-Verbräuche'!K101*Emissionsfaktoren!J101/1000, 0)</f>
        <v>0</v>
      </c>
      <c r="K431" s="15">
        <f>IF(ISNUMBER('Klisz-Verbräuche'!L101), 'Klisz-Verbräuche'!L101*Emissionsfaktoren!K101/1000, 0)</f>
        <v>0</v>
      </c>
      <c r="L431" s="15">
        <f>IF(ISNUMBER('Klisz-Verbräuche'!M101), 'Klisz-Verbräuche'!M101*Emissionsfaktoren!L101/1000, 0)</f>
        <v>0</v>
      </c>
      <c r="M431" s="15">
        <f>IF(ISNUMBER('Klisz-Verbräuche'!N101), 'Klisz-Verbräuche'!N101*Emissionsfaktoren!M101/1000, 0)</f>
        <v>0</v>
      </c>
      <c r="N431" s="15">
        <f>IF(ISNUMBER('Klisz-Verbräuche'!O101), 'Klisz-Verbräuche'!O101*Emissionsfaktoren!N101/1000, 0)</f>
        <v>0</v>
      </c>
      <c r="O431" s="15">
        <f>IF(ISNUMBER('Klisz-Verbräuche'!P101), 'Klisz-Verbräuche'!P101*Emissionsfaktoren!O101/1000, 0)</f>
        <v>0</v>
      </c>
      <c r="P431" s="15">
        <f>IF(ISNUMBER('Klisz-Verbräuche'!Q101), 'Klisz-Verbräuche'!Q101*Emissionsfaktoren!P101/1000, 0)</f>
        <v>0</v>
      </c>
      <c r="Q431" s="15">
        <f>IF(ISNUMBER('Klisz-Verbräuche'!R101), 'Klisz-Verbräuche'!R101*Emissionsfaktoren!Q101/1000, 0)</f>
        <v>0</v>
      </c>
      <c r="R431" s="15">
        <f>IF(ISNUMBER('Klisz-Verbräuche'!S101), 'Klisz-Verbräuche'!S101*Emissionsfaktoren!R101/1000, 0)</f>
        <v>0</v>
      </c>
      <c r="S431" s="15">
        <f>IF(ISNUMBER('Klisz-Verbräuche'!T101), 'Klisz-Verbräuche'!T101*Emissionsfaktoren!S101/1000, 0)</f>
        <v>0</v>
      </c>
      <c r="T431" s="15">
        <f>IF(ISNUMBER('Klisz-Verbräuche'!U101), 'Klisz-Verbräuche'!U101*Emissionsfaktoren!T101/1000, 0)</f>
        <v>0</v>
      </c>
      <c r="U431" s="15">
        <f>IF(ISNUMBER('Klisz-Verbräuche'!V101), 'Klisz-Verbräuche'!V101*Emissionsfaktoren!U101/1000, 0)</f>
        <v>0</v>
      </c>
      <c r="V431" s="15">
        <f>IF(ISNUMBER('Klisz-Verbräuche'!W101), 'Klisz-Verbräuche'!W101*Emissionsfaktoren!V101/1000, 0)</f>
        <v>0</v>
      </c>
      <c r="W431" s="15">
        <f>IF(ISNUMBER('Klisz-Verbräuche'!X101), 'Klisz-Verbräuche'!X101*Emissionsfaktoren!W101/1000, 0)</f>
        <v>0</v>
      </c>
      <c r="X431" s="15">
        <f>IF(ISNUMBER('Klisz-Verbräuche'!Y101), 'Klisz-Verbräuche'!Y101*Emissionsfaktoren!X101/1000, 0)</f>
        <v>0</v>
      </c>
    </row>
    <row r="432" spans="2:24" ht="16.5" hidden="1" x14ac:dyDescent="0.45">
      <c r="B432" s="15">
        <v>43</v>
      </c>
      <c r="C432" s="20" t="str">
        <f>'Refsz-Verbräuche'!C102</f>
        <v>DR - Linienbus (Nahverkehr)</v>
      </c>
      <c r="D432" t="s">
        <v>208</v>
      </c>
      <c r="E432" s="15">
        <f>IF(ISNUMBER('Klisz-Verbräuche'!F102), 'Klisz-Verbräuche'!F102*Emissionsfaktoren!E102/1000, 0)</f>
        <v>0</v>
      </c>
      <c r="F432" s="15">
        <f>IF(ISNUMBER('Klisz-Verbräuche'!G102), 'Klisz-Verbräuche'!G102*Emissionsfaktoren!F102/1000, 0)</f>
        <v>0</v>
      </c>
      <c r="G432" s="15">
        <f>IF(ISNUMBER('Klisz-Verbräuche'!H102), 'Klisz-Verbräuche'!H102*Emissionsfaktoren!G102/1000, 0)</f>
        <v>0</v>
      </c>
      <c r="H432" s="15">
        <f>IF(ISNUMBER('Klisz-Verbräuche'!I102), 'Klisz-Verbräuche'!I102*Emissionsfaktoren!H102/1000, 0)</f>
        <v>0</v>
      </c>
      <c r="I432" s="15">
        <f>IF(ISNUMBER('Klisz-Verbräuche'!J102), 'Klisz-Verbräuche'!J102*Emissionsfaktoren!I102/1000, 0)</f>
        <v>0</v>
      </c>
      <c r="J432" s="15">
        <f>IF(ISNUMBER('Klisz-Verbräuche'!K102), 'Klisz-Verbräuche'!K102*Emissionsfaktoren!J102/1000, 0)</f>
        <v>0</v>
      </c>
      <c r="K432" s="15">
        <f>IF(ISNUMBER('Klisz-Verbräuche'!L102), 'Klisz-Verbräuche'!L102*Emissionsfaktoren!K102/1000, 0)</f>
        <v>0</v>
      </c>
      <c r="L432" s="15">
        <f>IF(ISNUMBER('Klisz-Verbräuche'!M102), 'Klisz-Verbräuche'!M102*Emissionsfaktoren!L102/1000, 0)</f>
        <v>0</v>
      </c>
      <c r="M432" s="15">
        <f>IF(ISNUMBER('Klisz-Verbräuche'!N102), 'Klisz-Verbräuche'!N102*Emissionsfaktoren!M102/1000, 0)</f>
        <v>0</v>
      </c>
      <c r="N432" s="15">
        <f>IF(ISNUMBER('Klisz-Verbräuche'!O102), 'Klisz-Verbräuche'!O102*Emissionsfaktoren!N102/1000, 0)</f>
        <v>0</v>
      </c>
      <c r="O432" s="15">
        <f>IF(ISNUMBER('Klisz-Verbräuche'!P102), 'Klisz-Verbräuche'!P102*Emissionsfaktoren!O102/1000, 0)</f>
        <v>0</v>
      </c>
      <c r="P432" s="15">
        <f>IF(ISNUMBER('Klisz-Verbräuche'!Q102), 'Klisz-Verbräuche'!Q102*Emissionsfaktoren!P102/1000, 0)</f>
        <v>0</v>
      </c>
      <c r="Q432" s="15">
        <f>IF(ISNUMBER('Klisz-Verbräuche'!R102), 'Klisz-Verbräuche'!R102*Emissionsfaktoren!Q102/1000, 0)</f>
        <v>0</v>
      </c>
      <c r="R432" s="15">
        <f>IF(ISNUMBER('Klisz-Verbräuche'!S102), 'Klisz-Verbräuche'!S102*Emissionsfaktoren!R102/1000, 0)</f>
        <v>0</v>
      </c>
      <c r="S432" s="15">
        <f>IF(ISNUMBER('Klisz-Verbräuche'!T102), 'Klisz-Verbräuche'!T102*Emissionsfaktoren!S102/1000, 0)</f>
        <v>0</v>
      </c>
      <c r="T432" s="15">
        <f>IF(ISNUMBER('Klisz-Verbräuche'!U102), 'Klisz-Verbräuche'!U102*Emissionsfaktoren!T102/1000, 0)</f>
        <v>0</v>
      </c>
      <c r="U432" s="15">
        <f>IF(ISNUMBER('Klisz-Verbräuche'!V102), 'Klisz-Verbräuche'!V102*Emissionsfaktoren!U102/1000, 0)</f>
        <v>0</v>
      </c>
      <c r="V432" s="15">
        <f>IF(ISNUMBER('Klisz-Verbräuche'!W102), 'Klisz-Verbräuche'!W102*Emissionsfaktoren!V102/1000, 0)</f>
        <v>0</v>
      </c>
      <c r="W432" s="15">
        <f>IF(ISNUMBER('Klisz-Verbräuche'!X102), 'Klisz-Verbräuche'!X102*Emissionsfaktoren!W102/1000, 0)</f>
        <v>0</v>
      </c>
      <c r="X432" s="15">
        <f>IF(ISNUMBER('Klisz-Verbräuche'!Y102), 'Klisz-Verbräuche'!Y102*Emissionsfaktoren!X102/1000, 0)</f>
        <v>0</v>
      </c>
    </row>
    <row r="433" spans="2:24" ht="16.5" hidden="1" x14ac:dyDescent="0.45">
      <c r="B433" s="15">
        <v>44</v>
      </c>
      <c r="C433" s="20" t="str">
        <f>'Refsz-Verbräuche'!C103</f>
        <v>DR - Privater PKW (alle Antriebsarten)</v>
      </c>
      <c r="D433" t="s">
        <v>208</v>
      </c>
      <c r="E433" s="15">
        <f>IF(ISNUMBER('Klisz-Verbräuche'!F103), 'Klisz-Verbräuche'!F103*Emissionsfaktoren!E103/1000, 0)</f>
        <v>0</v>
      </c>
      <c r="F433" s="15">
        <f>IF(ISNUMBER('Klisz-Verbräuche'!G103), 'Klisz-Verbräuche'!G103*Emissionsfaktoren!F103/1000, 0)</f>
        <v>0</v>
      </c>
      <c r="G433" s="15">
        <f>IF(ISNUMBER('Klisz-Verbräuche'!H103), 'Klisz-Verbräuche'!H103*Emissionsfaktoren!G103/1000, 0)</f>
        <v>0</v>
      </c>
      <c r="H433" s="15">
        <f>IF(ISNUMBER('Klisz-Verbräuche'!I103), 'Klisz-Verbräuche'!I103*Emissionsfaktoren!H103/1000, 0)</f>
        <v>0</v>
      </c>
      <c r="I433" s="15">
        <f>IF(ISNUMBER('Klisz-Verbräuche'!J103), 'Klisz-Verbräuche'!J103*Emissionsfaktoren!I103/1000, 0)</f>
        <v>0</v>
      </c>
      <c r="J433" s="15">
        <f>IF(ISNUMBER('Klisz-Verbräuche'!K103), 'Klisz-Verbräuche'!K103*Emissionsfaktoren!J103/1000, 0)</f>
        <v>0</v>
      </c>
      <c r="K433" s="15">
        <f>IF(ISNUMBER('Klisz-Verbräuche'!L103), 'Klisz-Verbräuche'!L103*Emissionsfaktoren!K103/1000, 0)</f>
        <v>0</v>
      </c>
      <c r="L433" s="15">
        <f>IF(ISNUMBER('Klisz-Verbräuche'!M103), 'Klisz-Verbräuche'!M103*Emissionsfaktoren!L103/1000, 0)</f>
        <v>0</v>
      </c>
      <c r="M433" s="15">
        <f>IF(ISNUMBER('Klisz-Verbräuche'!N103), 'Klisz-Verbräuche'!N103*Emissionsfaktoren!M103/1000, 0)</f>
        <v>0</v>
      </c>
      <c r="N433" s="15">
        <f>IF(ISNUMBER('Klisz-Verbräuche'!O103), 'Klisz-Verbräuche'!O103*Emissionsfaktoren!N103/1000, 0)</f>
        <v>0</v>
      </c>
      <c r="O433" s="15">
        <f>IF(ISNUMBER('Klisz-Verbräuche'!P103), 'Klisz-Verbräuche'!P103*Emissionsfaktoren!O103/1000, 0)</f>
        <v>0</v>
      </c>
      <c r="P433" s="15">
        <f>IF(ISNUMBER('Klisz-Verbräuche'!Q103), 'Klisz-Verbräuche'!Q103*Emissionsfaktoren!P103/1000, 0)</f>
        <v>0</v>
      </c>
      <c r="Q433" s="15">
        <f>IF(ISNUMBER('Klisz-Verbräuche'!R103), 'Klisz-Verbräuche'!R103*Emissionsfaktoren!Q103/1000, 0)</f>
        <v>0</v>
      </c>
      <c r="R433" s="15">
        <f>IF(ISNUMBER('Klisz-Verbräuche'!S103), 'Klisz-Verbräuche'!S103*Emissionsfaktoren!R103/1000, 0)</f>
        <v>0</v>
      </c>
      <c r="S433" s="15">
        <f>IF(ISNUMBER('Klisz-Verbräuche'!T103), 'Klisz-Verbräuche'!T103*Emissionsfaktoren!S103/1000, 0)</f>
        <v>0</v>
      </c>
      <c r="T433" s="15">
        <f>IF(ISNUMBER('Klisz-Verbräuche'!U103), 'Klisz-Verbräuche'!U103*Emissionsfaktoren!T103/1000, 0)</f>
        <v>0</v>
      </c>
      <c r="U433" s="15">
        <f>IF(ISNUMBER('Klisz-Verbräuche'!V103), 'Klisz-Verbräuche'!V103*Emissionsfaktoren!U103/1000, 0)</f>
        <v>0</v>
      </c>
      <c r="V433" s="15">
        <f>IF(ISNUMBER('Klisz-Verbräuche'!W103), 'Klisz-Verbräuche'!W103*Emissionsfaktoren!V103/1000, 0)</f>
        <v>0</v>
      </c>
      <c r="W433" s="15">
        <f>IF(ISNUMBER('Klisz-Verbräuche'!X103), 'Klisz-Verbräuche'!X103*Emissionsfaktoren!W103/1000, 0)</f>
        <v>0</v>
      </c>
      <c r="X433" s="15">
        <f>IF(ISNUMBER('Klisz-Verbräuche'!Y103), 'Klisz-Verbräuche'!Y103*Emissionsfaktoren!X103/1000, 0)</f>
        <v>0</v>
      </c>
    </row>
    <row r="434" spans="2:24" ht="16.5" hidden="1" x14ac:dyDescent="0.45">
      <c r="B434" s="15">
        <v>45</v>
      </c>
      <c r="C434" s="20" t="str">
        <f>'Refsz-Verbräuche'!C104</f>
        <v>DR - Privater PKW (Diesel)</v>
      </c>
      <c r="D434" t="s">
        <v>208</v>
      </c>
      <c r="E434" s="15">
        <f>IF(ISNUMBER('Klisz-Verbräuche'!F104), 'Klisz-Verbräuche'!F104*Emissionsfaktoren!E104/1000, 0)</f>
        <v>0</v>
      </c>
      <c r="F434" s="15">
        <f>IF(ISNUMBER('Klisz-Verbräuche'!G104), 'Klisz-Verbräuche'!G104*Emissionsfaktoren!F104/1000, 0)</f>
        <v>0</v>
      </c>
      <c r="G434" s="15">
        <f>IF(ISNUMBER('Klisz-Verbräuche'!H104), 'Klisz-Verbräuche'!H104*Emissionsfaktoren!G104/1000, 0)</f>
        <v>0</v>
      </c>
      <c r="H434" s="15">
        <f>IF(ISNUMBER('Klisz-Verbräuche'!I104), 'Klisz-Verbräuche'!I104*Emissionsfaktoren!H104/1000, 0)</f>
        <v>0</v>
      </c>
      <c r="I434" s="15">
        <f>IF(ISNUMBER('Klisz-Verbräuche'!J104), 'Klisz-Verbräuche'!J104*Emissionsfaktoren!I104/1000, 0)</f>
        <v>0</v>
      </c>
      <c r="J434" s="15">
        <f>IF(ISNUMBER('Klisz-Verbräuche'!K104), 'Klisz-Verbräuche'!K104*Emissionsfaktoren!J104/1000, 0)</f>
        <v>0</v>
      </c>
      <c r="K434" s="15">
        <f>IF(ISNUMBER('Klisz-Verbräuche'!L104), 'Klisz-Verbräuche'!L104*Emissionsfaktoren!K104/1000, 0)</f>
        <v>0</v>
      </c>
      <c r="L434" s="15">
        <f>IF(ISNUMBER('Klisz-Verbräuche'!M104), 'Klisz-Verbräuche'!M104*Emissionsfaktoren!L104/1000, 0)</f>
        <v>0</v>
      </c>
      <c r="M434" s="15">
        <f>IF(ISNUMBER('Klisz-Verbräuche'!N104), 'Klisz-Verbräuche'!N104*Emissionsfaktoren!M104/1000, 0)</f>
        <v>0</v>
      </c>
      <c r="N434" s="15">
        <f>IF(ISNUMBER('Klisz-Verbräuche'!O104), 'Klisz-Verbräuche'!O104*Emissionsfaktoren!N104/1000, 0)</f>
        <v>0</v>
      </c>
      <c r="O434" s="15">
        <f>IF(ISNUMBER('Klisz-Verbräuche'!P104), 'Klisz-Verbräuche'!P104*Emissionsfaktoren!O104/1000, 0)</f>
        <v>0</v>
      </c>
      <c r="P434" s="15">
        <f>IF(ISNUMBER('Klisz-Verbräuche'!Q104), 'Klisz-Verbräuche'!Q104*Emissionsfaktoren!P104/1000, 0)</f>
        <v>0</v>
      </c>
      <c r="Q434" s="15">
        <f>IF(ISNUMBER('Klisz-Verbräuche'!R104), 'Klisz-Verbräuche'!R104*Emissionsfaktoren!Q104/1000, 0)</f>
        <v>0</v>
      </c>
      <c r="R434" s="15">
        <f>IF(ISNUMBER('Klisz-Verbräuche'!S104), 'Klisz-Verbräuche'!S104*Emissionsfaktoren!R104/1000, 0)</f>
        <v>0</v>
      </c>
      <c r="S434" s="15">
        <f>IF(ISNUMBER('Klisz-Verbräuche'!T104), 'Klisz-Verbräuche'!T104*Emissionsfaktoren!S104/1000, 0)</f>
        <v>0</v>
      </c>
      <c r="T434" s="15">
        <f>IF(ISNUMBER('Klisz-Verbräuche'!U104), 'Klisz-Verbräuche'!U104*Emissionsfaktoren!T104/1000, 0)</f>
        <v>0</v>
      </c>
      <c r="U434" s="15">
        <f>IF(ISNUMBER('Klisz-Verbräuche'!V104), 'Klisz-Verbräuche'!V104*Emissionsfaktoren!U104/1000, 0)</f>
        <v>0</v>
      </c>
      <c r="V434" s="15">
        <f>IF(ISNUMBER('Klisz-Verbräuche'!W104), 'Klisz-Verbräuche'!W104*Emissionsfaktoren!V104/1000, 0)</f>
        <v>0</v>
      </c>
      <c r="W434" s="15">
        <f>IF(ISNUMBER('Klisz-Verbräuche'!X104), 'Klisz-Verbräuche'!X104*Emissionsfaktoren!W104/1000, 0)</f>
        <v>0</v>
      </c>
      <c r="X434" s="15">
        <f>IF(ISNUMBER('Klisz-Verbräuche'!Y104), 'Klisz-Verbräuche'!Y104*Emissionsfaktoren!X104/1000, 0)</f>
        <v>0</v>
      </c>
    </row>
    <row r="435" spans="2:24" ht="16.5" hidden="1" x14ac:dyDescent="0.45">
      <c r="B435" s="15">
        <v>46</v>
      </c>
      <c r="C435" s="20" t="str">
        <f>'Refsz-Verbräuche'!C105</f>
        <v>DR - Privater PKW (Benzin)</v>
      </c>
      <c r="D435" t="s">
        <v>208</v>
      </c>
      <c r="E435" s="15">
        <f>IF(ISNUMBER('Klisz-Verbräuche'!F105), 'Klisz-Verbräuche'!F105*Emissionsfaktoren!E105/1000, 0)</f>
        <v>0</v>
      </c>
      <c r="F435" s="15">
        <f>IF(ISNUMBER('Klisz-Verbräuche'!G105), 'Klisz-Verbräuche'!G105*Emissionsfaktoren!F105/1000, 0)</f>
        <v>0</v>
      </c>
      <c r="G435" s="15">
        <f>IF(ISNUMBER('Klisz-Verbräuche'!H105), 'Klisz-Verbräuche'!H105*Emissionsfaktoren!G105/1000, 0)</f>
        <v>0</v>
      </c>
      <c r="H435" s="15">
        <f>IF(ISNUMBER('Klisz-Verbräuche'!I105), 'Klisz-Verbräuche'!I105*Emissionsfaktoren!H105/1000, 0)</f>
        <v>0</v>
      </c>
      <c r="I435" s="15">
        <f>IF(ISNUMBER('Klisz-Verbräuche'!J105), 'Klisz-Verbräuche'!J105*Emissionsfaktoren!I105/1000, 0)</f>
        <v>0</v>
      </c>
      <c r="J435" s="15">
        <f>IF(ISNUMBER('Klisz-Verbräuche'!K105), 'Klisz-Verbräuche'!K105*Emissionsfaktoren!J105/1000, 0)</f>
        <v>0</v>
      </c>
      <c r="K435" s="15">
        <f>IF(ISNUMBER('Klisz-Verbräuche'!L105), 'Klisz-Verbräuche'!L105*Emissionsfaktoren!K105/1000, 0)</f>
        <v>0</v>
      </c>
      <c r="L435" s="15">
        <f>IF(ISNUMBER('Klisz-Verbräuche'!M105), 'Klisz-Verbräuche'!M105*Emissionsfaktoren!L105/1000, 0)</f>
        <v>0</v>
      </c>
      <c r="M435" s="15">
        <f>IF(ISNUMBER('Klisz-Verbräuche'!N105), 'Klisz-Verbräuche'!N105*Emissionsfaktoren!M105/1000, 0)</f>
        <v>0</v>
      </c>
      <c r="N435" s="15">
        <f>IF(ISNUMBER('Klisz-Verbräuche'!O105), 'Klisz-Verbräuche'!O105*Emissionsfaktoren!N105/1000, 0)</f>
        <v>0</v>
      </c>
      <c r="O435" s="15">
        <f>IF(ISNUMBER('Klisz-Verbräuche'!P105), 'Klisz-Verbräuche'!P105*Emissionsfaktoren!O105/1000, 0)</f>
        <v>0</v>
      </c>
      <c r="P435" s="15">
        <f>IF(ISNUMBER('Klisz-Verbräuche'!Q105), 'Klisz-Verbräuche'!Q105*Emissionsfaktoren!P105/1000, 0)</f>
        <v>0</v>
      </c>
      <c r="Q435" s="15">
        <f>IF(ISNUMBER('Klisz-Verbräuche'!R105), 'Klisz-Verbräuche'!R105*Emissionsfaktoren!Q105/1000, 0)</f>
        <v>0</v>
      </c>
      <c r="R435" s="15">
        <f>IF(ISNUMBER('Klisz-Verbräuche'!S105), 'Klisz-Verbräuche'!S105*Emissionsfaktoren!R105/1000, 0)</f>
        <v>0</v>
      </c>
      <c r="S435" s="15">
        <f>IF(ISNUMBER('Klisz-Verbräuche'!T105), 'Klisz-Verbräuche'!T105*Emissionsfaktoren!S105/1000, 0)</f>
        <v>0</v>
      </c>
      <c r="T435" s="15">
        <f>IF(ISNUMBER('Klisz-Verbräuche'!U105), 'Klisz-Verbräuche'!U105*Emissionsfaktoren!T105/1000, 0)</f>
        <v>0</v>
      </c>
      <c r="U435" s="15">
        <f>IF(ISNUMBER('Klisz-Verbräuche'!V105), 'Klisz-Verbräuche'!V105*Emissionsfaktoren!U105/1000, 0)</f>
        <v>0</v>
      </c>
      <c r="V435" s="15">
        <f>IF(ISNUMBER('Klisz-Verbräuche'!W105), 'Klisz-Verbräuche'!W105*Emissionsfaktoren!V105/1000, 0)</f>
        <v>0</v>
      </c>
      <c r="W435" s="15">
        <f>IF(ISNUMBER('Klisz-Verbräuche'!X105), 'Klisz-Verbräuche'!X105*Emissionsfaktoren!W105/1000, 0)</f>
        <v>0</v>
      </c>
      <c r="X435" s="15">
        <f>IF(ISNUMBER('Klisz-Verbräuche'!Y105), 'Klisz-Verbräuche'!Y105*Emissionsfaktoren!X105/1000, 0)</f>
        <v>0</v>
      </c>
    </row>
    <row r="436" spans="2:24" ht="16.5" hidden="1" x14ac:dyDescent="0.45">
      <c r="B436" s="15">
        <v>47</v>
      </c>
      <c r="C436" s="20" t="str">
        <f>'Refsz-Verbräuche'!C106</f>
        <v>DR - Mietwägen (Diesel)</v>
      </c>
      <c r="D436" t="s">
        <v>208</v>
      </c>
      <c r="E436" s="15">
        <f>IF(ISNUMBER('Klisz-Verbräuche'!F106), 'Klisz-Verbräuche'!F106*Emissionsfaktoren!E106/1000, 0)</f>
        <v>0</v>
      </c>
      <c r="F436" s="15">
        <f>IF(ISNUMBER('Klisz-Verbräuche'!G106), 'Klisz-Verbräuche'!G106*Emissionsfaktoren!F106/1000, 0)</f>
        <v>0</v>
      </c>
      <c r="G436" s="15">
        <f>IF(ISNUMBER('Klisz-Verbräuche'!H106), 'Klisz-Verbräuche'!H106*Emissionsfaktoren!G106/1000, 0)</f>
        <v>0</v>
      </c>
      <c r="H436" s="15">
        <f>IF(ISNUMBER('Klisz-Verbräuche'!I106), 'Klisz-Verbräuche'!I106*Emissionsfaktoren!H106/1000, 0)</f>
        <v>0</v>
      </c>
      <c r="I436" s="15">
        <f>IF(ISNUMBER('Klisz-Verbräuche'!J106), 'Klisz-Verbräuche'!J106*Emissionsfaktoren!I106/1000, 0)</f>
        <v>0</v>
      </c>
      <c r="J436" s="15">
        <f>IF(ISNUMBER('Klisz-Verbräuche'!K106), 'Klisz-Verbräuche'!K106*Emissionsfaktoren!J106/1000, 0)</f>
        <v>0</v>
      </c>
      <c r="K436" s="15">
        <f>IF(ISNUMBER('Klisz-Verbräuche'!L106), 'Klisz-Verbräuche'!L106*Emissionsfaktoren!K106/1000, 0)</f>
        <v>0</v>
      </c>
      <c r="L436" s="15">
        <f>IF(ISNUMBER('Klisz-Verbräuche'!M106), 'Klisz-Verbräuche'!M106*Emissionsfaktoren!L106/1000, 0)</f>
        <v>0</v>
      </c>
      <c r="M436" s="15">
        <f>IF(ISNUMBER('Klisz-Verbräuche'!N106), 'Klisz-Verbräuche'!N106*Emissionsfaktoren!M106/1000, 0)</f>
        <v>0</v>
      </c>
      <c r="N436" s="15">
        <f>IF(ISNUMBER('Klisz-Verbräuche'!O106), 'Klisz-Verbräuche'!O106*Emissionsfaktoren!N106/1000, 0)</f>
        <v>0</v>
      </c>
      <c r="O436" s="15">
        <f>IF(ISNUMBER('Klisz-Verbräuche'!P106), 'Klisz-Verbräuche'!P106*Emissionsfaktoren!O106/1000, 0)</f>
        <v>0</v>
      </c>
      <c r="P436" s="15">
        <f>IF(ISNUMBER('Klisz-Verbräuche'!Q106), 'Klisz-Verbräuche'!Q106*Emissionsfaktoren!P106/1000, 0)</f>
        <v>0</v>
      </c>
      <c r="Q436" s="15">
        <f>IF(ISNUMBER('Klisz-Verbräuche'!R106), 'Klisz-Verbräuche'!R106*Emissionsfaktoren!Q106/1000, 0)</f>
        <v>0</v>
      </c>
      <c r="R436" s="15">
        <f>IF(ISNUMBER('Klisz-Verbräuche'!S106), 'Klisz-Verbräuche'!S106*Emissionsfaktoren!R106/1000, 0)</f>
        <v>0</v>
      </c>
      <c r="S436" s="15">
        <f>IF(ISNUMBER('Klisz-Verbräuche'!T106), 'Klisz-Verbräuche'!T106*Emissionsfaktoren!S106/1000, 0)</f>
        <v>0</v>
      </c>
      <c r="T436" s="15">
        <f>IF(ISNUMBER('Klisz-Verbräuche'!U106), 'Klisz-Verbräuche'!U106*Emissionsfaktoren!T106/1000, 0)</f>
        <v>0</v>
      </c>
      <c r="U436" s="15">
        <f>IF(ISNUMBER('Klisz-Verbräuche'!V106), 'Klisz-Verbräuche'!V106*Emissionsfaktoren!U106/1000, 0)</f>
        <v>0</v>
      </c>
      <c r="V436" s="15">
        <f>IF(ISNUMBER('Klisz-Verbräuche'!W106), 'Klisz-Verbräuche'!W106*Emissionsfaktoren!V106/1000, 0)</f>
        <v>0</v>
      </c>
      <c r="W436" s="15">
        <f>IF(ISNUMBER('Klisz-Verbräuche'!X106), 'Klisz-Verbräuche'!X106*Emissionsfaktoren!W106/1000, 0)</f>
        <v>0</v>
      </c>
      <c r="X436" s="15">
        <f>IF(ISNUMBER('Klisz-Verbräuche'!Y106), 'Klisz-Verbräuche'!Y106*Emissionsfaktoren!X106/1000, 0)</f>
        <v>0</v>
      </c>
    </row>
    <row r="437" spans="2:24" ht="16.5" hidden="1" x14ac:dyDescent="0.45">
      <c r="B437" s="15">
        <v>48</v>
      </c>
      <c r="C437" s="20" t="str">
        <f>'Refsz-Verbräuche'!C107</f>
        <v>DR - Mietwägen (Benzin)</v>
      </c>
      <c r="D437" t="s">
        <v>208</v>
      </c>
      <c r="E437" s="15">
        <f>IF(ISNUMBER('Klisz-Verbräuche'!F107), 'Klisz-Verbräuche'!F107*Emissionsfaktoren!E107/1000, 0)</f>
        <v>0</v>
      </c>
      <c r="F437" s="15">
        <f>IF(ISNUMBER('Klisz-Verbräuche'!G107), 'Klisz-Verbräuche'!G107*Emissionsfaktoren!F107/1000, 0)</f>
        <v>0</v>
      </c>
      <c r="G437" s="15">
        <f>IF(ISNUMBER('Klisz-Verbräuche'!H107), 'Klisz-Verbräuche'!H107*Emissionsfaktoren!G107/1000, 0)</f>
        <v>0</v>
      </c>
      <c r="H437" s="15">
        <f>IF(ISNUMBER('Klisz-Verbräuche'!I107), 'Klisz-Verbräuche'!I107*Emissionsfaktoren!H107/1000, 0)</f>
        <v>0</v>
      </c>
      <c r="I437" s="15">
        <f>IF(ISNUMBER('Klisz-Verbräuche'!J107), 'Klisz-Verbräuche'!J107*Emissionsfaktoren!I107/1000, 0)</f>
        <v>0</v>
      </c>
      <c r="J437" s="15">
        <f>IF(ISNUMBER('Klisz-Verbräuche'!K107), 'Klisz-Verbräuche'!K107*Emissionsfaktoren!J107/1000, 0)</f>
        <v>0</v>
      </c>
      <c r="K437" s="15">
        <f>IF(ISNUMBER('Klisz-Verbräuche'!L107), 'Klisz-Verbräuche'!L107*Emissionsfaktoren!K107/1000, 0)</f>
        <v>0</v>
      </c>
      <c r="L437" s="15">
        <f>IF(ISNUMBER('Klisz-Verbräuche'!M107), 'Klisz-Verbräuche'!M107*Emissionsfaktoren!L107/1000, 0)</f>
        <v>0</v>
      </c>
      <c r="M437" s="15">
        <f>IF(ISNUMBER('Klisz-Verbräuche'!N107), 'Klisz-Verbräuche'!N107*Emissionsfaktoren!M107/1000, 0)</f>
        <v>0</v>
      </c>
      <c r="N437" s="15">
        <f>IF(ISNUMBER('Klisz-Verbräuche'!O107), 'Klisz-Verbräuche'!O107*Emissionsfaktoren!N107/1000, 0)</f>
        <v>0</v>
      </c>
      <c r="O437" s="15">
        <f>IF(ISNUMBER('Klisz-Verbräuche'!P107), 'Klisz-Verbräuche'!P107*Emissionsfaktoren!O107/1000, 0)</f>
        <v>0</v>
      </c>
      <c r="P437" s="15">
        <f>IF(ISNUMBER('Klisz-Verbräuche'!Q107), 'Klisz-Verbräuche'!Q107*Emissionsfaktoren!P107/1000, 0)</f>
        <v>0</v>
      </c>
      <c r="Q437" s="15">
        <f>IF(ISNUMBER('Klisz-Verbräuche'!R107), 'Klisz-Verbräuche'!R107*Emissionsfaktoren!Q107/1000, 0)</f>
        <v>0</v>
      </c>
      <c r="R437" s="15">
        <f>IF(ISNUMBER('Klisz-Verbräuche'!S107), 'Klisz-Verbräuche'!S107*Emissionsfaktoren!R107/1000, 0)</f>
        <v>0</v>
      </c>
      <c r="S437" s="15">
        <f>IF(ISNUMBER('Klisz-Verbräuche'!T107), 'Klisz-Verbräuche'!T107*Emissionsfaktoren!S107/1000, 0)</f>
        <v>0</v>
      </c>
      <c r="T437" s="15">
        <f>IF(ISNUMBER('Klisz-Verbräuche'!U107), 'Klisz-Verbräuche'!U107*Emissionsfaktoren!T107/1000, 0)</f>
        <v>0</v>
      </c>
      <c r="U437" s="15">
        <f>IF(ISNUMBER('Klisz-Verbräuche'!V107), 'Klisz-Verbräuche'!V107*Emissionsfaktoren!U107/1000, 0)</f>
        <v>0</v>
      </c>
      <c r="V437" s="15">
        <f>IF(ISNUMBER('Klisz-Verbräuche'!W107), 'Klisz-Verbräuche'!W107*Emissionsfaktoren!V107/1000, 0)</f>
        <v>0</v>
      </c>
      <c r="W437" s="15">
        <f>IF(ISNUMBER('Klisz-Verbräuche'!X107), 'Klisz-Verbräuche'!X107*Emissionsfaktoren!W107/1000, 0)</f>
        <v>0</v>
      </c>
      <c r="X437" s="15">
        <f>IF(ISNUMBER('Klisz-Verbräuche'!Y107), 'Klisz-Verbräuche'!Y107*Emissionsfaktoren!X107/1000, 0)</f>
        <v>0</v>
      </c>
    </row>
    <row r="438" spans="2:24" ht="16.5" hidden="1" x14ac:dyDescent="0.45">
      <c r="B438" s="15">
        <v>49</v>
      </c>
      <c r="C438" s="20" t="str">
        <f>'Refsz-Verbräuche'!C108</f>
        <v>DR - Mietwägen (E-Auto/ BEV)</v>
      </c>
      <c r="D438" t="s">
        <v>208</v>
      </c>
      <c r="E438" s="15">
        <f>IF(ISNUMBER('Klisz-Verbräuche'!F108), 'Klisz-Verbräuche'!F108*Emissionsfaktoren!E108/1000, 0)</f>
        <v>0</v>
      </c>
      <c r="F438" s="15">
        <f>IF(ISNUMBER('Klisz-Verbräuche'!G108), 'Klisz-Verbräuche'!G108*Emissionsfaktoren!F108/1000, 0)</f>
        <v>0</v>
      </c>
      <c r="G438" s="15">
        <f>IF(ISNUMBER('Klisz-Verbräuche'!H108), 'Klisz-Verbräuche'!H108*Emissionsfaktoren!G108/1000, 0)</f>
        <v>0</v>
      </c>
      <c r="H438" s="15">
        <f>IF(ISNUMBER('Klisz-Verbräuche'!I108), 'Klisz-Verbräuche'!I108*Emissionsfaktoren!H108/1000, 0)</f>
        <v>0</v>
      </c>
      <c r="I438" s="15">
        <f>IF(ISNUMBER('Klisz-Verbräuche'!J108), 'Klisz-Verbräuche'!J108*Emissionsfaktoren!I108/1000, 0)</f>
        <v>0</v>
      </c>
      <c r="J438" s="15">
        <f>IF(ISNUMBER('Klisz-Verbräuche'!K108), 'Klisz-Verbräuche'!K108*Emissionsfaktoren!J108/1000, 0)</f>
        <v>0</v>
      </c>
      <c r="K438" s="15">
        <f>IF(ISNUMBER('Klisz-Verbräuche'!L108), 'Klisz-Verbräuche'!L108*Emissionsfaktoren!K108/1000, 0)</f>
        <v>0</v>
      </c>
      <c r="L438" s="15">
        <f>IF(ISNUMBER('Klisz-Verbräuche'!M108), 'Klisz-Verbräuche'!M108*Emissionsfaktoren!L108/1000, 0)</f>
        <v>0</v>
      </c>
      <c r="M438" s="15">
        <f>IF(ISNUMBER('Klisz-Verbräuche'!N108), 'Klisz-Verbräuche'!N108*Emissionsfaktoren!M108/1000, 0)</f>
        <v>0</v>
      </c>
      <c r="N438" s="15">
        <f>IF(ISNUMBER('Klisz-Verbräuche'!O108), 'Klisz-Verbräuche'!O108*Emissionsfaktoren!N108/1000, 0)</f>
        <v>0</v>
      </c>
      <c r="O438" s="15">
        <f>IF(ISNUMBER('Klisz-Verbräuche'!P108), 'Klisz-Verbräuche'!P108*Emissionsfaktoren!O108/1000, 0)</f>
        <v>0</v>
      </c>
      <c r="P438" s="15">
        <f>IF(ISNUMBER('Klisz-Verbräuche'!Q108), 'Klisz-Verbräuche'!Q108*Emissionsfaktoren!P108/1000, 0)</f>
        <v>0</v>
      </c>
      <c r="Q438" s="15">
        <f>IF(ISNUMBER('Klisz-Verbräuche'!R108), 'Klisz-Verbräuche'!R108*Emissionsfaktoren!Q108/1000, 0)</f>
        <v>0</v>
      </c>
      <c r="R438" s="15">
        <f>IF(ISNUMBER('Klisz-Verbräuche'!S108), 'Klisz-Verbräuche'!S108*Emissionsfaktoren!R108/1000, 0)</f>
        <v>0</v>
      </c>
      <c r="S438" s="15">
        <f>IF(ISNUMBER('Klisz-Verbräuche'!T108), 'Klisz-Verbräuche'!T108*Emissionsfaktoren!S108/1000, 0)</f>
        <v>0</v>
      </c>
      <c r="T438" s="15">
        <f>IF(ISNUMBER('Klisz-Verbräuche'!U108), 'Klisz-Verbräuche'!U108*Emissionsfaktoren!T108/1000, 0)</f>
        <v>0</v>
      </c>
      <c r="U438" s="15">
        <f>IF(ISNUMBER('Klisz-Verbräuche'!V108), 'Klisz-Verbräuche'!V108*Emissionsfaktoren!U108/1000, 0)</f>
        <v>0</v>
      </c>
      <c r="V438" s="15">
        <f>IF(ISNUMBER('Klisz-Verbräuche'!W108), 'Klisz-Verbräuche'!W108*Emissionsfaktoren!V108/1000, 0)</f>
        <v>0</v>
      </c>
      <c r="W438" s="15">
        <f>IF(ISNUMBER('Klisz-Verbräuche'!X108), 'Klisz-Verbräuche'!X108*Emissionsfaktoren!W108/1000, 0)</f>
        <v>0</v>
      </c>
      <c r="X438" s="15">
        <f>IF(ISNUMBER('Klisz-Verbräuche'!Y108), 'Klisz-Verbräuche'!Y108*Emissionsfaktoren!X108/1000, 0)</f>
        <v>0</v>
      </c>
    </row>
    <row r="439" spans="2:24" ht="16.5" hidden="1" x14ac:dyDescent="0.45">
      <c r="B439" s="15">
        <v>50</v>
      </c>
      <c r="C439" s="20" t="str">
        <f>'Refsz-Verbräuche'!C109</f>
        <v>DR - Mietwägen (Wasserstoff/ FCEV)</v>
      </c>
      <c r="D439" t="s">
        <v>208</v>
      </c>
      <c r="E439" s="15">
        <f>IF(ISNUMBER('Klisz-Verbräuche'!F109), 'Klisz-Verbräuche'!F109*Emissionsfaktoren!E109/1000, 0)</f>
        <v>0</v>
      </c>
      <c r="F439" s="15">
        <f>IF(ISNUMBER('Klisz-Verbräuche'!G109), 'Klisz-Verbräuche'!G109*Emissionsfaktoren!F109/1000, 0)</f>
        <v>0</v>
      </c>
      <c r="G439" s="15">
        <f>IF(ISNUMBER('Klisz-Verbräuche'!H109), 'Klisz-Verbräuche'!H109*Emissionsfaktoren!G109/1000, 0)</f>
        <v>0</v>
      </c>
      <c r="H439" s="15">
        <f>IF(ISNUMBER('Klisz-Verbräuche'!I109), 'Klisz-Verbräuche'!I109*Emissionsfaktoren!H109/1000, 0)</f>
        <v>0</v>
      </c>
      <c r="I439" s="15">
        <f>IF(ISNUMBER('Klisz-Verbräuche'!J109), 'Klisz-Verbräuche'!J109*Emissionsfaktoren!I109/1000, 0)</f>
        <v>0</v>
      </c>
      <c r="J439" s="15">
        <f>IF(ISNUMBER('Klisz-Verbräuche'!K109), 'Klisz-Verbräuche'!K109*Emissionsfaktoren!J109/1000, 0)</f>
        <v>0</v>
      </c>
      <c r="K439" s="15">
        <f>IF(ISNUMBER('Klisz-Verbräuche'!L109), 'Klisz-Verbräuche'!L109*Emissionsfaktoren!K109/1000, 0)</f>
        <v>0</v>
      </c>
      <c r="L439" s="15">
        <f>IF(ISNUMBER('Klisz-Verbräuche'!M109), 'Klisz-Verbräuche'!M109*Emissionsfaktoren!L109/1000, 0)</f>
        <v>0</v>
      </c>
      <c r="M439" s="15">
        <f>IF(ISNUMBER('Klisz-Verbräuche'!N109), 'Klisz-Verbräuche'!N109*Emissionsfaktoren!M109/1000, 0)</f>
        <v>0</v>
      </c>
      <c r="N439" s="15">
        <f>IF(ISNUMBER('Klisz-Verbräuche'!O109), 'Klisz-Verbräuche'!O109*Emissionsfaktoren!N109/1000, 0)</f>
        <v>0</v>
      </c>
      <c r="O439" s="15">
        <f>IF(ISNUMBER('Klisz-Verbräuche'!P109), 'Klisz-Verbräuche'!P109*Emissionsfaktoren!O109/1000, 0)</f>
        <v>0</v>
      </c>
      <c r="P439" s="15">
        <f>IF(ISNUMBER('Klisz-Verbräuche'!Q109), 'Klisz-Verbräuche'!Q109*Emissionsfaktoren!P109/1000, 0)</f>
        <v>0</v>
      </c>
      <c r="Q439" s="15">
        <f>IF(ISNUMBER('Klisz-Verbräuche'!R109), 'Klisz-Verbräuche'!R109*Emissionsfaktoren!Q109/1000, 0)</f>
        <v>0</v>
      </c>
      <c r="R439" s="15">
        <f>IF(ISNUMBER('Klisz-Verbräuche'!S109), 'Klisz-Verbräuche'!S109*Emissionsfaktoren!R109/1000, 0)</f>
        <v>0</v>
      </c>
      <c r="S439" s="15">
        <f>IF(ISNUMBER('Klisz-Verbräuche'!T109), 'Klisz-Verbräuche'!T109*Emissionsfaktoren!S109/1000, 0)</f>
        <v>0</v>
      </c>
      <c r="T439" s="15">
        <f>IF(ISNUMBER('Klisz-Verbräuche'!U109), 'Klisz-Verbräuche'!U109*Emissionsfaktoren!T109/1000, 0)</f>
        <v>0</v>
      </c>
      <c r="U439" s="15">
        <f>IF(ISNUMBER('Klisz-Verbräuche'!V109), 'Klisz-Verbräuche'!V109*Emissionsfaktoren!U109/1000, 0)</f>
        <v>0</v>
      </c>
      <c r="V439" s="15">
        <f>IF(ISNUMBER('Klisz-Verbräuche'!W109), 'Klisz-Verbräuche'!W109*Emissionsfaktoren!V109/1000, 0)</f>
        <v>0</v>
      </c>
      <c r="W439" s="15">
        <f>IF(ISNUMBER('Klisz-Verbräuche'!X109), 'Klisz-Verbräuche'!X109*Emissionsfaktoren!W109/1000, 0)</f>
        <v>0</v>
      </c>
      <c r="X439" s="15">
        <f>IF(ISNUMBER('Klisz-Verbräuche'!Y109), 'Klisz-Verbräuche'!Y109*Emissionsfaktoren!X109/1000, 0)</f>
        <v>0</v>
      </c>
    </row>
    <row r="440" spans="2:24" ht="16.5" hidden="1" x14ac:dyDescent="0.45">
      <c r="B440" s="15">
        <v>51</v>
      </c>
      <c r="C440" s="20" t="str">
        <f>'Refsz-Verbräuche'!C110</f>
        <v>DR - Mietwägen (CNG)</v>
      </c>
      <c r="D440" t="s">
        <v>208</v>
      </c>
      <c r="E440" s="15">
        <f>IF(ISNUMBER('Klisz-Verbräuche'!F110), 'Klisz-Verbräuche'!F110*Emissionsfaktoren!E110/1000, 0)</f>
        <v>0</v>
      </c>
      <c r="F440" s="15">
        <f>IF(ISNUMBER('Klisz-Verbräuche'!G110), 'Klisz-Verbräuche'!G110*Emissionsfaktoren!F110/1000, 0)</f>
        <v>0</v>
      </c>
      <c r="G440" s="15">
        <f>IF(ISNUMBER('Klisz-Verbräuche'!H110), 'Klisz-Verbräuche'!H110*Emissionsfaktoren!G110/1000, 0)</f>
        <v>0</v>
      </c>
      <c r="H440" s="15">
        <f>IF(ISNUMBER('Klisz-Verbräuche'!I110), 'Klisz-Verbräuche'!I110*Emissionsfaktoren!H110/1000, 0)</f>
        <v>0</v>
      </c>
      <c r="I440" s="15">
        <f>IF(ISNUMBER('Klisz-Verbräuche'!J110), 'Klisz-Verbräuche'!J110*Emissionsfaktoren!I110/1000, 0)</f>
        <v>0</v>
      </c>
      <c r="J440" s="15">
        <f>IF(ISNUMBER('Klisz-Verbräuche'!K110), 'Klisz-Verbräuche'!K110*Emissionsfaktoren!J110/1000, 0)</f>
        <v>0</v>
      </c>
      <c r="K440" s="15">
        <f>IF(ISNUMBER('Klisz-Verbräuche'!L110), 'Klisz-Verbräuche'!L110*Emissionsfaktoren!K110/1000, 0)</f>
        <v>0</v>
      </c>
      <c r="L440" s="15">
        <f>IF(ISNUMBER('Klisz-Verbräuche'!M110), 'Klisz-Verbräuche'!M110*Emissionsfaktoren!L110/1000, 0)</f>
        <v>0</v>
      </c>
      <c r="M440" s="15">
        <f>IF(ISNUMBER('Klisz-Verbräuche'!N110), 'Klisz-Verbräuche'!N110*Emissionsfaktoren!M110/1000, 0)</f>
        <v>0</v>
      </c>
      <c r="N440" s="15">
        <f>IF(ISNUMBER('Klisz-Verbräuche'!O110), 'Klisz-Verbräuche'!O110*Emissionsfaktoren!N110/1000, 0)</f>
        <v>0</v>
      </c>
      <c r="O440" s="15">
        <f>IF(ISNUMBER('Klisz-Verbräuche'!P110), 'Klisz-Verbräuche'!P110*Emissionsfaktoren!O110/1000, 0)</f>
        <v>0</v>
      </c>
      <c r="P440" s="15">
        <f>IF(ISNUMBER('Klisz-Verbräuche'!Q110), 'Klisz-Verbräuche'!Q110*Emissionsfaktoren!P110/1000, 0)</f>
        <v>0</v>
      </c>
      <c r="Q440" s="15">
        <f>IF(ISNUMBER('Klisz-Verbräuche'!R110), 'Klisz-Verbräuche'!R110*Emissionsfaktoren!Q110/1000, 0)</f>
        <v>0</v>
      </c>
      <c r="R440" s="15">
        <f>IF(ISNUMBER('Klisz-Verbräuche'!S110), 'Klisz-Verbräuche'!S110*Emissionsfaktoren!R110/1000, 0)</f>
        <v>0</v>
      </c>
      <c r="S440" s="15">
        <f>IF(ISNUMBER('Klisz-Verbräuche'!T110), 'Klisz-Verbräuche'!T110*Emissionsfaktoren!S110/1000, 0)</f>
        <v>0</v>
      </c>
      <c r="T440" s="15">
        <f>IF(ISNUMBER('Klisz-Verbräuche'!U110), 'Klisz-Verbräuche'!U110*Emissionsfaktoren!T110/1000, 0)</f>
        <v>0</v>
      </c>
      <c r="U440" s="15">
        <f>IF(ISNUMBER('Klisz-Verbräuche'!V110), 'Klisz-Verbräuche'!V110*Emissionsfaktoren!U110/1000, 0)</f>
        <v>0</v>
      </c>
      <c r="V440" s="15">
        <f>IF(ISNUMBER('Klisz-Verbräuche'!W110), 'Klisz-Verbräuche'!W110*Emissionsfaktoren!V110/1000, 0)</f>
        <v>0</v>
      </c>
      <c r="W440" s="15">
        <f>IF(ISNUMBER('Klisz-Verbräuche'!X110), 'Klisz-Verbräuche'!X110*Emissionsfaktoren!W110/1000, 0)</f>
        <v>0</v>
      </c>
      <c r="X440" s="15">
        <f>IF(ISNUMBER('Klisz-Verbräuche'!Y110), 'Klisz-Verbräuche'!Y110*Emissionsfaktoren!X110/1000, 0)</f>
        <v>0</v>
      </c>
    </row>
    <row r="441" spans="2:24" ht="16.5" hidden="1" x14ac:dyDescent="0.45">
      <c r="B441" s="15">
        <v>52</v>
      </c>
      <c r="C441" s="20" t="str">
        <f>'Refsz-Verbräuche'!C111</f>
        <v>DR - Mietwägen (Plug-In-Hybrid/ PHEV)</v>
      </c>
      <c r="D441" t="s">
        <v>208</v>
      </c>
      <c r="E441" s="15">
        <f>IF(ISNUMBER('Klisz-Verbräuche'!F111), 'Klisz-Verbräuche'!F111*Emissionsfaktoren!E111/1000, 0)</f>
        <v>0</v>
      </c>
      <c r="F441" s="15">
        <f>IF(ISNUMBER('Klisz-Verbräuche'!G111), 'Klisz-Verbräuche'!G111*Emissionsfaktoren!F111/1000, 0)</f>
        <v>0</v>
      </c>
      <c r="G441" s="15">
        <f>IF(ISNUMBER('Klisz-Verbräuche'!H111), 'Klisz-Verbräuche'!H111*Emissionsfaktoren!G111/1000, 0)</f>
        <v>0</v>
      </c>
      <c r="H441" s="15">
        <f>IF(ISNUMBER('Klisz-Verbräuche'!I111), 'Klisz-Verbräuche'!I111*Emissionsfaktoren!H111/1000, 0)</f>
        <v>0</v>
      </c>
      <c r="I441" s="15">
        <f>IF(ISNUMBER('Klisz-Verbräuche'!J111), 'Klisz-Verbräuche'!J111*Emissionsfaktoren!I111/1000, 0)</f>
        <v>0</v>
      </c>
      <c r="J441" s="15">
        <f>IF(ISNUMBER('Klisz-Verbräuche'!K111), 'Klisz-Verbräuche'!K111*Emissionsfaktoren!J111/1000, 0)</f>
        <v>0</v>
      </c>
      <c r="K441" s="15">
        <f>IF(ISNUMBER('Klisz-Verbräuche'!L111), 'Klisz-Verbräuche'!L111*Emissionsfaktoren!K111/1000, 0)</f>
        <v>0</v>
      </c>
      <c r="L441" s="15">
        <f>IF(ISNUMBER('Klisz-Verbräuche'!M111), 'Klisz-Verbräuche'!M111*Emissionsfaktoren!L111/1000, 0)</f>
        <v>0</v>
      </c>
      <c r="M441" s="15">
        <f>IF(ISNUMBER('Klisz-Verbräuche'!N111), 'Klisz-Verbräuche'!N111*Emissionsfaktoren!M111/1000, 0)</f>
        <v>0</v>
      </c>
      <c r="N441" s="15">
        <f>IF(ISNUMBER('Klisz-Verbräuche'!O111), 'Klisz-Verbräuche'!O111*Emissionsfaktoren!N111/1000, 0)</f>
        <v>0</v>
      </c>
      <c r="O441" s="15">
        <f>IF(ISNUMBER('Klisz-Verbräuche'!P111), 'Klisz-Verbräuche'!P111*Emissionsfaktoren!O111/1000, 0)</f>
        <v>0</v>
      </c>
      <c r="P441" s="15">
        <f>IF(ISNUMBER('Klisz-Verbräuche'!Q111), 'Klisz-Verbräuche'!Q111*Emissionsfaktoren!P111/1000, 0)</f>
        <v>0</v>
      </c>
      <c r="Q441" s="15">
        <f>IF(ISNUMBER('Klisz-Verbräuche'!R111), 'Klisz-Verbräuche'!R111*Emissionsfaktoren!Q111/1000, 0)</f>
        <v>0</v>
      </c>
      <c r="R441" s="15">
        <f>IF(ISNUMBER('Klisz-Verbräuche'!S111), 'Klisz-Verbräuche'!S111*Emissionsfaktoren!R111/1000, 0)</f>
        <v>0</v>
      </c>
      <c r="S441" s="15">
        <f>IF(ISNUMBER('Klisz-Verbräuche'!T111), 'Klisz-Verbräuche'!T111*Emissionsfaktoren!S111/1000, 0)</f>
        <v>0</v>
      </c>
      <c r="T441" s="15">
        <f>IF(ISNUMBER('Klisz-Verbräuche'!U111), 'Klisz-Verbräuche'!U111*Emissionsfaktoren!T111/1000, 0)</f>
        <v>0</v>
      </c>
      <c r="U441" s="15">
        <f>IF(ISNUMBER('Klisz-Verbräuche'!V111), 'Klisz-Verbräuche'!V111*Emissionsfaktoren!U111/1000, 0)</f>
        <v>0</v>
      </c>
      <c r="V441" s="15">
        <f>IF(ISNUMBER('Klisz-Verbräuche'!W111), 'Klisz-Verbräuche'!W111*Emissionsfaktoren!V111/1000, 0)</f>
        <v>0</v>
      </c>
      <c r="W441" s="15">
        <f>IF(ISNUMBER('Klisz-Verbräuche'!X111), 'Klisz-Verbräuche'!X111*Emissionsfaktoren!W111/1000, 0)</f>
        <v>0</v>
      </c>
      <c r="X441" s="15">
        <f>IF(ISNUMBER('Klisz-Verbräuche'!Y111), 'Klisz-Verbräuche'!Y111*Emissionsfaktoren!X111/1000, 0)</f>
        <v>0</v>
      </c>
    </row>
    <row r="442" spans="2:24" ht="16.5" hidden="1" x14ac:dyDescent="0.45">
      <c r="B442" s="15">
        <v>53</v>
      </c>
      <c r="C442" s="20" t="str">
        <f>'Refsz-Verbräuche'!C112</f>
        <v>DR - E-Bike</v>
      </c>
      <c r="D442" t="s">
        <v>208</v>
      </c>
      <c r="E442" s="15">
        <f>IF(ISNUMBER('Klisz-Verbräuche'!F112), 'Klisz-Verbräuche'!F112*Emissionsfaktoren!E112/1000, 0)</f>
        <v>0</v>
      </c>
      <c r="F442" s="15">
        <f>IF(ISNUMBER('Klisz-Verbräuche'!G112), 'Klisz-Verbräuche'!G112*Emissionsfaktoren!F112/1000, 0)</f>
        <v>0</v>
      </c>
      <c r="G442" s="15">
        <f>IF(ISNUMBER('Klisz-Verbräuche'!H112), 'Klisz-Verbräuche'!H112*Emissionsfaktoren!G112/1000, 0)</f>
        <v>0</v>
      </c>
      <c r="H442" s="15">
        <f>IF(ISNUMBER('Klisz-Verbräuche'!I112), 'Klisz-Verbräuche'!I112*Emissionsfaktoren!H112/1000, 0)</f>
        <v>0</v>
      </c>
      <c r="I442" s="15">
        <f>IF(ISNUMBER('Klisz-Verbräuche'!J112), 'Klisz-Verbräuche'!J112*Emissionsfaktoren!I112/1000, 0)</f>
        <v>0</v>
      </c>
      <c r="J442" s="15">
        <f>IF(ISNUMBER('Klisz-Verbräuche'!K112), 'Klisz-Verbräuche'!K112*Emissionsfaktoren!J112/1000, 0)</f>
        <v>0</v>
      </c>
      <c r="K442" s="15">
        <f>IF(ISNUMBER('Klisz-Verbräuche'!L112), 'Klisz-Verbräuche'!L112*Emissionsfaktoren!K112/1000, 0)</f>
        <v>0</v>
      </c>
      <c r="L442" s="15">
        <f>IF(ISNUMBER('Klisz-Verbräuche'!M112), 'Klisz-Verbräuche'!M112*Emissionsfaktoren!L112/1000, 0)</f>
        <v>0</v>
      </c>
      <c r="M442" s="15">
        <f>IF(ISNUMBER('Klisz-Verbräuche'!N112), 'Klisz-Verbräuche'!N112*Emissionsfaktoren!M112/1000, 0)</f>
        <v>0</v>
      </c>
      <c r="N442" s="15">
        <f>IF(ISNUMBER('Klisz-Verbräuche'!O112), 'Klisz-Verbräuche'!O112*Emissionsfaktoren!N112/1000, 0)</f>
        <v>0</v>
      </c>
      <c r="O442" s="15">
        <f>IF(ISNUMBER('Klisz-Verbräuche'!P112), 'Klisz-Verbräuche'!P112*Emissionsfaktoren!O112/1000, 0)</f>
        <v>0</v>
      </c>
      <c r="P442" s="15">
        <f>IF(ISNUMBER('Klisz-Verbräuche'!Q112), 'Klisz-Verbräuche'!Q112*Emissionsfaktoren!P112/1000, 0)</f>
        <v>0</v>
      </c>
      <c r="Q442" s="15">
        <f>IF(ISNUMBER('Klisz-Verbräuche'!R112), 'Klisz-Verbräuche'!R112*Emissionsfaktoren!Q112/1000, 0)</f>
        <v>0</v>
      </c>
      <c r="R442" s="15">
        <f>IF(ISNUMBER('Klisz-Verbräuche'!S112), 'Klisz-Verbräuche'!S112*Emissionsfaktoren!R112/1000, 0)</f>
        <v>0</v>
      </c>
      <c r="S442" s="15">
        <f>IF(ISNUMBER('Klisz-Verbräuche'!T112), 'Klisz-Verbräuche'!T112*Emissionsfaktoren!S112/1000, 0)</f>
        <v>0</v>
      </c>
      <c r="T442" s="15">
        <f>IF(ISNUMBER('Klisz-Verbräuche'!U112), 'Klisz-Verbräuche'!U112*Emissionsfaktoren!T112/1000, 0)</f>
        <v>0</v>
      </c>
      <c r="U442" s="15">
        <f>IF(ISNUMBER('Klisz-Verbräuche'!V112), 'Klisz-Verbräuche'!V112*Emissionsfaktoren!U112/1000, 0)</f>
        <v>0</v>
      </c>
      <c r="V442" s="15">
        <f>IF(ISNUMBER('Klisz-Verbräuche'!W112), 'Klisz-Verbräuche'!W112*Emissionsfaktoren!V112/1000, 0)</f>
        <v>0</v>
      </c>
      <c r="W442" s="15">
        <f>IF(ISNUMBER('Klisz-Verbräuche'!X112), 'Klisz-Verbräuche'!X112*Emissionsfaktoren!W112/1000, 0)</f>
        <v>0</v>
      </c>
      <c r="X442" s="15">
        <f>IF(ISNUMBER('Klisz-Verbräuche'!Y112), 'Klisz-Verbräuche'!Y112*Emissionsfaktoren!X112/1000, 0)</f>
        <v>0</v>
      </c>
    </row>
    <row r="443" spans="2:24" ht="16.5" hidden="1" x14ac:dyDescent="0.45">
      <c r="B443" s="15">
        <v>54</v>
      </c>
      <c r="C443" s="20" t="str">
        <f>'Refsz-Verbräuche'!C113</f>
        <v>DR - Fahrrad</v>
      </c>
      <c r="D443" t="s">
        <v>208</v>
      </c>
      <c r="E443" s="15">
        <f>IF(ISNUMBER('Klisz-Verbräuche'!F113), 'Klisz-Verbräuche'!F113*Emissionsfaktoren!E113/1000, 0)</f>
        <v>0</v>
      </c>
      <c r="F443" s="15">
        <f>IF(ISNUMBER('Klisz-Verbräuche'!G113), 'Klisz-Verbräuche'!G113*Emissionsfaktoren!F113/1000, 0)</f>
        <v>0</v>
      </c>
      <c r="G443" s="15">
        <f>IF(ISNUMBER('Klisz-Verbräuche'!H113), 'Klisz-Verbräuche'!H113*Emissionsfaktoren!G113/1000, 0)</f>
        <v>0</v>
      </c>
      <c r="H443" s="15">
        <f>IF(ISNUMBER('Klisz-Verbräuche'!I113), 'Klisz-Verbräuche'!I113*Emissionsfaktoren!H113/1000, 0)</f>
        <v>0</v>
      </c>
      <c r="I443" s="15">
        <f>IF(ISNUMBER('Klisz-Verbräuche'!J113), 'Klisz-Verbräuche'!J113*Emissionsfaktoren!I113/1000, 0)</f>
        <v>0</v>
      </c>
      <c r="J443" s="15">
        <f>IF(ISNUMBER('Klisz-Verbräuche'!K113), 'Klisz-Verbräuche'!K113*Emissionsfaktoren!J113/1000, 0)</f>
        <v>0</v>
      </c>
      <c r="K443" s="15">
        <f>IF(ISNUMBER('Klisz-Verbräuche'!L113), 'Klisz-Verbräuche'!L113*Emissionsfaktoren!K113/1000, 0)</f>
        <v>0</v>
      </c>
      <c r="L443" s="15">
        <f>IF(ISNUMBER('Klisz-Verbräuche'!M113), 'Klisz-Verbräuche'!M113*Emissionsfaktoren!L113/1000, 0)</f>
        <v>0</v>
      </c>
      <c r="M443" s="15">
        <f>IF(ISNUMBER('Klisz-Verbräuche'!N113), 'Klisz-Verbräuche'!N113*Emissionsfaktoren!M113/1000, 0)</f>
        <v>0</v>
      </c>
      <c r="N443" s="15">
        <f>IF(ISNUMBER('Klisz-Verbräuche'!O113), 'Klisz-Verbräuche'!O113*Emissionsfaktoren!N113/1000, 0)</f>
        <v>0</v>
      </c>
      <c r="O443" s="15">
        <f>IF(ISNUMBER('Klisz-Verbräuche'!P113), 'Klisz-Verbräuche'!P113*Emissionsfaktoren!O113/1000, 0)</f>
        <v>0</v>
      </c>
      <c r="P443" s="15">
        <f>IF(ISNUMBER('Klisz-Verbräuche'!Q113), 'Klisz-Verbräuche'!Q113*Emissionsfaktoren!P113/1000, 0)</f>
        <v>0</v>
      </c>
      <c r="Q443" s="15">
        <f>IF(ISNUMBER('Klisz-Verbräuche'!R113), 'Klisz-Verbräuche'!R113*Emissionsfaktoren!Q113/1000, 0)</f>
        <v>0</v>
      </c>
      <c r="R443" s="15">
        <f>IF(ISNUMBER('Klisz-Verbräuche'!S113), 'Klisz-Verbräuche'!S113*Emissionsfaktoren!R113/1000, 0)</f>
        <v>0</v>
      </c>
      <c r="S443" s="15">
        <f>IF(ISNUMBER('Klisz-Verbräuche'!T113), 'Klisz-Verbräuche'!T113*Emissionsfaktoren!S113/1000, 0)</f>
        <v>0</v>
      </c>
      <c r="T443" s="15">
        <f>IF(ISNUMBER('Klisz-Verbräuche'!U113), 'Klisz-Verbräuche'!U113*Emissionsfaktoren!T113/1000, 0)</f>
        <v>0</v>
      </c>
      <c r="U443" s="15">
        <f>IF(ISNUMBER('Klisz-Verbräuche'!V113), 'Klisz-Verbräuche'!V113*Emissionsfaktoren!U113/1000, 0)</f>
        <v>0</v>
      </c>
      <c r="V443" s="15">
        <f>IF(ISNUMBER('Klisz-Verbräuche'!W113), 'Klisz-Verbräuche'!W113*Emissionsfaktoren!V113/1000, 0)</f>
        <v>0</v>
      </c>
      <c r="W443" s="15">
        <f>IF(ISNUMBER('Klisz-Verbräuche'!X113), 'Klisz-Verbräuche'!X113*Emissionsfaktoren!W113/1000, 0)</f>
        <v>0</v>
      </c>
      <c r="X443" s="15">
        <f>IF(ISNUMBER('Klisz-Verbräuche'!Y113), 'Klisz-Verbräuche'!Y113*Emissionsfaktoren!X113/1000, 0)</f>
        <v>0</v>
      </c>
    </row>
    <row r="444" spans="2:24" ht="16.5" hidden="1" x14ac:dyDescent="0.45">
      <c r="B444" s="15">
        <v>55</v>
      </c>
      <c r="C444" s="20">
        <f>'Refsz-Verbräuche'!C114</f>
        <v>0</v>
      </c>
      <c r="D444" t="s">
        <v>208</v>
      </c>
      <c r="E444" s="15">
        <f>IF(ISNUMBER('Klisz-Verbräuche'!F114), 'Klisz-Verbräuche'!F114*Emissionsfaktoren!E114/1000, 0)</f>
        <v>0</v>
      </c>
      <c r="F444" s="15">
        <f>IF(ISNUMBER('Klisz-Verbräuche'!G114), 'Klisz-Verbräuche'!G114*Emissionsfaktoren!F114/1000, 0)</f>
        <v>0</v>
      </c>
      <c r="G444" s="15">
        <f>IF(ISNUMBER('Klisz-Verbräuche'!H114), 'Klisz-Verbräuche'!H114*Emissionsfaktoren!G114/1000, 0)</f>
        <v>0</v>
      </c>
      <c r="H444" s="15">
        <f>IF(ISNUMBER('Klisz-Verbräuche'!I114), 'Klisz-Verbräuche'!I114*Emissionsfaktoren!H114/1000, 0)</f>
        <v>0</v>
      </c>
      <c r="I444" s="15">
        <f>IF(ISNUMBER('Klisz-Verbräuche'!J114), 'Klisz-Verbräuche'!J114*Emissionsfaktoren!I114/1000, 0)</f>
        <v>0</v>
      </c>
      <c r="J444" s="15">
        <f>IF(ISNUMBER('Klisz-Verbräuche'!K114), 'Klisz-Verbräuche'!K114*Emissionsfaktoren!J114/1000, 0)</f>
        <v>0</v>
      </c>
      <c r="K444" s="15">
        <f>IF(ISNUMBER('Klisz-Verbräuche'!L114), 'Klisz-Verbräuche'!L114*Emissionsfaktoren!K114/1000, 0)</f>
        <v>0</v>
      </c>
      <c r="L444" s="15">
        <f>IF(ISNUMBER('Klisz-Verbräuche'!M114), 'Klisz-Verbräuche'!M114*Emissionsfaktoren!L114/1000, 0)</f>
        <v>0</v>
      </c>
      <c r="M444" s="15">
        <f>IF(ISNUMBER('Klisz-Verbräuche'!N114), 'Klisz-Verbräuche'!N114*Emissionsfaktoren!M114/1000, 0)</f>
        <v>0</v>
      </c>
      <c r="N444" s="15">
        <f>IF(ISNUMBER('Klisz-Verbräuche'!O114), 'Klisz-Verbräuche'!O114*Emissionsfaktoren!N114/1000, 0)</f>
        <v>0</v>
      </c>
      <c r="O444" s="15">
        <f>IF(ISNUMBER('Klisz-Verbräuche'!P114), 'Klisz-Verbräuche'!P114*Emissionsfaktoren!O114/1000, 0)</f>
        <v>0</v>
      </c>
      <c r="P444" s="15">
        <f>IF(ISNUMBER('Klisz-Verbräuche'!Q114), 'Klisz-Verbräuche'!Q114*Emissionsfaktoren!P114/1000, 0)</f>
        <v>0</v>
      </c>
      <c r="Q444" s="15">
        <f>IF(ISNUMBER('Klisz-Verbräuche'!R114), 'Klisz-Verbräuche'!R114*Emissionsfaktoren!Q114/1000, 0)</f>
        <v>0</v>
      </c>
      <c r="R444" s="15">
        <f>IF(ISNUMBER('Klisz-Verbräuche'!S114), 'Klisz-Verbräuche'!S114*Emissionsfaktoren!R114/1000, 0)</f>
        <v>0</v>
      </c>
      <c r="S444" s="15">
        <f>IF(ISNUMBER('Klisz-Verbräuche'!T114), 'Klisz-Verbräuche'!T114*Emissionsfaktoren!S114/1000, 0)</f>
        <v>0</v>
      </c>
      <c r="T444" s="15">
        <f>IF(ISNUMBER('Klisz-Verbräuche'!U114), 'Klisz-Verbräuche'!U114*Emissionsfaktoren!T114/1000, 0)</f>
        <v>0</v>
      </c>
      <c r="U444" s="15">
        <f>IF(ISNUMBER('Klisz-Verbräuche'!V114), 'Klisz-Verbräuche'!V114*Emissionsfaktoren!U114/1000, 0)</f>
        <v>0</v>
      </c>
      <c r="V444" s="15">
        <f>IF(ISNUMBER('Klisz-Verbräuche'!W114), 'Klisz-Verbräuche'!W114*Emissionsfaktoren!V114/1000, 0)</f>
        <v>0</v>
      </c>
      <c r="W444" s="15">
        <f>IF(ISNUMBER('Klisz-Verbräuche'!X114), 'Klisz-Verbräuche'!X114*Emissionsfaktoren!W114/1000, 0)</f>
        <v>0</v>
      </c>
      <c r="X444" s="15">
        <f>IF(ISNUMBER('Klisz-Verbräuche'!Y114), 'Klisz-Verbräuche'!Y114*Emissionsfaktoren!X114/1000, 0)</f>
        <v>0</v>
      </c>
    </row>
    <row r="445" spans="2:24" ht="16.5" hidden="1" x14ac:dyDescent="0.45">
      <c r="B445" s="15">
        <v>56</v>
      </c>
      <c r="C445" s="20" t="str">
        <f>'Refsz-Verbräuche'!C115</f>
        <v>Studierendenreisen (Outgoing) - Flugreisen</v>
      </c>
      <c r="D445" t="s">
        <v>208</v>
      </c>
      <c r="E445" s="15">
        <f>IF(ISNUMBER('Klisz-Verbräuche'!F115), 'Klisz-Verbräuche'!F115*Emissionsfaktoren!E115/1000, 0)</f>
        <v>0</v>
      </c>
      <c r="F445" s="15">
        <f>IF(ISNUMBER('Klisz-Verbräuche'!G115), 'Klisz-Verbräuche'!G115*Emissionsfaktoren!F115/1000, 0)</f>
        <v>0</v>
      </c>
      <c r="G445" s="15">
        <f>IF(ISNUMBER('Klisz-Verbräuche'!H115), 'Klisz-Verbräuche'!H115*Emissionsfaktoren!G115/1000, 0)</f>
        <v>0</v>
      </c>
      <c r="H445" s="15">
        <f>IF(ISNUMBER('Klisz-Verbräuche'!I115), 'Klisz-Verbräuche'!I115*Emissionsfaktoren!H115/1000, 0)</f>
        <v>0</v>
      </c>
      <c r="I445" s="15">
        <f>IF(ISNUMBER('Klisz-Verbräuche'!J115), 'Klisz-Verbräuche'!J115*Emissionsfaktoren!I115/1000, 0)</f>
        <v>0</v>
      </c>
      <c r="J445" s="15">
        <f>IF(ISNUMBER('Klisz-Verbräuche'!K115), 'Klisz-Verbräuche'!K115*Emissionsfaktoren!J115/1000, 0)</f>
        <v>0</v>
      </c>
      <c r="K445" s="15">
        <f>IF(ISNUMBER('Klisz-Verbräuche'!L115), 'Klisz-Verbräuche'!L115*Emissionsfaktoren!K115/1000, 0)</f>
        <v>0</v>
      </c>
      <c r="L445" s="15">
        <f>IF(ISNUMBER('Klisz-Verbräuche'!M115), 'Klisz-Verbräuche'!M115*Emissionsfaktoren!L115/1000, 0)</f>
        <v>0</v>
      </c>
      <c r="M445" s="15">
        <f>IF(ISNUMBER('Klisz-Verbräuche'!N115), 'Klisz-Verbräuche'!N115*Emissionsfaktoren!M115/1000, 0)</f>
        <v>0</v>
      </c>
      <c r="N445" s="15">
        <f>IF(ISNUMBER('Klisz-Verbräuche'!O115), 'Klisz-Verbräuche'!O115*Emissionsfaktoren!N115/1000, 0)</f>
        <v>0</v>
      </c>
      <c r="O445" s="15">
        <f>IF(ISNUMBER('Klisz-Verbräuche'!P115), 'Klisz-Verbräuche'!P115*Emissionsfaktoren!O115/1000, 0)</f>
        <v>0</v>
      </c>
      <c r="P445" s="15">
        <f>IF(ISNUMBER('Klisz-Verbräuche'!Q115), 'Klisz-Verbräuche'!Q115*Emissionsfaktoren!P115/1000, 0)</f>
        <v>0</v>
      </c>
      <c r="Q445" s="15">
        <f>IF(ISNUMBER('Klisz-Verbräuche'!R115), 'Klisz-Verbräuche'!R115*Emissionsfaktoren!Q115/1000, 0)</f>
        <v>0</v>
      </c>
      <c r="R445" s="15">
        <f>IF(ISNUMBER('Klisz-Verbräuche'!S115), 'Klisz-Verbräuche'!S115*Emissionsfaktoren!R115/1000, 0)</f>
        <v>0</v>
      </c>
      <c r="S445" s="15">
        <f>IF(ISNUMBER('Klisz-Verbräuche'!T115), 'Klisz-Verbräuche'!T115*Emissionsfaktoren!S115/1000, 0)</f>
        <v>0</v>
      </c>
      <c r="T445" s="15">
        <f>IF(ISNUMBER('Klisz-Verbräuche'!U115), 'Klisz-Verbräuche'!U115*Emissionsfaktoren!T115/1000, 0)</f>
        <v>0</v>
      </c>
      <c r="U445" s="15">
        <f>IF(ISNUMBER('Klisz-Verbräuche'!V115), 'Klisz-Verbräuche'!V115*Emissionsfaktoren!U115/1000, 0)</f>
        <v>0</v>
      </c>
      <c r="V445" s="15">
        <f>IF(ISNUMBER('Klisz-Verbräuche'!W115), 'Klisz-Verbräuche'!W115*Emissionsfaktoren!V115/1000, 0)</f>
        <v>0</v>
      </c>
      <c r="W445" s="15">
        <f>IF(ISNUMBER('Klisz-Verbräuche'!X115), 'Klisz-Verbräuche'!X115*Emissionsfaktoren!W115/1000, 0)</f>
        <v>0</v>
      </c>
      <c r="X445" s="15">
        <f>IF(ISNUMBER('Klisz-Verbräuche'!Y115), 'Klisz-Verbräuche'!Y115*Emissionsfaktoren!X115/1000, 0)</f>
        <v>0</v>
      </c>
    </row>
    <row r="446" spans="2:24" ht="16.5" hidden="1" x14ac:dyDescent="0.45">
      <c r="B446" s="15">
        <v>57</v>
      </c>
      <c r="C446" s="20" t="str">
        <f>'Refsz-Verbräuche'!C116</f>
        <v>Studierendenreisen (Outgoing) - Eisenbahn (Nahverkehr)</v>
      </c>
      <c r="D446" t="s">
        <v>208</v>
      </c>
      <c r="E446" s="15">
        <f>IF(ISNUMBER('Klisz-Verbräuche'!F116), 'Klisz-Verbräuche'!F116*Emissionsfaktoren!E116/1000, 0)</f>
        <v>0</v>
      </c>
      <c r="F446" s="15">
        <f>IF(ISNUMBER('Klisz-Verbräuche'!G116), 'Klisz-Verbräuche'!G116*Emissionsfaktoren!F116/1000, 0)</f>
        <v>0</v>
      </c>
      <c r="G446" s="15">
        <f>IF(ISNUMBER('Klisz-Verbräuche'!H116), 'Klisz-Verbräuche'!H116*Emissionsfaktoren!G116/1000, 0)</f>
        <v>0</v>
      </c>
      <c r="H446" s="15">
        <f>IF(ISNUMBER('Klisz-Verbräuche'!I116), 'Klisz-Verbräuche'!I116*Emissionsfaktoren!H116/1000, 0)</f>
        <v>0</v>
      </c>
      <c r="I446" s="15">
        <f>IF(ISNUMBER('Klisz-Verbräuche'!J116), 'Klisz-Verbräuche'!J116*Emissionsfaktoren!I116/1000, 0)</f>
        <v>0</v>
      </c>
      <c r="J446" s="15">
        <f>IF(ISNUMBER('Klisz-Verbräuche'!K116), 'Klisz-Verbräuche'!K116*Emissionsfaktoren!J116/1000, 0)</f>
        <v>0</v>
      </c>
      <c r="K446" s="15">
        <f>IF(ISNUMBER('Klisz-Verbräuche'!L116), 'Klisz-Verbräuche'!L116*Emissionsfaktoren!K116/1000, 0)</f>
        <v>0</v>
      </c>
      <c r="L446" s="15">
        <f>IF(ISNUMBER('Klisz-Verbräuche'!M116), 'Klisz-Verbräuche'!M116*Emissionsfaktoren!L116/1000, 0)</f>
        <v>0</v>
      </c>
      <c r="M446" s="15">
        <f>IF(ISNUMBER('Klisz-Verbräuche'!N116), 'Klisz-Verbräuche'!N116*Emissionsfaktoren!M116/1000, 0)</f>
        <v>0</v>
      </c>
      <c r="N446" s="15">
        <f>IF(ISNUMBER('Klisz-Verbräuche'!O116), 'Klisz-Verbräuche'!O116*Emissionsfaktoren!N116/1000, 0)</f>
        <v>0</v>
      </c>
      <c r="O446" s="15">
        <f>IF(ISNUMBER('Klisz-Verbräuche'!P116), 'Klisz-Verbräuche'!P116*Emissionsfaktoren!O116/1000, 0)</f>
        <v>0</v>
      </c>
      <c r="P446" s="15">
        <f>IF(ISNUMBER('Klisz-Verbräuche'!Q116), 'Klisz-Verbräuche'!Q116*Emissionsfaktoren!P116/1000, 0)</f>
        <v>0</v>
      </c>
      <c r="Q446" s="15">
        <f>IF(ISNUMBER('Klisz-Verbräuche'!R116), 'Klisz-Verbräuche'!R116*Emissionsfaktoren!Q116/1000, 0)</f>
        <v>0</v>
      </c>
      <c r="R446" s="15">
        <f>IF(ISNUMBER('Klisz-Verbräuche'!S116), 'Klisz-Verbräuche'!S116*Emissionsfaktoren!R116/1000, 0)</f>
        <v>0</v>
      </c>
      <c r="S446" s="15">
        <f>IF(ISNUMBER('Klisz-Verbräuche'!T116), 'Klisz-Verbräuche'!T116*Emissionsfaktoren!S116/1000, 0)</f>
        <v>0</v>
      </c>
      <c r="T446" s="15">
        <f>IF(ISNUMBER('Klisz-Verbräuche'!U116), 'Klisz-Verbräuche'!U116*Emissionsfaktoren!T116/1000, 0)</f>
        <v>0</v>
      </c>
      <c r="U446" s="15">
        <f>IF(ISNUMBER('Klisz-Verbräuche'!V116), 'Klisz-Verbräuche'!V116*Emissionsfaktoren!U116/1000, 0)</f>
        <v>0</v>
      </c>
      <c r="V446" s="15">
        <f>IF(ISNUMBER('Klisz-Verbräuche'!W116), 'Klisz-Verbräuche'!W116*Emissionsfaktoren!V116/1000, 0)</f>
        <v>0</v>
      </c>
      <c r="W446" s="15">
        <f>IF(ISNUMBER('Klisz-Verbräuche'!X116), 'Klisz-Verbräuche'!X116*Emissionsfaktoren!W116/1000, 0)</f>
        <v>0</v>
      </c>
      <c r="X446" s="15">
        <f>IF(ISNUMBER('Klisz-Verbräuche'!Y116), 'Klisz-Verbräuche'!Y116*Emissionsfaktoren!X116/1000, 0)</f>
        <v>0</v>
      </c>
    </row>
    <row r="447" spans="2:24" ht="16.5" hidden="1" x14ac:dyDescent="0.45">
      <c r="B447" s="15">
        <v>58</v>
      </c>
      <c r="C447" s="20" t="str">
        <f>'Refsz-Verbräuche'!C117</f>
        <v>Studierendenreisen (Outgoing) - Privater PKW (alle Antriebsarten)</v>
      </c>
      <c r="D447" t="s">
        <v>208</v>
      </c>
      <c r="E447" s="15">
        <f>IF(ISNUMBER('Klisz-Verbräuche'!F117), 'Klisz-Verbräuche'!F117*Emissionsfaktoren!E117/1000, 0)</f>
        <v>0</v>
      </c>
      <c r="F447" s="15">
        <f>IF(ISNUMBER('Klisz-Verbräuche'!G117), 'Klisz-Verbräuche'!G117*Emissionsfaktoren!F117/1000, 0)</f>
        <v>0</v>
      </c>
      <c r="G447" s="15">
        <f>IF(ISNUMBER('Klisz-Verbräuche'!H117), 'Klisz-Verbräuche'!H117*Emissionsfaktoren!G117/1000, 0)</f>
        <v>0</v>
      </c>
      <c r="H447" s="15">
        <f>IF(ISNUMBER('Klisz-Verbräuche'!I117), 'Klisz-Verbräuche'!I117*Emissionsfaktoren!H117/1000, 0)</f>
        <v>0</v>
      </c>
      <c r="I447" s="15">
        <f>IF(ISNUMBER('Klisz-Verbräuche'!J117), 'Klisz-Verbräuche'!J117*Emissionsfaktoren!I117/1000, 0)</f>
        <v>0</v>
      </c>
      <c r="J447" s="15">
        <f>IF(ISNUMBER('Klisz-Verbräuche'!K117), 'Klisz-Verbräuche'!K117*Emissionsfaktoren!J117/1000, 0)</f>
        <v>0</v>
      </c>
      <c r="K447" s="15">
        <f>IF(ISNUMBER('Klisz-Verbräuche'!L117), 'Klisz-Verbräuche'!L117*Emissionsfaktoren!K117/1000, 0)</f>
        <v>0</v>
      </c>
      <c r="L447" s="15">
        <f>IF(ISNUMBER('Klisz-Verbräuche'!M117), 'Klisz-Verbräuche'!M117*Emissionsfaktoren!L117/1000, 0)</f>
        <v>0</v>
      </c>
      <c r="M447" s="15">
        <f>IF(ISNUMBER('Klisz-Verbräuche'!N117), 'Klisz-Verbräuche'!N117*Emissionsfaktoren!M117/1000, 0)</f>
        <v>0</v>
      </c>
      <c r="N447" s="15">
        <f>IF(ISNUMBER('Klisz-Verbräuche'!O117), 'Klisz-Verbräuche'!O117*Emissionsfaktoren!N117/1000, 0)</f>
        <v>0</v>
      </c>
      <c r="O447" s="15">
        <f>IF(ISNUMBER('Klisz-Verbräuche'!P117), 'Klisz-Verbräuche'!P117*Emissionsfaktoren!O117/1000, 0)</f>
        <v>0</v>
      </c>
      <c r="P447" s="15">
        <f>IF(ISNUMBER('Klisz-Verbräuche'!Q117), 'Klisz-Verbräuche'!Q117*Emissionsfaktoren!P117/1000, 0)</f>
        <v>0</v>
      </c>
      <c r="Q447" s="15">
        <f>IF(ISNUMBER('Klisz-Verbräuche'!R117), 'Klisz-Verbräuche'!R117*Emissionsfaktoren!Q117/1000, 0)</f>
        <v>0</v>
      </c>
      <c r="R447" s="15">
        <f>IF(ISNUMBER('Klisz-Verbräuche'!S117), 'Klisz-Verbräuche'!S117*Emissionsfaktoren!R117/1000, 0)</f>
        <v>0</v>
      </c>
      <c r="S447" s="15">
        <f>IF(ISNUMBER('Klisz-Verbräuche'!T117), 'Klisz-Verbräuche'!T117*Emissionsfaktoren!S117/1000, 0)</f>
        <v>0</v>
      </c>
      <c r="T447" s="15">
        <f>IF(ISNUMBER('Klisz-Verbräuche'!U117), 'Klisz-Verbräuche'!U117*Emissionsfaktoren!T117/1000, 0)</f>
        <v>0</v>
      </c>
      <c r="U447" s="15">
        <f>IF(ISNUMBER('Klisz-Verbräuche'!V117), 'Klisz-Verbräuche'!V117*Emissionsfaktoren!U117/1000, 0)</f>
        <v>0</v>
      </c>
      <c r="V447" s="15">
        <f>IF(ISNUMBER('Klisz-Verbräuche'!W117), 'Klisz-Verbräuche'!W117*Emissionsfaktoren!V117/1000, 0)</f>
        <v>0</v>
      </c>
      <c r="W447" s="15">
        <f>IF(ISNUMBER('Klisz-Verbräuche'!X117), 'Klisz-Verbräuche'!X117*Emissionsfaktoren!W117/1000, 0)</f>
        <v>0</v>
      </c>
      <c r="X447" s="15">
        <f>IF(ISNUMBER('Klisz-Verbräuche'!Y117), 'Klisz-Verbräuche'!Y117*Emissionsfaktoren!X117/1000, 0)</f>
        <v>0</v>
      </c>
    </row>
    <row r="448" spans="2:24" ht="16.5" hidden="1" x14ac:dyDescent="0.45">
      <c r="B448" s="15">
        <v>59</v>
      </c>
      <c r="C448" s="20">
        <f>'Refsz-Verbräuche'!C118</f>
        <v>0</v>
      </c>
      <c r="D448" t="s">
        <v>208</v>
      </c>
      <c r="E448" s="15">
        <f>IF(ISNUMBER('Klisz-Verbräuche'!F118), 'Klisz-Verbräuche'!F118*Emissionsfaktoren!E118/1000, 0)</f>
        <v>0</v>
      </c>
      <c r="F448" s="15">
        <f>IF(ISNUMBER('Klisz-Verbräuche'!G118), 'Klisz-Verbräuche'!G118*Emissionsfaktoren!F118/1000, 0)</f>
        <v>0</v>
      </c>
      <c r="G448" s="15">
        <f>IF(ISNUMBER('Klisz-Verbräuche'!H118), 'Klisz-Verbräuche'!H118*Emissionsfaktoren!G118/1000, 0)</f>
        <v>0</v>
      </c>
      <c r="H448" s="15">
        <f>IF(ISNUMBER('Klisz-Verbräuche'!I118), 'Klisz-Verbräuche'!I118*Emissionsfaktoren!H118/1000, 0)</f>
        <v>0</v>
      </c>
      <c r="I448" s="15">
        <f>IF(ISNUMBER('Klisz-Verbräuche'!J118), 'Klisz-Verbräuche'!J118*Emissionsfaktoren!I118/1000, 0)</f>
        <v>0</v>
      </c>
      <c r="J448" s="15">
        <f>IF(ISNUMBER('Klisz-Verbräuche'!K118), 'Klisz-Verbräuche'!K118*Emissionsfaktoren!J118/1000, 0)</f>
        <v>0</v>
      </c>
      <c r="K448" s="15">
        <f>IF(ISNUMBER('Klisz-Verbräuche'!L118), 'Klisz-Verbräuche'!L118*Emissionsfaktoren!K118/1000, 0)</f>
        <v>0</v>
      </c>
      <c r="L448" s="15">
        <f>IF(ISNUMBER('Klisz-Verbräuche'!M118), 'Klisz-Verbräuche'!M118*Emissionsfaktoren!L118/1000, 0)</f>
        <v>0</v>
      </c>
      <c r="M448" s="15">
        <f>IF(ISNUMBER('Klisz-Verbräuche'!N118), 'Klisz-Verbräuche'!N118*Emissionsfaktoren!M118/1000, 0)</f>
        <v>0</v>
      </c>
      <c r="N448" s="15">
        <f>IF(ISNUMBER('Klisz-Verbräuche'!O118), 'Klisz-Verbräuche'!O118*Emissionsfaktoren!N118/1000, 0)</f>
        <v>0</v>
      </c>
      <c r="O448" s="15">
        <f>IF(ISNUMBER('Klisz-Verbräuche'!P118), 'Klisz-Verbräuche'!P118*Emissionsfaktoren!O118/1000, 0)</f>
        <v>0</v>
      </c>
      <c r="P448" s="15">
        <f>IF(ISNUMBER('Klisz-Verbräuche'!Q118), 'Klisz-Verbräuche'!Q118*Emissionsfaktoren!P118/1000, 0)</f>
        <v>0</v>
      </c>
      <c r="Q448" s="15">
        <f>IF(ISNUMBER('Klisz-Verbräuche'!R118), 'Klisz-Verbräuche'!R118*Emissionsfaktoren!Q118/1000, 0)</f>
        <v>0</v>
      </c>
      <c r="R448" s="15">
        <f>IF(ISNUMBER('Klisz-Verbräuche'!S118), 'Klisz-Verbräuche'!S118*Emissionsfaktoren!R118/1000, 0)</f>
        <v>0</v>
      </c>
      <c r="S448" s="15">
        <f>IF(ISNUMBER('Klisz-Verbräuche'!T118), 'Klisz-Verbräuche'!T118*Emissionsfaktoren!S118/1000, 0)</f>
        <v>0</v>
      </c>
      <c r="T448" s="15">
        <f>IF(ISNUMBER('Klisz-Verbräuche'!U118), 'Klisz-Verbräuche'!U118*Emissionsfaktoren!T118/1000, 0)</f>
        <v>0</v>
      </c>
      <c r="U448" s="15">
        <f>IF(ISNUMBER('Klisz-Verbräuche'!V118), 'Klisz-Verbräuche'!V118*Emissionsfaktoren!U118/1000, 0)</f>
        <v>0</v>
      </c>
      <c r="V448" s="15">
        <f>IF(ISNUMBER('Klisz-Verbräuche'!W118), 'Klisz-Verbräuche'!W118*Emissionsfaktoren!V118/1000, 0)</f>
        <v>0</v>
      </c>
      <c r="W448" s="15">
        <f>IF(ISNUMBER('Klisz-Verbräuche'!X118), 'Klisz-Verbräuche'!X118*Emissionsfaktoren!W118/1000, 0)</f>
        <v>0</v>
      </c>
      <c r="X448" s="15">
        <f>IF(ISNUMBER('Klisz-Verbräuche'!Y118), 'Klisz-Verbräuche'!Y118*Emissionsfaktoren!X118/1000, 0)</f>
        <v>0</v>
      </c>
    </row>
    <row r="449" spans="2:24" ht="16.5" hidden="1" x14ac:dyDescent="0.45">
      <c r="B449" s="15">
        <v>60</v>
      </c>
      <c r="C449" s="20" t="str">
        <f>'Refsz-Verbräuche'!C119</f>
        <v>Exkursionen - Flugreisen</v>
      </c>
      <c r="D449" t="s">
        <v>208</v>
      </c>
      <c r="E449" s="15">
        <f>IF(ISNUMBER('Klisz-Verbräuche'!F119), 'Klisz-Verbräuche'!F119*Emissionsfaktoren!E119/1000, 0)</f>
        <v>0</v>
      </c>
      <c r="F449" s="15">
        <f>IF(ISNUMBER('Klisz-Verbräuche'!G119), 'Klisz-Verbräuche'!G119*Emissionsfaktoren!F119/1000, 0)</f>
        <v>0</v>
      </c>
      <c r="G449" s="15">
        <f>IF(ISNUMBER('Klisz-Verbräuche'!H119), 'Klisz-Verbräuche'!H119*Emissionsfaktoren!G119/1000, 0)</f>
        <v>0</v>
      </c>
      <c r="H449" s="15">
        <f>IF(ISNUMBER('Klisz-Verbräuche'!I119), 'Klisz-Verbräuche'!I119*Emissionsfaktoren!H119/1000, 0)</f>
        <v>0</v>
      </c>
      <c r="I449" s="15">
        <f>IF(ISNUMBER('Klisz-Verbräuche'!J119), 'Klisz-Verbräuche'!J119*Emissionsfaktoren!I119/1000, 0)</f>
        <v>0</v>
      </c>
      <c r="J449" s="15">
        <f>IF(ISNUMBER('Klisz-Verbräuche'!K119), 'Klisz-Verbräuche'!K119*Emissionsfaktoren!J119/1000, 0)</f>
        <v>0</v>
      </c>
      <c r="K449" s="15">
        <f>IF(ISNUMBER('Klisz-Verbräuche'!L119), 'Klisz-Verbräuche'!L119*Emissionsfaktoren!K119/1000, 0)</f>
        <v>0</v>
      </c>
      <c r="L449" s="15">
        <f>IF(ISNUMBER('Klisz-Verbräuche'!M119), 'Klisz-Verbräuche'!M119*Emissionsfaktoren!L119/1000, 0)</f>
        <v>0</v>
      </c>
      <c r="M449" s="15">
        <f>IF(ISNUMBER('Klisz-Verbräuche'!N119), 'Klisz-Verbräuche'!N119*Emissionsfaktoren!M119/1000, 0)</f>
        <v>0</v>
      </c>
      <c r="N449" s="15">
        <f>IF(ISNUMBER('Klisz-Verbräuche'!O119), 'Klisz-Verbräuche'!O119*Emissionsfaktoren!N119/1000, 0)</f>
        <v>0</v>
      </c>
      <c r="O449" s="15">
        <f>IF(ISNUMBER('Klisz-Verbräuche'!P119), 'Klisz-Verbräuche'!P119*Emissionsfaktoren!O119/1000, 0)</f>
        <v>0</v>
      </c>
      <c r="P449" s="15">
        <f>IF(ISNUMBER('Klisz-Verbräuche'!Q119), 'Klisz-Verbräuche'!Q119*Emissionsfaktoren!P119/1000, 0)</f>
        <v>0</v>
      </c>
      <c r="Q449" s="15">
        <f>IF(ISNUMBER('Klisz-Verbräuche'!R119), 'Klisz-Verbräuche'!R119*Emissionsfaktoren!Q119/1000, 0)</f>
        <v>0</v>
      </c>
      <c r="R449" s="15">
        <f>IF(ISNUMBER('Klisz-Verbräuche'!S119), 'Klisz-Verbräuche'!S119*Emissionsfaktoren!R119/1000, 0)</f>
        <v>0</v>
      </c>
      <c r="S449" s="15">
        <f>IF(ISNUMBER('Klisz-Verbräuche'!T119), 'Klisz-Verbräuche'!T119*Emissionsfaktoren!S119/1000, 0)</f>
        <v>0</v>
      </c>
      <c r="T449" s="15">
        <f>IF(ISNUMBER('Klisz-Verbräuche'!U119), 'Klisz-Verbräuche'!U119*Emissionsfaktoren!T119/1000, 0)</f>
        <v>0</v>
      </c>
      <c r="U449" s="15">
        <f>IF(ISNUMBER('Klisz-Verbräuche'!V119), 'Klisz-Verbräuche'!V119*Emissionsfaktoren!U119/1000, 0)</f>
        <v>0</v>
      </c>
      <c r="V449" s="15">
        <f>IF(ISNUMBER('Klisz-Verbräuche'!W119), 'Klisz-Verbräuche'!W119*Emissionsfaktoren!V119/1000, 0)</f>
        <v>0</v>
      </c>
      <c r="W449" s="15">
        <f>IF(ISNUMBER('Klisz-Verbräuche'!X119), 'Klisz-Verbräuche'!X119*Emissionsfaktoren!W119/1000, 0)</f>
        <v>0</v>
      </c>
      <c r="X449" s="15">
        <f>IF(ISNUMBER('Klisz-Verbräuche'!Y119), 'Klisz-Verbräuche'!Y119*Emissionsfaktoren!X119/1000, 0)</f>
        <v>0</v>
      </c>
    </row>
    <row r="450" spans="2:24" ht="16.5" hidden="1" x14ac:dyDescent="0.45">
      <c r="B450" s="15">
        <v>61</v>
      </c>
      <c r="C450" s="20" t="str">
        <f>'Refsz-Verbräuche'!C120</f>
        <v>Exkursionen - Eisenbahn (Nahverkehr)</v>
      </c>
      <c r="D450" t="s">
        <v>208</v>
      </c>
      <c r="E450" s="15">
        <f>IF(ISNUMBER('Klisz-Verbräuche'!F120), 'Klisz-Verbräuche'!F120*Emissionsfaktoren!E120/1000, 0)</f>
        <v>0</v>
      </c>
      <c r="F450" s="15">
        <f>IF(ISNUMBER('Klisz-Verbräuche'!G120), 'Klisz-Verbräuche'!G120*Emissionsfaktoren!F120/1000, 0)</f>
        <v>0</v>
      </c>
      <c r="G450" s="15">
        <f>IF(ISNUMBER('Klisz-Verbräuche'!H120), 'Klisz-Verbräuche'!H120*Emissionsfaktoren!G120/1000, 0)</f>
        <v>0</v>
      </c>
      <c r="H450" s="15">
        <f>IF(ISNUMBER('Klisz-Verbräuche'!I120), 'Klisz-Verbräuche'!I120*Emissionsfaktoren!H120/1000, 0)</f>
        <v>0</v>
      </c>
      <c r="I450" s="15">
        <f>IF(ISNUMBER('Klisz-Verbräuche'!J120), 'Klisz-Verbräuche'!J120*Emissionsfaktoren!I120/1000, 0)</f>
        <v>0</v>
      </c>
      <c r="J450" s="15">
        <f>IF(ISNUMBER('Klisz-Verbräuche'!K120), 'Klisz-Verbräuche'!K120*Emissionsfaktoren!J120/1000, 0)</f>
        <v>0</v>
      </c>
      <c r="K450" s="15">
        <f>IF(ISNUMBER('Klisz-Verbräuche'!L120), 'Klisz-Verbräuche'!L120*Emissionsfaktoren!K120/1000, 0)</f>
        <v>0</v>
      </c>
      <c r="L450" s="15">
        <f>IF(ISNUMBER('Klisz-Verbräuche'!M120), 'Klisz-Verbräuche'!M120*Emissionsfaktoren!L120/1000, 0)</f>
        <v>0</v>
      </c>
      <c r="M450" s="15">
        <f>IF(ISNUMBER('Klisz-Verbräuche'!N120), 'Klisz-Verbräuche'!N120*Emissionsfaktoren!M120/1000, 0)</f>
        <v>0</v>
      </c>
      <c r="N450" s="15">
        <f>IF(ISNUMBER('Klisz-Verbräuche'!O120), 'Klisz-Verbräuche'!O120*Emissionsfaktoren!N120/1000, 0)</f>
        <v>0</v>
      </c>
      <c r="O450" s="15">
        <f>IF(ISNUMBER('Klisz-Verbräuche'!P120), 'Klisz-Verbräuche'!P120*Emissionsfaktoren!O120/1000, 0)</f>
        <v>0</v>
      </c>
      <c r="P450" s="15">
        <f>IF(ISNUMBER('Klisz-Verbräuche'!Q120), 'Klisz-Verbräuche'!Q120*Emissionsfaktoren!P120/1000, 0)</f>
        <v>0</v>
      </c>
      <c r="Q450" s="15">
        <f>IF(ISNUMBER('Klisz-Verbräuche'!R120), 'Klisz-Verbräuche'!R120*Emissionsfaktoren!Q120/1000, 0)</f>
        <v>0</v>
      </c>
      <c r="R450" s="15">
        <f>IF(ISNUMBER('Klisz-Verbräuche'!S120), 'Klisz-Verbräuche'!S120*Emissionsfaktoren!R120/1000, 0)</f>
        <v>0</v>
      </c>
      <c r="S450" s="15">
        <f>IF(ISNUMBER('Klisz-Verbräuche'!T120), 'Klisz-Verbräuche'!T120*Emissionsfaktoren!S120/1000, 0)</f>
        <v>0</v>
      </c>
      <c r="T450" s="15">
        <f>IF(ISNUMBER('Klisz-Verbräuche'!U120), 'Klisz-Verbräuche'!U120*Emissionsfaktoren!T120/1000, 0)</f>
        <v>0</v>
      </c>
      <c r="U450" s="15">
        <f>IF(ISNUMBER('Klisz-Verbräuche'!V120), 'Klisz-Verbräuche'!V120*Emissionsfaktoren!U120/1000, 0)</f>
        <v>0</v>
      </c>
      <c r="V450" s="15">
        <f>IF(ISNUMBER('Klisz-Verbräuche'!W120), 'Klisz-Verbräuche'!W120*Emissionsfaktoren!V120/1000, 0)</f>
        <v>0</v>
      </c>
      <c r="W450" s="15">
        <f>IF(ISNUMBER('Klisz-Verbräuche'!X120), 'Klisz-Verbräuche'!X120*Emissionsfaktoren!W120/1000, 0)</f>
        <v>0</v>
      </c>
      <c r="X450" s="15">
        <f>IF(ISNUMBER('Klisz-Verbräuche'!Y120), 'Klisz-Verbräuche'!Y120*Emissionsfaktoren!X120/1000, 0)</f>
        <v>0</v>
      </c>
    </row>
    <row r="451" spans="2:24" ht="16.5" hidden="1" x14ac:dyDescent="0.45">
      <c r="B451" s="15">
        <v>62</v>
      </c>
      <c r="C451" s="20" t="str">
        <f>'Refsz-Verbräuche'!C121</f>
        <v>Exkursionen - Privater PKW (alle Antriebsarten)</v>
      </c>
      <c r="D451" t="s">
        <v>208</v>
      </c>
      <c r="E451" s="15">
        <f>IF(ISNUMBER('Klisz-Verbräuche'!F121), 'Klisz-Verbräuche'!F121*Emissionsfaktoren!E121/1000, 0)</f>
        <v>0</v>
      </c>
      <c r="F451" s="15">
        <f>IF(ISNUMBER('Klisz-Verbräuche'!G121), 'Klisz-Verbräuche'!G121*Emissionsfaktoren!F121/1000, 0)</f>
        <v>0</v>
      </c>
      <c r="G451" s="15">
        <f>IF(ISNUMBER('Klisz-Verbräuche'!H121), 'Klisz-Verbräuche'!H121*Emissionsfaktoren!G121/1000, 0)</f>
        <v>0</v>
      </c>
      <c r="H451" s="15">
        <f>IF(ISNUMBER('Klisz-Verbräuche'!I121), 'Klisz-Verbräuche'!I121*Emissionsfaktoren!H121/1000, 0)</f>
        <v>0</v>
      </c>
      <c r="I451" s="15">
        <f>IF(ISNUMBER('Klisz-Verbräuche'!J121), 'Klisz-Verbräuche'!J121*Emissionsfaktoren!I121/1000, 0)</f>
        <v>0</v>
      </c>
      <c r="J451" s="15">
        <f>IF(ISNUMBER('Klisz-Verbräuche'!K121), 'Klisz-Verbräuche'!K121*Emissionsfaktoren!J121/1000, 0)</f>
        <v>0</v>
      </c>
      <c r="K451" s="15">
        <f>IF(ISNUMBER('Klisz-Verbräuche'!L121), 'Klisz-Verbräuche'!L121*Emissionsfaktoren!K121/1000, 0)</f>
        <v>0</v>
      </c>
      <c r="L451" s="15">
        <f>IF(ISNUMBER('Klisz-Verbräuche'!M121), 'Klisz-Verbräuche'!M121*Emissionsfaktoren!L121/1000, 0)</f>
        <v>0</v>
      </c>
      <c r="M451" s="15">
        <f>IF(ISNUMBER('Klisz-Verbräuche'!N121), 'Klisz-Verbräuche'!N121*Emissionsfaktoren!M121/1000, 0)</f>
        <v>0</v>
      </c>
      <c r="N451" s="15">
        <f>IF(ISNUMBER('Klisz-Verbräuche'!O121), 'Klisz-Verbräuche'!O121*Emissionsfaktoren!N121/1000, 0)</f>
        <v>0</v>
      </c>
      <c r="O451" s="15">
        <f>IF(ISNUMBER('Klisz-Verbräuche'!P121), 'Klisz-Verbräuche'!P121*Emissionsfaktoren!O121/1000, 0)</f>
        <v>0</v>
      </c>
      <c r="P451" s="15">
        <f>IF(ISNUMBER('Klisz-Verbräuche'!Q121), 'Klisz-Verbräuche'!Q121*Emissionsfaktoren!P121/1000, 0)</f>
        <v>0</v>
      </c>
      <c r="Q451" s="15">
        <f>IF(ISNUMBER('Klisz-Verbräuche'!R121), 'Klisz-Verbräuche'!R121*Emissionsfaktoren!Q121/1000, 0)</f>
        <v>0</v>
      </c>
      <c r="R451" s="15">
        <f>IF(ISNUMBER('Klisz-Verbräuche'!S121), 'Klisz-Verbräuche'!S121*Emissionsfaktoren!R121/1000, 0)</f>
        <v>0</v>
      </c>
      <c r="S451" s="15">
        <f>IF(ISNUMBER('Klisz-Verbräuche'!T121), 'Klisz-Verbräuche'!T121*Emissionsfaktoren!S121/1000, 0)</f>
        <v>0</v>
      </c>
      <c r="T451" s="15">
        <f>IF(ISNUMBER('Klisz-Verbräuche'!U121), 'Klisz-Verbräuche'!U121*Emissionsfaktoren!T121/1000, 0)</f>
        <v>0</v>
      </c>
      <c r="U451" s="15">
        <f>IF(ISNUMBER('Klisz-Verbräuche'!V121), 'Klisz-Verbräuche'!V121*Emissionsfaktoren!U121/1000, 0)</f>
        <v>0</v>
      </c>
      <c r="V451" s="15">
        <f>IF(ISNUMBER('Klisz-Verbräuche'!W121), 'Klisz-Verbräuche'!W121*Emissionsfaktoren!V121/1000, 0)</f>
        <v>0</v>
      </c>
      <c r="W451" s="15">
        <f>IF(ISNUMBER('Klisz-Verbräuche'!X121), 'Klisz-Verbräuche'!X121*Emissionsfaktoren!W121/1000, 0)</f>
        <v>0</v>
      </c>
      <c r="X451" s="15">
        <f>IF(ISNUMBER('Klisz-Verbräuche'!Y121), 'Klisz-Verbräuche'!Y121*Emissionsfaktoren!X121/1000, 0)</f>
        <v>0</v>
      </c>
    </row>
    <row r="452" spans="2:24" ht="16.5" hidden="1" x14ac:dyDescent="0.45">
      <c r="B452" s="15">
        <v>63</v>
      </c>
      <c r="C452" s="20">
        <f>'Refsz-Verbräuche'!C122</f>
        <v>0</v>
      </c>
      <c r="D452" t="s">
        <v>208</v>
      </c>
      <c r="E452" s="15">
        <f>IF(ISNUMBER('Klisz-Verbräuche'!F122), 'Klisz-Verbräuche'!F122*Emissionsfaktoren!E122/1000, 0)</f>
        <v>0</v>
      </c>
      <c r="F452" s="15">
        <f>IF(ISNUMBER('Klisz-Verbräuche'!G122), 'Klisz-Verbräuche'!G122*Emissionsfaktoren!F122/1000, 0)</f>
        <v>0</v>
      </c>
      <c r="G452" s="15">
        <f>IF(ISNUMBER('Klisz-Verbräuche'!H122), 'Klisz-Verbräuche'!H122*Emissionsfaktoren!G122/1000, 0)</f>
        <v>0</v>
      </c>
      <c r="H452" s="15">
        <f>IF(ISNUMBER('Klisz-Verbräuche'!I122), 'Klisz-Verbräuche'!I122*Emissionsfaktoren!H122/1000, 0)</f>
        <v>0</v>
      </c>
      <c r="I452" s="15">
        <f>IF(ISNUMBER('Klisz-Verbräuche'!J122), 'Klisz-Verbräuche'!J122*Emissionsfaktoren!I122/1000, 0)</f>
        <v>0</v>
      </c>
      <c r="J452" s="15">
        <f>IF(ISNUMBER('Klisz-Verbräuche'!K122), 'Klisz-Verbräuche'!K122*Emissionsfaktoren!J122/1000, 0)</f>
        <v>0</v>
      </c>
      <c r="K452" s="15">
        <f>IF(ISNUMBER('Klisz-Verbräuche'!L122), 'Klisz-Verbräuche'!L122*Emissionsfaktoren!K122/1000, 0)</f>
        <v>0</v>
      </c>
      <c r="L452" s="15">
        <f>IF(ISNUMBER('Klisz-Verbräuche'!M122), 'Klisz-Verbräuche'!M122*Emissionsfaktoren!L122/1000, 0)</f>
        <v>0</v>
      </c>
      <c r="M452" s="15">
        <f>IF(ISNUMBER('Klisz-Verbräuche'!N122), 'Klisz-Verbräuche'!N122*Emissionsfaktoren!M122/1000, 0)</f>
        <v>0</v>
      </c>
      <c r="N452" s="15">
        <f>IF(ISNUMBER('Klisz-Verbräuche'!O122), 'Klisz-Verbräuche'!O122*Emissionsfaktoren!N122/1000, 0)</f>
        <v>0</v>
      </c>
      <c r="O452" s="15">
        <f>IF(ISNUMBER('Klisz-Verbräuche'!P122), 'Klisz-Verbräuche'!P122*Emissionsfaktoren!O122/1000, 0)</f>
        <v>0</v>
      </c>
      <c r="P452" s="15">
        <f>IF(ISNUMBER('Klisz-Verbräuche'!Q122), 'Klisz-Verbräuche'!Q122*Emissionsfaktoren!P122/1000, 0)</f>
        <v>0</v>
      </c>
      <c r="Q452" s="15">
        <f>IF(ISNUMBER('Klisz-Verbräuche'!R122), 'Klisz-Verbräuche'!R122*Emissionsfaktoren!Q122/1000, 0)</f>
        <v>0</v>
      </c>
      <c r="R452" s="15">
        <f>IF(ISNUMBER('Klisz-Verbräuche'!S122), 'Klisz-Verbräuche'!S122*Emissionsfaktoren!R122/1000, 0)</f>
        <v>0</v>
      </c>
      <c r="S452" s="15">
        <f>IF(ISNUMBER('Klisz-Verbräuche'!T122), 'Klisz-Verbräuche'!T122*Emissionsfaktoren!S122/1000, 0)</f>
        <v>0</v>
      </c>
      <c r="T452" s="15">
        <f>IF(ISNUMBER('Klisz-Verbräuche'!U122), 'Klisz-Verbräuche'!U122*Emissionsfaktoren!T122/1000, 0)</f>
        <v>0</v>
      </c>
      <c r="U452" s="15">
        <f>IF(ISNUMBER('Klisz-Verbräuche'!V122), 'Klisz-Verbräuche'!V122*Emissionsfaktoren!U122/1000, 0)</f>
        <v>0</v>
      </c>
      <c r="V452" s="15">
        <f>IF(ISNUMBER('Klisz-Verbräuche'!W122), 'Klisz-Verbräuche'!W122*Emissionsfaktoren!V122/1000, 0)</f>
        <v>0</v>
      </c>
      <c r="W452" s="15">
        <f>IF(ISNUMBER('Klisz-Verbräuche'!X122), 'Klisz-Verbräuche'!X122*Emissionsfaktoren!W122/1000, 0)</f>
        <v>0</v>
      </c>
      <c r="X452" s="15">
        <f>IF(ISNUMBER('Klisz-Verbräuche'!Y122), 'Klisz-Verbräuche'!Y122*Emissionsfaktoren!X122/1000, 0)</f>
        <v>0</v>
      </c>
    </row>
    <row r="453" spans="2:24" ht="16.5" hidden="1" x14ac:dyDescent="0.45">
      <c r="B453" s="15">
        <v>64</v>
      </c>
      <c r="C453" s="20" t="str">
        <f>'Refsz-Verbräuche'!C123</f>
        <v>Pendeln - Eisenbahn (Fernverkehr)</v>
      </c>
      <c r="D453" t="s">
        <v>208</v>
      </c>
      <c r="E453" s="15">
        <f>IF(ISNUMBER('Klisz-Verbräuche'!F123), 'Klisz-Verbräuche'!F123*Emissionsfaktoren!E123/1000, 0)</f>
        <v>0</v>
      </c>
      <c r="F453" s="15">
        <f>IF(ISNUMBER('Klisz-Verbräuche'!G123), 'Klisz-Verbräuche'!G123*Emissionsfaktoren!F123/1000, 0)</f>
        <v>0</v>
      </c>
      <c r="G453" s="15">
        <f>IF(ISNUMBER('Klisz-Verbräuche'!H123), 'Klisz-Verbräuche'!H123*Emissionsfaktoren!G123/1000, 0)</f>
        <v>0</v>
      </c>
      <c r="H453" s="15">
        <f>IF(ISNUMBER('Klisz-Verbräuche'!I123), 'Klisz-Verbräuche'!I123*Emissionsfaktoren!H123/1000, 0)</f>
        <v>0</v>
      </c>
      <c r="I453" s="15">
        <f>IF(ISNUMBER('Klisz-Verbräuche'!J123), 'Klisz-Verbräuche'!J123*Emissionsfaktoren!I123/1000, 0)</f>
        <v>0</v>
      </c>
      <c r="J453" s="15">
        <f>IF(ISNUMBER('Klisz-Verbräuche'!K123), 'Klisz-Verbräuche'!K123*Emissionsfaktoren!J123/1000, 0)</f>
        <v>0</v>
      </c>
      <c r="K453" s="15">
        <f>IF(ISNUMBER('Klisz-Verbräuche'!L123), 'Klisz-Verbräuche'!L123*Emissionsfaktoren!K123/1000, 0)</f>
        <v>0</v>
      </c>
      <c r="L453" s="15">
        <f>IF(ISNUMBER('Klisz-Verbräuche'!M123), 'Klisz-Verbräuche'!M123*Emissionsfaktoren!L123/1000, 0)</f>
        <v>0</v>
      </c>
      <c r="M453" s="15">
        <f>IF(ISNUMBER('Klisz-Verbräuche'!N123), 'Klisz-Verbräuche'!N123*Emissionsfaktoren!M123/1000, 0)</f>
        <v>0</v>
      </c>
      <c r="N453" s="15">
        <f>IF(ISNUMBER('Klisz-Verbräuche'!O123), 'Klisz-Verbräuche'!O123*Emissionsfaktoren!N123/1000, 0)</f>
        <v>0</v>
      </c>
      <c r="O453" s="15">
        <f>IF(ISNUMBER('Klisz-Verbräuche'!P123), 'Klisz-Verbräuche'!P123*Emissionsfaktoren!O123/1000, 0)</f>
        <v>0</v>
      </c>
      <c r="P453" s="15">
        <f>IF(ISNUMBER('Klisz-Verbräuche'!Q123), 'Klisz-Verbräuche'!Q123*Emissionsfaktoren!P123/1000, 0)</f>
        <v>0</v>
      </c>
      <c r="Q453" s="15">
        <f>IF(ISNUMBER('Klisz-Verbräuche'!R123), 'Klisz-Verbräuche'!R123*Emissionsfaktoren!Q123/1000, 0)</f>
        <v>0</v>
      </c>
      <c r="R453" s="15">
        <f>IF(ISNUMBER('Klisz-Verbräuche'!S123), 'Klisz-Verbräuche'!S123*Emissionsfaktoren!R123/1000, 0)</f>
        <v>0</v>
      </c>
      <c r="S453" s="15">
        <f>IF(ISNUMBER('Klisz-Verbräuche'!T123), 'Klisz-Verbräuche'!T123*Emissionsfaktoren!S123/1000, 0)</f>
        <v>0</v>
      </c>
      <c r="T453" s="15">
        <f>IF(ISNUMBER('Klisz-Verbräuche'!U123), 'Klisz-Verbräuche'!U123*Emissionsfaktoren!T123/1000, 0)</f>
        <v>0</v>
      </c>
      <c r="U453" s="15">
        <f>IF(ISNUMBER('Klisz-Verbräuche'!V123), 'Klisz-Verbräuche'!V123*Emissionsfaktoren!U123/1000, 0)</f>
        <v>0</v>
      </c>
      <c r="V453" s="15">
        <f>IF(ISNUMBER('Klisz-Verbräuche'!W123), 'Klisz-Verbräuche'!W123*Emissionsfaktoren!V123/1000, 0)</f>
        <v>0</v>
      </c>
      <c r="W453" s="15">
        <f>IF(ISNUMBER('Klisz-Verbräuche'!X123), 'Klisz-Verbräuche'!X123*Emissionsfaktoren!W123/1000, 0)</f>
        <v>0</v>
      </c>
      <c r="X453" s="15">
        <f>IF(ISNUMBER('Klisz-Verbräuche'!Y123), 'Klisz-Verbräuche'!Y123*Emissionsfaktoren!X123/1000, 0)</f>
        <v>0</v>
      </c>
    </row>
    <row r="454" spans="2:24" ht="16.5" hidden="1" x14ac:dyDescent="0.45">
      <c r="B454" s="15">
        <v>65</v>
      </c>
      <c r="C454" s="20" t="str">
        <f>'Refsz-Verbräuche'!C124</f>
        <v>Pendeln - Eisenbahn (Nahverkehr)</v>
      </c>
      <c r="D454" t="s">
        <v>208</v>
      </c>
      <c r="E454" s="15">
        <f>IF(ISNUMBER('Klisz-Verbräuche'!F124), 'Klisz-Verbräuche'!F124*Emissionsfaktoren!E124/1000, 0)</f>
        <v>0</v>
      </c>
      <c r="F454" s="15">
        <f>IF(ISNUMBER('Klisz-Verbräuche'!G124), 'Klisz-Verbräuche'!G124*Emissionsfaktoren!F124/1000, 0)</f>
        <v>0</v>
      </c>
      <c r="G454" s="15">
        <f>IF(ISNUMBER('Klisz-Verbräuche'!H124), 'Klisz-Verbräuche'!H124*Emissionsfaktoren!G124/1000, 0)</f>
        <v>0</v>
      </c>
      <c r="H454" s="15">
        <f>IF(ISNUMBER('Klisz-Verbräuche'!I124), 'Klisz-Verbräuche'!I124*Emissionsfaktoren!H124/1000, 0)</f>
        <v>0</v>
      </c>
      <c r="I454" s="15">
        <f>IF(ISNUMBER('Klisz-Verbräuche'!J124), 'Klisz-Verbräuche'!J124*Emissionsfaktoren!I124/1000, 0)</f>
        <v>0</v>
      </c>
      <c r="J454" s="15">
        <f>IF(ISNUMBER('Klisz-Verbräuche'!K124), 'Klisz-Verbräuche'!K124*Emissionsfaktoren!J124/1000, 0)</f>
        <v>0</v>
      </c>
      <c r="K454" s="15">
        <f>IF(ISNUMBER('Klisz-Verbräuche'!L124), 'Klisz-Verbräuche'!L124*Emissionsfaktoren!K124/1000, 0)</f>
        <v>0</v>
      </c>
      <c r="L454" s="15">
        <f>IF(ISNUMBER('Klisz-Verbräuche'!M124), 'Klisz-Verbräuche'!M124*Emissionsfaktoren!L124/1000, 0)</f>
        <v>0</v>
      </c>
      <c r="M454" s="15">
        <f>IF(ISNUMBER('Klisz-Verbräuche'!N124), 'Klisz-Verbräuche'!N124*Emissionsfaktoren!M124/1000, 0)</f>
        <v>0</v>
      </c>
      <c r="N454" s="15">
        <f>IF(ISNUMBER('Klisz-Verbräuche'!O124), 'Klisz-Verbräuche'!O124*Emissionsfaktoren!N124/1000, 0)</f>
        <v>0</v>
      </c>
      <c r="O454" s="15">
        <f>IF(ISNUMBER('Klisz-Verbräuche'!P124), 'Klisz-Verbräuche'!P124*Emissionsfaktoren!O124/1000, 0)</f>
        <v>0</v>
      </c>
      <c r="P454" s="15">
        <f>IF(ISNUMBER('Klisz-Verbräuche'!Q124), 'Klisz-Verbräuche'!Q124*Emissionsfaktoren!P124/1000, 0)</f>
        <v>0</v>
      </c>
      <c r="Q454" s="15">
        <f>IF(ISNUMBER('Klisz-Verbräuche'!R124), 'Klisz-Verbräuche'!R124*Emissionsfaktoren!Q124/1000, 0)</f>
        <v>0</v>
      </c>
      <c r="R454" s="15">
        <f>IF(ISNUMBER('Klisz-Verbräuche'!S124), 'Klisz-Verbräuche'!S124*Emissionsfaktoren!R124/1000, 0)</f>
        <v>0</v>
      </c>
      <c r="S454" s="15">
        <f>IF(ISNUMBER('Klisz-Verbräuche'!T124), 'Klisz-Verbräuche'!T124*Emissionsfaktoren!S124/1000, 0)</f>
        <v>0</v>
      </c>
      <c r="T454" s="15">
        <f>IF(ISNUMBER('Klisz-Verbräuche'!U124), 'Klisz-Verbräuche'!U124*Emissionsfaktoren!T124/1000, 0)</f>
        <v>0</v>
      </c>
      <c r="U454" s="15">
        <f>IF(ISNUMBER('Klisz-Verbräuche'!V124), 'Klisz-Verbräuche'!V124*Emissionsfaktoren!U124/1000, 0)</f>
        <v>0</v>
      </c>
      <c r="V454" s="15">
        <f>IF(ISNUMBER('Klisz-Verbräuche'!W124), 'Klisz-Verbräuche'!W124*Emissionsfaktoren!V124/1000, 0)</f>
        <v>0</v>
      </c>
      <c r="W454" s="15">
        <f>IF(ISNUMBER('Klisz-Verbräuche'!X124), 'Klisz-Verbräuche'!X124*Emissionsfaktoren!W124/1000, 0)</f>
        <v>0</v>
      </c>
      <c r="X454" s="15">
        <f>IF(ISNUMBER('Klisz-Verbräuche'!Y124), 'Klisz-Verbräuche'!Y124*Emissionsfaktoren!X124/1000, 0)</f>
        <v>0</v>
      </c>
    </row>
    <row r="455" spans="2:24" ht="16.5" hidden="1" x14ac:dyDescent="0.45">
      <c r="B455" s="15">
        <v>66</v>
      </c>
      <c r="C455" s="20" t="str">
        <f>'Refsz-Verbräuche'!C125</f>
        <v>Pendeln - Linienbus (Nahverkehr)</v>
      </c>
      <c r="D455" t="s">
        <v>208</v>
      </c>
      <c r="E455" s="15">
        <f>IF(ISNUMBER('Klisz-Verbräuche'!F125), 'Klisz-Verbräuche'!F125*Emissionsfaktoren!E125/1000, 0)</f>
        <v>0</v>
      </c>
      <c r="F455" s="15">
        <f>IF(ISNUMBER('Klisz-Verbräuche'!G125), 'Klisz-Verbräuche'!G125*Emissionsfaktoren!F125/1000, 0)</f>
        <v>0</v>
      </c>
      <c r="G455" s="15">
        <f>IF(ISNUMBER('Klisz-Verbräuche'!H125), 'Klisz-Verbräuche'!H125*Emissionsfaktoren!G125/1000, 0)</f>
        <v>0</v>
      </c>
      <c r="H455" s="15">
        <f>IF(ISNUMBER('Klisz-Verbräuche'!I125), 'Klisz-Verbräuche'!I125*Emissionsfaktoren!H125/1000, 0)</f>
        <v>0</v>
      </c>
      <c r="I455" s="15">
        <f>IF(ISNUMBER('Klisz-Verbräuche'!J125), 'Klisz-Verbräuche'!J125*Emissionsfaktoren!I125/1000, 0)</f>
        <v>0</v>
      </c>
      <c r="J455" s="15">
        <f>IF(ISNUMBER('Klisz-Verbräuche'!K125), 'Klisz-Verbräuche'!K125*Emissionsfaktoren!J125/1000, 0)</f>
        <v>0</v>
      </c>
      <c r="K455" s="15">
        <f>IF(ISNUMBER('Klisz-Verbräuche'!L125), 'Klisz-Verbräuche'!L125*Emissionsfaktoren!K125/1000, 0)</f>
        <v>0</v>
      </c>
      <c r="L455" s="15">
        <f>IF(ISNUMBER('Klisz-Verbräuche'!M125), 'Klisz-Verbräuche'!M125*Emissionsfaktoren!L125/1000, 0)</f>
        <v>0</v>
      </c>
      <c r="M455" s="15">
        <f>IF(ISNUMBER('Klisz-Verbräuche'!N125), 'Klisz-Verbräuche'!N125*Emissionsfaktoren!M125/1000, 0)</f>
        <v>0</v>
      </c>
      <c r="N455" s="15">
        <f>IF(ISNUMBER('Klisz-Verbräuche'!O125), 'Klisz-Verbräuche'!O125*Emissionsfaktoren!N125/1000, 0)</f>
        <v>0</v>
      </c>
      <c r="O455" s="15">
        <f>IF(ISNUMBER('Klisz-Verbräuche'!P125), 'Klisz-Verbräuche'!P125*Emissionsfaktoren!O125/1000, 0)</f>
        <v>0</v>
      </c>
      <c r="P455" s="15">
        <f>IF(ISNUMBER('Klisz-Verbräuche'!Q125), 'Klisz-Verbräuche'!Q125*Emissionsfaktoren!P125/1000, 0)</f>
        <v>0</v>
      </c>
      <c r="Q455" s="15">
        <f>IF(ISNUMBER('Klisz-Verbräuche'!R125), 'Klisz-Verbräuche'!R125*Emissionsfaktoren!Q125/1000, 0)</f>
        <v>0</v>
      </c>
      <c r="R455" s="15">
        <f>IF(ISNUMBER('Klisz-Verbräuche'!S125), 'Klisz-Verbräuche'!S125*Emissionsfaktoren!R125/1000, 0)</f>
        <v>0</v>
      </c>
      <c r="S455" s="15">
        <f>IF(ISNUMBER('Klisz-Verbräuche'!T125), 'Klisz-Verbräuche'!T125*Emissionsfaktoren!S125/1000, 0)</f>
        <v>0</v>
      </c>
      <c r="T455" s="15">
        <f>IF(ISNUMBER('Klisz-Verbräuche'!U125), 'Klisz-Verbräuche'!U125*Emissionsfaktoren!T125/1000, 0)</f>
        <v>0</v>
      </c>
      <c r="U455" s="15">
        <f>IF(ISNUMBER('Klisz-Verbräuche'!V125), 'Klisz-Verbräuche'!V125*Emissionsfaktoren!U125/1000, 0)</f>
        <v>0</v>
      </c>
      <c r="V455" s="15">
        <f>IF(ISNUMBER('Klisz-Verbräuche'!W125), 'Klisz-Verbräuche'!W125*Emissionsfaktoren!V125/1000, 0)</f>
        <v>0</v>
      </c>
      <c r="W455" s="15">
        <f>IF(ISNUMBER('Klisz-Verbräuche'!X125), 'Klisz-Verbräuche'!X125*Emissionsfaktoren!W125/1000, 0)</f>
        <v>0</v>
      </c>
      <c r="X455" s="15">
        <f>IF(ISNUMBER('Klisz-Verbräuche'!Y125), 'Klisz-Verbräuche'!Y125*Emissionsfaktoren!X125/1000, 0)</f>
        <v>0</v>
      </c>
    </row>
    <row r="456" spans="2:24" ht="16.5" hidden="1" x14ac:dyDescent="0.45">
      <c r="B456" s="15">
        <v>67</v>
      </c>
      <c r="C456" s="20" t="str">
        <f>'Refsz-Verbräuche'!C126</f>
        <v>Pendeln - PKW (alle Antriebsarten)</v>
      </c>
      <c r="D456" t="s">
        <v>208</v>
      </c>
      <c r="E456" s="15">
        <f>IF(ISNUMBER('Klisz-Verbräuche'!F126), 'Klisz-Verbräuche'!F126*Emissionsfaktoren!E126/1000, 0)</f>
        <v>0</v>
      </c>
      <c r="F456" s="15">
        <f>IF(ISNUMBER('Klisz-Verbräuche'!G126), 'Klisz-Verbräuche'!G126*Emissionsfaktoren!F126/1000, 0)</f>
        <v>0</v>
      </c>
      <c r="G456" s="15">
        <f>IF(ISNUMBER('Klisz-Verbräuche'!H126), 'Klisz-Verbräuche'!H126*Emissionsfaktoren!G126/1000, 0)</f>
        <v>0</v>
      </c>
      <c r="H456" s="15">
        <f>IF(ISNUMBER('Klisz-Verbräuche'!I126), 'Klisz-Verbräuche'!I126*Emissionsfaktoren!H126/1000, 0)</f>
        <v>0</v>
      </c>
      <c r="I456" s="15">
        <f>IF(ISNUMBER('Klisz-Verbräuche'!J126), 'Klisz-Verbräuche'!J126*Emissionsfaktoren!I126/1000, 0)</f>
        <v>0</v>
      </c>
      <c r="J456" s="15">
        <f>IF(ISNUMBER('Klisz-Verbräuche'!K126), 'Klisz-Verbräuche'!K126*Emissionsfaktoren!J126/1000, 0)</f>
        <v>0</v>
      </c>
      <c r="K456" s="15">
        <f>IF(ISNUMBER('Klisz-Verbräuche'!L126), 'Klisz-Verbräuche'!L126*Emissionsfaktoren!K126/1000, 0)</f>
        <v>0</v>
      </c>
      <c r="L456" s="15">
        <f>IF(ISNUMBER('Klisz-Verbräuche'!M126), 'Klisz-Verbräuche'!M126*Emissionsfaktoren!L126/1000, 0)</f>
        <v>0</v>
      </c>
      <c r="M456" s="15">
        <f>IF(ISNUMBER('Klisz-Verbräuche'!N126), 'Klisz-Verbräuche'!N126*Emissionsfaktoren!M126/1000, 0)</f>
        <v>0</v>
      </c>
      <c r="N456" s="15">
        <f>IF(ISNUMBER('Klisz-Verbräuche'!O126), 'Klisz-Verbräuche'!O126*Emissionsfaktoren!N126/1000, 0)</f>
        <v>0</v>
      </c>
      <c r="O456" s="15">
        <f>IF(ISNUMBER('Klisz-Verbräuche'!P126), 'Klisz-Verbräuche'!P126*Emissionsfaktoren!O126/1000, 0)</f>
        <v>0</v>
      </c>
      <c r="P456" s="15">
        <f>IF(ISNUMBER('Klisz-Verbräuche'!Q126), 'Klisz-Verbräuche'!Q126*Emissionsfaktoren!P126/1000, 0)</f>
        <v>0</v>
      </c>
      <c r="Q456" s="15">
        <f>IF(ISNUMBER('Klisz-Verbräuche'!R126), 'Klisz-Verbräuche'!R126*Emissionsfaktoren!Q126/1000, 0)</f>
        <v>0</v>
      </c>
      <c r="R456" s="15">
        <f>IF(ISNUMBER('Klisz-Verbräuche'!S126), 'Klisz-Verbräuche'!S126*Emissionsfaktoren!R126/1000, 0)</f>
        <v>0</v>
      </c>
      <c r="S456" s="15">
        <f>IF(ISNUMBER('Klisz-Verbräuche'!T126), 'Klisz-Verbräuche'!T126*Emissionsfaktoren!S126/1000, 0)</f>
        <v>0</v>
      </c>
      <c r="T456" s="15">
        <f>IF(ISNUMBER('Klisz-Verbräuche'!U126), 'Klisz-Verbräuche'!U126*Emissionsfaktoren!T126/1000, 0)</f>
        <v>0</v>
      </c>
      <c r="U456" s="15">
        <f>IF(ISNUMBER('Klisz-Verbräuche'!V126), 'Klisz-Verbräuche'!V126*Emissionsfaktoren!U126/1000, 0)</f>
        <v>0</v>
      </c>
      <c r="V456" s="15">
        <f>IF(ISNUMBER('Klisz-Verbräuche'!W126), 'Klisz-Verbräuche'!W126*Emissionsfaktoren!V126/1000, 0)</f>
        <v>0</v>
      </c>
      <c r="W456" s="15">
        <f>IF(ISNUMBER('Klisz-Verbräuche'!X126), 'Klisz-Verbräuche'!X126*Emissionsfaktoren!W126/1000, 0)</f>
        <v>0</v>
      </c>
      <c r="X456" s="15">
        <f>IF(ISNUMBER('Klisz-Verbräuche'!Y126), 'Klisz-Verbräuche'!Y126*Emissionsfaktoren!X126/1000, 0)</f>
        <v>0</v>
      </c>
    </row>
    <row r="457" spans="2:24" ht="16.5" hidden="1" x14ac:dyDescent="0.45">
      <c r="B457" s="15">
        <v>68</v>
      </c>
      <c r="C457" s="20" t="str">
        <f>'Refsz-Verbräuche'!C127</f>
        <v>Pendeln - PKW (Diesel)</v>
      </c>
      <c r="D457" t="s">
        <v>208</v>
      </c>
      <c r="E457" s="15">
        <f>IF(ISNUMBER('Klisz-Verbräuche'!F127), 'Klisz-Verbräuche'!F127*Emissionsfaktoren!E127/1000, 0)</f>
        <v>0</v>
      </c>
      <c r="F457" s="15">
        <f>IF(ISNUMBER('Klisz-Verbräuche'!G127), 'Klisz-Verbräuche'!G127*Emissionsfaktoren!F127/1000, 0)</f>
        <v>0</v>
      </c>
      <c r="G457" s="15">
        <f>IF(ISNUMBER('Klisz-Verbräuche'!H127), 'Klisz-Verbräuche'!H127*Emissionsfaktoren!G127/1000, 0)</f>
        <v>0</v>
      </c>
      <c r="H457" s="15">
        <f>IF(ISNUMBER('Klisz-Verbräuche'!I127), 'Klisz-Verbräuche'!I127*Emissionsfaktoren!H127/1000, 0)</f>
        <v>0</v>
      </c>
      <c r="I457" s="15">
        <f>IF(ISNUMBER('Klisz-Verbräuche'!J127), 'Klisz-Verbräuche'!J127*Emissionsfaktoren!I127/1000, 0)</f>
        <v>0</v>
      </c>
      <c r="J457" s="15">
        <f>IF(ISNUMBER('Klisz-Verbräuche'!K127), 'Klisz-Verbräuche'!K127*Emissionsfaktoren!J127/1000, 0)</f>
        <v>0</v>
      </c>
      <c r="K457" s="15">
        <f>IF(ISNUMBER('Klisz-Verbräuche'!L127), 'Klisz-Verbräuche'!L127*Emissionsfaktoren!K127/1000, 0)</f>
        <v>0</v>
      </c>
      <c r="L457" s="15">
        <f>IF(ISNUMBER('Klisz-Verbräuche'!M127), 'Klisz-Verbräuche'!M127*Emissionsfaktoren!L127/1000, 0)</f>
        <v>0</v>
      </c>
      <c r="M457" s="15">
        <f>IF(ISNUMBER('Klisz-Verbräuche'!N127), 'Klisz-Verbräuche'!N127*Emissionsfaktoren!M127/1000, 0)</f>
        <v>0</v>
      </c>
      <c r="N457" s="15">
        <f>IF(ISNUMBER('Klisz-Verbräuche'!O127), 'Klisz-Verbräuche'!O127*Emissionsfaktoren!N127/1000, 0)</f>
        <v>0</v>
      </c>
      <c r="O457" s="15">
        <f>IF(ISNUMBER('Klisz-Verbräuche'!P127), 'Klisz-Verbräuche'!P127*Emissionsfaktoren!O127/1000, 0)</f>
        <v>0</v>
      </c>
      <c r="P457" s="15">
        <f>IF(ISNUMBER('Klisz-Verbräuche'!Q127), 'Klisz-Verbräuche'!Q127*Emissionsfaktoren!P127/1000, 0)</f>
        <v>0</v>
      </c>
      <c r="Q457" s="15">
        <f>IF(ISNUMBER('Klisz-Verbräuche'!R127), 'Klisz-Verbräuche'!R127*Emissionsfaktoren!Q127/1000, 0)</f>
        <v>0</v>
      </c>
      <c r="R457" s="15">
        <f>IF(ISNUMBER('Klisz-Verbräuche'!S127), 'Klisz-Verbräuche'!S127*Emissionsfaktoren!R127/1000, 0)</f>
        <v>0</v>
      </c>
      <c r="S457" s="15">
        <f>IF(ISNUMBER('Klisz-Verbräuche'!T127), 'Klisz-Verbräuche'!T127*Emissionsfaktoren!S127/1000, 0)</f>
        <v>0</v>
      </c>
      <c r="T457" s="15">
        <f>IF(ISNUMBER('Klisz-Verbräuche'!U127), 'Klisz-Verbräuche'!U127*Emissionsfaktoren!T127/1000, 0)</f>
        <v>0</v>
      </c>
      <c r="U457" s="15">
        <f>IF(ISNUMBER('Klisz-Verbräuche'!V127), 'Klisz-Verbräuche'!V127*Emissionsfaktoren!U127/1000, 0)</f>
        <v>0</v>
      </c>
      <c r="V457" s="15">
        <f>IF(ISNUMBER('Klisz-Verbräuche'!W127), 'Klisz-Verbräuche'!W127*Emissionsfaktoren!V127/1000, 0)</f>
        <v>0</v>
      </c>
      <c r="W457" s="15">
        <f>IF(ISNUMBER('Klisz-Verbräuche'!X127), 'Klisz-Verbräuche'!X127*Emissionsfaktoren!W127/1000, 0)</f>
        <v>0</v>
      </c>
      <c r="X457" s="15">
        <f>IF(ISNUMBER('Klisz-Verbräuche'!Y127), 'Klisz-Verbräuche'!Y127*Emissionsfaktoren!X127/1000, 0)</f>
        <v>0</v>
      </c>
    </row>
    <row r="458" spans="2:24" ht="16.5" hidden="1" x14ac:dyDescent="0.45">
      <c r="B458" s="15">
        <v>69</v>
      </c>
      <c r="C458" s="20" t="str">
        <f>'Refsz-Verbräuche'!C128</f>
        <v>Pendeln - PKW (Benzin)</v>
      </c>
      <c r="D458" t="s">
        <v>208</v>
      </c>
      <c r="E458" s="15">
        <f>IF(ISNUMBER('Klisz-Verbräuche'!F128), 'Klisz-Verbräuche'!F128*Emissionsfaktoren!E128/1000, 0)</f>
        <v>0</v>
      </c>
      <c r="F458" s="15">
        <f>IF(ISNUMBER('Klisz-Verbräuche'!G128), 'Klisz-Verbräuche'!G128*Emissionsfaktoren!F128/1000, 0)</f>
        <v>0</v>
      </c>
      <c r="G458" s="15">
        <f>IF(ISNUMBER('Klisz-Verbräuche'!H128), 'Klisz-Verbräuche'!H128*Emissionsfaktoren!G128/1000, 0)</f>
        <v>0</v>
      </c>
      <c r="H458" s="15">
        <f>IF(ISNUMBER('Klisz-Verbräuche'!I128), 'Klisz-Verbräuche'!I128*Emissionsfaktoren!H128/1000, 0)</f>
        <v>0</v>
      </c>
      <c r="I458" s="15">
        <f>IF(ISNUMBER('Klisz-Verbräuche'!J128), 'Klisz-Verbräuche'!J128*Emissionsfaktoren!I128/1000, 0)</f>
        <v>0</v>
      </c>
      <c r="J458" s="15">
        <f>IF(ISNUMBER('Klisz-Verbräuche'!K128), 'Klisz-Verbräuche'!K128*Emissionsfaktoren!J128/1000, 0)</f>
        <v>0</v>
      </c>
      <c r="K458" s="15">
        <f>IF(ISNUMBER('Klisz-Verbräuche'!L128), 'Klisz-Verbräuche'!L128*Emissionsfaktoren!K128/1000, 0)</f>
        <v>0</v>
      </c>
      <c r="L458" s="15">
        <f>IF(ISNUMBER('Klisz-Verbräuche'!M128), 'Klisz-Verbräuche'!M128*Emissionsfaktoren!L128/1000, 0)</f>
        <v>0</v>
      </c>
      <c r="M458" s="15">
        <f>IF(ISNUMBER('Klisz-Verbräuche'!N128), 'Klisz-Verbräuche'!N128*Emissionsfaktoren!M128/1000, 0)</f>
        <v>0</v>
      </c>
      <c r="N458" s="15">
        <f>IF(ISNUMBER('Klisz-Verbräuche'!O128), 'Klisz-Verbräuche'!O128*Emissionsfaktoren!N128/1000, 0)</f>
        <v>0</v>
      </c>
      <c r="O458" s="15">
        <f>IF(ISNUMBER('Klisz-Verbräuche'!P128), 'Klisz-Verbräuche'!P128*Emissionsfaktoren!O128/1000, 0)</f>
        <v>0</v>
      </c>
      <c r="P458" s="15">
        <f>IF(ISNUMBER('Klisz-Verbräuche'!Q128), 'Klisz-Verbräuche'!Q128*Emissionsfaktoren!P128/1000, 0)</f>
        <v>0</v>
      </c>
      <c r="Q458" s="15">
        <f>IF(ISNUMBER('Klisz-Verbräuche'!R128), 'Klisz-Verbräuche'!R128*Emissionsfaktoren!Q128/1000, 0)</f>
        <v>0</v>
      </c>
      <c r="R458" s="15">
        <f>IF(ISNUMBER('Klisz-Verbräuche'!S128), 'Klisz-Verbräuche'!S128*Emissionsfaktoren!R128/1000, 0)</f>
        <v>0</v>
      </c>
      <c r="S458" s="15">
        <f>IF(ISNUMBER('Klisz-Verbräuche'!T128), 'Klisz-Verbräuche'!T128*Emissionsfaktoren!S128/1000, 0)</f>
        <v>0</v>
      </c>
      <c r="T458" s="15">
        <f>IF(ISNUMBER('Klisz-Verbräuche'!U128), 'Klisz-Verbräuche'!U128*Emissionsfaktoren!T128/1000, 0)</f>
        <v>0</v>
      </c>
      <c r="U458" s="15">
        <f>IF(ISNUMBER('Klisz-Verbräuche'!V128), 'Klisz-Verbräuche'!V128*Emissionsfaktoren!U128/1000, 0)</f>
        <v>0</v>
      </c>
      <c r="V458" s="15">
        <f>IF(ISNUMBER('Klisz-Verbräuche'!W128), 'Klisz-Verbräuche'!W128*Emissionsfaktoren!V128/1000, 0)</f>
        <v>0</v>
      </c>
      <c r="W458" s="15">
        <f>IF(ISNUMBER('Klisz-Verbräuche'!X128), 'Klisz-Verbräuche'!X128*Emissionsfaktoren!W128/1000, 0)</f>
        <v>0</v>
      </c>
      <c r="X458" s="15">
        <f>IF(ISNUMBER('Klisz-Verbräuche'!Y128), 'Klisz-Verbräuche'!Y128*Emissionsfaktoren!X128/1000, 0)</f>
        <v>0</v>
      </c>
    </row>
    <row r="459" spans="2:24" ht="16.5" hidden="1" x14ac:dyDescent="0.45">
      <c r="B459" s="15">
        <v>70</v>
      </c>
      <c r="C459" s="20" t="str">
        <f>'Refsz-Verbräuche'!C129</f>
        <v>Pendeln - PKW (E-Auto/ BEV)</v>
      </c>
      <c r="D459" t="s">
        <v>208</v>
      </c>
      <c r="E459" s="15">
        <f>IF(ISNUMBER('Klisz-Verbräuche'!F129), 'Klisz-Verbräuche'!F129*Emissionsfaktoren!E129/1000, 0)</f>
        <v>0</v>
      </c>
      <c r="F459" s="15">
        <f>IF(ISNUMBER('Klisz-Verbräuche'!G129), 'Klisz-Verbräuche'!G129*Emissionsfaktoren!F129/1000, 0)</f>
        <v>0</v>
      </c>
      <c r="G459" s="15">
        <f>IF(ISNUMBER('Klisz-Verbräuche'!H129), 'Klisz-Verbräuche'!H129*Emissionsfaktoren!G129/1000, 0)</f>
        <v>0</v>
      </c>
      <c r="H459" s="15">
        <f>IF(ISNUMBER('Klisz-Verbräuche'!I129), 'Klisz-Verbräuche'!I129*Emissionsfaktoren!H129/1000, 0)</f>
        <v>0</v>
      </c>
      <c r="I459" s="15">
        <f>IF(ISNUMBER('Klisz-Verbräuche'!J129), 'Klisz-Verbräuche'!J129*Emissionsfaktoren!I129/1000, 0)</f>
        <v>0</v>
      </c>
      <c r="J459" s="15">
        <f>IF(ISNUMBER('Klisz-Verbräuche'!K129), 'Klisz-Verbräuche'!K129*Emissionsfaktoren!J129/1000, 0)</f>
        <v>0</v>
      </c>
      <c r="K459" s="15">
        <f>IF(ISNUMBER('Klisz-Verbräuche'!L129), 'Klisz-Verbräuche'!L129*Emissionsfaktoren!K129/1000, 0)</f>
        <v>0</v>
      </c>
      <c r="L459" s="15">
        <f>IF(ISNUMBER('Klisz-Verbräuche'!M129), 'Klisz-Verbräuche'!M129*Emissionsfaktoren!L129/1000, 0)</f>
        <v>0</v>
      </c>
      <c r="M459" s="15">
        <f>IF(ISNUMBER('Klisz-Verbräuche'!N129), 'Klisz-Verbräuche'!N129*Emissionsfaktoren!M129/1000, 0)</f>
        <v>0</v>
      </c>
      <c r="N459" s="15">
        <f>IF(ISNUMBER('Klisz-Verbräuche'!O129), 'Klisz-Verbräuche'!O129*Emissionsfaktoren!N129/1000, 0)</f>
        <v>0</v>
      </c>
      <c r="O459" s="15">
        <f>IF(ISNUMBER('Klisz-Verbräuche'!P129), 'Klisz-Verbräuche'!P129*Emissionsfaktoren!O129/1000, 0)</f>
        <v>0</v>
      </c>
      <c r="P459" s="15">
        <f>IF(ISNUMBER('Klisz-Verbräuche'!Q129), 'Klisz-Verbräuche'!Q129*Emissionsfaktoren!P129/1000, 0)</f>
        <v>0</v>
      </c>
      <c r="Q459" s="15">
        <f>IF(ISNUMBER('Klisz-Verbräuche'!R129), 'Klisz-Verbräuche'!R129*Emissionsfaktoren!Q129/1000, 0)</f>
        <v>0</v>
      </c>
      <c r="R459" s="15">
        <f>IF(ISNUMBER('Klisz-Verbräuche'!S129), 'Klisz-Verbräuche'!S129*Emissionsfaktoren!R129/1000, 0)</f>
        <v>0</v>
      </c>
      <c r="S459" s="15">
        <f>IF(ISNUMBER('Klisz-Verbräuche'!T129), 'Klisz-Verbräuche'!T129*Emissionsfaktoren!S129/1000, 0)</f>
        <v>0</v>
      </c>
      <c r="T459" s="15">
        <f>IF(ISNUMBER('Klisz-Verbräuche'!U129), 'Klisz-Verbräuche'!U129*Emissionsfaktoren!T129/1000, 0)</f>
        <v>0</v>
      </c>
      <c r="U459" s="15">
        <f>IF(ISNUMBER('Klisz-Verbräuche'!V129), 'Klisz-Verbräuche'!V129*Emissionsfaktoren!U129/1000, 0)</f>
        <v>0</v>
      </c>
      <c r="V459" s="15">
        <f>IF(ISNUMBER('Klisz-Verbräuche'!W129), 'Klisz-Verbräuche'!W129*Emissionsfaktoren!V129/1000, 0)</f>
        <v>0</v>
      </c>
      <c r="W459" s="15">
        <f>IF(ISNUMBER('Klisz-Verbräuche'!X129), 'Klisz-Verbräuche'!X129*Emissionsfaktoren!W129/1000, 0)</f>
        <v>0</v>
      </c>
      <c r="X459" s="15">
        <f>IF(ISNUMBER('Klisz-Verbräuche'!Y129), 'Klisz-Verbräuche'!Y129*Emissionsfaktoren!X129/1000, 0)</f>
        <v>0</v>
      </c>
    </row>
    <row r="460" spans="2:24" ht="16.5" hidden="1" x14ac:dyDescent="0.45">
      <c r="B460" s="15">
        <v>71</v>
      </c>
      <c r="C460" s="20" t="str">
        <f>'Refsz-Verbräuche'!C130</f>
        <v>Pendeln - PKW (Wasserstoff/ FCEV)</v>
      </c>
      <c r="D460" t="s">
        <v>208</v>
      </c>
      <c r="E460" s="15">
        <f>IF(ISNUMBER('Klisz-Verbräuche'!F130), 'Klisz-Verbräuche'!F130*Emissionsfaktoren!E130/1000, 0)</f>
        <v>0</v>
      </c>
      <c r="F460" s="15">
        <f>IF(ISNUMBER('Klisz-Verbräuche'!G130), 'Klisz-Verbräuche'!G130*Emissionsfaktoren!F130/1000, 0)</f>
        <v>0</v>
      </c>
      <c r="G460" s="15">
        <f>IF(ISNUMBER('Klisz-Verbräuche'!H130), 'Klisz-Verbräuche'!H130*Emissionsfaktoren!G130/1000, 0)</f>
        <v>0</v>
      </c>
      <c r="H460" s="15">
        <f>IF(ISNUMBER('Klisz-Verbräuche'!I130), 'Klisz-Verbräuche'!I130*Emissionsfaktoren!H130/1000, 0)</f>
        <v>0</v>
      </c>
      <c r="I460" s="15">
        <f>IF(ISNUMBER('Klisz-Verbräuche'!J130), 'Klisz-Verbräuche'!J130*Emissionsfaktoren!I130/1000, 0)</f>
        <v>0</v>
      </c>
      <c r="J460" s="15">
        <f>IF(ISNUMBER('Klisz-Verbräuche'!K130), 'Klisz-Verbräuche'!K130*Emissionsfaktoren!J130/1000, 0)</f>
        <v>0</v>
      </c>
      <c r="K460" s="15">
        <f>IF(ISNUMBER('Klisz-Verbräuche'!L130), 'Klisz-Verbräuche'!L130*Emissionsfaktoren!K130/1000, 0)</f>
        <v>0</v>
      </c>
      <c r="L460" s="15">
        <f>IF(ISNUMBER('Klisz-Verbräuche'!M130), 'Klisz-Verbräuche'!M130*Emissionsfaktoren!L130/1000, 0)</f>
        <v>0</v>
      </c>
      <c r="M460" s="15">
        <f>IF(ISNUMBER('Klisz-Verbräuche'!N130), 'Klisz-Verbräuche'!N130*Emissionsfaktoren!M130/1000, 0)</f>
        <v>0</v>
      </c>
      <c r="N460" s="15">
        <f>IF(ISNUMBER('Klisz-Verbräuche'!O130), 'Klisz-Verbräuche'!O130*Emissionsfaktoren!N130/1000, 0)</f>
        <v>0</v>
      </c>
      <c r="O460" s="15">
        <f>IF(ISNUMBER('Klisz-Verbräuche'!P130), 'Klisz-Verbräuche'!P130*Emissionsfaktoren!O130/1000, 0)</f>
        <v>0</v>
      </c>
      <c r="P460" s="15">
        <f>IF(ISNUMBER('Klisz-Verbräuche'!Q130), 'Klisz-Verbräuche'!Q130*Emissionsfaktoren!P130/1000, 0)</f>
        <v>0</v>
      </c>
      <c r="Q460" s="15">
        <f>IF(ISNUMBER('Klisz-Verbräuche'!R130), 'Klisz-Verbräuche'!R130*Emissionsfaktoren!Q130/1000, 0)</f>
        <v>0</v>
      </c>
      <c r="R460" s="15">
        <f>IF(ISNUMBER('Klisz-Verbräuche'!S130), 'Klisz-Verbräuche'!S130*Emissionsfaktoren!R130/1000, 0)</f>
        <v>0</v>
      </c>
      <c r="S460" s="15">
        <f>IF(ISNUMBER('Klisz-Verbräuche'!T130), 'Klisz-Verbräuche'!T130*Emissionsfaktoren!S130/1000, 0)</f>
        <v>0</v>
      </c>
      <c r="T460" s="15">
        <f>IF(ISNUMBER('Klisz-Verbräuche'!U130), 'Klisz-Verbräuche'!U130*Emissionsfaktoren!T130/1000, 0)</f>
        <v>0</v>
      </c>
      <c r="U460" s="15">
        <f>IF(ISNUMBER('Klisz-Verbräuche'!V130), 'Klisz-Verbräuche'!V130*Emissionsfaktoren!U130/1000, 0)</f>
        <v>0</v>
      </c>
      <c r="V460" s="15">
        <f>IF(ISNUMBER('Klisz-Verbräuche'!W130), 'Klisz-Verbräuche'!W130*Emissionsfaktoren!V130/1000, 0)</f>
        <v>0</v>
      </c>
      <c r="W460" s="15">
        <f>IF(ISNUMBER('Klisz-Verbräuche'!X130), 'Klisz-Verbräuche'!X130*Emissionsfaktoren!W130/1000, 0)</f>
        <v>0</v>
      </c>
      <c r="X460" s="15">
        <f>IF(ISNUMBER('Klisz-Verbräuche'!Y130), 'Klisz-Verbräuche'!Y130*Emissionsfaktoren!X130/1000, 0)</f>
        <v>0</v>
      </c>
    </row>
    <row r="461" spans="2:24" ht="16.5" hidden="1" x14ac:dyDescent="0.45">
      <c r="B461" s="15">
        <v>72</v>
      </c>
      <c r="C461" s="20" t="str">
        <f>'Refsz-Verbräuche'!C131</f>
        <v>Pendeln - PKW (CNG)</v>
      </c>
      <c r="D461" t="s">
        <v>208</v>
      </c>
      <c r="E461" s="15">
        <f>IF(ISNUMBER('Klisz-Verbräuche'!F131), 'Klisz-Verbräuche'!F131*Emissionsfaktoren!E131/1000, 0)</f>
        <v>0</v>
      </c>
      <c r="F461" s="15">
        <f>IF(ISNUMBER('Klisz-Verbräuche'!G131), 'Klisz-Verbräuche'!G131*Emissionsfaktoren!F131/1000, 0)</f>
        <v>0</v>
      </c>
      <c r="G461" s="15">
        <f>IF(ISNUMBER('Klisz-Verbräuche'!H131), 'Klisz-Verbräuche'!H131*Emissionsfaktoren!G131/1000, 0)</f>
        <v>0</v>
      </c>
      <c r="H461" s="15">
        <f>IF(ISNUMBER('Klisz-Verbräuche'!I131), 'Klisz-Verbräuche'!I131*Emissionsfaktoren!H131/1000, 0)</f>
        <v>0</v>
      </c>
      <c r="I461" s="15">
        <f>IF(ISNUMBER('Klisz-Verbräuche'!J131), 'Klisz-Verbräuche'!J131*Emissionsfaktoren!I131/1000, 0)</f>
        <v>0</v>
      </c>
      <c r="J461" s="15">
        <f>IF(ISNUMBER('Klisz-Verbräuche'!K131), 'Klisz-Verbräuche'!K131*Emissionsfaktoren!J131/1000, 0)</f>
        <v>0</v>
      </c>
      <c r="K461" s="15">
        <f>IF(ISNUMBER('Klisz-Verbräuche'!L131), 'Klisz-Verbräuche'!L131*Emissionsfaktoren!K131/1000, 0)</f>
        <v>0</v>
      </c>
      <c r="L461" s="15">
        <f>IF(ISNUMBER('Klisz-Verbräuche'!M131), 'Klisz-Verbräuche'!M131*Emissionsfaktoren!L131/1000, 0)</f>
        <v>0</v>
      </c>
      <c r="M461" s="15">
        <f>IF(ISNUMBER('Klisz-Verbräuche'!N131), 'Klisz-Verbräuche'!N131*Emissionsfaktoren!M131/1000, 0)</f>
        <v>0</v>
      </c>
      <c r="N461" s="15">
        <f>IF(ISNUMBER('Klisz-Verbräuche'!O131), 'Klisz-Verbräuche'!O131*Emissionsfaktoren!N131/1000, 0)</f>
        <v>0</v>
      </c>
      <c r="O461" s="15">
        <f>IF(ISNUMBER('Klisz-Verbräuche'!P131), 'Klisz-Verbräuche'!P131*Emissionsfaktoren!O131/1000, 0)</f>
        <v>0</v>
      </c>
      <c r="P461" s="15">
        <f>IF(ISNUMBER('Klisz-Verbräuche'!Q131), 'Klisz-Verbräuche'!Q131*Emissionsfaktoren!P131/1000, 0)</f>
        <v>0</v>
      </c>
      <c r="Q461" s="15">
        <f>IF(ISNUMBER('Klisz-Verbräuche'!R131), 'Klisz-Verbräuche'!R131*Emissionsfaktoren!Q131/1000, 0)</f>
        <v>0</v>
      </c>
      <c r="R461" s="15">
        <f>IF(ISNUMBER('Klisz-Verbräuche'!S131), 'Klisz-Verbräuche'!S131*Emissionsfaktoren!R131/1000, 0)</f>
        <v>0</v>
      </c>
      <c r="S461" s="15">
        <f>IF(ISNUMBER('Klisz-Verbräuche'!T131), 'Klisz-Verbräuche'!T131*Emissionsfaktoren!S131/1000, 0)</f>
        <v>0</v>
      </c>
      <c r="T461" s="15">
        <f>IF(ISNUMBER('Klisz-Verbräuche'!U131), 'Klisz-Verbräuche'!U131*Emissionsfaktoren!T131/1000, 0)</f>
        <v>0</v>
      </c>
      <c r="U461" s="15">
        <f>IF(ISNUMBER('Klisz-Verbräuche'!V131), 'Klisz-Verbräuche'!V131*Emissionsfaktoren!U131/1000, 0)</f>
        <v>0</v>
      </c>
      <c r="V461" s="15">
        <f>IF(ISNUMBER('Klisz-Verbräuche'!W131), 'Klisz-Verbräuche'!W131*Emissionsfaktoren!V131/1000, 0)</f>
        <v>0</v>
      </c>
      <c r="W461" s="15">
        <f>IF(ISNUMBER('Klisz-Verbräuche'!X131), 'Klisz-Verbräuche'!X131*Emissionsfaktoren!W131/1000, 0)</f>
        <v>0</v>
      </c>
      <c r="X461" s="15">
        <f>IF(ISNUMBER('Klisz-Verbräuche'!Y131), 'Klisz-Verbräuche'!Y131*Emissionsfaktoren!X131/1000, 0)</f>
        <v>0</v>
      </c>
    </row>
    <row r="462" spans="2:24" ht="16.5" hidden="1" x14ac:dyDescent="0.45">
      <c r="B462" s="15">
        <v>73</v>
      </c>
      <c r="C462" s="20" t="str">
        <f>'Refsz-Verbräuche'!C132</f>
        <v>Pendeln - PKW (Plug-In-Hybrid/PHEV)</v>
      </c>
      <c r="D462" t="s">
        <v>208</v>
      </c>
      <c r="E462" s="15">
        <f>IF(ISNUMBER('Klisz-Verbräuche'!F132), 'Klisz-Verbräuche'!F132*Emissionsfaktoren!E132/1000, 0)</f>
        <v>0</v>
      </c>
      <c r="F462" s="15">
        <f>IF(ISNUMBER('Klisz-Verbräuche'!G132), 'Klisz-Verbräuche'!G132*Emissionsfaktoren!F132/1000, 0)</f>
        <v>0</v>
      </c>
      <c r="G462" s="15">
        <f>IF(ISNUMBER('Klisz-Verbräuche'!H132), 'Klisz-Verbräuche'!H132*Emissionsfaktoren!G132/1000, 0)</f>
        <v>0</v>
      </c>
      <c r="H462" s="15">
        <f>IF(ISNUMBER('Klisz-Verbräuche'!I132), 'Klisz-Verbräuche'!I132*Emissionsfaktoren!H132/1000, 0)</f>
        <v>0</v>
      </c>
      <c r="I462" s="15">
        <f>IF(ISNUMBER('Klisz-Verbräuche'!J132), 'Klisz-Verbräuche'!J132*Emissionsfaktoren!I132/1000, 0)</f>
        <v>0</v>
      </c>
      <c r="J462" s="15">
        <f>IF(ISNUMBER('Klisz-Verbräuche'!K132), 'Klisz-Verbräuche'!K132*Emissionsfaktoren!J132/1000, 0)</f>
        <v>0</v>
      </c>
      <c r="K462" s="15">
        <f>IF(ISNUMBER('Klisz-Verbräuche'!L132), 'Klisz-Verbräuche'!L132*Emissionsfaktoren!K132/1000, 0)</f>
        <v>0</v>
      </c>
      <c r="L462" s="15">
        <f>IF(ISNUMBER('Klisz-Verbräuche'!M132), 'Klisz-Verbräuche'!M132*Emissionsfaktoren!L132/1000, 0)</f>
        <v>0</v>
      </c>
      <c r="M462" s="15">
        <f>IF(ISNUMBER('Klisz-Verbräuche'!N132), 'Klisz-Verbräuche'!N132*Emissionsfaktoren!M132/1000, 0)</f>
        <v>0</v>
      </c>
      <c r="N462" s="15">
        <f>IF(ISNUMBER('Klisz-Verbräuche'!O132), 'Klisz-Verbräuche'!O132*Emissionsfaktoren!N132/1000, 0)</f>
        <v>0</v>
      </c>
      <c r="O462" s="15">
        <f>IF(ISNUMBER('Klisz-Verbräuche'!P132), 'Klisz-Verbräuche'!P132*Emissionsfaktoren!O132/1000, 0)</f>
        <v>0</v>
      </c>
      <c r="P462" s="15">
        <f>IF(ISNUMBER('Klisz-Verbräuche'!Q132), 'Klisz-Verbräuche'!Q132*Emissionsfaktoren!P132/1000, 0)</f>
        <v>0</v>
      </c>
      <c r="Q462" s="15">
        <f>IF(ISNUMBER('Klisz-Verbräuche'!R132), 'Klisz-Verbräuche'!R132*Emissionsfaktoren!Q132/1000, 0)</f>
        <v>0</v>
      </c>
      <c r="R462" s="15">
        <f>IF(ISNUMBER('Klisz-Verbräuche'!S132), 'Klisz-Verbräuche'!S132*Emissionsfaktoren!R132/1000, 0)</f>
        <v>0</v>
      </c>
      <c r="S462" s="15">
        <f>IF(ISNUMBER('Klisz-Verbräuche'!T132), 'Klisz-Verbräuche'!T132*Emissionsfaktoren!S132/1000, 0)</f>
        <v>0</v>
      </c>
      <c r="T462" s="15">
        <f>IF(ISNUMBER('Klisz-Verbräuche'!U132), 'Klisz-Verbräuche'!U132*Emissionsfaktoren!T132/1000, 0)</f>
        <v>0</v>
      </c>
      <c r="U462" s="15">
        <f>IF(ISNUMBER('Klisz-Verbräuche'!V132), 'Klisz-Verbräuche'!V132*Emissionsfaktoren!U132/1000, 0)</f>
        <v>0</v>
      </c>
      <c r="V462" s="15">
        <f>IF(ISNUMBER('Klisz-Verbräuche'!W132), 'Klisz-Verbräuche'!W132*Emissionsfaktoren!V132/1000, 0)</f>
        <v>0</v>
      </c>
      <c r="W462" s="15">
        <f>IF(ISNUMBER('Klisz-Verbräuche'!X132), 'Klisz-Verbräuche'!X132*Emissionsfaktoren!W132/1000, 0)</f>
        <v>0</v>
      </c>
      <c r="X462" s="15">
        <f>IF(ISNUMBER('Klisz-Verbräuche'!Y132), 'Klisz-Verbräuche'!Y132*Emissionsfaktoren!X132/1000, 0)</f>
        <v>0</v>
      </c>
    </row>
    <row r="463" spans="2:24" ht="16.5" hidden="1" x14ac:dyDescent="0.45">
      <c r="B463" s="15">
        <v>74</v>
      </c>
      <c r="C463" s="20" t="str">
        <f>'Refsz-Verbräuche'!C133</f>
        <v>Pendeln - Motorisierte Zweiräder</v>
      </c>
      <c r="D463" t="s">
        <v>208</v>
      </c>
      <c r="E463" s="15">
        <f>IF(ISNUMBER('Klisz-Verbräuche'!F133), 'Klisz-Verbräuche'!F133*Emissionsfaktoren!E133/1000, 0)</f>
        <v>0</v>
      </c>
      <c r="F463" s="15">
        <f>IF(ISNUMBER('Klisz-Verbräuche'!G133), 'Klisz-Verbräuche'!G133*Emissionsfaktoren!F133/1000, 0)</f>
        <v>0</v>
      </c>
      <c r="G463" s="15">
        <f>IF(ISNUMBER('Klisz-Verbräuche'!H133), 'Klisz-Verbräuche'!H133*Emissionsfaktoren!G133/1000, 0)</f>
        <v>0</v>
      </c>
      <c r="H463" s="15">
        <f>IF(ISNUMBER('Klisz-Verbräuche'!I133), 'Klisz-Verbräuche'!I133*Emissionsfaktoren!H133/1000, 0)</f>
        <v>0</v>
      </c>
      <c r="I463" s="15">
        <f>IF(ISNUMBER('Klisz-Verbräuche'!J133), 'Klisz-Verbräuche'!J133*Emissionsfaktoren!I133/1000, 0)</f>
        <v>0</v>
      </c>
      <c r="J463" s="15">
        <f>IF(ISNUMBER('Klisz-Verbräuche'!K133), 'Klisz-Verbräuche'!K133*Emissionsfaktoren!J133/1000, 0)</f>
        <v>0</v>
      </c>
      <c r="K463" s="15">
        <f>IF(ISNUMBER('Klisz-Verbräuche'!L133), 'Klisz-Verbräuche'!L133*Emissionsfaktoren!K133/1000, 0)</f>
        <v>0</v>
      </c>
      <c r="L463" s="15">
        <f>IF(ISNUMBER('Klisz-Verbräuche'!M133), 'Klisz-Verbräuche'!M133*Emissionsfaktoren!L133/1000, 0)</f>
        <v>0</v>
      </c>
      <c r="M463" s="15">
        <f>IF(ISNUMBER('Klisz-Verbräuche'!N133), 'Klisz-Verbräuche'!N133*Emissionsfaktoren!M133/1000, 0)</f>
        <v>0</v>
      </c>
      <c r="N463" s="15">
        <f>IF(ISNUMBER('Klisz-Verbräuche'!O133), 'Klisz-Verbräuche'!O133*Emissionsfaktoren!N133/1000, 0)</f>
        <v>0</v>
      </c>
      <c r="O463" s="15">
        <f>IF(ISNUMBER('Klisz-Verbräuche'!P133), 'Klisz-Verbräuche'!P133*Emissionsfaktoren!O133/1000, 0)</f>
        <v>0</v>
      </c>
      <c r="P463" s="15">
        <f>IF(ISNUMBER('Klisz-Verbräuche'!Q133), 'Klisz-Verbräuche'!Q133*Emissionsfaktoren!P133/1000, 0)</f>
        <v>0</v>
      </c>
      <c r="Q463" s="15">
        <f>IF(ISNUMBER('Klisz-Verbräuche'!R133), 'Klisz-Verbräuche'!R133*Emissionsfaktoren!Q133/1000, 0)</f>
        <v>0</v>
      </c>
      <c r="R463" s="15">
        <f>IF(ISNUMBER('Klisz-Verbräuche'!S133), 'Klisz-Verbräuche'!S133*Emissionsfaktoren!R133/1000, 0)</f>
        <v>0</v>
      </c>
      <c r="S463" s="15">
        <f>IF(ISNUMBER('Klisz-Verbräuche'!T133), 'Klisz-Verbräuche'!T133*Emissionsfaktoren!S133/1000, 0)</f>
        <v>0</v>
      </c>
      <c r="T463" s="15">
        <f>IF(ISNUMBER('Klisz-Verbräuche'!U133), 'Klisz-Verbräuche'!U133*Emissionsfaktoren!T133/1000, 0)</f>
        <v>0</v>
      </c>
      <c r="U463" s="15">
        <f>IF(ISNUMBER('Klisz-Verbräuche'!V133), 'Klisz-Verbräuche'!V133*Emissionsfaktoren!U133/1000, 0)</f>
        <v>0</v>
      </c>
      <c r="V463" s="15">
        <f>IF(ISNUMBER('Klisz-Verbräuche'!W133), 'Klisz-Verbräuche'!W133*Emissionsfaktoren!V133/1000, 0)</f>
        <v>0</v>
      </c>
      <c r="W463" s="15">
        <f>IF(ISNUMBER('Klisz-Verbräuche'!X133), 'Klisz-Verbräuche'!X133*Emissionsfaktoren!W133/1000, 0)</f>
        <v>0</v>
      </c>
      <c r="X463" s="15">
        <f>IF(ISNUMBER('Klisz-Verbräuche'!Y133), 'Klisz-Verbräuche'!Y133*Emissionsfaktoren!X133/1000, 0)</f>
        <v>0</v>
      </c>
    </row>
    <row r="464" spans="2:24" ht="16.5" hidden="1" x14ac:dyDescent="0.45">
      <c r="B464" s="15">
        <v>75</v>
      </c>
      <c r="C464" s="20" t="str">
        <f>'Refsz-Verbräuche'!C134</f>
        <v>Pendeln - Fahrrad</v>
      </c>
      <c r="D464" t="s">
        <v>208</v>
      </c>
      <c r="E464" s="15">
        <f>IF(ISNUMBER('Klisz-Verbräuche'!F134), 'Klisz-Verbräuche'!F134*Emissionsfaktoren!E134/1000, 0)</f>
        <v>0</v>
      </c>
      <c r="F464" s="15">
        <f>IF(ISNUMBER('Klisz-Verbräuche'!G134), 'Klisz-Verbräuche'!G134*Emissionsfaktoren!F134/1000, 0)</f>
        <v>0</v>
      </c>
      <c r="G464" s="15">
        <f>IF(ISNUMBER('Klisz-Verbräuche'!H134), 'Klisz-Verbräuche'!H134*Emissionsfaktoren!G134/1000, 0)</f>
        <v>0</v>
      </c>
      <c r="H464" s="15">
        <f>IF(ISNUMBER('Klisz-Verbräuche'!I134), 'Klisz-Verbräuche'!I134*Emissionsfaktoren!H134/1000, 0)</f>
        <v>0</v>
      </c>
      <c r="I464" s="15">
        <f>IF(ISNUMBER('Klisz-Verbräuche'!J134), 'Klisz-Verbräuche'!J134*Emissionsfaktoren!I134/1000, 0)</f>
        <v>0</v>
      </c>
      <c r="J464" s="15">
        <f>IF(ISNUMBER('Klisz-Verbräuche'!K134), 'Klisz-Verbräuche'!K134*Emissionsfaktoren!J134/1000, 0)</f>
        <v>0</v>
      </c>
      <c r="K464" s="15">
        <f>IF(ISNUMBER('Klisz-Verbräuche'!L134), 'Klisz-Verbräuche'!L134*Emissionsfaktoren!K134/1000, 0)</f>
        <v>0</v>
      </c>
      <c r="L464" s="15">
        <f>IF(ISNUMBER('Klisz-Verbräuche'!M134), 'Klisz-Verbräuche'!M134*Emissionsfaktoren!L134/1000, 0)</f>
        <v>0</v>
      </c>
      <c r="M464" s="15">
        <f>IF(ISNUMBER('Klisz-Verbräuche'!N134), 'Klisz-Verbräuche'!N134*Emissionsfaktoren!M134/1000, 0)</f>
        <v>0</v>
      </c>
      <c r="N464" s="15">
        <f>IF(ISNUMBER('Klisz-Verbräuche'!O134), 'Klisz-Verbräuche'!O134*Emissionsfaktoren!N134/1000, 0)</f>
        <v>0</v>
      </c>
      <c r="O464" s="15">
        <f>IF(ISNUMBER('Klisz-Verbräuche'!P134), 'Klisz-Verbräuche'!P134*Emissionsfaktoren!O134/1000, 0)</f>
        <v>0</v>
      </c>
      <c r="P464" s="15">
        <f>IF(ISNUMBER('Klisz-Verbräuche'!Q134), 'Klisz-Verbräuche'!Q134*Emissionsfaktoren!P134/1000, 0)</f>
        <v>0</v>
      </c>
      <c r="Q464" s="15">
        <f>IF(ISNUMBER('Klisz-Verbräuche'!R134), 'Klisz-Verbräuche'!R134*Emissionsfaktoren!Q134/1000, 0)</f>
        <v>0</v>
      </c>
      <c r="R464" s="15">
        <f>IF(ISNUMBER('Klisz-Verbräuche'!S134), 'Klisz-Verbräuche'!S134*Emissionsfaktoren!R134/1000, 0)</f>
        <v>0</v>
      </c>
      <c r="S464" s="15">
        <f>IF(ISNUMBER('Klisz-Verbräuche'!T134), 'Klisz-Verbräuche'!T134*Emissionsfaktoren!S134/1000, 0)</f>
        <v>0</v>
      </c>
      <c r="T464" s="15">
        <f>IF(ISNUMBER('Klisz-Verbräuche'!U134), 'Klisz-Verbräuche'!U134*Emissionsfaktoren!T134/1000, 0)</f>
        <v>0</v>
      </c>
      <c r="U464" s="15">
        <f>IF(ISNUMBER('Klisz-Verbräuche'!V134), 'Klisz-Verbräuche'!V134*Emissionsfaktoren!U134/1000, 0)</f>
        <v>0</v>
      </c>
      <c r="V464" s="15">
        <f>IF(ISNUMBER('Klisz-Verbräuche'!W134), 'Klisz-Verbräuche'!W134*Emissionsfaktoren!V134/1000, 0)</f>
        <v>0</v>
      </c>
      <c r="W464" s="15">
        <f>IF(ISNUMBER('Klisz-Verbräuche'!X134), 'Klisz-Verbräuche'!X134*Emissionsfaktoren!W134/1000, 0)</f>
        <v>0</v>
      </c>
      <c r="X464" s="15">
        <f>IF(ISNUMBER('Klisz-Verbräuche'!Y134), 'Klisz-Verbräuche'!Y134*Emissionsfaktoren!X134/1000, 0)</f>
        <v>0</v>
      </c>
    </row>
    <row r="465" spans="2:24" ht="16.5" hidden="1" x14ac:dyDescent="0.45">
      <c r="B465" s="15">
        <v>76</v>
      </c>
      <c r="C465" s="20" t="str">
        <f>'Refsz-Verbräuche'!C135</f>
        <v>Pendeln - E-Bike</v>
      </c>
      <c r="D465" t="s">
        <v>208</v>
      </c>
      <c r="E465" s="15">
        <f>IF(ISNUMBER('Klisz-Verbräuche'!F135), 'Klisz-Verbräuche'!F135*Emissionsfaktoren!E135/1000, 0)</f>
        <v>0</v>
      </c>
      <c r="F465" s="15">
        <f>IF(ISNUMBER('Klisz-Verbräuche'!G135), 'Klisz-Verbräuche'!G135*Emissionsfaktoren!F135/1000, 0)</f>
        <v>0</v>
      </c>
      <c r="G465" s="15">
        <f>IF(ISNUMBER('Klisz-Verbräuche'!H135), 'Klisz-Verbräuche'!H135*Emissionsfaktoren!G135/1000, 0)</f>
        <v>0</v>
      </c>
      <c r="H465" s="15">
        <f>IF(ISNUMBER('Klisz-Verbräuche'!I135), 'Klisz-Verbräuche'!I135*Emissionsfaktoren!H135/1000, 0)</f>
        <v>0</v>
      </c>
      <c r="I465" s="15">
        <f>IF(ISNUMBER('Klisz-Verbräuche'!J135), 'Klisz-Verbräuche'!J135*Emissionsfaktoren!I135/1000, 0)</f>
        <v>0</v>
      </c>
      <c r="J465" s="15">
        <f>IF(ISNUMBER('Klisz-Verbräuche'!K135), 'Klisz-Verbräuche'!K135*Emissionsfaktoren!J135/1000, 0)</f>
        <v>0</v>
      </c>
      <c r="K465" s="15">
        <f>IF(ISNUMBER('Klisz-Verbräuche'!L135), 'Klisz-Verbräuche'!L135*Emissionsfaktoren!K135/1000, 0)</f>
        <v>0</v>
      </c>
      <c r="L465" s="15">
        <f>IF(ISNUMBER('Klisz-Verbräuche'!M135), 'Klisz-Verbräuche'!M135*Emissionsfaktoren!L135/1000, 0)</f>
        <v>0</v>
      </c>
      <c r="M465" s="15">
        <f>IF(ISNUMBER('Klisz-Verbräuche'!N135), 'Klisz-Verbräuche'!N135*Emissionsfaktoren!M135/1000, 0)</f>
        <v>0</v>
      </c>
      <c r="N465" s="15">
        <f>IF(ISNUMBER('Klisz-Verbräuche'!O135), 'Klisz-Verbräuche'!O135*Emissionsfaktoren!N135/1000, 0)</f>
        <v>0</v>
      </c>
      <c r="O465" s="15">
        <f>IF(ISNUMBER('Klisz-Verbräuche'!P135), 'Klisz-Verbräuche'!P135*Emissionsfaktoren!O135/1000, 0)</f>
        <v>0</v>
      </c>
      <c r="P465" s="15">
        <f>IF(ISNUMBER('Klisz-Verbräuche'!Q135), 'Klisz-Verbräuche'!Q135*Emissionsfaktoren!P135/1000, 0)</f>
        <v>0</v>
      </c>
      <c r="Q465" s="15">
        <f>IF(ISNUMBER('Klisz-Verbräuche'!R135), 'Klisz-Verbräuche'!R135*Emissionsfaktoren!Q135/1000, 0)</f>
        <v>0</v>
      </c>
      <c r="R465" s="15">
        <f>IF(ISNUMBER('Klisz-Verbräuche'!S135), 'Klisz-Verbräuche'!S135*Emissionsfaktoren!R135/1000, 0)</f>
        <v>0</v>
      </c>
      <c r="S465" s="15">
        <f>IF(ISNUMBER('Klisz-Verbräuche'!T135), 'Klisz-Verbräuche'!T135*Emissionsfaktoren!S135/1000, 0)</f>
        <v>0</v>
      </c>
      <c r="T465" s="15">
        <f>IF(ISNUMBER('Klisz-Verbräuche'!U135), 'Klisz-Verbräuche'!U135*Emissionsfaktoren!T135/1000, 0)</f>
        <v>0</v>
      </c>
      <c r="U465" s="15">
        <f>IF(ISNUMBER('Klisz-Verbräuche'!V135), 'Klisz-Verbräuche'!V135*Emissionsfaktoren!U135/1000, 0)</f>
        <v>0</v>
      </c>
      <c r="V465" s="15">
        <f>IF(ISNUMBER('Klisz-Verbräuche'!W135), 'Klisz-Verbräuche'!W135*Emissionsfaktoren!V135/1000, 0)</f>
        <v>0</v>
      </c>
      <c r="W465" s="15">
        <f>IF(ISNUMBER('Klisz-Verbräuche'!X135), 'Klisz-Verbräuche'!X135*Emissionsfaktoren!W135/1000, 0)</f>
        <v>0</v>
      </c>
      <c r="X465" s="15">
        <f>IF(ISNUMBER('Klisz-Verbräuche'!Y135), 'Klisz-Verbräuche'!Y135*Emissionsfaktoren!X135/1000, 0)</f>
        <v>0</v>
      </c>
    </row>
    <row r="466" spans="2:24" ht="16.5" hidden="1" x14ac:dyDescent="0.45">
      <c r="B466" s="15">
        <v>77</v>
      </c>
      <c r="C466" s="20" t="str">
        <f>'Refsz-Verbräuche'!C136</f>
        <v>Pendeln - zu Fuß</v>
      </c>
      <c r="D466" t="s">
        <v>208</v>
      </c>
      <c r="E466" s="15">
        <f>IF(ISNUMBER('Klisz-Verbräuche'!F136), 'Klisz-Verbräuche'!F136*Emissionsfaktoren!E136/1000, 0)</f>
        <v>0</v>
      </c>
      <c r="F466" s="15">
        <f>IF(ISNUMBER('Klisz-Verbräuche'!G136), 'Klisz-Verbräuche'!G136*Emissionsfaktoren!F136/1000, 0)</f>
        <v>0</v>
      </c>
      <c r="G466" s="15">
        <f>IF(ISNUMBER('Klisz-Verbräuche'!H136), 'Klisz-Verbräuche'!H136*Emissionsfaktoren!G136/1000, 0)</f>
        <v>0</v>
      </c>
      <c r="H466" s="15">
        <f>IF(ISNUMBER('Klisz-Verbräuche'!I136), 'Klisz-Verbräuche'!I136*Emissionsfaktoren!H136/1000, 0)</f>
        <v>0</v>
      </c>
      <c r="I466" s="15">
        <f>IF(ISNUMBER('Klisz-Verbräuche'!J136), 'Klisz-Verbräuche'!J136*Emissionsfaktoren!I136/1000, 0)</f>
        <v>0</v>
      </c>
      <c r="J466" s="15">
        <f>IF(ISNUMBER('Klisz-Verbräuche'!K136), 'Klisz-Verbräuche'!K136*Emissionsfaktoren!J136/1000, 0)</f>
        <v>0</v>
      </c>
      <c r="K466" s="15">
        <f>IF(ISNUMBER('Klisz-Verbräuche'!L136), 'Klisz-Verbräuche'!L136*Emissionsfaktoren!K136/1000, 0)</f>
        <v>0</v>
      </c>
      <c r="L466" s="15">
        <f>IF(ISNUMBER('Klisz-Verbräuche'!M136), 'Klisz-Verbräuche'!M136*Emissionsfaktoren!L136/1000, 0)</f>
        <v>0</v>
      </c>
      <c r="M466" s="15">
        <f>IF(ISNUMBER('Klisz-Verbräuche'!N136), 'Klisz-Verbräuche'!N136*Emissionsfaktoren!M136/1000, 0)</f>
        <v>0</v>
      </c>
      <c r="N466" s="15">
        <f>IF(ISNUMBER('Klisz-Verbräuche'!O136), 'Klisz-Verbräuche'!O136*Emissionsfaktoren!N136/1000, 0)</f>
        <v>0</v>
      </c>
      <c r="O466" s="15">
        <f>IF(ISNUMBER('Klisz-Verbräuche'!P136), 'Klisz-Verbräuche'!P136*Emissionsfaktoren!O136/1000, 0)</f>
        <v>0</v>
      </c>
      <c r="P466" s="15">
        <f>IF(ISNUMBER('Klisz-Verbräuche'!Q136), 'Klisz-Verbräuche'!Q136*Emissionsfaktoren!P136/1000, 0)</f>
        <v>0</v>
      </c>
      <c r="Q466" s="15">
        <f>IF(ISNUMBER('Klisz-Verbräuche'!R136), 'Klisz-Verbräuche'!R136*Emissionsfaktoren!Q136/1000, 0)</f>
        <v>0</v>
      </c>
      <c r="R466" s="15">
        <f>IF(ISNUMBER('Klisz-Verbräuche'!S136), 'Klisz-Verbräuche'!S136*Emissionsfaktoren!R136/1000, 0)</f>
        <v>0</v>
      </c>
      <c r="S466" s="15">
        <f>IF(ISNUMBER('Klisz-Verbräuche'!T136), 'Klisz-Verbräuche'!T136*Emissionsfaktoren!S136/1000, 0)</f>
        <v>0</v>
      </c>
      <c r="T466" s="15">
        <f>IF(ISNUMBER('Klisz-Verbräuche'!U136), 'Klisz-Verbräuche'!U136*Emissionsfaktoren!T136/1000, 0)</f>
        <v>0</v>
      </c>
      <c r="U466" s="15">
        <f>IF(ISNUMBER('Klisz-Verbräuche'!V136), 'Klisz-Verbräuche'!V136*Emissionsfaktoren!U136/1000, 0)</f>
        <v>0</v>
      </c>
      <c r="V466" s="15">
        <f>IF(ISNUMBER('Klisz-Verbräuche'!W136), 'Klisz-Verbräuche'!W136*Emissionsfaktoren!V136/1000, 0)</f>
        <v>0</v>
      </c>
      <c r="W466" s="15">
        <f>IF(ISNUMBER('Klisz-Verbräuche'!X136), 'Klisz-Verbräuche'!X136*Emissionsfaktoren!W136/1000, 0)</f>
        <v>0</v>
      </c>
      <c r="X466" s="15">
        <f>IF(ISNUMBER('Klisz-Verbräuche'!Y136), 'Klisz-Verbräuche'!Y136*Emissionsfaktoren!X136/1000, 0)</f>
        <v>0</v>
      </c>
    </row>
    <row r="467" spans="2:24" ht="16.5" hidden="1" x14ac:dyDescent="0.45">
      <c r="B467" s="15">
        <v>78</v>
      </c>
      <c r="C467" s="20">
        <f>'Refsz-Verbräuche'!C137</f>
        <v>0</v>
      </c>
      <c r="D467" t="s">
        <v>208</v>
      </c>
      <c r="E467" s="15">
        <f>IF(ISNUMBER('Klisz-Verbräuche'!F137), 'Klisz-Verbräuche'!F137*Emissionsfaktoren!E137/1000, 0)</f>
        <v>0</v>
      </c>
      <c r="F467" s="15">
        <f>IF(ISNUMBER('Klisz-Verbräuche'!G137), 'Klisz-Verbräuche'!G137*Emissionsfaktoren!F137/1000, 0)</f>
        <v>0</v>
      </c>
      <c r="G467" s="15">
        <f>IF(ISNUMBER('Klisz-Verbräuche'!H137), 'Klisz-Verbräuche'!H137*Emissionsfaktoren!G137/1000, 0)</f>
        <v>0</v>
      </c>
      <c r="H467" s="15">
        <f>IF(ISNUMBER('Klisz-Verbräuche'!I137), 'Klisz-Verbräuche'!I137*Emissionsfaktoren!H137/1000, 0)</f>
        <v>0</v>
      </c>
      <c r="I467" s="15">
        <f>IF(ISNUMBER('Klisz-Verbräuche'!J137), 'Klisz-Verbräuche'!J137*Emissionsfaktoren!I137/1000, 0)</f>
        <v>0</v>
      </c>
      <c r="J467" s="15">
        <f>IF(ISNUMBER('Klisz-Verbräuche'!K137), 'Klisz-Verbräuche'!K137*Emissionsfaktoren!J137/1000, 0)</f>
        <v>0</v>
      </c>
      <c r="K467" s="15">
        <f>IF(ISNUMBER('Klisz-Verbräuche'!L137), 'Klisz-Verbräuche'!L137*Emissionsfaktoren!K137/1000, 0)</f>
        <v>0</v>
      </c>
      <c r="L467" s="15">
        <f>IF(ISNUMBER('Klisz-Verbräuche'!M137), 'Klisz-Verbräuche'!M137*Emissionsfaktoren!L137/1000, 0)</f>
        <v>0</v>
      </c>
      <c r="M467" s="15">
        <f>IF(ISNUMBER('Klisz-Verbräuche'!N137), 'Klisz-Verbräuche'!N137*Emissionsfaktoren!M137/1000, 0)</f>
        <v>0</v>
      </c>
      <c r="N467" s="15">
        <f>IF(ISNUMBER('Klisz-Verbräuche'!O137), 'Klisz-Verbräuche'!O137*Emissionsfaktoren!N137/1000, 0)</f>
        <v>0</v>
      </c>
      <c r="O467" s="15">
        <f>IF(ISNUMBER('Klisz-Verbräuche'!P137), 'Klisz-Verbräuche'!P137*Emissionsfaktoren!O137/1000, 0)</f>
        <v>0</v>
      </c>
      <c r="P467" s="15">
        <f>IF(ISNUMBER('Klisz-Verbräuche'!Q137), 'Klisz-Verbräuche'!Q137*Emissionsfaktoren!P137/1000, 0)</f>
        <v>0</v>
      </c>
      <c r="Q467" s="15">
        <f>IF(ISNUMBER('Klisz-Verbräuche'!R137), 'Klisz-Verbräuche'!R137*Emissionsfaktoren!Q137/1000, 0)</f>
        <v>0</v>
      </c>
      <c r="R467" s="15">
        <f>IF(ISNUMBER('Klisz-Verbräuche'!S137), 'Klisz-Verbräuche'!S137*Emissionsfaktoren!R137/1000, 0)</f>
        <v>0</v>
      </c>
      <c r="S467" s="15">
        <f>IF(ISNUMBER('Klisz-Verbräuche'!T137), 'Klisz-Verbräuche'!T137*Emissionsfaktoren!S137/1000, 0)</f>
        <v>0</v>
      </c>
      <c r="T467" s="15">
        <f>IF(ISNUMBER('Klisz-Verbräuche'!U137), 'Klisz-Verbräuche'!U137*Emissionsfaktoren!T137/1000, 0)</f>
        <v>0</v>
      </c>
      <c r="U467" s="15">
        <f>IF(ISNUMBER('Klisz-Verbräuche'!V137), 'Klisz-Verbräuche'!V137*Emissionsfaktoren!U137/1000, 0)</f>
        <v>0</v>
      </c>
      <c r="V467" s="15">
        <f>IF(ISNUMBER('Klisz-Verbräuche'!W137), 'Klisz-Verbräuche'!W137*Emissionsfaktoren!V137/1000, 0)</f>
        <v>0</v>
      </c>
      <c r="W467" s="15">
        <f>IF(ISNUMBER('Klisz-Verbräuche'!X137), 'Klisz-Verbräuche'!X137*Emissionsfaktoren!W137/1000, 0)</f>
        <v>0</v>
      </c>
      <c r="X467" s="15">
        <f>IF(ISNUMBER('Klisz-Verbräuche'!Y137), 'Klisz-Verbräuche'!Y137*Emissionsfaktoren!X137/1000, 0)</f>
        <v>0</v>
      </c>
    </row>
    <row r="468" spans="2:24" ht="16.5" hidden="1" x14ac:dyDescent="0.45">
      <c r="B468" s="15">
        <v>79</v>
      </c>
      <c r="C468" s="20" t="str">
        <f>'Refsz-Verbräuche'!C138</f>
        <v>Studierendenreisen (Incoming) - Flugreisen</v>
      </c>
      <c r="D468" t="s">
        <v>208</v>
      </c>
      <c r="E468" s="15">
        <f>IF(ISNUMBER('Klisz-Verbräuche'!F138), 'Klisz-Verbräuche'!F138*Emissionsfaktoren!E138/1000, 0)</f>
        <v>0</v>
      </c>
      <c r="F468" s="15">
        <f>IF(ISNUMBER('Klisz-Verbräuche'!G138), 'Klisz-Verbräuche'!G138*Emissionsfaktoren!F138/1000, 0)</f>
        <v>0</v>
      </c>
      <c r="G468" s="15">
        <f>IF(ISNUMBER('Klisz-Verbräuche'!H138), 'Klisz-Verbräuche'!H138*Emissionsfaktoren!G138/1000, 0)</f>
        <v>0</v>
      </c>
      <c r="H468" s="15">
        <f>IF(ISNUMBER('Klisz-Verbräuche'!I138), 'Klisz-Verbräuche'!I138*Emissionsfaktoren!H138/1000, 0)</f>
        <v>0</v>
      </c>
      <c r="I468" s="15">
        <f>IF(ISNUMBER('Klisz-Verbräuche'!J138), 'Klisz-Verbräuche'!J138*Emissionsfaktoren!I138/1000, 0)</f>
        <v>0</v>
      </c>
      <c r="J468" s="15">
        <f>IF(ISNUMBER('Klisz-Verbräuche'!K138), 'Klisz-Verbräuche'!K138*Emissionsfaktoren!J138/1000, 0)</f>
        <v>0</v>
      </c>
      <c r="K468" s="15">
        <f>IF(ISNUMBER('Klisz-Verbräuche'!L138), 'Klisz-Verbräuche'!L138*Emissionsfaktoren!K138/1000, 0)</f>
        <v>0</v>
      </c>
      <c r="L468" s="15">
        <f>IF(ISNUMBER('Klisz-Verbräuche'!M138), 'Klisz-Verbräuche'!M138*Emissionsfaktoren!L138/1000, 0)</f>
        <v>0</v>
      </c>
      <c r="M468" s="15">
        <f>IF(ISNUMBER('Klisz-Verbräuche'!N138), 'Klisz-Verbräuche'!N138*Emissionsfaktoren!M138/1000, 0)</f>
        <v>0</v>
      </c>
      <c r="N468" s="15">
        <f>IF(ISNUMBER('Klisz-Verbräuche'!O138), 'Klisz-Verbräuche'!O138*Emissionsfaktoren!N138/1000, 0)</f>
        <v>0</v>
      </c>
      <c r="O468" s="15">
        <f>IF(ISNUMBER('Klisz-Verbräuche'!P138), 'Klisz-Verbräuche'!P138*Emissionsfaktoren!O138/1000, 0)</f>
        <v>0</v>
      </c>
      <c r="P468" s="15">
        <f>IF(ISNUMBER('Klisz-Verbräuche'!Q138), 'Klisz-Verbräuche'!Q138*Emissionsfaktoren!P138/1000, 0)</f>
        <v>0</v>
      </c>
      <c r="Q468" s="15">
        <f>IF(ISNUMBER('Klisz-Verbräuche'!R138), 'Klisz-Verbräuche'!R138*Emissionsfaktoren!Q138/1000, 0)</f>
        <v>0</v>
      </c>
      <c r="R468" s="15">
        <f>IF(ISNUMBER('Klisz-Verbräuche'!S138), 'Klisz-Verbräuche'!S138*Emissionsfaktoren!R138/1000, 0)</f>
        <v>0</v>
      </c>
      <c r="S468" s="15">
        <f>IF(ISNUMBER('Klisz-Verbräuche'!T138), 'Klisz-Verbräuche'!T138*Emissionsfaktoren!S138/1000, 0)</f>
        <v>0</v>
      </c>
      <c r="T468" s="15">
        <f>IF(ISNUMBER('Klisz-Verbräuche'!U138), 'Klisz-Verbräuche'!U138*Emissionsfaktoren!T138/1000, 0)</f>
        <v>0</v>
      </c>
      <c r="U468" s="15">
        <f>IF(ISNUMBER('Klisz-Verbräuche'!V138), 'Klisz-Verbräuche'!V138*Emissionsfaktoren!U138/1000, 0)</f>
        <v>0</v>
      </c>
      <c r="V468" s="15">
        <f>IF(ISNUMBER('Klisz-Verbräuche'!W138), 'Klisz-Verbräuche'!W138*Emissionsfaktoren!V138/1000, 0)</f>
        <v>0</v>
      </c>
      <c r="W468" s="15">
        <f>IF(ISNUMBER('Klisz-Verbräuche'!X138), 'Klisz-Verbräuche'!X138*Emissionsfaktoren!W138/1000, 0)</f>
        <v>0</v>
      </c>
      <c r="X468" s="15">
        <f>IF(ISNUMBER('Klisz-Verbräuche'!Y138), 'Klisz-Verbräuche'!Y138*Emissionsfaktoren!X138/1000, 0)</f>
        <v>0</v>
      </c>
    </row>
    <row r="469" spans="2:24" ht="16.5" hidden="1" x14ac:dyDescent="0.45">
      <c r="B469" s="15">
        <v>80</v>
      </c>
      <c r="C469" s="20" t="str">
        <f>'Refsz-Verbräuche'!C139</f>
        <v>Studierendenreisen (Incoming) - Eisenbahn (Nahverkehr)</v>
      </c>
      <c r="D469" t="s">
        <v>208</v>
      </c>
      <c r="E469" s="15">
        <f>IF(ISNUMBER('Klisz-Verbräuche'!F139), 'Klisz-Verbräuche'!F139*Emissionsfaktoren!E139/1000, 0)</f>
        <v>0</v>
      </c>
      <c r="F469" s="15">
        <f>IF(ISNUMBER('Klisz-Verbräuche'!G139), 'Klisz-Verbräuche'!G139*Emissionsfaktoren!F139/1000, 0)</f>
        <v>0</v>
      </c>
      <c r="G469" s="15">
        <f>IF(ISNUMBER('Klisz-Verbräuche'!H139), 'Klisz-Verbräuche'!H139*Emissionsfaktoren!G139/1000, 0)</f>
        <v>0</v>
      </c>
      <c r="H469" s="15">
        <f>IF(ISNUMBER('Klisz-Verbräuche'!I139), 'Klisz-Verbräuche'!I139*Emissionsfaktoren!H139/1000, 0)</f>
        <v>0</v>
      </c>
      <c r="I469" s="15">
        <f>IF(ISNUMBER('Klisz-Verbräuche'!J139), 'Klisz-Verbräuche'!J139*Emissionsfaktoren!I139/1000, 0)</f>
        <v>0</v>
      </c>
      <c r="J469" s="15">
        <f>IF(ISNUMBER('Klisz-Verbräuche'!K139), 'Klisz-Verbräuche'!K139*Emissionsfaktoren!J139/1000, 0)</f>
        <v>0</v>
      </c>
      <c r="K469" s="15">
        <f>IF(ISNUMBER('Klisz-Verbräuche'!L139), 'Klisz-Verbräuche'!L139*Emissionsfaktoren!K139/1000, 0)</f>
        <v>0</v>
      </c>
      <c r="L469" s="15">
        <f>IF(ISNUMBER('Klisz-Verbräuche'!M139), 'Klisz-Verbräuche'!M139*Emissionsfaktoren!L139/1000, 0)</f>
        <v>0</v>
      </c>
      <c r="M469" s="15">
        <f>IF(ISNUMBER('Klisz-Verbräuche'!N139), 'Klisz-Verbräuche'!N139*Emissionsfaktoren!M139/1000, 0)</f>
        <v>0</v>
      </c>
      <c r="N469" s="15">
        <f>IF(ISNUMBER('Klisz-Verbräuche'!O139), 'Klisz-Verbräuche'!O139*Emissionsfaktoren!N139/1000, 0)</f>
        <v>0</v>
      </c>
      <c r="O469" s="15">
        <f>IF(ISNUMBER('Klisz-Verbräuche'!P139), 'Klisz-Verbräuche'!P139*Emissionsfaktoren!O139/1000, 0)</f>
        <v>0</v>
      </c>
      <c r="P469" s="15">
        <f>IF(ISNUMBER('Klisz-Verbräuche'!Q139), 'Klisz-Verbräuche'!Q139*Emissionsfaktoren!P139/1000, 0)</f>
        <v>0</v>
      </c>
      <c r="Q469" s="15">
        <f>IF(ISNUMBER('Klisz-Verbräuche'!R139), 'Klisz-Verbräuche'!R139*Emissionsfaktoren!Q139/1000, 0)</f>
        <v>0</v>
      </c>
      <c r="R469" s="15">
        <f>IF(ISNUMBER('Klisz-Verbräuche'!S139), 'Klisz-Verbräuche'!S139*Emissionsfaktoren!R139/1000, 0)</f>
        <v>0</v>
      </c>
      <c r="S469" s="15">
        <f>IF(ISNUMBER('Klisz-Verbräuche'!T139), 'Klisz-Verbräuche'!T139*Emissionsfaktoren!S139/1000, 0)</f>
        <v>0</v>
      </c>
      <c r="T469" s="15">
        <f>IF(ISNUMBER('Klisz-Verbräuche'!U139), 'Klisz-Verbräuche'!U139*Emissionsfaktoren!T139/1000, 0)</f>
        <v>0</v>
      </c>
      <c r="U469" s="15">
        <f>IF(ISNUMBER('Klisz-Verbräuche'!V139), 'Klisz-Verbräuche'!V139*Emissionsfaktoren!U139/1000, 0)</f>
        <v>0</v>
      </c>
      <c r="V469" s="15">
        <f>IF(ISNUMBER('Klisz-Verbräuche'!W139), 'Klisz-Verbräuche'!W139*Emissionsfaktoren!V139/1000, 0)</f>
        <v>0</v>
      </c>
      <c r="W469" s="15">
        <f>IF(ISNUMBER('Klisz-Verbräuche'!X139), 'Klisz-Verbräuche'!X139*Emissionsfaktoren!W139/1000, 0)</f>
        <v>0</v>
      </c>
      <c r="X469" s="15">
        <f>IF(ISNUMBER('Klisz-Verbräuche'!Y139), 'Klisz-Verbräuche'!Y139*Emissionsfaktoren!X139/1000, 0)</f>
        <v>0</v>
      </c>
    </row>
    <row r="470" spans="2:24" ht="16.5" hidden="1" x14ac:dyDescent="0.45">
      <c r="B470" s="15">
        <v>81</v>
      </c>
      <c r="C470" s="20" t="str">
        <f>'Refsz-Verbräuche'!C140</f>
        <v>Studierendenreisen (Incoming) - Privater PKW (alle Antriebsarten)</v>
      </c>
      <c r="D470" t="s">
        <v>208</v>
      </c>
      <c r="E470" s="15">
        <f>IF(ISNUMBER('Klisz-Verbräuche'!F140), 'Klisz-Verbräuche'!F140*Emissionsfaktoren!E140/1000, 0)</f>
        <v>0</v>
      </c>
      <c r="F470" s="15">
        <f>IF(ISNUMBER('Klisz-Verbräuche'!G140), 'Klisz-Verbräuche'!G140*Emissionsfaktoren!F140/1000, 0)</f>
        <v>0</v>
      </c>
      <c r="G470" s="15">
        <f>IF(ISNUMBER('Klisz-Verbräuche'!H140), 'Klisz-Verbräuche'!H140*Emissionsfaktoren!G140/1000, 0)</f>
        <v>0</v>
      </c>
      <c r="H470" s="15">
        <f>IF(ISNUMBER('Klisz-Verbräuche'!I140), 'Klisz-Verbräuche'!I140*Emissionsfaktoren!H140/1000, 0)</f>
        <v>0</v>
      </c>
      <c r="I470" s="15">
        <f>IF(ISNUMBER('Klisz-Verbräuche'!J140), 'Klisz-Verbräuche'!J140*Emissionsfaktoren!I140/1000, 0)</f>
        <v>0</v>
      </c>
      <c r="J470" s="15">
        <f>IF(ISNUMBER('Klisz-Verbräuche'!K140), 'Klisz-Verbräuche'!K140*Emissionsfaktoren!J140/1000, 0)</f>
        <v>0</v>
      </c>
      <c r="K470" s="15">
        <f>IF(ISNUMBER('Klisz-Verbräuche'!L140), 'Klisz-Verbräuche'!L140*Emissionsfaktoren!K140/1000, 0)</f>
        <v>0</v>
      </c>
      <c r="L470" s="15">
        <f>IF(ISNUMBER('Klisz-Verbräuche'!M140), 'Klisz-Verbräuche'!M140*Emissionsfaktoren!L140/1000, 0)</f>
        <v>0</v>
      </c>
      <c r="M470" s="15">
        <f>IF(ISNUMBER('Klisz-Verbräuche'!N140), 'Klisz-Verbräuche'!N140*Emissionsfaktoren!M140/1000, 0)</f>
        <v>0</v>
      </c>
      <c r="N470" s="15">
        <f>IF(ISNUMBER('Klisz-Verbräuche'!O140), 'Klisz-Verbräuche'!O140*Emissionsfaktoren!N140/1000, 0)</f>
        <v>0</v>
      </c>
      <c r="O470" s="15">
        <f>IF(ISNUMBER('Klisz-Verbräuche'!P140), 'Klisz-Verbräuche'!P140*Emissionsfaktoren!O140/1000, 0)</f>
        <v>0</v>
      </c>
      <c r="P470" s="15">
        <f>IF(ISNUMBER('Klisz-Verbräuche'!Q140), 'Klisz-Verbräuche'!Q140*Emissionsfaktoren!P140/1000, 0)</f>
        <v>0</v>
      </c>
      <c r="Q470" s="15">
        <f>IF(ISNUMBER('Klisz-Verbräuche'!R140), 'Klisz-Verbräuche'!R140*Emissionsfaktoren!Q140/1000, 0)</f>
        <v>0</v>
      </c>
      <c r="R470" s="15">
        <f>IF(ISNUMBER('Klisz-Verbräuche'!S140), 'Klisz-Verbräuche'!S140*Emissionsfaktoren!R140/1000, 0)</f>
        <v>0</v>
      </c>
      <c r="S470" s="15">
        <f>IF(ISNUMBER('Klisz-Verbräuche'!T140), 'Klisz-Verbräuche'!T140*Emissionsfaktoren!S140/1000, 0)</f>
        <v>0</v>
      </c>
      <c r="T470" s="15">
        <f>IF(ISNUMBER('Klisz-Verbräuche'!U140), 'Klisz-Verbräuche'!U140*Emissionsfaktoren!T140/1000, 0)</f>
        <v>0</v>
      </c>
      <c r="U470" s="15">
        <f>IF(ISNUMBER('Klisz-Verbräuche'!V140), 'Klisz-Verbräuche'!V140*Emissionsfaktoren!U140/1000, 0)</f>
        <v>0</v>
      </c>
      <c r="V470" s="15">
        <f>IF(ISNUMBER('Klisz-Verbräuche'!W140), 'Klisz-Verbräuche'!W140*Emissionsfaktoren!V140/1000, 0)</f>
        <v>0</v>
      </c>
      <c r="W470" s="15">
        <f>IF(ISNUMBER('Klisz-Verbräuche'!X140), 'Klisz-Verbräuche'!X140*Emissionsfaktoren!W140/1000, 0)</f>
        <v>0</v>
      </c>
      <c r="X470" s="15">
        <f>IF(ISNUMBER('Klisz-Verbräuche'!Y140), 'Klisz-Verbräuche'!Y140*Emissionsfaktoren!X140/1000, 0)</f>
        <v>0</v>
      </c>
    </row>
    <row r="471" spans="2:24" ht="16.5" hidden="1" x14ac:dyDescent="0.45">
      <c r="B471" s="15">
        <v>82</v>
      </c>
      <c r="C471" s="20">
        <f>'Refsz-Verbräuche'!C141</f>
        <v>0</v>
      </c>
      <c r="D471" t="s">
        <v>208</v>
      </c>
      <c r="E471" s="15">
        <f>IF(ISNUMBER('Klisz-Verbräuche'!F141), 'Klisz-Verbräuche'!F141*Emissionsfaktoren!E141/1000, 0)</f>
        <v>0</v>
      </c>
      <c r="F471" s="15">
        <f>IF(ISNUMBER('Klisz-Verbräuche'!G141), 'Klisz-Verbräuche'!G141*Emissionsfaktoren!F141/1000, 0)</f>
        <v>0</v>
      </c>
      <c r="G471" s="15">
        <f>IF(ISNUMBER('Klisz-Verbräuche'!H141), 'Klisz-Verbräuche'!H141*Emissionsfaktoren!G141/1000, 0)</f>
        <v>0</v>
      </c>
      <c r="H471" s="15">
        <f>IF(ISNUMBER('Klisz-Verbräuche'!I141), 'Klisz-Verbräuche'!I141*Emissionsfaktoren!H141/1000, 0)</f>
        <v>0</v>
      </c>
      <c r="I471" s="15">
        <f>IF(ISNUMBER('Klisz-Verbräuche'!J141), 'Klisz-Verbräuche'!J141*Emissionsfaktoren!I141/1000, 0)</f>
        <v>0</v>
      </c>
      <c r="J471" s="15">
        <f>IF(ISNUMBER('Klisz-Verbräuche'!K141), 'Klisz-Verbräuche'!K141*Emissionsfaktoren!J141/1000, 0)</f>
        <v>0</v>
      </c>
      <c r="K471" s="15">
        <f>IF(ISNUMBER('Klisz-Verbräuche'!L141), 'Klisz-Verbräuche'!L141*Emissionsfaktoren!K141/1000, 0)</f>
        <v>0</v>
      </c>
      <c r="L471" s="15">
        <f>IF(ISNUMBER('Klisz-Verbräuche'!M141), 'Klisz-Verbräuche'!M141*Emissionsfaktoren!L141/1000, 0)</f>
        <v>0</v>
      </c>
      <c r="M471" s="15">
        <f>IF(ISNUMBER('Klisz-Verbräuche'!N141), 'Klisz-Verbräuche'!N141*Emissionsfaktoren!M141/1000, 0)</f>
        <v>0</v>
      </c>
      <c r="N471" s="15">
        <f>IF(ISNUMBER('Klisz-Verbräuche'!O141), 'Klisz-Verbräuche'!O141*Emissionsfaktoren!N141/1000, 0)</f>
        <v>0</v>
      </c>
      <c r="O471" s="15">
        <f>IF(ISNUMBER('Klisz-Verbräuche'!P141), 'Klisz-Verbräuche'!P141*Emissionsfaktoren!O141/1000, 0)</f>
        <v>0</v>
      </c>
      <c r="P471" s="15">
        <f>IF(ISNUMBER('Klisz-Verbräuche'!Q141), 'Klisz-Verbräuche'!Q141*Emissionsfaktoren!P141/1000, 0)</f>
        <v>0</v>
      </c>
      <c r="Q471" s="15">
        <f>IF(ISNUMBER('Klisz-Verbräuche'!R141), 'Klisz-Verbräuche'!R141*Emissionsfaktoren!Q141/1000, 0)</f>
        <v>0</v>
      </c>
      <c r="R471" s="15">
        <f>IF(ISNUMBER('Klisz-Verbräuche'!S141), 'Klisz-Verbräuche'!S141*Emissionsfaktoren!R141/1000, 0)</f>
        <v>0</v>
      </c>
      <c r="S471" s="15">
        <f>IF(ISNUMBER('Klisz-Verbräuche'!T141), 'Klisz-Verbräuche'!T141*Emissionsfaktoren!S141/1000, 0)</f>
        <v>0</v>
      </c>
      <c r="T471" s="15">
        <f>IF(ISNUMBER('Klisz-Verbräuche'!U141), 'Klisz-Verbräuche'!U141*Emissionsfaktoren!T141/1000, 0)</f>
        <v>0</v>
      </c>
      <c r="U471" s="15">
        <f>IF(ISNUMBER('Klisz-Verbräuche'!V141), 'Klisz-Verbräuche'!V141*Emissionsfaktoren!U141/1000, 0)</f>
        <v>0</v>
      </c>
      <c r="V471" s="15">
        <f>IF(ISNUMBER('Klisz-Verbräuche'!W141), 'Klisz-Verbräuche'!W141*Emissionsfaktoren!V141/1000, 0)</f>
        <v>0</v>
      </c>
      <c r="W471" s="15">
        <f>IF(ISNUMBER('Klisz-Verbräuche'!X141), 'Klisz-Verbräuche'!X141*Emissionsfaktoren!W141/1000, 0)</f>
        <v>0</v>
      </c>
      <c r="X471" s="15">
        <f>IF(ISNUMBER('Klisz-Verbräuche'!Y141), 'Klisz-Verbräuche'!Y141*Emissionsfaktoren!X141/1000, 0)</f>
        <v>0</v>
      </c>
    </row>
    <row r="472" spans="2:24" ht="16.5" hidden="1" x14ac:dyDescent="0.45">
      <c r="B472" s="15">
        <v>83</v>
      </c>
      <c r="C472" s="20" t="str">
        <f>'Refsz-Verbräuche'!C142</f>
        <v>An- und Abreise von Gästen - Flugreisen</v>
      </c>
      <c r="D472" t="s">
        <v>208</v>
      </c>
      <c r="E472" s="15">
        <f>IF(ISNUMBER('Klisz-Verbräuche'!F142), 'Klisz-Verbräuche'!F142*Emissionsfaktoren!E142/1000, 0)</f>
        <v>0</v>
      </c>
      <c r="F472" s="15">
        <f>IF(ISNUMBER('Klisz-Verbräuche'!G142), 'Klisz-Verbräuche'!G142*Emissionsfaktoren!F142/1000, 0)</f>
        <v>0</v>
      </c>
      <c r="G472" s="15">
        <f>IF(ISNUMBER('Klisz-Verbräuche'!H142), 'Klisz-Verbräuche'!H142*Emissionsfaktoren!G142/1000, 0)</f>
        <v>0</v>
      </c>
      <c r="H472" s="15">
        <f>IF(ISNUMBER('Klisz-Verbräuche'!I142), 'Klisz-Verbräuche'!I142*Emissionsfaktoren!H142/1000, 0)</f>
        <v>0</v>
      </c>
      <c r="I472" s="15">
        <f>IF(ISNUMBER('Klisz-Verbräuche'!J142), 'Klisz-Verbräuche'!J142*Emissionsfaktoren!I142/1000, 0)</f>
        <v>0</v>
      </c>
      <c r="J472" s="15">
        <f>IF(ISNUMBER('Klisz-Verbräuche'!K142), 'Klisz-Verbräuche'!K142*Emissionsfaktoren!J142/1000, 0)</f>
        <v>0</v>
      </c>
      <c r="K472" s="15">
        <f>IF(ISNUMBER('Klisz-Verbräuche'!L142), 'Klisz-Verbräuche'!L142*Emissionsfaktoren!K142/1000, 0)</f>
        <v>0</v>
      </c>
      <c r="L472" s="15">
        <f>IF(ISNUMBER('Klisz-Verbräuche'!M142), 'Klisz-Verbräuche'!M142*Emissionsfaktoren!L142/1000, 0)</f>
        <v>0</v>
      </c>
      <c r="M472" s="15">
        <f>IF(ISNUMBER('Klisz-Verbräuche'!N142), 'Klisz-Verbräuche'!N142*Emissionsfaktoren!M142/1000, 0)</f>
        <v>0</v>
      </c>
      <c r="N472" s="15">
        <f>IF(ISNUMBER('Klisz-Verbräuche'!O142), 'Klisz-Verbräuche'!O142*Emissionsfaktoren!N142/1000, 0)</f>
        <v>0</v>
      </c>
      <c r="O472" s="15">
        <f>IF(ISNUMBER('Klisz-Verbräuche'!P142), 'Klisz-Verbräuche'!P142*Emissionsfaktoren!O142/1000, 0)</f>
        <v>0</v>
      </c>
      <c r="P472" s="15">
        <f>IF(ISNUMBER('Klisz-Verbräuche'!Q142), 'Klisz-Verbräuche'!Q142*Emissionsfaktoren!P142/1000, 0)</f>
        <v>0</v>
      </c>
      <c r="Q472" s="15">
        <f>IF(ISNUMBER('Klisz-Verbräuche'!R142), 'Klisz-Verbräuche'!R142*Emissionsfaktoren!Q142/1000, 0)</f>
        <v>0</v>
      </c>
      <c r="R472" s="15">
        <f>IF(ISNUMBER('Klisz-Verbräuche'!S142), 'Klisz-Verbräuche'!S142*Emissionsfaktoren!R142/1000, 0)</f>
        <v>0</v>
      </c>
      <c r="S472" s="15">
        <f>IF(ISNUMBER('Klisz-Verbräuche'!T142), 'Klisz-Verbräuche'!T142*Emissionsfaktoren!S142/1000, 0)</f>
        <v>0</v>
      </c>
      <c r="T472" s="15">
        <f>IF(ISNUMBER('Klisz-Verbräuche'!U142), 'Klisz-Verbräuche'!U142*Emissionsfaktoren!T142/1000, 0)</f>
        <v>0</v>
      </c>
      <c r="U472" s="15">
        <f>IF(ISNUMBER('Klisz-Verbräuche'!V142), 'Klisz-Verbräuche'!V142*Emissionsfaktoren!U142/1000, 0)</f>
        <v>0</v>
      </c>
      <c r="V472" s="15">
        <f>IF(ISNUMBER('Klisz-Verbräuche'!W142), 'Klisz-Verbräuche'!W142*Emissionsfaktoren!V142/1000, 0)</f>
        <v>0</v>
      </c>
      <c r="W472" s="15">
        <f>IF(ISNUMBER('Klisz-Verbräuche'!X142), 'Klisz-Verbräuche'!X142*Emissionsfaktoren!W142/1000, 0)</f>
        <v>0</v>
      </c>
      <c r="X472" s="15">
        <f>IF(ISNUMBER('Klisz-Verbräuche'!Y142), 'Klisz-Verbräuche'!Y142*Emissionsfaktoren!X142/1000, 0)</f>
        <v>0</v>
      </c>
    </row>
    <row r="473" spans="2:24" ht="16.5" hidden="1" x14ac:dyDescent="0.45">
      <c r="B473" s="15">
        <v>84</v>
      </c>
      <c r="C473" s="20" t="str">
        <f>'Refsz-Verbräuche'!C143</f>
        <v>An- und Abreise von Gästen - Eisenbahn (Nahverkehr)</v>
      </c>
      <c r="D473" t="s">
        <v>208</v>
      </c>
      <c r="E473" s="15">
        <f>IF(ISNUMBER('Klisz-Verbräuche'!F143), 'Klisz-Verbräuche'!F143*Emissionsfaktoren!E143/1000, 0)</f>
        <v>0</v>
      </c>
      <c r="F473" s="15">
        <f>IF(ISNUMBER('Klisz-Verbräuche'!G143), 'Klisz-Verbräuche'!G143*Emissionsfaktoren!F143/1000, 0)</f>
        <v>0</v>
      </c>
      <c r="G473" s="15">
        <f>IF(ISNUMBER('Klisz-Verbräuche'!H143), 'Klisz-Verbräuche'!H143*Emissionsfaktoren!G143/1000, 0)</f>
        <v>0</v>
      </c>
      <c r="H473" s="15">
        <f>IF(ISNUMBER('Klisz-Verbräuche'!I143), 'Klisz-Verbräuche'!I143*Emissionsfaktoren!H143/1000, 0)</f>
        <v>0</v>
      </c>
      <c r="I473" s="15">
        <f>IF(ISNUMBER('Klisz-Verbräuche'!J143), 'Klisz-Verbräuche'!J143*Emissionsfaktoren!I143/1000, 0)</f>
        <v>0</v>
      </c>
      <c r="J473" s="15">
        <f>IF(ISNUMBER('Klisz-Verbräuche'!K143), 'Klisz-Verbräuche'!K143*Emissionsfaktoren!J143/1000, 0)</f>
        <v>0</v>
      </c>
      <c r="K473" s="15">
        <f>IF(ISNUMBER('Klisz-Verbräuche'!L143), 'Klisz-Verbräuche'!L143*Emissionsfaktoren!K143/1000, 0)</f>
        <v>0</v>
      </c>
      <c r="L473" s="15">
        <f>IF(ISNUMBER('Klisz-Verbräuche'!M143), 'Klisz-Verbräuche'!M143*Emissionsfaktoren!L143/1000, 0)</f>
        <v>0</v>
      </c>
      <c r="M473" s="15">
        <f>IF(ISNUMBER('Klisz-Verbräuche'!N143), 'Klisz-Verbräuche'!N143*Emissionsfaktoren!M143/1000, 0)</f>
        <v>0</v>
      </c>
      <c r="N473" s="15">
        <f>IF(ISNUMBER('Klisz-Verbräuche'!O143), 'Klisz-Verbräuche'!O143*Emissionsfaktoren!N143/1000, 0)</f>
        <v>0</v>
      </c>
      <c r="O473" s="15">
        <f>IF(ISNUMBER('Klisz-Verbräuche'!P143), 'Klisz-Verbräuche'!P143*Emissionsfaktoren!O143/1000, 0)</f>
        <v>0</v>
      </c>
      <c r="P473" s="15">
        <f>IF(ISNUMBER('Klisz-Verbräuche'!Q143), 'Klisz-Verbräuche'!Q143*Emissionsfaktoren!P143/1000, 0)</f>
        <v>0</v>
      </c>
      <c r="Q473" s="15">
        <f>IF(ISNUMBER('Klisz-Verbräuche'!R143), 'Klisz-Verbräuche'!R143*Emissionsfaktoren!Q143/1000, 0)</f>
        <v>0</v>
      </c>
      <c r="R473" s="15">
        <f>IF(ISNUMBER('Klisz-Verbräuche'!S143), 'Klisz-Verbräuche'!S143*Emissionsfaktoren!R143/1000, 0)</f>
        <v>0</v>
      </c>
      <c r="S473" s="15">
        <f>IF(ISNUMBER('Klisz-Verbräuche'!T143), 'Klisz-Verbräuche'!T143*Emissionsfaktoren!S143/1000, 0)</f>
        <v>0</v>
      </c>
      <c r="T473" s="15">
        <f>IF(ISNUMBER('Klisz-Verbräuche'!U143), 'Klisz-Verbräuche'!U143*Emissionsfaktoren!T143/1000, 0)</f>
        <v>0</v>
      </c>
      <c r="U473" s="15">
        <f>IF(ISNUMBER('Klisz-Verbräuche'!V143), 'Klisz-Verbräuche'!V143*Emissionsfaktoren!U143/1000, 0)</f>
        <v>0</v>
      </c>
      <c r="V473" s="15">
        <f>IF(ISNUMBER('Klisz-Verbräuche'!W143), 'Klisz-Verbräuche'!W143*Emissionsfaktoren!V143/1000, 0)</f>
        <v>0</v>
      </c>
      <c r="W473" s="15">
        <f>IF(ISNUMBER('Klisz-Verbräuche'!X143), 'Klisz-Verbräuche'!X143*Emissionsfaktoren!W143/1000, 0)</f>
        <v>0</v>
      </c>
      <c r="X473" s="15">
        <f>IF(ISNUMBER('Klisz-Verbräuche'!Y143), 'Klisz-Verbräuche'!Y143*Emissionsfaktoren!X143/1000, 0)</f>
        <v>0</v>
      </c>
    </row>
    <row r="474" spans="2:24" ht="16.5" hidden="1" x14ac:dyDescent="0.45">
      <c r="B474" s="15">
        <v>85</v>
      </c>
      <c r="C474" s="20" t="str">
        <f>'Refsz-Verbräuche'!C144</f>
        <v>An- und Abreise von Gästen - Privater PKW (alle Antriebsarten)</v>
      </c>
      <c r="D474" t="s">
        <v>208</v>
      </c>
      <c r="E474" s="15">
        <f>IF(ISNUMBER('Klisz-Verbräuche'!F144), 'Klisz-Verbräuche'!F144*Emissionsfaktoren!E144/1000, 0)</f>
        <v>0</v>
      </c>
      <c r="F474" s="15">
        <f>IF(ISNUMBER('Klisz-Verbräuche'!G144), 'Klisz-Verbräuche'!G144*Emissionsfaktoren!F144/1000, 0)</f>
        <v>0</v>
      </c>
      <c r="G474" s="15">
        <f>IF(ISNUMBER('Klisz-Verbräuche'!H144), 'Klisz-Verbräuche'!H144*Emissionsfaktoren!G144/1000, 0)</f>
        <v>0</v>
      </c>
      <c r="H474" s="15">
        <f>IF(ISNUMBER('Klisz-Verbräuche'!I144), 'Klisz-Verbräuche'!I144*Emissionsfaktoren!H144/1000, 0)</f>
        <v>0</v>
      </c>
      <c r="I474" s="15">
        <f>IF(ISNUMBER('Klisz-Verbräuche'!J144), 'Klisz-Verbräuche'!J144*Emissionsfaktoren!I144/1000, 0)</f>
        <v>0</v>
      </c>
      <c r="J474" s="15">
        <f>IF(ISNUMBER('Klisz-Verbräuche'!K144), 'Klisz-Verbräuche'!K144*Emissionsfaktoren!J144/1000, 0)</f>
        <v>0</v>
      </c>
      <c r="K474" s="15">
        <f>IF(ISNUMBER('Klisz-Verbräuche'!L144), 'Klisz-Verbräuche'!L144*Emissionsfaktoren!K144/1000, 0)</f>
        <v>0</v>
      </c>
      <c r="L474" s="15">
        <f>IF(ISNUMBER('Klisz-Verbräuche'!M144), 'Klisz-Verbräuche'!M144*Emissionsfaktoren!L144/1000, 0)</f>
        <v>0</v>
      </c>
      <c r="M474" s="15">
        <f>IF(ISNUMBER('Klisz-Verbräuche'!N144), 'Klisz-Verbräuche'!N144*Emissionsfaktoren!M144/1000, 0)</f>
        <v>0</v>
      </c>
      <c r="N474" s="15">
        <f>IF(ISNUMBER('Klisz-Verbräuche'!O144), 'Klisz-Verbräuche'!O144*Emissionsfaktoren!N144/1000, 0)</f>
        <v>0</v>
      </c>
      <c r="O474" s="15">
        <f>IF(ISNUMBER('Klisz-Verbräuche'!P144), 'Klisz-Verbräuche'!P144*Emissionsfaktoren!O144/1000, 0)</f>
        <v>0</v>
      </c>
      <c r="P474" s="15">
        <f>IF(ISNUMBER('Klisz-Verbräuche'!Q144), 'Klisz-Verbräuche'!Q144*Emissionsfaktoren!P144/1000, 0)</f>
        <v>0</v>
      </c>
      <c r="Q474" s="15">
        <f>IF(ISNUMBER('Klisz-Verbräuche'!R144), 'Klisz-Verbräuche'!R144*Emissionsfaktoren!Q144/1000, 0)</f>
        <v>0</v>
      </c>
      <c r="R474" s="15">
        <f>IF(ISNUMBER('Klisz-Verbräuche'!S144), 'Klisz-Verbräuche'!S144*Emissionsfaktoren!R144/1000, 0)</f>
        <v>0</v>
      </c>
      <c r="S474" s="15">
        <f>IF(ISNUMBER('Klisz-Verbräuche'!T144), 'Klisz-Verbräuche'!T144*Emissionsfaktoren!S144/1000, 0)</f>
        <v>0</v>
      </c>
      <c r="T474" s="15">
        <f>IF(ISNUMBER('Klisz-Verbräuche'!U144), 'Klisz-Verbräuche'!U144*Emissionsfaktoren!T144/1000, 0)</f>
        <v>0</v>
      </c>
      <c r="U474" s="15">
        <f>IF(ISNUMBER('Klisz-Verbräuche'!V144), 'Klisz-Verbräuche'!V144*Emissionsfaktoren!U144/1000, 0)</f>
        <v>0</v>
      </c>
      <c r="V474" s="15">
        <f>IF(ISNUMBER('Klisz-Verbräuche'!W144), 'Klisz-Verbräuche'!W144*Emissionsfaktoren!V144/1000, 0)</f>
        <v>0</v>
      </c>
      <c r="W474" s="15">
        <f>IF(ISNUMBER('Klisz-Verbräuche'!X144), 'Klisz-Verbräuche'!X144*Emissionsfaktoren!W144/1000, 0)</f>
        <v>0</v>
      </c>
      <c r="X474" s="15">
        <f>IF(ISNUMBER('Klisz-Verbräuche'!Y144), 'Klisz-Verbräuche'!Y144*Emissionsfaktoren!X144/1000, 0)</f>
        <v>0</v>
      </c>
    </row>
    <row r="475" spans="2:24" ht="16.5" hidden="1" x14ac:dyDescent="0.45">
      <c r="B475" s="15">
        <v>86</v>
      </c>
      <c r="C475" s="20">
        <f>'Refsz-Verbräuche'!C145</f>
        <v>0</v>
      </c>
      <c r="D475" t="s">
        <v>208</v>
      </c>
      <c r="E475" s="15">
        <f>IF(ISNUMBER('Klisz-Verbräuche'!F145), 'Klisz-Verbräuche'!F145*Emissionsfaktoren!E145/1000, 0)</f>
        <v>0</v>
      </c>
      <c r="F475" s="15">
        <f>IF(ISNUMBER('Klisz-Verbräuche'!G145), 'Klisz-Verbräuche'!G145*Emissionsfaktoren!F145/1000, 0)</f>
        <v>0</v>
      </c>
      <c r="G475" s="15">
        <f>IF(ISNUMBER('Klisz-Verbräuche'!H145), 'Klisz-Verbräuche'!H145*Emissionsfaktoren!G145/1000, 0)</f>
        <v>0</v>
      </c>
      <c r="H475" s="15">
        <f>IF(ISNUMBER('Klisz-Verbräuche'!I145), 'Klisz-Verbräuche'!I145*Emissionsfaktoren!H145/1000, 0)</f>
        <v>0</v>
      </c>
      <c r="I475" s="15">
        <f>IF(ISNUMBER('Klisz-Verbräuche'!J145), 'Klisz-Verbräuche'!J145*Emissionsfaktoren!I145/1000, 0)</f>
        <v>0</v>
      </c>
      <c r="J475" s="15">
        <f>IF(ISNUMBER('Klisz-Verbräuche'!K145), 'Klisz-Verbräuche'!K145*Emissionsfaktoren!J145/1000, 0)</f>
        <v>0</v>
      </c>
      <c r="K475" s="15">
        <f>IF(ISNUMBER('Klisz-Verbräuche'!L145), 'Klisz-Verbräuche'!L145*Emissionsfaktoren!K145/1000, 0)</f>
        <v>0</v>
      </c>
      <c r="L475" s="15">
        <f>IF(ISNUMBER('Klisz-Verbräuche'!M145), 'Klisz-Verbräuche'!M145*Emissionsfaktoren!L145/1000, 0)</f>
        <v>0</v>
      </c>
      <c r="M475" s="15">
        <f>IF(ISNUMBER('Klisz-Verbräuche'!N145), 'Klisz-Verbräuche'!N145*Emissionsfaktoren!M145/1000, 0)</f>
        <v>0</v>
      </c>
      <c r="N475" s="15">
        <f>IF(ISNUMBER('Klisz-Verbräuche'!O145), 'Klisz-Verbräuche'!O145*Emissionsfaktoren!N145/1000, 0)</f>
        <v>0</v>
      </c>
      <c r="O475" s="15">
        <f>IF(ISNUMBER('Klisz-Verbräuche'!P145), 'Klisz-Verbräuche'!P145*Emissionsfaktoren!O145/1000, 0)</f>
        <v>0</v>
      </c>
      <c r="P475" s="15">
        <f>IF(ISNUMBER('Klisz-Verbräuche'!Q145), 'Klisz-Verbräuche'!Q145*Emissionsfaktoren!P145/1000, 0)</f>
        <v>0</v>
      </c>
      <c r="Q475" s="15">
        <f>IF(ISNUMBER('Klisz-Verbräuche'!R145), 'Klisz-Verbräuche'!R145*Emissionsfaktoren!Q145/1000, 0)</f>
        <v>0</v>
      </c>
      <c r="R475" s="15">
        <f>IF(ISNUMBER('Klisz-Verbräuche'!S145), 'Klisz-Verbräuche'!S145*Emissionsfaktoren!R145/1000, 0)</f>
        <v>0</v>
      </c>
      <c r="S475" s="15">
        <f>IF(ISNUMBER('Klisz-Verbräuche'!T145), 'Klisz-Verbräuche'!T145*Emissionsfaktoren!S145/1000, 0)</f>
        <v>0</v>
      </c>
      <c r="T475" s="15">
        <f>IF(ISNUMBER('Klisz-Verbräuche'!U145), 'Klisz-Verbräuche'!U145*Emissionsfaktoren!T145/1000, 0)</f>
        <v>0</v>
      </c>
      <c r="U475" s="15">
        <f>IF(ISNUMBER('Klisz-Verbräuche'!V145), 'Klisz-Verbräuche'!V145*Emissionsfaktoren!U145/1000, 0)</f>
        <v>0</v>
      </c>
      <c r="V475" s="15">
        <f>IF(ISNUMBER('Klisz-Verbräuche'!W145), 'Klisz-Verbräuche'!W145*Emissionsfaktoren!V145/1000, 0)</f>
        <v>0</v>
      </c>
      <c r="W475" s="15">
        <f>IF(ISNUMBER('Klisz-Verbräuche'!X145), 'Klisz-Verbräuche'!X145*Emissionsfaktoren!W145/1000, 0)</f>
        <v>0</v>
      </c>
      <c r="X475" s="15">
        <f>IF(ISNUMBER('Klisz-Verbräuche'!Y145), 'Klisz-Verbräuche'!Y145*Emissionsfaktoren!X145/1000, 0)</f>
        <v>0</v>
      </c>
    </row>
    <row r="476" spans="2:24" ht="16.5" hidden="1" x14ac:dyDescent="0.45">
      <c r="B476" s="15">
        <v>87</v>
      </c>
      <c r="C476" s="20" t="str">
        <f>'Refsz-Verbräuche'!C146</f>
        <v>Abwasser</v>
      </c>
      <c r="D476" t="s">
        <v>208</v>
      </c>
      <c r="E476" s="15">
        <f>IF(ISNUMBER('Klisz-Verbräuche'!F146), 'Klisz-Verbräuche'!F146*Emissionsfaktoren!E146/1000, 0)</f>
        <v>0</v>
      </c>
      <c r="F476" s="15">
        <f>IF(ISNUMBER('Klisz-Verbräuche'!G146), 'Klisz-Verbräuche'!G146*Emissionsfaktoren!F146/1000, 0)</f>
        <v>0</v>
      </c>
      <c r="G476" s="15">
        <f>IF(ISNUMBER('Klisz-Verbräuche'!H146), 'Klisz-Verbräuche'!H146*Emissionsfaktoren!G146/1000, 0)</f>
        <v>0</v>
      </c>
      <c r="H476" s="15">
        <f>IF(ISNUMBER('Klisz-Verbräuche'!I146), 'Klisz-Verbräuche'!I146*Emissionsfaktoren!H146/1000, 0)</f>
        <v>0</v>
      </c>
      <c r="I476" s="15">
        <f>IF(ISNUMBER('Klisz-Verbräuche'!J146), 'Klisz-Verbräuche'!J146*Emissionsfaktoren!I146/1000, 0)</f>
        <v>0</v>
      </c>
      <c r="J476" s="15">
        <f>IF(ISNUMBER('Klisz-Verbräuche'!K146), 'Klisz-Verbräuche'!K146*Emissionsfaktoren!J146/1000, 0)</f>
        <v>0</v>
      </c>
      <c r="K476" s="15">
        <f>IF(ISNUMBER('Klisz-Verbräuche'!L146), 'Klisz-Verbräuche'!L146*Emissionsfaktoren!K146/1000, 0)</f>
        <v>0</v>
      </c>
      <c r="L476" s="15">
        <f>IF(ISNUMBER('Klisz-Verbräuche'!M146), 'Klisz-Verbräuche'!M146*Emissionsfaktoren!L146/1000, 0)</f>
        <v>0</v>
      </c>
      <c r="M476" s="15">
        <f>IF(ISNUMBER('Klisz-Verbräuche'!N146), 'Klisz-Verbräuche'!N146*Emissionsfaktoren!M146/1000, 0)</f>
        <v>0</v>
      </c>
      <c r="N476" s="15">
        <f>IF(ISNUMBER('Klisz-Verbräuche'!O146), 'Klisz-Verbräuche'!O146*Emissionsfaktoren!N146/1000, 0)</f>
        <v>0</v>
      </c>
      <c r="O476" s="15">
        <f>IF(ISNUMBER('Klisz-Verbräuche'!P146), 'Klisz-Verbräuche'!P146*Emissionsfaktoren!O146/1000, 0)</f>
        <v>0</v>
      </c>
      <c r="P476" s="15">
        <f>IF(ISNUMBER('Klisz-Verbräuche'!Q146), 'Klisz-Verbräuche'!Q146*Emissionsfaktoren!P146/1000, 0)</f>
        <v>0</v>
      </c>
      <c r="Q476" s="15">
        <f>IF(ISNUMBER('Klisz-Verbräuche'!R146), 'Klisz-Verbräuche'!R146*Emissionsfaktoren!Q146/1000, 0)</f>
        <v>0</v>
      </c>
      <c r="R476" s="15">
        <f>IF(ISNUMBER('Klisz-Verbräuche'!S146), 'Klisz-Verbräuche'!S146*Emissionsfaktoren!R146/1000, 0)</f>
        <v>0</v>
      </c>
      <c r="S476" s="15">
        <f>IF(ISNUMBER('Klisz-Verbräuche'!T146), 'Klisz-Verbräuche'!T146*Emissionsfaktoren!S146/1000, 0)</f>
        <v>0</v>
      </c>
      <c r="T476" s="15">
        <f>IF(ISNUMBER('Klisz-Verbräuche'!U146), 'Klisz-Verbräuche'!U146*Emissionsfaktoren!T146/1000, 0)</f>
        <v>0</v>
      </c>
      <c r="U476" s="15">
        <f>IF(ISNUMBER('Klisz-Verbräuche'!V146), 'Klisz-Verbräuche'!V146*Emissionsfaktoren!U146/1000, 0)</f>
        <v>0</v>
      </c>
      <c r="V476" s="15">
        <f>IF(ISNUMBER('Klisz-Verbräuche'!W146), 'Klisz-Verbräuche'!W146*Emissionsfaktoren!V146/1000, 0)</f>
        <v>0</v>
      </c>
      <c r="W476" s="15">
        <f>IF(ISNUMBER('Klisz-Verbräuche'!X146), 'Klisz-Verbräuche'!X146*Emissionsfaktoren!W146/1000, 0)</f>
        <v>0</v>
      </c>
      <c r="X476" s="15">
        <f>IF(ISNUMBER('Klisz-Verbräuche'!Y146), 'Klisz-Verbräuche'!Y146*Emissionsfaktoren!X146/1000, 0)</f>
        <v>0</v>
      </c>
    </row>
    <row r="477" spans="2:24" ht="16.5" hidden="1" x14ac:dyDescent="0.45">
      <c r="B477" s="15">
        <v>88</v>
      </c>
      <c r="C477" s="20" t="str">
        <f>'Refsz-Verbräuche'!C147</f>
        <v>Trinkwasser</v>
      </c>
      <c r="D477" t="s">
        <v>208</v>
      </c>
      <c r="E477" s="15">
        <f>IF(ISNUMBER('Klisz-Verbräuche'!F147), 'Klisz-Verbräuche'!F147*Emissionsfaktoren!E147/1000, 0)</f>
        <v>0</v>
      </c>
      <c r="F477" s="15">
        <f>IF(ISNUMBER('Klisz-Verbräuche'!G147), 'Klisz-Verbräuche'!G147*Emissionsfaktoren!F147/1000, 0)</f>
        <v>0</v>
      </c>
      <c r="G477" s="15">
        <f>IF(ISNUMBER('Klisz-Verbräuche'!H147), 'Klisz-Verbräuche'!H147*Emissionsfaktoren!G147/1000, 0)</f>
        <v>0</v>
      </c>
      <c r="H477" s="15">
        <f>IF(ISNUMBER('Klisz-Verbräuche'!I147), 'Klisz-Verbräuche'!I147*Emissionsfaktoren!H147/1000, 0)</f>
        <v>0</v>
      </c>
      <c r="I477" s="15">
        <f>IF(ISNUMBER('Klisz-Verbräuche'!J147), 'Klisz-Verbräuche'!J147*Emissionsfaktoren!I147/1000, 0)</f>
        <v>0</v>
      </c>
      <c r="J477" s="15">
        <f>IF(ISNUMBER('Klisz-Verbräuche'!K147), 'Klisz-Verbräuche'!K147*Emissionsfaktoren!J147/1000, 0)</f>
        <v>0</v>
      </c>
      <c r="K477" s="15">
        <f>IF(ISNUMBER('Klisz-Verbräuche'!L147), 'Klisz-Verbräuche'!L147*Emissionsfaktoren!K147/1000, 0)</f>
        <v>0</v>
      </c>
      <c r="L477" s="15">
        <f>IF(ISNUMBER('Klisz-Verbräuche'!M147), 'Klisz-Verbräuche'!M147*Emissionsfaktoren!L147/1000, 0)</f>
        <v>0</v>
      </c>
      <c r="M477" s="15">
        <f>IF(ISNUMBER('Klisz-Verbräuche'!N147), 'Klisz-Verbräuche'!N147*Emissionsfaktoren!M147/1000, 0)</f>
        <v>0</v>
      </c>
      <c r="N477" s="15">
        <f>IF(ISNUMBER('Klisz-Verbräuche'!O147), 'Klisz-Verbräuche'!O147*Emissionsfaktoren!N147/1000, 0)</f>
        <v>0</v>
      </c>
      <c r="O477" s="15">
        <f>IF(ISNUMBER('Klisz-Verbräuche'!P147), 'Klisz-Verbräuche'!P147*Emissionsfaktoren!O147/1000, 0)</f>
        <v>0</v>
      </c>
      <c r="P477" s="15">
        <f>IF(ISNUMBER('Klisz-Verbräuche'!Q147), 'Klisz-Verbräuche'!Q147*Emissionsfaktoren!P147/1000, 0)</f>
        <v>0</v>
      </c>
      <c r="Q477" s="15">
        <f>IF(ISNUMBER('Klisz-Verbräuche'!R147), 'Klisz-Verbräuche'!R147*Emissionsfaktoren!Q147/1000, 0)</f>
        <v>0</v>
      </c>
      <c r="R477" s="15">
        <f>IF(ISNUMBER('Klisz-Verbräuche'!S147), 'Klisz-Verbräuche'!S147*Emissionsfaktoren!R147/1000, 0)</f>
        <v>0</v>
      </c>
      <c r="S477" s="15">
        <f>IF(ISNUMBER('Klisz-Verbräuche'!T147), 'Klisz-Verbräuche'!T147*Emissionsfaktoren!S147/1000, 0)</f>
        <v>0</v>
      </c>
      <c r="T477" s="15">
        <f>IF(ISNUMBER('Klisz-Verbräuche'!U147), 'Klisz-Verbräuche'!U147*Emissionsfaktoren!T147/1000, 0)</f>
        <v>0</v>
      </c>
      <c r="U477" s="15">
        <f>IF(ISNUMBER('Klisz-Verbräuche'!V147), 'Klisz-Verbräuche'!V147*Emissionsfaktoren!U147/1000, 0)</f>
        <v>0</v>
      </c>
      <c r="V477" s="15">
        <f>IF(ISNUMBER('Klisz-Verbräuche'!W147), 'Klisz-Verbräuche'!W147*Emissionsfaktoren!V147/1000, 0)</f>
        <v>0</v>
      </c>
      <c r="W477" s="15">
        <f>IF(ISNUMBER('Klisz-Verbräuche'!X147), 'Klisz-Verbräuche'!X147*Emissionsfaktoren!W147/1000, 0)</f>
        <v>0</v>
      </c>
      <c r="X477" s="15">
        <f>IF(ISNUMBER('Klisz-Verbräuche'!Y147), 'Klisz-Verbräuche'!Y147*Emissionsfaktoren!X147/1000, 0)</f>
        <v>0</v>
      </c>
    </row>
    <row r="478" spans="2:24" ht="16.5" hidden="1" x14ac:dyDescent="0.45">
      <c r="B478" s="15">
        <v>89</v>
      </c>
      <c r="C478" s="20">
        <f>'Refsz-Verbräuche'!C148</f>
        <v>0</v>
      </c>
      <c r="D478" t="s">
        <v>208</v>
      </c>
      <c r="E478" s="15">
        <f>IF(ISNUMBER('Klisz-Verbräuche'!F148), 'Klisz-Verbräuche'!F148*Emissionsfaktoren!E148/1000, 0)</f>
        <v>0</v>
      </c>
      <c r="F478" s="15">
        <f>IF(ISNUMBER('Klisz-Verbräuche'!G148), 'Klisz-Verbräuche'!G148*Emissionsfaktoren!F148/1000, 0)</f>
        <v>0</v>
      </c>
      <c r="G478" s="15">
        <f>IF(ISNUMBER('Klisz-Verbräuche'!H148), 'Klisz-Verbräuche'!H148*Emissionsfaktoren!G148/1000, 0)</f>
        <v>0</v>
      </c>
      <c r="H478" s="15">
        <f>IF(ISNUMBER('Klisz-Verbräuche'!I148), 'Klisz-Verbräuche'!I148*Emissionsfaktoren!H148/1000, 0)</f>
        <v>0</v>
      </c>
      <c r="I478" s="15">
        <f>IF(ISNUMBER('Klisz-Verbräuche'!J148), 'Klisz-Verbräuche'!J148*Emissionsfaktoren!I148/1000, 0)</f>
        <v>0</v>
      </c>
      <c r="J478" s="15">
        <f>IF(ISNUMBER('Klisz-Verbräuche'!K148), 'Klisz-Verbräuche'!K148*Emissionsfaktoren!J148/1000, 0)</f>
        <v>0</v>
      </c>
      <c r="K478" s="15">
        <f>IF(ISNUMBER('Klisz-Verbräuche'!L148), 'Klisz-Verbräuche'!L148*Emissionsfaktoren!K148/1000, 0)</f>
        <v>0</v>
      </c>
      <c r="L478" s="15">
        <f>IF(ISNUMBER('Klisz-Verbräuche'!M148), 'Klisz-Verbräuche'!M148*Emissionsfaktoren!L148/1000, 0)</f>
        <v>0</v>
      </c>
      <c r="M478" s="15">
        <f>IF(ISNUMBER('Klisz-Verbräuche'!N148), 'Klisz-Verbräuche'!N148*Emissionsfaktoren!M148/1000, 0)</f>
        <v>0</v>
      </c>
      <c r="N478" s="15">
        <f>IF(ISNUMBER('Klisz-Verbräuche'!O148), 'Klisz-Verbräuche'!O148*Emissionsfaktoren!N148/1000, 0)</f>
        <v>0</v>
      </c>
      <c r="O478" s="15">
        <f>IF(ISNUMBER('Klisz-Verbräuche'!P148), 'Klisz-Verbräuche'!P148*Emissionsfaktoren!O148/1000, 0)</f>
        <v>0</v>
      </c>
      <c r="P478" s="15">
        <f>IF(ISNUMBER('Klisz-Verbräuche'!Q148), 'Klisz-Verbräuche'!Q148*Emissionsfaktoren!P148/1000, 0)</f>
        <v>0</v>
      </c>
      <c r="Q478" s="15">
        <f>IF(ISNUMBER('Klisz-Verbräuche'!R148), 'Klisz-Verbräuche'!R148*Emissionsfaktoren!Q148/1000, 0)</f>
        <v>0</v>
      </c>
      <c r="R478" s="15">
        <f>IF(ISNUMBER('Klisz-Verbräuche'!S148), 'Klisz-Verbräuche'!S148*Emissionsfaktoren!R148/1000, 0)</f>
        <v>0</v>
      </c>
      <c r="S478" s="15">
        <f>IF(ISNUMBER('Klisz-Verbräuche'!T148), 'Klisz-Verbräuche'!T148*Emissionsfaktoren!S148/1000, 0)</f>
        <v>0</v>
      </c>
      <c r="T478" s="15">
        <f>IF(ISNUMBER('Klisz-Verbräuche'!U148), 'Klisz-Verbräuche'!U148*Emissionsfaktoren!T148/1000, 0)</f>
        <v>0</v>
      </c>
      <c r="U478" s="15">
        <f>IF(ISNUMBER('Klisz-Verbräuche'!V148), 'Klisz-Verbräuche'!V148*Emissionsfaktoren!U148/1000, 0)</f>
        <v>0</v>
      </c>
      <c r="V478" s="15">
        <f>IF(ISNUMBER('Klisz-Verbräuche'!W148), 'Klisz-Verbräuche'!W148*Emissionsfaktoren!V148/1000, 0)</f>
        <v>0</v>
      </c>
      <c r="W478" s="15">
        <f>IF(ISNUMBER('Klisz-Verbräuche'!X148), 'Klisz-Verbräuche'!X148*Emissionsfaktoren!W148/1000, 0)</f>
        <v>0</v>
      </c>
      <c r="X478" s="15">
        <f>IF(ISNUMBER('Klisz-Verbräuche'!Y148), 'Klisz-Verbräuche'!Y148*Emissionsfaktoren!X148/1000, 0)</f>
        <v>0</v>
      </c>
    </row>
    <row r="479" spans="2:24" ht="16.5" hidden="1" x14ac:dyDescent="0.45">
      <c r="B479" s="15">
        <v>90</v>
      </c>
      <c r="C479" s="20" t="str">
        <f>'Refsz-Verbräuche'!C149</f>
        <v>Recyclingpapier</v>
      </c>
      <c r="D479" t="s">
        <v>208</v>
      </c>
      <c r="E479" s="15">
        <f>IF(ISNUMBER('Klisz-Verbräuche'!F149), 'Klisz-Verbräuche'!F149*Emissionsfaktoren!E149/1000, 0)</f>
        <v>0</v>
      </c>
      <c r="F479" s="15">
        <f>IF(ISNUMBER('Klisz-Verbräuche'!G149), 'Klisz-Verbräuche'!G149*Emissionsfaktoren!F149/1000, 0)</f>
        <v>0</v>
      </c>
      <c r="G479" s="15">
        <f>IF(ISNUMBER('Klisz-Verbräuche'!H149), 'Klisz-Verbräuche'!H149*Emissionsfaktoren!G149/1000, 0)</f>
        <v>0</v>
      </c>
      <c r="H479" s="15">
        <f>IF(ISNUMBER('Klisz-Verbräuche'!I149), 'Klisz-Verbräuche'!I149*Emissionsfaktoren!H149/1000, 0)</f>
        <v>0</v>
      </c>
      <c r="I479" s="15">
        <f>IF(ISNUMBER('Klisz-Verbräuche'!J149), 'Klisz-Verbräuche'!J149*Emissionsfaktoren!I149/1000, 0)</f>
        <v>0</v>
      </c>
      <c r="J479" s="15">
        <f>IF(ISNUMBER('Klisz-Verbräuche'!K149), 'Klisz-Verbräuche'!K149*Emissionsfaktoren!J149/1000, 0)</f>
        <v>0</v>
      </c>
      <c r="K479" s="15">
        <f>IF(ISNUMBER('Klisz-Verbräuche'!L149), 'Klisz-Verbräuche'!L149*Emissionsfaktoren!K149/1000, 0)</f>
        <v>0</v>
      </c>
      <c r="L479" s="15">
        <f>IF(ISNUMBER('Klisz-Verbräuche'!M149), 'Klisz-Verbräuche'!M149*Emissionsfaktoren!L149/1000, 0)</f>
        <v>0</v>
      </c>
      <c r="M479" s="15">
        <f>IF(ISNUMBER('Klisz-Verbräuche'!N149), 'Klisz-Verbräuche'!N149*Emissionsfaktoren!M149/1000, 0)</f>
        <v>0</v>
      </c>
      <c r="N479" s="15">
        <f>IF(ISNUMBER('Klisz-Verbräuche'!O149), 'Klisz-Verbräuche'!O149*Emissionsfaktoren!N149/1000, 0)</f>
        <v>0</v>
      </c>
      <c r="O479" s="15">
        <f>IF(ISNUMBER('Klisz-Verbräuche'!P149), 'Klisz-Verbräuche'!P149*Emissionsfaktoren!O149/1000, 0)</f>
        <v>0</v>
      </c>
      <c r="P479" s="15">
        <f>IF(ISNUMBER('Klisz-Verbräuche'!Q149), 'Klisz-Verbräuche'!Q149*Emissionsfaktoren!P149/1000, 0)</f>
        <v>0</v>
      </c>
      <c r="Q479" s="15">
        <f>IF(ISNUMBER('Klisz-Verbräuche'!R149), 'Klisz-Verbräuche'!R149*Emissionsfaktoren!Q149/1000, 0)</f>
        <v>0</v>
      </c>
      <c r="R479" s="15">
        <f>IF(ISNUMBER('Klisz-Verbräuche'!S149), 'Klisz-Verbräuche'!S149*Emissionsfaktoren!R149/1000, 0)</f>
        <v>0</v>
      </c>
      <c r="S479" s="15">
        <f>IF(ISNUMBER('Klisz-Verbräuche'!T149), 'Klisz-Verbräuche'!T149*Emissionsfaktoren!S149/1000, 0)</f>
        <v>0</v>
      </c>
      <c r="T479" s="15">
        <f>IF(ISNUMBER('Klisz-Verbräuche'!U149), 'Klisz-Verbräuche'!U149*Emissionsfaktoren!T149/1000, 0)</f>
        <v>0</v>
      </c>
      <c r="U479" s="15">
        <f>IF(ISNUMBER('Klisz-Verbräuche'!V149), 'Klisz-Verbräuche'!V149*Emissionsfaktoren!U149/1000, 0)</f>
        <v>0</v>
      </c>
      <c r="V479" s="15">
        <f>IF(ISNUMBER('Klisz-Verbräuche'!W149), 'Klisz-Verbräuche'!W149*Emissionsfaktoren!V149/1000, 0)</f>
        <v>0</v>
      </c>
      <c r="W479" s="15">
        <f>IF(ISNUMBER('Klisz-Verbräuche'!X149), 'Klisz-Verbräuche'!X149*Emissionsfaktoren!W149/1000, 0)</f>
        <v>0</v>
      </c>
      <c r="X479" s="15">
        <f>IF(ISNUMBER('Klisz-Verbräuche'!Y149), 'Klisz-Verbräuche'!Y149*Emissionsfaktoren!X149/1000, 0)</f>
        <v>0</v>
      </c>
    </row>
    <row r="480" spans="2:24" ht="16.5" hidden="1" x14ac:dyDescent="0.45">
      <c r="B480" s="15">
        <v>91</v>
      </c>
      <c r="C480" s="20" t="str">
        <f>'Refsz-Verbräuche'!C150</f>
        <v>Frischfaserpapier</v>
      </c>
      <c r="D480" t="s">
        <v>208</v>
      </c>
      <c r="E480" s="15">
        <f>IF(ISNUMBER('Klisz-Verbräuche'!F150), 'Klisz-Verbräuche'!F150*Emissionsfaktoren!E150/1000, 0)</f>
        <v>0</v>
      </c>
      <c r="F480" s="15">
        <f>IF(ISNUMBER('Klisz-Verbräuche'!G150), 'Klisz-Verbräuche'!G150*Emissionsfaktoren!F150/1000, 0)</f>
        <v>0</v>
      </c>
      <c r="G480" s="15">
        <f>IF(ISNUMBER('Klisz-Verbräuche'!H150), 'Klisz-Verbräuche'!H150*Emissionsfaktoren!G150/1000, 0)</f>
        <v>0</v>
      </c>
      <c r="H480" s="15">
        <f>IF(ISNUMBER('Klisz-Verbräuche'!I150), 'Klisz-Verbräuche'!I150*Emissionsfaktoren!H150/1000, 0)</f>
        <v>0</v>
      </c>
      <c r="I480" s="15">
        <f>IF(ISNUMBER('Klisz-Verbräuche'!J150), 'Klisz-Verbräuche'!J150*Emissionsfaktoren!I150/1000, 0)</f>
        <v>0</v>
      </c>
      <c r="J480" s="15">
        <f>IF(ISNUMBER('Klisz-Verbräuche'!K150), 'Klisz-Verbräuche'!K150*Emissionsfaktoren!J150/1000, 0)</f>
        <v>0</v>
      </c>
      <c r="K480" s="15">
        <f>IF(ISNUMBER('Klisz-Verbräuche'!L150), 'Klisz-Verbräuche'!L150*Emissionsfaktoren!K150/1000, 0)</f>
        <v>0</v>
      </c>
      <c r="L480" s="15">
        <f>IF(ISNUMBER('Klisz-Verbräuche'!M150), 'Klisz-Verbräuche'!M150*Emissionsfaktoren!L150/1000, 0)</f>
        <v>0</v>
      </c>
      <c r="M480" s="15">
        <f>IF(ISNUMBER('Klisz-Verbräuche'!N150), 'Klisz-Verbräuche'!N150*Emissionsfaktoren!M150/1000, 0)</f>
        <v>0</v>
      </c>
      <c r="N480" s="15">
        <f>IF(ISNUMBER('Klisz-Verbräuche'!O150), 'Klisz-Verbräuche'!O150*Emissionsfaktoren!N150/1000, 0)</f>
        <v>0</v>
      </c>
      <c r="O480" s="15">
        <f>IF(ISNUMBER('Klisz-Verbräuche'!P150), 'Klisz-Verbräuche'!P150*Emissionsfaktoren!O150/1000, 0)</f>
        <v>0</v>
      </c>
      <c r="P480" s="15">
        <f>IF(ISNUMBER('Klisz-Verbräuche'!Q150), 'Klisz-Verbräuche'!Q150*Emissionsfaktoren!P150/1000, 0)</f>
        <v>0</v>
      </c>
      <c r="Q480" s="15">
        <f>IF(ISNUMBER('Klisz-Verbräuche'!R150), 'Klisz-Verbräuche'!R150*Emissionsfaktoren!Q150/1000, 0)</f>
        <v>0</v>
      </c>
      <c r="R480" s="15">
        <f>IF(ISNUMBER('Klisz-Verbräuche'!S150), 'Klisz-Verbräuche'!S150*Emissionsfaktoren!R150/1000, 0)</f>
        <v>0</v>
      </c>
      <c r="S480" s="15">
        <f>IF(ISNUMBER('Klisz-Verbräuche'!T150), 'Klisz-Verbräuche'!T150*Emissionsfaktoren!S150/1000, 0)</f>
        <v>0</v>
      </c>
      <c r="T480" s="15">
        <f>IF(ISNUMBER('Klisz-Verbräuche'!U150), 'Klisz-Verbräuche'!U150*Emissionsfaktoren!T150/1000, 0)</f>
        <v>0</v>
      </c>
      <c r="U480" s="15">
        <f>IF(ISNUMBER('Klisz-Verbräuche'!V150), 'Klisz-Verbräuche'!V150*Emissionsfaktoren!U150/1000, 0)</f>
        <v>0</v>
      </c>
      <c r="V480" s="15">
        <f>IF(ISNUMBER('Klisz-Verbräuche'!W150), 'Klisz-Verbräuche'!W150*Emissionsfaktoren!V150/1000, 0)</f>
        <v>0</v>
      </c>
      <c r="W480" s="15">
        <f>IF(ISNUMBER('Klisz-Verbräuche'!X150), 'Klisz-Verbräuche'!X150*Emissionsfaktoren!W150/1000, 0)</f>
        <v>0</v>
      </c>
      <c r="X480" s="15">
        <f>IF(ISNUMBER('Klisz-Verbräuche'!Y150), 'Klisz-Verbräuche'!Y150*Emissionsfaktoren!X150/1000, 0)</f>
        <v>0</v>
      </c>
    </row>
    <row r="481" spans="2:24" ht="16.5" hidden="1" x14ac:dyDescent="0.45">
      <c r="B481" s="15">
        <v>92</v>
      </c>
      <c r="C481" s="20" t="str">
        <f>'Refsz-Verbräuche'!C151</f>
        <v>Toilettenpapier (Recycling)</v>
      </c>
      <c r="D481" t="s">
        <v>208</v>
      </c>
      <c r="E481" s="15">
        <f>IF(ISNUMBER('Klisz-Verbräuche'!F151), 'Klisz-Verbräuche'!F151*Emissionsfaktoren!E151/1000, 0)</f>
        <v>0</v>
      </c>
      <c r="F481" s="15">
        <f>IF(ISNUMBER('Klisz-Verbräuche'!G151), 'Klisz-Verbräuche'!G151*Emissionsfaktoren!F151/1000, 0)</f>
        <v>0</v>
      </c>
      <c r="G481" s="15">
        <f>IF(ISNUMBER('Klisz-Verbräuche'!H151), 'Klisz-Verbräuche'!H151*Emissionsfaktoren!G151/1000, 0)</f>
        <v>0</v>
      </c>
      <c r="H481" s="15">
        <f>IF(ISNUMBER('Klisz-Verbräuche'!I151), 'Klisz-Verbräuche'!I151*Emissionsfaktoren!H151/1000, 0)</f>
        <v>0</v>
      </c>
      <c r="I481" s="15">
        <f>IF(ISNUMBER('Klisz-Verbräuche'!J151), 'Klisz-Verbräuche'!J151*Emissionsfaktoren!I151/1000, 0)</f>
        <v>0</v>
      </c>
      <c r="J481" s="15">
        <f>IF(ISNUMBER('Klisz-Verbräuche'!K151), 'Klisz-Verbräuche'!K151*Emissionsfaktoren!J151/1000, 0)</f>
        <v>0</v>
      </c>
      <c r="K481" s="15">
        <f>IF(ISNUMBER('Klisz-Verbräuche'!L151), 'Klisz-Verbräuche'!L151*Emissionsfaktoren!K151/1000, 0)</f>
        <v>0</v>
      </c>
      <c r="L481" s="15">
        <f>IF(ISNUMBER('Klisz-Verbräuche'!M151), 'Klisz-Verbräuche'!M151*Emissionsfaktoren!L151/1000, 0)</f>
        <v>0</v>
      </c>
      <c r="M481" s="15">
        <f>IF(ISNUMBER('Klisz-Verbräuche'!N151), 'Klisz-Verbräuche'!N151*Emissionsfaktoren!M151/1000, 0)</f>
        <v>0</v>
      </c>
      <c r="N481" s="15">
        <f>IF(ISNUMBER('Klisz-Verbräuche'!O151), 'Klisz-Verbräuche'!O151*Emissionsfaktoren!N151/1000, 0)</f>
        <v>0</v>
      </c>
      <c r="O481" s="15">
        <f>IF(ISNUMBER('Klisz-Verbräuche'!P151), 'Klisz-Verbräuche'!P151*Emissionsfaktoren!O151/1000, 0)</f>
        <v>0</v>
      </c>
      <c r="P481" s="15">
        <f>IF(ISNUMBER('Klisz-Verbräuche'!Q151), 'Klisz-Verbräuche'!Q151*Emissionsfaktoren!P151/1000, 0)</f>
        <v>0</v>
      </c>
      <c r="Q481" s="15">
        <f>IF(ISNUMBER('Klisz-Verbräuche'!R151), 'Klisz-Verbräuche'!R151*Emissionsfaktoren!Q151/1000, 0)</f>
        <v>0</v>
      </c>
      <c r="R481" s="15">
        <f>IF(ISNUMBER('Klisz-Verbräuche'!S151), 'Klisz-Verbräuche'!S151*Emissionsfaktoren!R151/1000, 0)</f>
        <v>0</v>
      </c>
      <c r="S481" s="15">
        <f>IF(ISNUMBER('Klisz-Verbräuche'!T151), 'Klisz-Verbräuche'!T151*Emissionsfaktoren!S151/1000, 0)</f>
        <v>0</v>
      </c>
      <c r="T481" s="15">
        <f>IF(ISNUMBER('Klisz-Verbräuche'!U151), 'Klisz-Verbräuche'!U151*Emissionsfaktoren!T151/1000, 0)</f>
        <v>0</v>
      </c>
      <c r="U481" s="15">
        <f>IF(ISNUMBER('Klisz-Verbräuche'!V151), 'Klisz-Verbräuche'!V151*Emissionsfaktoren!U151/1000, 0)</f>
        <v>0</v>
      </c>
      <c r="V481" s="15">
        <f>IF(ISNUMBER('Klisz-Verbräuche'!W151), 'Klisz-Verbräuche'!W151*Emissionsfaktoren!V151/1000, 0)</f>
        <v>0</v>
      </c>
      <c r="W481" s="15">
        <f>IF(ISNUMBER('Klisz-Verbräuche'!X151), 'Klisz-Verbräuche'!X151*Emissionsfaktoren!W151/1000, 0)</f>
        <v>0</v>
      </c>
      <c r="X481" s="15">
        <f>IF(ISNUMBER('Klisz-Verbräuche'!Y151), 'Klisz-Verbräuche'!Y151*Emissionsfaktoren!X151/1000, 0)</f>
        <v>0</v>
      </c>
    </row>
    <row r="482" spans="2:24" ht="16.5" hidden="1" x14ac:dyDescent="0.45">
      <c r="B482" s="15">
        <v>93</v>
      </c>
      <c r="C482" s="20" t="str">
        <f>'Refsz-Verbräuche'!C152</f>
        <v>Papierhandtücher (Recycling)</v>
      </c>
      <c r="D482" t="s">
        <v>208</v>
      </c>
      <c r="E482" s="15">
        <f>IF(ISNUMBER('Klisz-Verbräuche'!F152), 'Klisz-Verbräuche'!F152*Emissionsfaktoren!E152/1000, 0)</f>
        <v>0</v>
      </c>
      <c r="F482" s="15">
        <f>IF(ISNUMBER('Klisz-Verbräuche'!G152), 'Klisz-Verbräuche'!G152*Emissionsfaktoren!F152/1000, 0)</f>
        <v>0</v>
      </c>
      <c r="G482" s="15">
        <f>IF(ISNUMBER('Klisz-Verbräuche'!H152), 'Klisz-Verbräuche'!H152*Emissionsfaktoren!G152/1000, 0)</f>
        <v>0</v>
      </c>
      <c r="H482" s="15">
        <f>IF(ISNUMBER('Klisz-Verbräuche'!I152), 'Klisz-Verbräuche'!I152*Emissionsfaktoren!H152/1000, 0)</f>
        <v>0</v>
      </c>
      <c r="I482" s="15">
        <f>IF(ISNUMBER('Klisz-Verbräuche'!J152), 'Klisz-Verbräuche'!J152*Emissionsfaktoren!I152/1000, 0)</f>
        <v>0</v>
      </c>
      <c r="J482" s="15">
        <f>IF(ISNUMBER('Klisz-Verbräuche'!K152), 'Klisz-Verbräuche'!K152*Emissionsfaktoren!J152/1000, 0)</f>
        <v>0</v>
      </c>
      <c r="K482" s="15">
        <f>IF(ISNUMBER('Klisz-Verbräuche'!L152), 'Klisz-Verbräuche'!L152*Emissionsfaktoren!K152/1000, 0)</f>
        <v>0</v>
      </c>
      <c r="L482" s="15">
        <f>IF(ISNUMBER('Klisz-Verbräuche'!M152), 'Klisz-Verbräuche'!M152*Emissionsfaktoren!L152/1000, 0)</f>
        <v>0</v>
      </c>
      <c r="M482" s="15">
        <f>IF(ISNUMBER('Klisz-Verbräuche'!N152), 'Klisz-Verbräuche'!N152*Emissionsfaktoren!M152/1000, 0)</f>
        <v>0</v>
      </c>
      <c r="N482" s="15">
        <f>IF(ISNUMBER('Klisz-Verbräuche'!O152), 'Klisz-Verbräuche'!O152*Emissionsfaktoren!N152/1000, 0)</f>
        <v>0</v>
      </c>
      <c r="O482" s="15">
        <f>IF(ISNUMBER('Klisz-Verbräuche'!P152), 'Klisz-Verbräuche'!P152*Emissionsfaktoren!O152/1000, 0)</f>
        <v>0</v>
      </c>
      <c r="P482" s="15">
        <f>IF(ISNUMBER('Klisz-Verbräuche'!Q152), 'Klisz-Verbräuche'!Q152*Emissionsfaktoren!P152/1000, 0)</f>
        <v>0</v>
      </c>
      <c r="Q482" s="15">
        <f>IF(ISNUMBER('Klisz-Verbräuche'!R152), 'Klisz-Verbräuche'!R152*Emissionsfaktoren!Q152/1000, 0)</f>
        <v>0</v>
      </c>
      <c r="R482" s="15">
        <f>IF(ISNUMBER('Klisz-Verbräuche'!S152), 'Klisz-Verbräuche'!S152*Emissionsfaktoren!R152/1000, 0)</f>
        <v>0</v>
      </c>
      <c r="S482" s="15">
        <f>IF(ISNUMBER('Klisz-Verbräuche'!T152), 'Klisz-Verbräuche'!T152*Emissionsfaktoren!S152/1000, 0)</f>
        <v>0</v>
      </c>
      <c r="T482" s="15">
        <f>IF(ISNUMBER('Klisz-Verbräuche'!U152), 'Klisz-Verbräuche'!U152*Emissionsfaktoren!T152/1000, 0)</f>
        <v>0</v>
      </c>
      <c r="U482" s="15">
        <f>IF(ISNUMBER('Klisz-Verbräuche'!V152), 'Klisz-Verbräuche'!V152*Emissionsfaktoren!U152/1000, 0)</f>
        <v>0</v>
      </c>
      <c r="V482" s="15">
        <f>IF(ISNUMBER('Klisz-Verbräuche'!W152), 'Klisz-Verbräuche'!W152*Emissionsfaktoren!V152/1000, 0)</f>
        <v>0</v>
      </c>
      <c r="W482" s="15">
        <f>IF(ISNUMBER('Klisz-Verbräuche'!X152), 'Klisz-Verbräuche'!X152*Emissionsfaktoren!W152/1000, 0)</f>
        <v>0</v>
      </c>
      <c r="X482" s="15">
        <f>IF(ISNUMBER('Klisz-Verbräuche'!Y152), 'Klisz-Verbräuche'!Y152*Emissionsfaktoren!X152/1000, 0)</f>
        <v>0</v>
      </c>
    </row>
    <row r="483" spans="2:24" ht="16.5" hidden="1" x14ac:dyDescent="0.45">
      <c r="B483" s="15">
        <v>94</v>
      </c>
      <c r="C483" s="20">
        <f>'Refsz-Verbräuche'!C153</f>
        <v>0</v>
      </c>
      <c r="D483" t="s">
        <v>208</v>
      </c>
      <c r="E483" s="15">
        <f>IF(ISNUMBER('Klisz-Verbräuche'!F153), 'Klisz-Verbräuche'!F153*Emissionsfaktoren!E153/1000, 0)</f>
        <v>0</v>
      </c>
      <c r="F483" s="15">
        <f>IF(ISNUMBER('Klisz-Verbräuche'!G153), 'Klisz-Verbräuche'!G153*Emissionsfaktoren!F153/1000, 0)</f>
        <v>0</v>
      </c>
      <c r="G483" s="15">
        <f>IF(ISNUMBER('Klisz-Verbräuche'!H153), 'Klisz-Verbräuche'!H153*Emissionsfaktoren!G153/1000, 0)</f>
        <v>0</v>
      </c>
      <c r="H483" s="15">
        <f>IF(ISNUMBER('Klisz-Verbräuche'!I153), 'Klisz-Verbräuche'!I153*Emissionsfaktoren!H153/1000, 0)</f>
        <v>0</v>
      </c>
      <c r="I483" s="15">
        <f>IF(ISNUMBER('Klisz-Verbräuche'!J153), 'Klisz-Verbräuche'!J153*Emissionsfaktoren!I153/1000, 0)</f>
        <v>0</v>
      </c>
      <c r="J483" s="15">
        <f>IF(ISNUMBER('Klisz-Verbräuche'!K153), 'Klisz-Verbräuche'!K153*Emissionsfaktoren!J153/1000, 0)</f>
        <v>0</v>
      </c>
      <c r="K483" s="15">
        <f>IF(ISNUMBER('Klisz-Verbräuche'!L153), 'Klisz-Verbräuche'!L153*Emissionsfaktoren!K153/1000, 0)</f>
        <v>0</v>
      </c>
      <c r="L483" s="15">
        <f>IF(ISNUMBER('Klisz-Verbräuche'!M153), 'Klisz-Verbräuche'!M153*Emissionsfaktoren!L153/1000, 0)</f>
        <v>0</v>
      </c>
      <c r="M483" s="15">
        <f>IF(ISNUMBER('Klisz-Verbräuche'!N153), 'Klisz-Verbräuche'!N153*Emissionsfaktoren!M153/1000, 0)</f>
        <v>0</v>
      </c>
      <c r="N483" s="15">
        <f>IF(ISNUMBER('Klisz-Verbräuche'!O153), 'Klisz-Verbräuche'!O153*Emissionsfaktoren!N153/1000, 0)</f>
        <v>0</v>
      </c>
      <c r="O483" s="15">
        <f>IF(ISNUMBER('Klisz-Verbräuche'!P153), 'Klisz-Verbräuche'!P153*Emissionsfaktoren!O153/1000, 0)</f>
        <v>0</v>
      </c>
      <c r="P483" s="15">
        <f>IF(ISNUMBER('Klisz-Verbräuche'!Q153), 'Klisz-Verbräuche'!Q153*Emissionsfaktoren!P153/1000, 0)</f>
        <v>0</v>
      </c>
      <c r="Q483" s="15">
        <f>IF(ISNUMBER('Klisz-Verbräuche'!R153), 'Klisz-Verbräuche'!R153*Emissionsfaktoren!Q153/1000, 0)</f>
        <v>0</v>
      </c>
      <c r="R483" s="15">
        <f>IF(ISNUMBER('Klisz-Verbräuche'!S153), 'Klisz-Verbräuche'!S153*Emissionsfaktoren!R153/1000, 0)</f>
        <v>0</v>
      </c>
      <c r="S483" s="15">
        <f>IF(ISNUMBER('Klisz-Verbräuche'!T153), 'Klisz-Verbräuche'!T153*Emissionsfaktoren!S153/1000, 0)</f>
        <v>0</v>
      </c>
      <c r="T483" s="15">
        <f>IF(ISNUMBER('Klisz-Verbräuche'!U153), 'Klisz-Verbräuche'!U153*Emissionsfaktoren!T153/1000, 0)</f>
        <v>0</v>
      </c>
      <c r="U483" s="15">
        <f>IF(ISNUMBER('Klisz-Verbräuche'!V153), 'Klisz-Verbräuche'!V153*Emissionsfaktoren!U153/1000, 0)</f>
        <v>0</v>
      </c>
      <c r="V483" s="15">
        <f>IF(ISNUMBER('Klisz-Verbräuche'!W153), 'Klisz-Verbräuche'!W153*Emissionsfaktoren!V153/1000, 0)</f>
        <v>0</v>
      </c>
      <c r="W483" s="15">
        <f>IF(ISNUMBER('Klisz-Verbräuche'!X153), 'Klisz-Verbräuche'!X153*Emissionsfaktoren!W153/1000, 0)</f>
        <v>0</v>
      </c>
      <c r="X483" s="15">
        <f>IF(ISNUMBER('Klisz-Verbräuche'!Y153), 'Klisz-Verbräuche'!Y153*Emissionsfaktoren!X153/1000, 0)</f>
        <v>0</v>
      </c>
    </row>
    <row r="484" spans="2:24" ht="16.5" hidden="1" x14ac:dyDescent="0.45">
      <c r="B484" s="15">
        <v>95</v>
      </c>
      <c r="C484" s="20" t="str">
        <f>'Refsz-Verbräuche'!C154</f>
        <v>Outgesourcte Leistungen des Rechenzentrums</v>
      </c>
      <c r="D484" t="s">
        <v>208</v>
      </c>
      <c r="E484" s="15">
        <f>IF(ISNUMBER('Klisz-Verbräuche'!F154), 'Klisz-Verbräuche'!F154*Emissionsfaktoren!E154/1000, 0)</f>
        <v>0</v>
      </c>
      <c r="F484" s="15">
        <f>IF(ISNUMBER('Klisz-Verbräuche'!G154), 'Klisz-Verbräuche'!G154*Emissionsfaktoren!F154/1000, 0)</f>
        <v>0</v>
      </c>
      <c r="G484" s="15">
        <f>IF(ISNUMBER('Klisz-Verbräuche'!H154), 'Klisz-Verbräuche'!H154*Emissionsfaktoren!G154/1000, 0)</f>
        <v>0</v>
      </c>
      <c r="H484" s="15">
        <f>IF(ISNUMBER('Klisz-Verbräuche'!I154), 'Klisz-Verbräuche'!I154*Emissionsfaktoren!H154/1000, 0)</f>
        <v>0</v>
      </c>
      <c r="I484" s="15">
        <f>IF(ISNUMBER('Klisz-Verbräuche'!J154), 'Klisz-Verbräuche'!J154*Emissionsfaktoren!I154/1000, 0)</f>
        <v>0</v>
      </c>
      <c r="J484" s="15">
        <f>IF(ISNUMBER('Klisz-Verbräuche'!K154), 'Klisz-Verbräuche'!K154*Emissionsfaktoren!J154/1000, 0)</f>
        <v>0</v>
      </c>
      <c r="K484" s="15">
        <f>IF(ISNUMBER('Klisz-Verbräuche'!L154), 'Klisz-Verbräuche'!L154*Emissionsfaktoren!K154/1000, 0)</f>
        <v>0</v>
      </c>
      <c r="L484" s="15">
        <f>IF(ISNUMBER('Klisz-Verbräuche'!M154), 'Klisz-Verbräuche'!M154*Emissionsfaktoren!L154/1000, 0)</f>
        <v>0</v>
      </c>
      <c r="M484" s="15">
        <f>IF(ISNUMBER('Klisz-Verbräuche'!N154), 'Klisz-Verbräuche'!N154*Emissionsfaktoren!M154/1000, 0)</f>
        <v>0</v>
      </c>
      <c r="N484" s="15">
        <f>IF(ISNUMBER('Klisz-Verbräuche'!O154), 'Klisz-Verbräuche'!O154*Emissionsfaktoren!N154/1000, 0)</f>
        <v>0</v>
      </c>
      <c r="O484" s="15">
        <f>IF(ISNUMBER('Klisz-Verbräuche'!P154), 'Klisz-Verbräuche'!P154*Emissionsfaktoren!O154/1000, 0)</f>
        <v>0</v>
      </c>
      <c r="P484" s="15">
        <f>IF(ISNUMBER('Klisz-Verbräuche'!Q154), 'Klisz-Verbräuche'!Q154*Emissionsfaktoren!P154/1000, 0)</f>
        <v>0</v>
      </c>
      <c r="Q484" s="15">
        <f>IF(ISNUMBER('Klisz-Verbräuche'!R154), 'Klisz-Verbräuche'!R154*Emissionsfaktoren!Q154/1000, 0)</f>
        <v>0</v>
      </c>
      <c r="R484" s="15">
        <f>IF(ISNUMBER('Klisz-Verbräuche'!S154), 'Klisz-Verbräuche'!S154*Emissionsfaktoren!R154/1000, 0)</f>
        <v>0</v>
      </c>
      <c r="S484" s="15">
        <f>IF(ISNUMBER('Klisz-Verbräuche'!T154), 'Klisz-Verbräuche'!T154*Emissionsfaktoren!S154/1000, 0)</f>
        <v>0</v>
      </c>
      <c r="T484" s="15">
        <f>IF(ISNUMBER('Klisz-Verbräuche'!U154), 'Klisz-Verbräuche'!U154*Emissionsfaktoren!T154/1000, 0)</f>
        <v>0</v>
      </c>
      <c r="U484" s="15">
        <f>IF(ISNUMBER('Klisz-Verbräuche'!V154), 'Klisz-Verbräuche'!V154*Emissionsfaktoren!U154/1000, 0)</f>
        <v>0</v>
      </c>
      <c r="V484" s="15">
        <f>IF(ISNUMBER('Klisz-Verbräuche'!W154), 'Klisz-Verbräuche'!W154*Emissionsfaktoren!V154/1000, 0)</f>
        <v>0</v>
      </c>
      <c r="W484" s="15">
        <f>IF(ISNUMBER('Klisz-Verbräuche'!X154), 'Klisz-Verbräuche'!X154*Emissionsfaktoren!W154/1000, 0)</f>
        <v>0</v>
      </c>
      <c r="X484" s="15">
        <f>IF(ISNUMBER('Klisz-Verbräuche'!Y154), 'Klisz-Verbräuche'!Y154*Emissionsfaktoren!X154/1000, 0)</f>
        <v>0</v>
      </c>
    </row>
    <row r="485" spans="2:24" ht="16.5" hidden="1" x14ac:dyDescent="0.45">
      <c r="B485" s="15">
        <v>96</v>
      </c>
      <c r="C485" s="20" t="str">
        <f>'Refsz-Verbräuche'!C155</f>
        <v>Beamer</v>
      </c>
      <c r="D485" t="s">
        <v>208</v>
      </c>
      <c r="E485" s="15">
        <f>IF(ISNUMBER('Klisz-Verbräuche'!F155), 'Klisz-Verbräuche'!F155*Emissionsfaktoren!E155/1000, 0)</f>
        <v>0</v>
      </c>
      <c r="F485" s="15">
        <f>IF(ISNUMBER('Klisz-Verbräuche'!G155), 'Klisz-Verbräuche'!G155*Emissionsfaktoren!F155/1000, 0)</f>
        <v>0</v>
      </c>
      <c r="G485" s="15">
        <f>IF(ISNUMBER('Klisz-Verbräuche'!H155), 'Klisz-Verbräuche'!H155*Emissionsfaktoren!G155/1000, 0)</f>
        <v>0</v>
      </c>
      <c r="H485" s="15">
        <f>IF(ISNUMBER('Klisz-Verbräuche'!I155), 'Klisz-Verbräuche'!I155*Emissionsfaktoren!H155/1000, 0)</f>
        <v>0</v>
      </c>
      <c r="I485" s="15">
        <f>IF(ISNUMBER('Klisz-Verbräuche'!J155), 'Klisz-Verbräuche'!J155*Emissionsfaktoren!I155/1000, 0)</f>
        <v>0</v>
      </c>
      <c r="J485" s="15">
        <f>IF(ISNUMBER('Klisz-Verbräuche'!K155), 'Klisz-Verbräuche'!K155*Emissionsfaktoren!J155/1000, 0)</f>
        <v>0</v>
      </c>
      <c r="K485" s="15">
        <f>IF(ISNUMBER('Klisz-Verbräuche'!L155), 'Klisz-Verbräuche'!L155*Emissionsfaktoren!K155/1000, 0)</f>
        <v>0</v>
      </c>
      <c r="L485" s="15">
        <f>IF(ISNUMBER('Klisz-Verbräuche'!M155), 'Klisz-Verbräuche'!M155*Emissionsfaktoren!L155/1000, 0)</f>
        <v>0</v>
      </c>
      <c r="M485" s="15">
        <f>IF(ISNUMBER('Klisz-Verbräuche'!N155), 'Klisz-Verbräuche'!N155*Emissionsfaktoren!M155/1000, 0)</f>
        <v>0</v>
      </c>
      <c r="N485" s="15">
        <f>IF(ISNUMBER('Klisz-Verbräuche'!O155), 'Klisz-Verbräuche'!O155*Emissionsfaktoren!N155/1000, 0)</f>
        <v>0</v>
      </c>
      <c r="O485" s="15">
        <f>IF(ISNUMBER('Klisz-Verbräuche'!P155), 'Klisz-Verbräuche'!P155*Emissionsfaktoren!O155/1000, 0)</f>
        <v>0</v>
      </c>
      <c r="P485" s="15">
        <f>IF(ISNUMBER('Klisz-Verbräuche'!Q155), 'Klisz-Verbräuche'!Q155*Emissionsfaktoren!P155/1000, 0)</f>
        <v>0</v>
      </c>
      <c r="Q485" s="15">
        <f>IF(ISNUMBER('Klisz-Verbräuche'!R155), 'Klisz-Verbräuche'!R155*Emissionsfaktoren!Q155/1000, 0)</f>
        <v>0</v>
      </c>
      <c r="R485" s="15">
        <f>IF(ISNUMBER('Klisz-Verbräuche'!S155), 'Klisz-Verbräuche'!S155*Emissionsfaktoren!R155/1000, 0)</f>
        <v>0</v>
      </c>
      <c r="S485" s="15">
        <f>IF(ISNUMBER('Klisz-Verbräuche'!T155), 'Klisz-Verbräuche'!T155*Emissionsfaktoren!S155/1000, 0)</f>
        <v>0</v>
      </c>
      <c r="T485" s="15">
        <f>IF(ISNUMBER('Klisz-Verbräuche'!U155), 'Klisz-Verbräuche'!U155*Emissionsfaktoren!T155/1000, 0)</f>
        <v>0</v>
      </c>
      <c r="U485" s="15">
        <f>IF(ISNUMBER('Klisz-Verbräuche'!V155), 'Klisz-Verbräuche'!V155*Emissionsfaktoren!U155/1000, 0)</f>
        <v>0</v>
      </c>
      <c r="V485" s="15">
        <f>IF(ISNUMBER('Klisz-Verbräuche'!W155), 'Klisz-Verbräuche'!W155*Emissionsfaktoren!V155/1000, 0)</f>
        <v>0</v>
      </c>
      <c r="W485" s="15">
        <f>IF(ISNUMBER('Klisz-Verbräuche'!X155), 'Klisz-Verbräuche'!X155*Emissionsfaktoren!W155/1000, 0)</f>
        <v>0</v>
      </c>
      <c r="X485" s="15">
        <f>IF(ISNUMBER('Klisz-Verbräuche'!Y155), 'Klisz-Verbräuche'!Y155*Emissionsfaktoren!X155/1000, 0)</f>
        <v>0</v>
      </c>
    </row>
    <row r="486" spans="2:24" ht="16.5" hidden="1" x14ac:dyDescent="0.45">
      <c r="B486" s="15">
        <v>97</v>
      </c>
      <c r="C486" s="20" t="str">
        <f>'Refsz-Verbräuche'!C156</f>
        <v>Notebook/Laptop</v>
      </c>
      <c r="D486" t="s">
        <v>208</v>
      </c>
      <c r="E486" s="15">
        <f>IF(ISNUMBER('Klisz-Verbräuche'!F156), 'Klisz-Verbräuche'!F156*Emissionsfaktoren!E156/1000, 0)</f>
        <v>0</v>
      </c>
      <c r="F486" s="15">
        <f>IF(ISNUMBER('Klisz-Verbräuche'!G156), 'Klisz-Verbräuche'!G156*Emissionsfaktoren!F156/1000, 0)</f>
        <v>0</v>
      </c>
      <c r="G486" s="15">
        <f>IF(ISNUMBER('Klisz-Verbräuche'!H156), 'Klisz-Verbräuche'!H156*Emissionsfaktoren!G156/1000, 0)</f>
        <v>0</v>
      </c>
      <c r="H486" s="15">
        <f>IF(ISNUMBER('Klisz-Verbräuche'!I156), 'Klisz-Verbräuche'!I156*Emissionsfaktoren!H156/1000, 0)</f>
        <v>0</v>
      </c>
      <c r="I486" s="15">
        <f>IF(ISNUMBER('Klisz-Verbräuche'!J156), 'Klisz-Verbräuche'!J156*Emissionsfaktoren!I156/1000, 0)</f>
        <v>0</v>
      </c>
      <c r="J486" s="15">
        <f>IF(ISNUMBER('Klisz-Verbräuche'!K156), 'Klisz-Verbräuche'!K156*Emissionsfaktoren!J156/1000, 0)</f>
        <v>0</v>
      </c>
      <c r="K486" s="15">
        <f>IF(ISNUMBER('Klisz-Verbräuche'!L156), 'Klisz-Verbräuche'!L156*Emissionsfaktoren!K156/1000, 0)</f>
        <v>0</v>
      </c>
      <c r="L486" s="15">
        <f>IF(ISNUMBER('Klisz-Verbräuche'!M156), 'Klisz-Verbräuche'!M156*Emissionsfaktoren!L156/1000, 0)</f>
        <v>0</v>
      </c>
      <c r="M486" s="15">
        <f>IF(ISNUMBER('Klisz-Verbräuche'!N156), 'Klisz-Verbräuche'!N156*Emissionsfaktoren!M156/1000, 0)</f>
        <v>0</v>
      </c>
      <c r="N486" s="15">
        <f>IF(ISNUMBER('Klisz-Verbräuche'!O156), 'Klisz-Verbräuche'!O156*Emissionsfaktoren!N156/1000, 0)</f>
        <v>0</v>
      </c>
      <c r="O486" s="15">
        <f>IF(ISNUMBER('Klisz-Verbräuche'!P156), 'Klisz-Verbräuche'!P156*Emissionsfaktoren!O156/1000, 0)</f>
        <v>0</v>
      </c>
      <c r="P486" s="15">
        <f>IF(ISNUMBER('Klisz-Verbräuche'!Q156), 'Klisz-Verbräuche'!Q156*Emissionsfaktoren!P156/1000, 0)</f>
        <v>0</v>
      </c>
      <c r="Q486" s="15">
        <f>IF(ISNUMBER('Klisz-Verbräuche'!R156), 'Klisz-Verbräuche'!R156*Emissionsfaktoren!Q156/1000, 0)</f>
        <v>0</v>
      </c>
      <c r="R486" s="15">
        <f>IF(ISNUMBER('Klisz-Verbräuche'!S156), 'Klisz-Verbräuche'!S156*Emissionsfaktoren!R156/1000, 0)</f>
        <v>0</v>
      </c>
      <c r="S486" s="15">
        <f>IF(ISNUMBER('Klisz-Verbräuche'!T156), 'Klisz-Verbräuche'!T156*Emissionsfaktoren!S156/1000, 0)</f>
        <v>0</v>
      </c>
      <c r="T486" s="15">
        <f>IF(ISNUMBER('Klisz-Verbräuche'!U156), 'Klisz-Verbräuche'!U156*Emissionsfaktoren!T156/1000, 0)</f>
        <v>0</v>
      </c>
      <c r="U486" s="15">
        <f>IF(ISNUMBER('Klisz-Verbräuche'!V156), 'Klisz-Verbräuche'!V156*Emissionsfaktoren!U156/1000, 0)</f>
        <v>0</v>
      </c>
      <c r="V486" s="15">
        <f>IF(ISNUMBER('Klisz-Verbräuche'!W156), 'Klisz-Verbräuche'!W156*Emissionsfaktoren!V156/1000, 0)</f>
        <v>0</v>
      </c>
      <c r="W486" s="15">
        <f>IF(ISNUMBER('Klisz-Verbräuche'!X156), 'Klisz-Verbräuche'!X156*Emissionsfaktoren!W156/1000, 0)</f>
        <v>0</v>
      </c>
      <c r="X486" s="15">
        <f>IF(ISNUMBER('Klisz-Verbräuche'!Y156), 'Klisz-Verbräuche'!Y156*Emissionsfaktoren!X156/1000, 0)</f>
        <v>0</v>
      </c>
    </row>
    <row r="487" spans="2:24" ht="16.5" hidden="1" x14ac:dyDescent="0.45">
      <c r="B487" s="15">
        <v>98</v>
      </c>
      <c r="C487" s="20" t="str">
        <f>'Refsz-Verbräuche'!C157</f>
        <v>Desktop-PC mit Monitor</v>
      </c>
      <c r="D487" t="s">
        <v>208</v>
      </c>
      <c r="E487" s="15">
        <f>IF(ISNUMBER('Klisz-Verbräuche'!F157), 'Klisz-Verbräuche'!F157*Emissionsfaktoren!E157/1000, 0)</f>
        <v>0</v>
      </c>
      <c r="F487" s="15">
        <f>IF(ISNUMBER('Klisz-Verbräuche'!G157), 'Klisz-Verbräuche'!G157*Emissionsfaktoren!F157/1000, 0)</f>
        <v>0</v>
      </c>
      <c r="G487" s="15">
        <f>IF(ISNUMBER('Klisz-Verbräuche'!H157), 'Klisz-Verbräuche'!H157*Emissionsfaktoren!G157/1000, 0)</f>
        <v>0</v>
      </c>
      <c r="H487" s="15">
        <f>IF(ISNUMBER('Klisz-Verbräuche'!I157), 'Klisz-Verbräuche'!I157*Emissionsfaktoren!H157/1000, 0)</f>
        <v>0</v>
      </c>
      <c r="I487" s="15">
        <f>IF(ISNUMBER('Klisz-Verbräuche'!J157), 'Klisz-Verbräuche'!J157*Emissionsfaktoren!I157/1000, 0)</f>
        <v>0</v>
      </c>
      <c r="J487" s="15">
        <f>IF(ISNUMBER('Klisz-Verbräuche'!K157), 'Klisz-Verbräuche'!K157*Emissionsfaktoren!J157/1000, 0)</f>
        <v>0</v>
      </c>
      <c r="K487" s="15">
        <f>IF(ISNUMBER('Klisz-Verbräuche'!L157), 'Klisz-Verbräuche'!L157*Emissionsfaktoren!K157/1000, 0)</f>
        <v>0</v>
      </c>
      <c r="L487" s="15">
        <f>IF(ISNUMBER('Klisz-Verbräuche'!M157), 'Klisz-Verbräuche'!M157*Emissionsfaktoren!L157/1000, 0)</f>
        <v>0</v>
      </c>
      <c r="M487" s="15">
        <f>IF(ISNUMBER('Klisz-Verbräuche'!N157), 'Klisz-Verbräuche'!N157*Emissionsfaktoren!M157/1000, 0)</f>
        <v>0</v>
      </c>
      <c r="N487" s="15">
        <f>IF(ISNUMBER('Klisz-Verbräuche'!O157), 'Klisz-Verbräuche'!O157*Emissionsfaktoren!N157/1000, 0)</f>
        <v>0</v>
      </c>
      <c r="O487" s="15">
        <f>IF(ISNUMBER('Klisz-Verbräuche'!P157), 'Klisz-Verbräuche'!P157*Emissionsfaktoren!O157/1000, 0)</f>
        <v>0</v>
      </c>
      <c r="P487" s="15">
        <f>IF(ISNUMBER('Klisz-Verbräuche'!Q157), 'Klisz-Verbräuche'!Q157*Emissionsfaktoren!P157/1000, 0)</f>
        <v>0</v>
      </c>
      <c r="Q487" s="15">
        <f>IF(ISNUMBER('Klisz-Verbräuche'!R157), 'Klisz-Verbräuche'!R157*Emissionsfaktoren!Q157/1000, 0)</f>
        <v>0</v>
      </c>
      <c r="R487" s="15">
        <f>IF(ISNUMBER('Klisz-Verbräuche'!S157), 'Klisz-Verbräuche'!S157*Emissionsfaktoren!R157/1000, 0)</f>
        <v>0</v>
      </c>
      <c r="S487" s="15">
        <f>IF(ISNUMBER('Klisz-Verbräuche'!T157), 'Klisz-Verbräuche'!T157*Emissionsfaktoren!S157/1000, 0)</f>
        <v>0</v>
      </c>
      <c r="T487" s="15">
        <f>IF(ISNUMBER('Klisz-Verbräuche'!U157), 'Klisz-Verbräuche'!U157*Emissionsfaktoren!T157/1000, 0)</f>
        <v>0</v>
      </c>
      <c r="U487" s="15">
        <f>IF(ISNUMBER('Klisz-Verbräuche'!V157), 'Klisz-Verbräuche'!V157*Emissionsfaktoren!U157/1000, 0)</f>
        <v>0</v>
      </c>
      <c r="V487" s="15">
        <f>IF(ISNUMBER('Klisz-Verbräuche'!W157), 'Klisz-Verbräuche'!W157*Emissionsfaktoren!V157/1000, 0)</f>
        <v>0</v>
      </c>
      <c r="W487" s="15">
        <f>IF(ISNUMBER('Klisz-Verbräuche'!X157), 'Klisz-Verbräuche'!X157*Emissionsfaktoren!W157/1000, 0)</f>
        <v>0</v>
      </c>
      <c r="X487" s="15">
        <f>IF(ISNUMBER('Klisz-Verbräuche'!Y157), 'Klisz-Verbräuche'!Y157*Emissionsfaktoren!X157/1000, 0)</f>
        <v>0</v>
      </c>
    </row>
    <row r="488" spans="2:24" ht="16.5" hidden="1" x14ac:dyDescent="0.45">
      <c r="B488" s="15">
        <v>99</v>
      </c>
      <c r="C488" s="20" t="str">
        <f>'Refsz-Verbräuche'!C158</f>
        <v>Docking-Station</v>
      </c>
      <c r="D488" t="s">
        <v>208</v>
      </c>
      <c r="E488" s="15">
        <f>IF(ISNUMBER('Klisz-Verbräuche'!F158), 'Klisz-Verbräuche'!F158*Emissionsfaktoren!E158/1000, 0)</f>
        <v>0</v>
      </c>
      <c r="F488" s="15">
        <f>IF(ISNUMBER('Klisz-Verbräuche'!G158), 'Klisz-Verbräuche'!G158*Emissionsfaktoren!F158/1000, 0)</f>
        <v>0</v>
      </c>
      <c r="G488" s="15">
        <f>IF(ISNUMBER('Klisz-Verbräuche'!H158), 'Klisz-Verbräuche'!H158*Emissionsfaktoren!G158/1000, 0)</f>
        <v>0</v>
      </c>
      <c r="H488" s="15">
        <f>IF(ISNUMBER('Klisz-Verbräuche'!I158), 'Klisz-Verbräuche'!I158*Emissionsfaktoren!H158/1000, 0)</f>
        <v>0</v>
      </c>
      <c r="I488" s="15">
        <f>IF(ISNUMBER('Klisz-Verbräuche'!J158), 'Klisz-Verbräuche'!J158*Emissionsfaktoren!I158/1000, 0)</f>
        <v>0</v>
      </c>
      <c r="J488" s="15">
        <f>IF(ISNUMBER('Klisz-Verbräuche'!K158), 'Klisz-Verbräuche'!K158*Emissionsfaktoren!J158/1000, 0)</f>
        <v>0</v>
      </c>
      <c r="K488" s="15">
        <f>IF(ISNUMBER('Klisz-Verbräuche'!L158), 'Klisz-Verbräuche'!L158*Emissionsfaktoren!K158/1000, 0)</f>
        <v>0</v>
      </c>
      <c r="L488" s="15">
        <f>IF(ISNUMBER('Klisz-Verbräuche'!M158), 'Klisz-Verbräuche'!M158*Emissionsfaktoren!L158/1000, 0)</f>
        <v>0</v>
      </c>
      <c r="M488" s="15">
        <f>IF(ISNUMBER('Klisz-Verbräuche'!N158), 'Klisz-Verbräuche'!N158*Emissionsfaktoren!M158/1000, 0)</f>
        <v>0</v>
      </c>
      <c r="N488" s="15">
        <f>IF(ISNUMBER('Klisz-Verbräuche'!O158), 'Klisz-Verbräuche'!O158*Emissionsfaktoren!N158/1000, 0)</f>
        <v>0</v>
      </c>
      <c r="O488" s="15">
        <f>IF(ISNUMBER('Klisz-Verbräuche'!P158), 'Klisz-Verbräuche'!P158*Emissionsfaktoren!O158/1000, 0)</f>
        <v>0</v>
      </c>
      <c r="P488" s="15">
        <f>IF(ISNUMBER('Klisz-Verbräuche'!Q158), 'Klisz-Verbräuche'!Q158*Emissionsfaktoren!P158/1000, 0)</f>
        <v>0</v>
      </c>
      <c r="Q488" s="15">
        <f>IF(ISNUMBER('Klisz-Verbräuche'!R158), 'Klisz-Verbräuche'!R158*Emissionsfaktoren!Q158/1000, 0)</f>
        <v>0</v>
      </c>
      <c r="R488" s="15">
        <f>IF(ISNUMBER('Klisz-Verbräuche'!S158), 'Klisz-Verbräuche'!S158*Emissionsfaktoren!R158/1000, 0)</f>
        <v>0</v>
      </c>
      <c r="S488" s="15">
        <f>IF(ISNUMBER('Klisz-Verbräuche'!T158), 'Klisz-Verbräuche'!T158*Emissionsfaktoren!S158/1000, 0)</f>
        <v>0</v>
      </c>
      <c r="T488" s="15">
        <f>IF(ISNUMBER('Klisz-Verbräuche'!U158), 'Klisz-Verbräuche'!U158*Emissionsfaktoren!T158/1000, 0)</f>
        <v>0</v>
      </c>
      <c r="U488" s="15">
        <f>IF(ISNUMBER('Klisz-Verbräuche'!V158), 'Klisz-Verbräuche'!V158*Emissionsfaktoren!U158/1000, 0)</f>
        <v>0</v>
      </c>
      <c r="V488" s="15">
        <f>IF(ISNUMBER('Klisz-Verbräuche'!W158), 'Klisz-Verbräuche'!W158*Emissionsfaktoren!V158/1000, 0)</f>
        <v>0</v>
      </c>
      <c r="W488" s="15">
        <f>IF(ISNUMBER('Klisz-Verbräuche'!X158), 'Klisz-Verbräuche'!X158*Emissionsfaktoren!W158/1000, 0)</f>
        <v>0</v>
      </c>
      <c r="X488" s="15">
        <f>IF(ISNUMBER('Klisz-Verbräuche'!Y158), 'Klisz-Verbräuche'!Y158*Emissionsfaktoren!X158/1000, 0)</f>
        <v>0</v>
      </c>
    </row>
    <row r="489" spans="2:24" ht="16.5" hidden="1" x14ac:dyDescent="0.45">
      <c r="B489" s="15">
        <v>100</v>
      </c>
      <c r="C489" s="20" t="str">
        <f>'Refsz-Verbräuche'!C159</f>
        <v>Laserdrucker</v>
      </c>
      <c r="D489" t="s">
        <v>208</v>
      </c>
      <c r="E489" s="15">
        <f>IF(ISNUMBER('Klisz-Verbräuche'!F159), 'Klisz-Verbräuche'!F159*Emissionsfaktoren!E159/1000, 0)</f>
        <v>0</v>
      </c>
      <c r="F489" s="15">
        <f>IF(ISNUMBER('Klisz-Verbräuche'!G159), 'Klisz-Verbräuche'!G159*Emissionsfaktoren!F159/1000, 0)</f>
        <v>0</v>
      </c>
      <c r="G489" s="15">
        <f>IF(ISNUMBER('Klisz-Verbräuche'!H159), 'Klisz-Verbräuche'!H159*Emissionsfaktoren!G159/1000, 0)</f>
        <v>0</v>
      </c>
      <c r="H489" s="15">
        <f>IF(ISNUMBER('Klisz-Verbräuche'!I159), 'Klisz-Verbräuche'!I159*Emissionsfaktoren!H159/1000, 0)</f>
        <v>0</v>
      </c>
      <c r="I489" s="15">
        <f>IF(ISNUMBER('Klisz-Verbräuche'!J159), 'Klisz-Verbräuche'!J159*Emissionsfaktoren!I159/1000, 0)</f>
        <v>0</v>
      </c>
      <c r="J489" s="15">
        <f>IF(ISNUMBER('Klisz-Verbräuche'!K159), 'Klisz-Verbräuche'!K159*Emissionsfaktoren!J159/1000, 0)</f>
        <v>0</v>
      </c>
      <c r="K489" s="15">
        <f>IF(ISNUMBER('Klisz-Verbräuche'!L159), 'Klisz-Verbräuche'!L159*Emissionsfaktoren!K159/1000, 0)</f>
        <v>0</v>
      </c>
      <c r="L489" s="15">
        <f>IF(ISNUMBER('Klisz-Verbräuche'!M159), 'Klisz-Verbräuche'!M159*Emissionsfaktoren!L159/1000, 0)</f>
        <v>0</v>
      </c>
      <c r="M489" s="15">
        <f>IF(ISNUMBER('Klisz-Verbräuche'!N159), 'Klisz-Verbräuche'!N159*Emissionsfaktoren!M159/1000, 0)</f>
        <v>0</v>
      </c>
      <c r="N489" s="15">
        <f>IF(ISNUMBER('Klisz-Verbräuche'!O159), 'Klisz-Verbräuche'!O159*Emissionsfaktoren!N159/1000, 0)</f>
        <v>0</v>
      </c>
      <c r="O489" s="15">
        <f>IF(ISNUMBER('Klisz-Verbräuche'!P159), 'Klisz-Verbräuche'!P159*Emissionsfaktoren!O159/1000, 0)</f>
        <v>0</v>
      </c>
      <c r="P489" s="15">
        <f>IF(ISNUMBER('Klisz-Verbräuche'!Q159), 'Klisz-Verbräuche'!Q159*Emissionsfaktoren!P159/1000, 0)</f>
        <v>0</v>
      </c>
      <c r="Q489" s="15">
        <f>IF(ISNUMBER('Klisz-Verbräuche'!R159), 'Klisz-Verbräuche'!R159*Emissionsfaktoren!Q159/1000, 0)</f>
        <v>0</v>
      </c>
      <c r="R489" s="15">
        <f>IF(ISNUMBER('Klisz-Verbräuche'!S159), 'Klisz-Verbräuche'!S159*Emissionsfaktoren!R159/1000, 0)</f>
        <v>0</v>
      </c>
      <c r="S489" s="15">
        <f>IF(ISNUMBER('Klisz-Verbräuche'!T159), 'Klisz-Verbräuche'!T159*Emissionsfaktoren!S159/1000, 0)</f>
        <v>0</v>
      </c>
      <c r="T489" s="15">
        <f>IF(ISNUMBER('Klisz-Verbräuche'!U159), 'Klisz-Verbräuche'!U159*Emissionsfaktoren!T159/1000, 0)</f>
        <v>0</v>
      </c>
      <c r="U489" s="15">
        <f>IF(ISNUMBER('Klisz-Verbräuche'!V159), 'Klisz-Verbräuche'!V159*Emissionsfaktoren!U159/1000, 0)</f>
        <v>0</v>
      </c>
      <c r="V489" s="15">
        <f>IF(ISNUMBER('Klisz-Verbräuche'!W159), 'Klisz-Verbräuche'!W159*Emissionsfaktoren!V159/1000, 0)</f>
        <v>0</v>
      </c>
      <c r="W489" s="15">
        <f>IF(ISNUMBER('Klisz-Verbräuche'!X159), 'Klisz-Verbräuche'!X159*Emissionsfaktoren!W159/1000, 0)</f>
        <v>0</v>
      </c>
      <c r="X489" s="15">
        <f>IF(ISNUMBER('Klisz-Verbräuche'!Y159), 'Klisz-Verbräuche'!Y159*Emissionsfaktoren!X159/1000, 0)</f>
        <v>0</v>
      </c>
    </row>
    <row r="490" spans="2:24" ht="16.5" hidden="1" x14ac:dyDescent="0.45">
      <c r="B490" s="15">
        <v>101</v>
      </c>
      <c r="C490" s="20" t="str">
        <f>'Refsz-Verbräuche'!C160</f>
        <v>Multifunktionsdrucker klein (31 x 44 x 42 cm)</v>
      </c>
      <c r="D490" t="s">
        <v>208</v>
      </c>
      <c r="E490" s="15">
        <f>IF(ISNUMBER('Klisz-Verbräuche'!F160), 'Klisz-Verbräuche'!F160*Emissionsfaktoren!E160/1000, 0)</f>
        <v>0</v>
      </c>
      <c r="F490" s="15">
        <f>IF(ISNUMBER('Klisz-Verbräuche'!G160), 'Klisz-Verbräuche'!G160*Emissionsfaktoren!F160/1000, 0)</f>
        <v>0</v>
      </c>
      <c r="G490" s="15">
        <f>IF(ISNUMBER('Klisz-Verbräuche'!H160), 'Klisz-Verbräuche'!H160*Emissionsfaktoren!G160/1000, 0)</f>
        <v>0</v>
      </c>
      <c r="H490" s="15">
        <f>IF(ISNUMBER('Klisz-Verbräuche'!I160), 'Klisz-Verbräuche'!I160*Emissionsfaktoren!H160/1000, 0)</f>
        <v>0</v>
      </c>
      <c r="I490" s="15">
        <f>IF(ISNUMBER('Klisz-Verbräuche'!J160), 'Klisz-Verbräuche'!J160*Emissionsfaktoren!I160/1000, 0)</f>
        <v>0</v>
      </c>
      <c r="J490" s="15">
        <f>IF(ISNUMBER('Klisz-Verbräuche'!K160), 'Klisz-Verbräuche'!K160*Emissionsfaktoren!J160/1000, 0)</f>
        <v>0</v>
      </c>
      <c r="K490" s="15">
        <f>IF(ISNUMBER('Klisz-Verbräuche'!L160), 'Klisz-Verbräuche'!L160*Emissionsfaktoren!K160/1000, 0)</f>
        <v>0</v>
      </c>
      <c r="L490" s="15">
        <f>IF(ISNUMBER('Klisz-Verbräuche'!M160), 'Klisz-Verbräuche'!M160*Emissionsfaktoren!L160/1000, 0)</f>
        <v>0</v>
      </c>
      <c r="M490" s="15">
        <f>IF(ISNUMBER('Klisz-Verbräuche'!N160), 'Klisz-Verbräuche'!N160*Emissionsfaktoren!M160/1000, 0)</f>
        <v>0</v>
      </c>
      <c r="N490" s="15">
        <f>IF(ISNUMBER('Klisz-Verbräuche'!O160), 'Klisz-Verbräuche'!O160*Emissionsfaktoren!N160/1000, 0)</f>
        <v>0</v>
      </c>
      <c r="O490" s="15">
        <f>IF(ISNUMBER('Klisz-Verbräuche'!P160), 'Klisz-Verbräuche'!P160*Emissionsfaktoren!O160/1000, 0)</f>
        <v>0</v>
      </c>
      <c r="P490" s="15">
        <f>IF(ISNUMBER('Klisz-Verbräuche'!Q160), 'Klisz-Verbräuche'!Q160*Emissionsfaktoren!P160/1000, 0)</f>
        <v>0</v>
      </c>
      <c r="Q490" s="15">
        <f>IF(ISNUMBER('Klisz-Verbräuche'!R160), 'Klisz-Verbräuche'!R160*Emissionsfaktoren!Q160/1000, 0)</f>
        <v>0</v>
      </c>
      <c r="R490" s="15">
        <f>IF(ISNUMBER('Klisz-Verbräuche'!S160), 'Klisz-Verbräuche'!S160*Emissionsfaktoren!R160/1000, 0)</f>
        <v>0</v>
      </c>
      <c r="S490" s="15">
        <f>IF(ISNUMBER('Klisz-Verbräuche'!T160), 'Klisz-Verbräuche'!T160*Emissionsfaktoren!S160/1000, 0)</f>
        <v>0</v>
      </c>
      <c r="T490" s="15">
        <f>IF(ISNUMBER('Klisz-Verbräuche'!U160), 'Klisz-Verbräuche'!U160*Emissionsfaktoren!T160/1000, 0)</f>
        <v>0</v>
      </c>
      <c r="U490" s="15">
        <f>IF(ISNUMBER('Klisz-Verbräuche'!V160), 'Klisz-Verbräuche'!V160*Emissionsfaktoren!U160/1000, 0)</f>
        <v>0</v>
      </c>
      <c r="V490" s="15">
        <f>IF(ISNUMBER('Klisz-Verbräuche'!W160), 'Klisz-Verbräuche'!W160*Emissionsfaktoren!V160/1000, 0)</f>
        <v>0</v>
      </c>
      <c r="W490" s="15">
        <f>IF(ISNUMBER('Klisz-Verbräuche'!X160), 'Klisz-Verbräuche'!X160*Emissionsfaktoren!W160/1000, 0)</f>
        <v>0</v>
      </c>
      <c r="X490" s="15">
        <f>IF(ISNUMBER('Klisz-Verbräuche'!Y160), 'Klisz-Verbräuche'!Y160*Emissionsfaktoren!X160/1000, 0)</f>
        <v>0</v>
      </c>
    </row>
    <row r="491" spans="2:24" ht="16.5" hidden="1" x14ac:dyDescent="0.45">
      <c r="B491" s="15">
        <v>102</v>
      </c>
      <c r="C491" s="20" t="str">
        <f>'Refsz-Verbräuche'!C161</f>
        <v>Multifunktionsdrucker mittel (54 x 56 x 52 cm)</v>
      </c>
      <c r="D491" t="s">
        <v>208</v>
      </c>
      <c r="E491" s="15">
        <f>IF(ISNUMBER('Klisz-Verbräuche'!F161), 'Klisz-Verbräuche'!F161*Emissionsfaktoren!E161/1000, 0)</f>
        <v>0</v>
      </c>
      <c r="F491" s="15">
        <f>IF(ISNUMBER('Klisz-Verbräuche'!G161), 'Klisz-Verbräuche'!G161*Emissionsfaktoren!F161/1000, 0)</f>
        <v>0</v>
      </c>
      <c r="G491" s="15">
        <f>IF(ISNUMBER('Klisz-Verbräuche'!H161), 'Klisz-Verbräuche'!H161*Emissionsfaktoren!G161/1000, 0)</f>
        <v>0</v>
      </c>
      <c r="H491" s="15">
        <f>IF(ISNUMBER('Klisz-Verbräuche'!I161), 'Klisz-Verbräuche'!I161*Emissionsfaktoren!H161/1000, 0)</f>
        <v>0</v>
      </c>
      <c r="I491" s="15">
        <f>IF(ISNUMBER('Klisz-Verbräuche'!J161), 'Klisz-Verbräuche'!J161*Emissionsfaktoren!I161/1000, 0)</f>
        <v>0</v>
      </c>
      <c r="J491" s="15">
        <f>IF(ISNUMBER('Klisz-Verbräuche'!K161), 'Klisz-Verbräuche'!K161*Emissionsfaktoren!J161/1000, 0)</f>
        <v>0</v>
      </c>
      <c r="K491" s="15">
        <f>IF(ISNUMBER('Klisz-Verbräuche'!L161), 'Klisz-Verbräuche'!L161*Emissionsfaktoren!K161/1000, 0)</f>
        <v>0</v>
      </c>
      <c r="L491" s="15">
        <f>IF(ISNUMBER('Klisz-Verbräuche'!M161), 'Klisz-Verbräuche'!M161*Emissionsfaktoren!L161/1000, 0)</f>
        <v>0</v>
      </c>
      <c r="M491" s="15">
        <f>IF(ISNUMBER('Klisz-Verbräuche'!N161), 'Klisz-Verbräuche'!N161*Emissionsfaktoren!M161/1000, 0)</f>
        <v>0</v>
      </c>
      <c r="N491" s="15">
        <f>IF(ISNUMBER('Klisz-Verbräuche'!O161), 'Klisz-Verbräuche'!O161*Emissionsfaktoren!N161/1000, 0)</f>
        <v>0</v>
      </c>
      <c r="O491" s="15">
        <f>IF(ISNUMBER('Klisz-Verbräuche'!P161), 'Klisz-Verbräuche'!P161*Emissionsfaktoren!O161/1000, 0)</f>
        <v>0</v>
      </c>
      <c r="P491" s="15">
        <f>IF(ISNUMBER('Klisz-Verbräuche'!Q161), 'Klisz-Verbräuche'!Q161*Emissionsfaktoren!P161/1000, 0)</f>
        <v>0</v>
      </c>
      <c r="Q491" s="15">
        <f>IF(ISNUMBER('Klisz-Verbräuche'!R161), 'Klisz-Verbräuche'!R161*Emissionsfaktoren!Q161/1000, 0)</f>
        <v>0</v>
      </c>
      <c r="R491" s="15">
        <f>IF(ISNUMBER('Klisz-Verbräuche'!S161), 'Klisz-Verbräuche'!S161*Emissionsfaktoren!R161/1000, 0)</f>
        <v>0</v>
      </c>
      <c r="S491" s="15">
        <f>IF(ISNUMBER('Klisz-Verbräuche'!T161), 'Klisz-Verbräuche'!T161*Emissionsfaktoren!S161/1000, 0)</f>
        <v>0</v>
      </c>
      <c r="T491" s="15">
        <f>IF(ISNUMBER('Klisz-Verbräuche'!U161), 'Klisz-Verbräuche'!U161*Emissionsfaktoren!T161/1000, 0)</f>
        <v>0</v>
      </c>
      <c r="U491" s="15">
        <f>IF(ISNUMBER('Klisz-Verbräuche'!V161), 'Klisz-Verbräuche'!V161*Emissionsfaktoren!U161/1000, 0)</f>
        <v>0</v>
      </c>
      <c r="V491" s="15">
        <f>IF(ISNUMBER('Klisz-Verbräuche'!W161), 'Klisz-Verbräuche'!W161*Emissionsfaktoren!V161/1000, 0)</f>
        <v>0</v>
      </c>
      <c r="W491" s="15">
        <f>IF(ISNUMBER('Klisz-Verbräuche'!X161), 'Klisz-Verbräuche'!X161*Emissionsfaktoren!W161/1000, 0)</f>
        <v>0</v>
      </c>
      <c r="X491" s="15">
        <f>IF(ISNUMBER('Klisz-Verbräuche'!Y161), 'Klisz-Verbräuche'!Y161*Emissionsfaktoren!X161/1000, 0)</f>
        <v>0</v>
      </c>
    </row>
    <row r="492" spans="2:24" ht="16.5" hidden="1" x14ac:dyDescent="0.45">
      <c r="B492" s="15">
        <v>103</v>
      </c>
      <c r="C492" s="20" t="str">
        <f>'Refsz-Verbräuche'!C162</f>
        <v>Multifunktionsdrucker groß (114 x 65 x 59 cm)</v>
      </c>
      <c r="D492" t="s">
        <v>208</v>
      </c>
      <c r="E492" s="15">
        <f>IF(ISNUMBER('Klisz-Verbräuche'!F162), 'Klisz-Verbräuche'!F162*Emissionsfaktoren!E162/1000, 0)</f>
        <v>0</v>
      </c>
      <c r="F492" s="15">
        <f>IF(ISNUMBER('Klisz-Verbräuche'!G162), 'Klisz-Verbräuche'!G162*Emissionsfaktoren!F162/1000, 0)</f>
        <v>0</v>
      </c>
      <c r="G492" s="15">
        <f>IF(ISNUMBER('Klisz-Verbräuche'!H162), 'Klisz-Verbräuche'!H162*Emissionsfaktoren!G162/1000, 0)</f>
        <v>0</v>
      </c>
      <c r="H492" s="15">
        <f>IF(ISNUMBER('Klisz-Verbräuche'!I162), 'Klisz-Verbräuche'!I162*Emissionsfaktoren!H162/1000, 0)</f>
        <v>0</v>
      </c>
      <c r="I492" s="15">
        <f>IF(ISNUMBER('Klisz-Verbräuche'!J162), 'Klisz-Verbräuche'!J162*Emissionsfaktoren!I162/1000, 0)</f>
        <v>0</v>
      </c>
      <c r="J492" s="15">
        <f>IF(ISNUMBER('Klisz-Verbräuche'!K162), 'Klisz-Verbräuche'!K162*Emissionsfaktoren!J162/1000, 0)</f>
        <v>0</v>
      </c>
      <c r="K492" s="15">
        <f>IF(ISNUMBER('Klisz-Verbräuche'!L162), 'Klisz-Verbräuche'!L162*Emissionsfaktoren!K162/1000, 0)</f>
        <v>0</v>
      </c>
      <c r="L492" s="15">
        <f>IF(ISNUMBER('Klisz-Verbräuche'!M162), 'Klisz-Verbräuche'!M162*Emissionsfaktoren!L162/1000, 0)</f>
        <v>0</v>
      </c>
      <c r="M492" s="15">
        <f>IF(ISNUMBER('Klisz-Verbräuche'!N162), 'Klisz-Verbräuche'!N162*Emissionsfaktoren!M162/1000, 0)</f>
        <v>0</v>
      </c>
      <c r="N492" s="15">
        <f>IF(ISNUMBER('Klisz-Verbräuche'!O162), 'Klisz-Verbräuche'!O162*Emissionsfaktoren!N162/1000, 0)</f>
        <v>0</v>
      </c>
      <c r="O492" s="15">
        <f>IF(ISNUMBER('Klisz-Verbräuche'!P162), 'Klisz-Verbräuche'!P162*Emissionsfaktoren!O162/1000, 0)</f>
        <v>0</v>
      </c>
      <c r="P492" s="15">
        <f>IF(ISNUMBER('Klisz-Verbräuche'!Q162), 'Klisz-Verbräuche'!Q162*Emissionsfaktoren!P162/1000, 0)</f>
        <v>0</v>
      </c>
      <c r="Q492" s="15">
        <f>IF(ISNUMBER('Klisz-Verbräuche'!R162), 'Klisz-Verbräuche'!R162*Emissionsfaktoren!Q162/1000, 0)</f>
        <v>0</v>
      </c>
      <c r="R492" s="15">
        <f>IF(ISNUMBER('Klisz-Verbräuche'!S162), 'Klisz-Verbräuche'!S162*Emissionsfaktoren!R162/1000, 0)</f>
        <v>0</v>
      </c>
      <c r="S492" s="15">
        <f>IF(ISNUMBER('Klisz-Verbräuche'!T162), 'Klisz-Verbräuche'!T162*Emissionsfaktoren!S162/1000, 0)</f>
        <v>0</v>
      </c>
      <c r="T492" s="15">
        <f>IF(ISNUMBER('Klisz-Verbräuche'!U162), 'Klisz-Verbräuche'!U162*Emissionsfaktoren!T162/1000, 0)</f>
        <v>0</v>
      </c>
      <c r="U492" s="15">
        <f>IF(ISNUMBER('Klisz-Verbräuche'!V162), 'Klisz-Verbräuche'!V162*Emissionsfaktoren!U162/1000, 0)</f>
        <v>0</v>
      </c>
      <c r="V492" s="15">
        <f>IF(ISNUMBER('Klisz-Verbräuche'!W162), 'Klisz-Verbräuche'!W162*Emissionsfaktoren!V162/1000, 0)</f>
        <v>0</v>
      </c>
      <c r="W492" s="15">
        <f>IF(ISNUMBER('Klisz-Verbräuche'!X162), 'Klisz-Verbräuche'!X162*Emissionsfaktoren!W162/1000, 0)</f>
        <v>0</v>
      </c>
      <c r="X492" s="15">
        <f>IF(ISNUMBER('Klisz-Verbräuche'!Y162), 'Klisz-Verbräuche'!Y162*Emissionsfaktoren!X162/1000, 0)</f>
        <v>0</v>
      </c>
    </row>
    <row r="493" spans="2:24" ht="16.5" hidden="1" x14ac:dyDescent="0.45">
      <c r="B493" s="15">
        <v>104</v>
      </c>
      <c r="C493" s="20" t="str">
        <f>'Refsz-Verbräuche'!C163</f>
        <v>Toner</v>
      </c>
      <c r="D493" t="s">
        <v>208</v>
      </c>
      <c r="E493" s="15">
        <f>IF(ISNUMBER('Klisz-Verbräuche'!F163), 'Klisz-Verbräuche'!F163*Emissionsfaktoren!E163/1000, 0)</f>
        <v>0</v>
      </c>
      <c r="F493" s="15">
        <f>IF(ISNUMBER('Klisz-Verbräuche'!G163), 'Klisz-Verbräuche'!G163*Emissionsfaktoren!F163/1000, 0)</f>
        <v>0</v>
      </c>
      <c r="G493" s="15">
        <f>IF(ISNUMBER('Klisz-Verbräuche'!H163), 'Klisz-Verbräuche'!H163*Emissionsfaktoren!G163/1000, 0)</f>
        <v>0</v>
      </c>
      <c r="H493" s="15">
        <f>IF(ISNUMBER('Klisz-Verbräuche'!I163), 'Klisz-Verbräuche'!I163*Emissionsfaktoren!H163/1000, 0)</f>
        <v>0</v>
      </c>
      <c r="I493" s="15">
        <f>IF(ISNUMBER('Klisz-Verbräuche'!J163), 'Klisz-Verbräuche'!J163*Emissionsfaktoren!I163/1000, 0)</f>
        <v>0</v>
      </c>
      <c r="J493" s="15">
        <f>IF(ISNUMBER('Klisz-Verbräuche'!K163), 'Klisz-Verbräuche'!K163*Emissionsfaktoren!J163/1000, 0)</f>
        <v>0</v>
      </c>
      <c r="K493" s="15">
        <f>IF(ISNUMBER('Klisz-Verbräuche'!L163), 'Klisz-Verbräuche'!L163*Emissionsfaktoren!K163/1000, 0)</f>
        <v>0</v>
      </c>
      <c r="L493" s="15">
        <f>IF(ISNUMBER('Klisz-Verbräuche'!M163), 'Klisz-Verbräuche'!M163*Emissionsfaktoren!L163/1000, 0)</f>
        <v>0</v>
      </c>
      <c r="M493" s="15">
        <f>IF(ISNUMBER('Klisz-Verbräuche'!N163), 'Klisz-Verbräuche'!N163*Emissionsfaktoren!M163/1000, 0)</f>
        <v>0</v>
      </c>
      <c r="N493" s="15">
        <f>IF(ISNUMBER('Klisz-Verbräuche'!O163), 'Klisz-Verbräuche'!O163*Emissionsfaktoren!N163/1000, 0)</f>
        <v>0</v>
      </c>
      <c r="O493" s="15">
        <f>IF(ISNUMBER('Klisz-Verbräuche'!P163), 'Klisz-Verbräuche'!P163*Emissionsfaktoren!O163/1000, 0)</f>
        <v>0</v>
      </c>
      <c r="P493" s="15">
        <f>IF(ISNUMBER('Klisz-Verbräuche'!Q163), 'Klisz-Verbräuche'!Q163*Emissionsfaktoren!P163/1000, 0)</f>
        <v>0</v>
      </c>
      <c r="Q493" s="15">
        <f>IF(ISNUMBER('Klisz-Verbräuche'!R163), 'Klisz-Verbräuche'!R163*Emissionsfaktoren!Q163/1000, 0)</f>
        <v>0</v>
      </c>
      <c r="R493" s="15">
        <f>IF(ISNUMBER('Klisz-Verbräuche'!S163), 'Klisz-Verbräuche'!S163*Emissionsfaktoren!R163/1000, 0)</f>
        <v>0</v>
      </c>
      <c r="S493" s="15">
        <f>IF(ISNUMBER('Klisz-Verbräuche'!T163), 'Klisz-Verbräuche'!T163*Emissionsfaktoren!S163/1000, 0)</f>
        <v>0</v>
      </c>
      <c r="T493" s="15">
        <f>IF(ISNUMBER('Klisz-Verbräuche'!U163), 'Klisz-Verbräuche'!U163*Emissionsfaktoren!T163/1000, 0)</f>
        <v>0</v>
      </c>
      <c r="U493" s="15">
        <f>IF(ISNUMBER('Klisz-Verbräuche'!V163), 'Klisz-Verbräuche'!V163*Emissionsfaktoren!U163/1000, 0)</f>
        <v>0</v>
      </c>
      <c r="V493" s="15">
        <f>IF(ISNUMBER('Klisz-Verbräuche'!W163), 'Klisz-Verbräuche'!W163*Emissionsfaktoren!V163/1000, 0)</f>
        <v>0</v>
      </c>
      <c r="W493" s="15">
        <f>IF(ISNUMBER('Klisz-Verbräuche'!X163), 'Klisz-Verbräuche'!X163*Emissionsfaktoren!W163/1000, 0)</f>
        <v>0</v>
      </c>
      <c r="X493" s="15">
        <f>IF(ISNUMBER('Klisz-Verbräuche'!Y163), 'Klisz-Verbräuche'!Y163*Emissionsfaktoren!X163/1000, 0)</f>
        <v>0</v>
      </c>
    </row>
    <row r="494" spans="2:24" ht="16.5" hidden="1" x14ac:dyDescent="0.45">
      <c r="B494" s="15">
        <v>105</v>
      </c>
      <c r="C494" s="20">
        <f>'Refsz-Verbräuche'!C164</f>
        <v>0</v>
      </c>
      <c r="D494" t="s">
        <v>208</v>
      </c>
      <c r="E494" s="15">
        <f>IF(ISNUMBER('Klisz-Verbräuche'!F164), 'Klisz-Verbräuche'!F164*Emissionsfaktoren!E164/1000, 0)</f>
        <v>0</v>
      </c>
      <c r="F494" s="15">
        <f>IF(ISNUMBER('Klisz-Verbräuche'!G164), 'Klisz-Verbräuche'!G164*Emissionsfaktoren!F164/1000, 0)</f>
        <v>0</v>
      </c>
      <c r="G494" s="15">
        <f>IF(ISNUMBER('Klisz-Verbräuche'!H164), 'Klisz-Verbräuche'!H164*Emissionsfaktoren!G164/1000, 0)</f>
        <v>0</v>
      </c>
      <c r="H494" s="15">
        <f>IF(ISNUMBER('Klisz-Verbräuche'!I164), 'Klisz-Verbräuche'!I164*Emissionsfaktoren!H164/1000, 0)</f>
        <v>0</v>
      </c>
      <c r="I494" s="15">
        <f>IF(ISNUMBER('Klisz-Verbräuche'!J164), 'Klisz-Verbräuche'!J164*Emissionsfaktoren!I164/1000, 0)</f>
        <v>0</v>
      </c>
      <c r="J494" s="15">
        <f>IF(ISNUMBER('Klisz-Verbräuche'!K164), 'Klisz-Verbräuche'!K164*Emissionsfaktoren!J164/1000, 0)</f>
        <v>0</v>
      </c>
      <c r="K494" s="15">
        <f>IF(ISNUMBER('Klisz-Verbräuche'!L164), 'Klisz-Verbräuche'!L164*Emissionsfaktoren!K164/1000, 0)</f>
        <v>0</v>
      </c>
      <c r="L494" s="15">
        <f>IF(ISNUMBER('Klisz-Verbräuche'!M164), 'Klisz-Verbräuche'!M164*Emissionsfaktoren!L164/1000, 0)</f>
        <v>0</v>
      </c>
      <c r="M494" s="15">
        <f>IF(ISNUMBER('Klisz-Verbräuche'!N164), 'Klisz-Verbräuche'!N164*Emissionsfaktoren!M164/1000, 0)</f>
        <v>0</v>
      </c>
      <c r="N494" s="15">
        <f>IF(ISNUMBER('Klisz-Verbräuche'!O164), 'Klisz-Verbräuche'!O164*Emissionsfaktoren!N164/1000, 0)</f>
        <v>0</v>
      </c>
      <c r="O494" s="15">
        <f>IF(ISNUMBER('Klisz-Verbräuche'!P164), 'Klisz-Verbräuche'!P164*Emissionsfaktoren!O164/1000, 0)</f>
        <v>0</v>
      </c>
      <c r="P494" s="15">
        <f>IF(ISNUMBER('Klisz-Verbräuche'!Q164), 'Klisz-Verbräuche'!Q164*Emissionsfaktoren!P164/1000, 0)</f>
        <v>0</v>
      </c>
      <c r="Q494" s="15">
        <f>IF(ISNUMBER('Klisz-Verbräuche'!R164), 'Klisz-Verbräuche'!R164*Emissionsfaktoren!Q164/1000, 0)</f>
        <v>0</v>
      </c>
      <c r="R494" s="15">
        <f>IF(ISNUMBER('Klisz-Verbräuche'!S164), 'Klisz-Verbräuche'!S164*Emissionsfaktoren!R164/1000, 0)</f>
        <v>0</v>
      </c>
      <c r="S494" s="15">
        <f>IF(ISNUMBER('Klisz-Verbräuche'!T164), 'Klisz-Verbräuche'!T164*Emissionsfaktoren!S164/1000, 0)</f>
        <v>0</v>
      </c>
      <c r="T494" s="15">
        <f>IF(ISNUMBER('Klisz-Verbräuche'!U164), 'Klisz-Verbräuche'!U164*Emissionsfaktoren!T164/1000, 0)</f>
        <v>0</v>
      </c>
      <c r="U494" s="15">
        <f>IF(ISNUMBER('Klisz-Verbräuche'!V164), 'Klisz-Verbräuche'!V164*Emissionsfaktoren!U164/1000, 0)</f>
        <v>0</v>
      </c>
      <c r="V494" s="15">
        <f>IF(ISNUMBER('Klisz-Verbräuche'!W164), 'Klisz-Verbräuche'!W164*Emissionsfaktoren!V164/1000, 0)</f>
        <v>0</v>
      </c>
      <c r="W494" s="15">
        <f>IF(ISNUMBER('Klisz-Verbräuche'!X164), 'Klisz-Verbräuche'!X164*Emissionsfaktoren!W164/1000, 0)</f>
        <v>0</v>
      </c>
      <c r="X494" s="15">
        <f>IF(ISNUMBER('Klisz-Verbräuche'!Y164), 'Klisz-Verbräuche'!Y164*Emissionsfaktoren!X164/1000, 0)</f>
        <v>0</v>
      </c>
    </row>
    <row r="495" spans="2:24" ht="16.5" hidden="1" x14ac:dyDescent="0.45">
      <c r="B495" s="15">
        <v>106</v>
      </c>
      <c r="C495" s="20" t="str">
        <f>'Refsz-Verbräuche'!C165</f>
        <v>Bioabfall, Grünschnitt (Kompostierung)</v>
      </c>
      <c r="D495" t="s">
        <v>208</v>
      </c>
      <c r="E495" s="15">
        <f>IF(ISNUMBER('Klisz-Verbräuche'!F165), 'Klisz-Verbräuche'!F165*Emissionsfaktoren!E165/1000, 0)</f>
        <v>0</v>
      </c>
      <c r="F495" s="15">
        <f>IF(ISNUMBER('Klisz-Verbräuche'!G165), 'Klisz-Verbräuche'!G165*Emissionsfaktoren!F165/1000, 0)</f>
        <v>0</v>
      </c>
      <c r="G495" s="15">
        <f>IF(ISNUMBER('Klisz-Verbräuche'!H165), 'Klisz-Verbräuche'!H165*Emissionsfaktoren!G165/1000, 0)</f>
        <v>0</v>
      </c>
      <c r="H495" s="15">
        <f>IF(ISNUMBER('Klisz-Verbräuche'!I165), 'Klisz-Verbräuche'!I165*Emissionsfaktoren!H165/1000, 0)</f>
        <v>0</v>
      </c>
      <c r="I495" s="15">
        <f>IF(ISNUMBER('Klisz-Verbräuche'!J165), 'Klisz-Verbräuche'!J165*Emissionsfaktoren!I165/1000, 0)</f>
        <v>0</v>
      </c>
      <c r="J495" s="15">
        <f>IF(ISNUMBER('Klisz-Verbräuche'!K165), 'Klisz-Verbräuche'!K165*Emissionsfaktoren!J165/1000, 0)</f>
        <v>0</v>
      </c>
      <c r="K495" s="15">
        <f>IF(ISNUMBER('Klisz-Verbräuche'!L165), 'Klisz-Verbräuche'!L165*Emissionsfaktoren!K165/1000, 0)</f>
        <v>0</v>
      </c>
      <c r="L495" s="15">
        <f>IF(ISNUMBER('Klisz-Verbräuche'!M165), 'Klisz-Verbräuche'!M165*Emissionsfaktoren!L165/1000, 0)</f>
        <v>0</v>
      </c>
      <c r="M495" s="15">
        <f>IF(ISNUMBER('Klisz-Verbräuche'!N165), 'Klisz-Verbräuche'!N165*Emissionsfaktoren!M165/1000, 0)</f>
        <v>0</v>
      </c>
      <c r="N495" s="15">
        <f>IF(ISNUMBER('Klisz-Verbräuche'!O165), 'Klisz-Verbräuche'!O165*Emissionsfaktoren!N165/1000, 0)</f>
        <v>0</v>
      </c>
      <c r="O495" s="15">
        <f>IF(ISNUMBER('Klisz-Verbräuche'!P165), 'Klisz-Verbräuche'!P165*Emissionsfaktoren!O165/1000, 0)</f>
        <v>0</v>
      </c>
      <c r="P495" s="15">
        <f>IF(ISNUMBER('Klisz-Verbräuche'!Q165), 'Klisz-Verbräuche'!Q165*Emissionsfaktoren!P165/1000, 0)</f>
        <v>0</v>
      </c>
      <c r="Q495" s="15">
        <f>IF(ISNUMBER('Klisz-Verbräuche'!R165), 'Klisz-Verbräuche'!R165*Emissionsfaktoren!Q165/1000, 0)</f>
        <v>0</v>
      </c>
      <c r="R495" s="15">
        <f>IF(ISNUMBER('Klisz-Verbräuche'!S165), 'Klisz-Verbräuche'!S165*Emissionsfaktoren!R165/1000, 0)</f>
        <v>0</v>
      </c>
      <c r="S495" s="15">
        <f>IF(ISNUMBER('Klisz-Verbräuche'!T165), 'Klisz-Verbräuche'!T165*Emissionsfaktoren!S165/1000, 0)</f>
        <v>0</v>
      </c>
      <c r="T495" s="15">
        <f>IF(ISNUMBER('Klisz-Verbräuche'!U165), 'Klisz-Verbräuche'!U165*Emissionsfaktoren!T165/1000, 0)</f>
        <v>0</v>
      </c>
      <c r="U495" s="15">
        <f>IF(ISNUMBER('Klisz-Verbräuche'!V165), 'Klisz-Verbräuche'!V165*Emissionsfaktoren!U165/1000, 0)</f>
        <v>0</v>
      </c>
      <c r="V495" s="15">
        <f>IF(ISNUMBER('Klisz-Verbräuche'!W165), 'Klisz-Verbräuche'!W165*Emissionsfaktoren!V165/1000, 0)</f>
        <v>0</v>
      </c>
      <c r="W495" s="15">
        <f>IF(ISNUMBER('Klisz-Verbräuche'!X165), 'Klisz-Verbräuche'!X165*Emissionsfaktoren!W165/1000, 0)</f>
        <v>0</v>
      </c>
      <c r="X495" s="15">
        <f>IF(ISNUMBER('Klisz-Verbräuche'!Y165), 'Klisz-Verbräuche'!Y165*Emissionsfaktoren!X165/1000, 0)</f>
        <v>0</v>
      </c>
    </row>
    <row r="496" spans="2:24" ht="16.5" hidden="1" x14ac:dyDescent="0.45">
      <c r="B496" s="15">
        <v>107</v>
      </c>
      <c r="C496" s="20" t="str">
        <f>'Refsz-Verbräuche'!C166</f>
        <v>Bioabfall (Verbrennung)</v>
      </c>
      <c r="D496" t="s">
        <v>208</v>
      </c>
      <c r="E496" s="15">
        <f>IF(ISNUMBER('Klisz-Verbräuche'!F166), 'Klisz-Verbräuche'!F166*Emissionsfaktoren!E166/1000, 0)</f>
        <v>0</v>
      </c>
      <c r="F496" s="15">
        <f>IF(ISNUMBER('Klisz-Verbräuche'!G166), 'Klisz-Verbräuche'!G166*Emissionsfaktoren!F166/1000, 0)</f>
        <v>0</v>
      </c>
      <c r="G496" s="15">
        <f>IF(ISNUMBER('Klisz-Verbräuche'!H166), 'Klisz-Verbräuche'!H166*Emissionsfaktoren!G166/1000, 0)</f>
        <v>0</v>
      </c>
      <c r="H496" s="15">
        <f>IF(ISNUMBER('Klisz-Verbräuche'!I166), 'Klisz-Verbräuche'!I166*Emissionsfaktoren!H166/1000, 0)</f>
        <v>0</v>
      </c>
      <c r="I496" s="15">
        <f>IF(ISNUMBER('Klisz-Verbräuche'!J166), 'Klisz-Verbräuche'!J166*Emissionsfaktoren!I166/1000, 0)</f>
        <v>0</v>
      </c>
      <c r="J496" s="15">
        <f>IF(ISNUMBER('Klisz-Verbräuche'!K166), 'Klisz-Verbräuche'!K166*Emissionsfaktoren!J166/1000, 0)</f>
        <v>0</v>
      </c>
      <c r="K496" s="15">
        <f>IF(ISNUMBER('Klisz-Verbräuche'!L166), 'Klisz-Verbräuche'!L166*Emissionsfaktoren!K166/1000, 0)</f>
        <v>0</v>
      </c>
      <c r="L496" s="15">
        <f>IF(ISNUMBER('Klisz-Verbräuche'!M166), 'Klisz-Verbräuche'!M166*Emissionsfaktoren!L166/1000, 0)</f>
        <v>0</v>
      </c>
      <c r="M496" s="15">
        <f>IF(ISNUMBER('Klisz-Verbräuche'!N166), 'Klisz-Verbräuche'!N166*Emissionsfaktoren!M166/1000, 0)</f>
        <v>0</v>
      </c>
      <c r="N496" s="15">
        <f>IF(ISNUMBER('Klisz-Verbräuche'!O166), 'Klisz-Verbräuche'!O166*Emissionsfaktoren!N166/1000, 0)</f>
        <v>0</v>
      </c>
      <c r="O496" s="15">
        <f>IF(ISNUMBER('Klisz-Verbräuche'!P166), 'Klisz-Verbräuche'!P166*Emissionsfaktoren!O166/1000, 0)</f>
        <v>0</v>
      </c>
      <c r="P496" s="15">
        <f>IF(ISNUMBER('Klisz-Verbräuche'!Q166), 'Klisz-Verbräuche'!Q166*Emissionsfaktoren!P166/1000, 0)</f>
        <v>0</v>
      </c>
      <c r="Q496" s="15">
        <f>IF(ISNUMBER('Klisz-Verbräuche'!R166), 'Klisz-Verbräuche'!R166*Emissionsfaktoren!Q166/1000, 0)</f>
        <v>0</v>
      </c>
      <c r="R496" s="15">
        <f>IF(ISNUMBER('Klisz-Verbräuche'!S166), 'Klisz-Verbräuche'!S166*Emissionsfaktoren!R166/1000, 0)</f>
        <v>0</v>
      </c>
      <c r="S496" s="15">
        <f>IF(ISNUMBER('Klisz-Verbräuche'!T166), 'Klisz-Verbräuche'!T166*Emissionsfaktoren!S166/1000, 0)</f>
        <v>0</v>
      </c>
      <c r="T496" s="15">
        <f>IF(ISNUMBER('Klisz-Verbräuche'!U166), 'Klisz-Verbräuche'!U166*Emissionsfaktoren!T166/1000, 0)</f>
        <v>0</v>
      </c>
      <c r="U496" s="15">
        <f>IF(ISNUMBER('Klisz-Verbräuche'!V166), 'Klisz-Verbräuche'!V166*Emissionsfaktoren!U166/1000, 0)</f>
        <v>0</v>
      </c>
      <c r="V496" s="15">
        <f>IF(ISNUMBER('Klisz-Verbräuche'!W166), 'Klisz-Verbräuche'!W166*Emissionsfaktoren!V166/1000, 0)</f>
        <v>0</v>
      </c>
      <c r="W496" s="15">
        <f>IF(ISNUMBER('Klisz-Verbräuche'!X166), 'Klisz-Verbräuche'!X166*Emissionsfaktoren!W166/1000, 0)</f>
        <v>0</v>
      </c>
      <c r="X496" s="15">
        <f>IF(ISNUMBER('Klisz-Verbräuche'!Y166), 'Klisz-Verbräuche'!Y166*Emissionsfaktoren!X166/1000, 0)</f>
        <v>0</v>
      </c>
    </row>
    <row r="497" spans="2:24" ht="16.5" hidden="1" x14ac:dyDescent="0.45">
      <c r="B497" s="15">
        <v>108</v>
      </c>
      <c r="C497" s="20" t="str">
        <f>'Refsz-Verbräuche'!C167</f>
        <v>Papierabfall</v>
      </c>
      <c r="D497" t="s">
        <v>208</v>
      </c>
      <c r="E497" s="15">
        <f>IF(ISNUMBER('Klisz-Verbräuche'!F167), 'Klisz-Verbräuche'!F167*Emissionsfaktoren!E167/1000, 0)</f>
        <v>0</v>
      </c>
      <c r="F497" s="15">
        <f>IF(ISNUMBER('Klisz-Verbräuche'!G167), 'Klisz-Verbräuche'!G167*Emissionsfaktoren!F167/1000, 0)</f>
        <v>0</v>
      </c>
      <c r="G497" s="15">
        <f>IF(ISNUMBER('Klisz-Verbräuche'!H167), 'Klisz-Verbräuche'!H167*Emissionsfaktoren!G167/1000, 0)</f>
        <v>0</v>
      </c>
      <c r="H497" s="15">
        <f>IF(ISNUMBER('Klisz-Verbräuche'!I167), 'Klisz-Verbräuche'!I167*Emissionsfaktoren!H167/1000, 0)</f>
        <v>0</v>
      </c>
      <c r="I497" s="15">
        <f>IF(ISNUMBER('Klisz-Verbräuche'!J167), 'Klisz-Verbräuche'!J167*Emissionsfaktoren!I167/1000, 0)</f>
        <v>0</v>
      </c>
      <c r="J497" s="15">
        <f>IF(ISNUMBER('Klisz-Verbräuche'!K167), 'Klisz-Verbräuche'!K167*Emissionsfaktoren!J167/1000, 0)</f>
        <v>0</v>
      </c>
      <c r="K497" s="15">
        <f>IF(ISNUMBER('Klisz-Verbräuche'!L167), 'Klisz-Verbräuche'!L167*Emissionsfaktoren!K167/1000, 0)</f>
        <v>0</v>
      </c>
      <c r="L497" s="15">
        <f>IF(ISNUMBER('Klisz-Verbräuche'!M167), 'Klisz-Verbräuche'!M167*Emissionsfaktoren!L167/1000, 0)</f>
        <v>0</v>
      </c>
      <c r="M497" s="15">
        <f>IF(ISNUMBER('Klisz-Verbräuche'!N167), 'Klisz-Verbräuche'!N167*Emissionsfaktoren!M167/1000, 0)</f>
        <v>0</v>
      </c>
      <c r="N497" s="15">
        <f>IF(ISNUMBER('Klisz-Verbräuche'!O167), 'Klisz-Verbräuche'!O167*Emissionsfaktoren!N167/1000, 0)</f>
        <v>0</v>
      </c>
      <c r="O497" s="15">
        <f>IF(ISNUMBER('Klisz-Verbräuche'!P167), 'Klisz-Verbräuche'!P167*Emissionsfaktoren!O167/1000, 0)</f>
        <v>0</v>
      </c>
      <c r="P497" s="15">
        <f>IF(ISNUMBER('Klisz-Verbräuche'!Q167), 'Klisz-Verbräuche'!Q167*Emissionsfaktoren!P167/1000, 0)</f>
        <v>0</v>
      </c>
      <c r="Q497" s="15">
        <f>IF(ISNUMBER('Klisz-Verbräuche'!R167), 'Klisz-Verbräuche'!R167*Emissionsfaktoren!Q167/1000, 0)</f>
        <v>0</v>
      </c>
      <c r="R497" s="15">
        <f>IF(ISNUMBER('Klisz-Verbräuche'!S167), 'Klisz-Verbräuche'!S167*Emissionsfaktoren!R167/1000, 0)</f>
        <v>0</v>
      </c>
      <c r="S497" s="15">
        <f>IF(ISNUMBER('Klisz-Verbräuche'!T167), 'Klisz-Verbräuche'!T167*Emissionsfaktoren!S167/1000, 0)</f>
        <v>0</v>
      </c>
      <c r="T497" s="15">
        <f>IF(ISNUMBER('Klisz-Verbräuche'!U167), 'Klisz-Verbräuche'!U167*Emissionsfaktoren!T167/1000, 0)</f>
        <v>0</v>
      </c>
      <c r="U497" s="15">
        <f>IF(ISNUMBER('Klisz-Verbräuche'!V167), 'Klisz-Verbräuche'!V167*Emissionsfaktoren!U167/1000, 0)</f>
        <v>0</v>
      </c>
      <c r="V497" s="15">
        <f>IF(ISNUMBER('Klisz-Verbräuche'!W167), 'Klisz-Verbräuche'!W167*Emissionsfaktoren!V167/1000, 0)</f>
        <v>0</v>
      </c>
      <c r="W497" s="15">
        <f>IF(ISNUMBER('Klisz-Verbräuche'!X167), 'Klisz-Verbräuche'!X167*Emissionsfaktoren!W167/1000, 0)</f>
        <v>0</v>
      </c>
      <c r="X497" s="15">
        <f>IF(ISNUMBER('Klisz-Verbräuche'!Y167), 'Klisz-Verbräuche'!Y167*Emissionsfaktoren!X167/1000, 0)</f>
        <v>0</v>
      </c>
    </row>
    <row r="498" spans="2:24" ht="16.5" hidden="1" x14ac:dyDescent="0.45">
      <c r="B498" s="15">
        <v>109</v>
      </c>
      <c r="C498" s="20" t="str">
        <f>'Refsz-Verbräuche'!C168</f>
        <v>Plastik- und Verpackungsabfall</v>
      </c>
      <c r="D498" t="s">
        <v>208</v>
      </c>
      <c r="E498" s="15">
        <f>IF(ISNUMBER('Klisz-Verbräuche'!F168), 'Klisz-Verbräuche'!F168*Emissionsfaktoren!E168/1000, 0)</f>
        <v>0</v>
      </c>
      <c r="F498" s="15">
        <f>IF(ISNUMBER('Klisz-Verbräuche'!G168), 'Klisz-Verbräuche'!G168*Emissionsfaktoren!F168/1000, 0)</f>
        <v>0</v>
      </c>
      <c r="G498" s="15">
        <f>IF(ISNUMBER('Klisz-Verbräuche'!H168), 'Klisz-Verbräuche'!H168*Emissionsfaktoren!G168/1000, 0)</f>
        <v>0</v>
      </c>
      <c r="H498" s="15">
        <f>IF(ISNUMBER('Klisz-Verbräuche'!I168), 'Klisz-Verbräuche'!I168*Emissionsfaktoren!H168/1000, 0)</f>
        <v>0</v>
      </c>
      <c r="I498" s="15">
        <f>IF(ISNUMBER('Klisz-Verbräuche'!J168), 'Klisz-Verbräuche'!J168*Emissionsfaktoren!I168/1000, 0)</f>
        <v>0</v>
      </c>
      <c r="J498" s="15">
        <f>IF(ISNUMBER('Klisz-Verbräuche'!K168), 'Klisz-Verbräuche'!K168*Emissionsfaktoren!J168/1000, 0)</f>
        <v>0</v>
      </c>
      <c r="K498" s="15">
        <f>IF(ISNUMBER('Klisz-Verbräuche'!L168), 'Klisz-Verbräuche'!L168*Emissionsfaktoren!K168/1000, 0)</f>
        <v>0</v>
      </c>
      <c r="L498" s="15">
        <f>IF(ISNUMBER('Klisz-Verbräuche'!M168), 'Klisz-Verbräuche'!M168*Emissionsfaktoren!L168/1000, 0)</f>
        <v>0</v>
      </c>
      <c r="M498" s="15">
        <f>IF(ISNUMBER('Klisz-Verbräuche'!N168), 'Klisz-Verbräuche'!N168*Emissionsfaktoren!M168/1000, 0)</f>
        <v>0</v>
      </c>
      <c r="N498" s="15">
        <f>IF(ISNUMBER('Klisz-Verbräuche'!O168), 'Klisz-Verbräuche'!O168*Emissionsfaktoren!N168/1000, 0)</f>
        <v>0</v>
      </c>
      <c r="O498" s="15">
        <f>IF(ISNUMBER('Klisz-Verbräuche'!P168), 'Klisz-Verbräuche'!P168*Emissionsfaktoren!O168/1000, 0)</f>
        <v>0</v>
      </c>
      <c r="P498" s="15">
        <f>IF(ISNUMBER('Klisz-Verbräuche'!Q168), 'Klisz-Verbräuche'!Q168*Emissionsfaktoren!P168/1000, 0)</f>
        <v>0</v>
      </c>
      <c r="Q498" s="15">
        <f>IF(ISNUMBER('Klisz-Verbräuche'!R168), 'Klisz-Verbräuche'!R168*Emissionsfaktoren!Q168/1000, 0)</f>
        <v>0</v>
      </c>
      <c r="R498" s="15">
        <f>IF(ISNUMBER('Klisz-Verbräuche'!S168), 'Klisz-Verbräuche'!S168*Emissionsfaktoren!R168/1000, 0)</f>
        <v>0</v>
      </c>
      <c r="S498" s="15">
        <f>IF(ISNUMBER('Klisz-Verbräuche'!T168), 'Klisz-Verbräuche'!T168*Emissionsfaktoren!S168/1000, 0)</f>
        <v>0</v>
      </c>
      <c r="T498" s="15">
        <f>IF(ISNUMBER('Klisz-Verbräuche'!U168), 'Klisz-Verbräuche'!U168*Emissionsfaktoren!T168/1000, 0)</f>
        <v>0</v>
      </c>
      <c r="U498" s="15">
        <f>IF(ISNUMBER('Klisz-Verbräuche'!V168), 'Klisz-Verbräuche'!V168*Emissionsfaktoren!U168/1000, 0)</f>
        <v>0</v>
      </c>
      <c r="V498" s="15">
        <f>IF(ISNUMBER('Klisz-Verbräuche'!W168), 'Klisz-Verbräuche'!W168*Emissionsfaktoren!V168/1000, 0)</f>
        <v>0</v>
      </c>
      <c r="W498" s="15">
        <f>IF(ISNUMBER('Klisz-Verbräuche'!X168), 'Klisz-Verbräuche'!X168*Emissionsfaktoren!W168/1000, 0)</f>
        <v>0</v>
      </c>
      <c r="X498" s="15">
        <f>IF(ISNUMBER('Klisz-Verbräuche'!Y168), 'Klisz-Verbräuche'!Y168*Emissionsfaktoren!X168/1000, 0)</f>
        <v>0</v>
      </c>
    </row>
    <row r="499" spans="2:24" ht="16.5" hidden="1" x14ac:dyDescent="0.45">
      <c r="B499" s="15">
        <v>110</v>
      </c>
      <c r="C499" s="20" t="str">
        <f>'Refsz-Verbräuche'!C169</f>
        <v>Restmüll</v>
      </c>
      <c r="D499" t="s">
        <v>208</v>
      </c>
      <c r="E499" s="15">
        <f>IF(ISNUMBER('Klisz-Verbräuche'!F169), 'Klisz-Verbräuche'!F169*Emissionsfaktoren!E169/1000, 0)</f>
        <v>0</v>
      </c>
      <c r="F499" s="15">
        <f>IF(ISNUMBER('Klisz-Verbräuche'!G169), 'Klisz-Verbräuche'!G169*Emissionsfaktoren!F169/1000, 0)</f>
        <v>0</v>
      </c>
      <c r="G499" s="15">
        <f>IF(ISNUMBER('Klisz-Verbräuche'!H169), 'Klisz-Verbräuche'!H169*Emissionsfaktoren!G169/1000, 0)</f>
        <v>0</v>
      </c>
      <c r="H499" s="15">
        <f>IF(ISNUMBER('Klisz-Verbräuche'!I169), 'Klisz-Verbräuche'!I169*Emissionsfaktoren!H169/1000, 0)</f>
        <v>0</v>
      </c>
      <c r="I499" s="15">
        <f>IF(ISNUMBER('Klisz-Verbräuche'!J169), 'Klisz-Verbräuche'!J169*Emissionsfaktoren!I169/1000, 0)</f>
        <v>0</v>
      </c>
      <c r="J499" s="15">
        <f>IF(ISNUMBER('Klisz-Verbräuche'!K169), 'Klisz-Verbräuche'!K169*Emissionsfaktoren!J169/1000, 0)</f>
        <v>0</v>
      </c>
      <c r="K499" s="15">
        <f>IF(ISNUMBER('Klisz-Verbräuche'!L169), 'Klisz-Verbräuche'!L169*Emissionsfaktoren!K169/1000, 0)</f>
        <v>0</v>
      </c>
      <c r="L499" s="15">
        <f>IF(ISNUMBER('Klisz-Verbräuche'!M169), 'Klisz-Verbräuche'!M169*Emissionsfaktoren!L169/1000, 0)</f>
        <v>0</v>
      </c>
      <c r="M499" s="15">
        <f>IF(ISNUMBER('Klisz-Verbräuche'!N169), 'Klisz-Verbräuche'!N169*Emissionsfaktoren!M169/1000, 0)</f>
        <v>0</v>
      </c>
      <c r="N499" s="15">
        <f>IF(ISNUMBER('Klisz-Verbräuche'!O169), 'Klisz-Verbräuche'!O169*Emissionsfaktoren!N169/1000, 0)</f>
        <v>0</v>
      </c>
      <c r="O499" s="15">
        <f>IF(ISNUMBER('Klisz-Verbräuche'!P169), 'Klisz-Verbräuche'!P169*Emissionsfaktoren!O169/1000, 0)</f>
        <v>0</v>
      </c>
      <c r="P499" s="15">
        <f>IF(ISNUMBER('Klisz-Verbräuche'!Q169), 'Klisz-Verbräuche'!Q169*Emissionsfaktoren!P169/1000, 0)</f>
        <v>0</v>
      </c>
      <c r="Q499" s="15">
        <f>IF(ISNUMBER('Klisz-Verbräuche'!R169), 'Klisz-Verbräuche'!R169*Emissionsfaktoren!Q169/1000, 0)</f>
        <v>0</v>
      </c>
      <c r="R499" s="15">
        <f>IF(ISNUMBER('Klisz-Verbräuche'!S169), 'Klisz-Verbräuche'!S169*Emissionsfaktoren!R169/1000, 0)</f>
        <v>0</v>
      </c>
      <c r="S499" s="15">
        <f>IF(ISNUMBER('Klisz-Verbräuche'!T169), 'Klisz-Verbräuche'!T169*Emissionsfaktoren!S169/1000, 0)</f>
        <v>0</v>
      </c>
      <c r="T499" s="15">
        <f>IF(ISNUMBER('Klisz-Verbräuche'!U169), 'Klisz-Verbräuche'!U169*Emissionsfaktoren!T169/1000, 0)</f>
        <v>0</v>
      </c>
      <c r="U499" s="15">
        <f>IF(ISNUMBER('Klisz-Verbräuche'!V169), 'Klisz-Verbräuche'!V169*Emissionsfaktoren!U169/1000, 0)</f>
        <v>0</v>
      </c>
      <c r="V499" s="15">
        <f>IF(ISNUMBER('Klisz-Verbräuche'!W169), 'Klisz-Verbräuche'!W169*Emissionsfaktoren!V169/1000, 0)</f>
        <v>0</v>
      </c>
      <c r="W499" s="15">
        <f>IF(ISNUMBER('Klisz-Verbräuche'!X169), 'Klisz-Verbräuche'!X169*Emissionsfaktoren!W169/1000, 0)</f>
        <v>0</v>
      </c>
      <c r="X499" s="15">
        <f>IF(ISNUMBER('Klisz-Verbräuche'!Y169), 'Klisz-Verbräuche'!Y169*Emissionsfaktoren!X169/1000, 0)</f>
        <v>0</v>
      </c>
    </row>
    <row r="500" spans="2:24" ht="16.5" hidden="1" x14ac:dyDescent="0.45">
      <c r="B500" s="15">
        <v>111</v>
      </c>
      <c r="C500" s="20" t="str">
        <f>'Refsz-Verbräuche'!C170</f>
        <v>Sperrmüll</v>
      </c>
      <c r="D500" t="s">
        <v>208</v>
      </c>
      <c r="E500" s="15">
        <f>IF(ISNUMBER('Klisz-Verbräuche'!F170), 'Klisz-Verbräuche'!F170*Emissionsfaktoren!E170/1000, 0)</f>
        <v>0</v>
      </c>
      <c r="F500" s="15">
        <f>IF(ISNUMBER('Klisz-Verbräuche'!G170), 'Klisz-Verbräuche'!G170*Emissionsfaktoren!F170/1000, 0)</f>
        <v>0</v>
      </c>
      <c r="G500" s="15">
        <f>IF(ISNUMBER('Klisz-Verbräuche'!H170), 'Klisz-Verbräuche'!H170*Emissionsfaktoren!G170/1000, 0)</f>
        <v>0</v>
      </c>
      <c r="H500" s="15">
        <f>IF(ISNUMBER('Klisz-Verbräuche'!I170), 'Klisz-Verbräuche'!I170*Emissionsfaktoren!H170/1000, 0)</f>
        <v>0</v>
      </c>
      <c r="I500" s="15">
        <f>IF(ISNUMBER('Klisz-Verbräuche'!J170), 'Klisz-Verbräuche'!J170*Emissionsfaktoren!I170/1000, 0)</f>
        <v>0</v>
      </c>
      <c r="J500" s="15">
        <f>IF(ISNUMBER('Klisz-Verbräuche'!K170), 'Klisz-Verbräuche'!K170*Emissionsfaktoren!J170/1000, 0)</f>
        <v>0</v>
      </c>
      <c r="K500" s="15">
        <f>IF(ISNUMBER('Klisz-Verbräuche'!L170), 'Klisz-Verbräuche'!L170*Emissionsfaktoren!K170/1000, 0)</f>
        <v>0</v>
      </c>
      <c r="L500" s="15">
        <f>IF(ISNUMBER('Klisz-Verbräuche'!M170), 'Klisz-Verbräuche'!M170*Emissionsfaktoren!L170/1000, 0)</f>
        <v>0</v>
      </c>
      <c r="M500" s="15">
        <f>IF(ISNUMBER('Klisz-Verbräuche'!N170), 'Klisz-Verbräuche'!N170*Emissionsfaktoren!M170/1000, 0)</f>
        <v>0</v>
      </c>
      <c r="N500" s="15">
        <f>IF(ISNUMBER('Klisz-Verbräuche'!O170), 'Klisz-Verbräuche'!O170*Emissionsfaktoren!N170/1000, 0)</f>
        <v>0</v>
      </c>
      <c r="O500" s="15">
        <f>IF(ISNUMBER('Klisz-Verbräuche'!P170), 'Klisz-Verbräuche'!P170*Emissionsfaktoren!O170/1000, 0)</f>
        <v>0</v>
      </c>
      <c r="P500" s="15">
        <f>IF(ISNUMBER('Klisz-Verbräuche'!Q170), 'Klisz-Verbräuche'!Q170*Emissionsfaktoren!P170/1000, 0)</f>
        <v>0</v>
      </c>
      <c r="Q500" s="15">
        <f>IF(ISNUMBER('Klisz-Verbräuche'!R170), 'Klisz-Verbräuche'!R170*Emissionsfaktoren!Q170/1000, 0)</f>
        <v>0</v>
      </c>
      <c r="R500" s="15">
        <f>IF(ISNUMBER('Klisz-Verbräuche'!S170), 'Klisz-Verbräuche'!S170*Emissionsfaktoren!R170/1000, 0)</f>
        <v>0</v>
      </c>
      <c r="S500" s="15">
        <f>IF(ISNUMBER('Klisz-Verbräuche'!T170), 'Klisz-Verbräuche'!T170*Emissionsfaktoren!S170/1000, 0)</f>
        <v>0</v>
      </c>
      <c r="T500" s="15">
        <f>IF(ISNUMBER('Klisz-Verbräuche'!U170), 'Klisz-Verbräuche'!U170*Emissionsfaktoren!T170/1000, 0)</f>
        <v>0</v>
      </c>
      <c r="U500" s="15">
        <f>IF(ISNUMBER('Klisz-Verbräuche'!V170), 'Klisz-Verbräuche'!V170*Emissionsfaktoren!U170/1000, 0)</f>
        <v>0</v>
      </c>
      <c r="V500" s="15">
        <f>IF(ISNUMBER('Klisz-Verbräuche'!W170), 'Klisz-Verbräuche'!W170*Emissionsfaktoren!V170/1000, 0)</f>
        <v>0</v>
      </c>
      <c r="W500" s="15">
        <f>IF(ISNUMBER('Klisz-Verbräuche'!X170), 'Klisz-Verbräuche'!X170*Emissionsfaktoren!W170/1000, 0)</f>
        <v>0</v>
      </c>
      <c r="X500" s="15">
        <f>IF(ISNUMBER('Klisz-Verbräuche'!Y170), 'Klisz-Verbräuche'!Y170*Emissionsfaktoren!X170/1000, 0)</f>
        <v>0</v>
      </c>
    </row>
    <row r="501" spans="2:24" ht="16.5" hidden="1" x14ac:dyDescent="0.45">
      <c r="B501" s="15">
        <v>112</v>
      </c>
      <c r="C501" s="20" t="str">
        <f>'Refsz-Verbräuche'!C171</f>
        <v>Altholz</v>
      </c>
      <c r="D501" t="s">
        <v>208</v>
      </c>
      <c r="E501" s="15">
        <f>IF(ISNUMBER('Klisz-Verbräuche'!F171), 'Klisz-Verbräuche'!F171*Emissionsfaktoren!E171/1000, 0)</f>
        <v>0</v>
      </c>
      <c r="F501" s="15">
        <f>IF(ISNUMBER('Klisz-Verbräuche'!G171), 'Klisz-Verbräuche'!G171*Emissionsfaktoren!F171/1000, 0)</f>
        <v>0</v>
      </c>
      <c r="G501" s="15">
        <f>IF(ISNUMBER('Klisz-Verbräuche'!H171), 'Klisz-Verbräuche'!H171*Emissionsfaktoren!G171/1000, 0)</f>
        <v>0</v>
      </c>
      <c r="H501" s="15">
        <f>IF(ISNUMBER('Klisz-Verbräuche'!I171), 'Klisz-Verbräuche'!I171*Emissionsfaktoren!H171/1000, 0)</f>
        <v>0</v>
      </c>
      <c r="I501" s="15">
        <f>IF(ISNUMBER('Klisz-Verbräuche'!J171), 'Klisz-Verbräuche'!J171*Emissionsfaktoren!I171/1000, 0)</f>
        <v>0</v>
      </c>
      <c r="J501" s="15">
        <f>IF(ISNUMBER('Klisz-Verbräuche'!K171), 'Klisz-Verbräuche'!K171*Emissionsfaktoren!J171/1000, 0)</f>
        <v>0</v>
      </c>
      <c r="K501" s="15">
        <f>IF(ISNUMBER('Klisz-Verbräuche'!L171), 'Klisz-Verbräuche'!L171*Emissionsfaktoren!K171/1000, 0)</f>
        <v>0</v>
      </c>
      <c r="L501" s="15">
        <f>IF(ISNUMBER('Klisz-Verbräuche'!M171), 'Klisz-Verbräuche'!M171*Emissionsfaktoren!L171/1000, 0)</f>
        <v>0</v>
      </c>
      <c r="M501" s="15">
        <f>IF(ISNUMBER('Klisz-Verbräuche'!N171), 'Klisz-Verbräuche'!N171*Emissionsfaktoren!M171/1000, 0)</f>
        <v>0</v>
      </c>
      <c r="N501" s="15">
        <f>IF(ISNUMBER('Klisz-Verbräuche'!O171), 'Klisz-Verbräuche'!O171*Emissionsfaktoren!N171/1000, 0)</f>
        <v>0</v>
      </c>
      <c r="O501" s="15">
        <f>IF(ISNUMBER('Klisz-Verbräuche'!P171), 'Klisz-Verbräuche'!P171*Emissionsfaktoren!O171/1000, 0)</f>
        <v>0</v>
      </c>
      <c r="P501" s="15">
        <f>IF(ISNUMBER('Klisz-Verbräuche'!Q171), 'Klisz-Verbräuche'!Q171*Emissionsfaktoren!P171/1000, 0)</f>
        <v>0</v>
      </c>
      <c r="Q501" s="15">
        <f>IF(ISNUMBER('Klisz-Verbräuche'!R171), 'Klisz-Verbräuche'!R171*Emissionsfaktoren!Q171/1000, 0)</f>
        <v>0</v>
      </c>
      <c r="R501" s="15">
        <f>IF(ISNUMBER('Klisz-Verbräuche'!S171), 'Klisz-Verbräuche'!S171*Emissionsfaktoren!R171/1000, 0)</f>
        <v>0</v>
      </c>
      <c r="S501" s="15">
        <f>IF(ISNUMBER('Klisz-Verbräuche'!T171), 'Klisz-Verbräuche'!T171*Emissionsfaktoren!S171/1000, 0)</f>
        <v>0</v>
      </c>
      <c r="T501" s="15">
        <f>IF(ISNUMBER('Klisz-Verbräuche'!U171), 'Klisz-Verbräuche'!U171*Emissionsfaktoren!T171/1000, 0)</f>
        <v>0</v>
      </c>
      <c r="U501" s="15">
        <f>IF(ISNUMBER('Klisz-Verbräuche'!V171), 'Klisz-Verbräuche'!V171*Emissionsfaktoren!U171/1000, 0)</f>
        <v>0</v>
      </c>
      <c r="V501" s="15">
        <f>IF(ISNUMBER('Klisz-Verbräuche'!W171), 'Klisz-Verbräuche'!W171*Emissionsfaktoren!V171/1000, 0)</f>
        <v>0</v>
      </c>
      <c r="W501" s="15">
        <f>IF(ISNUMBER('Klisz-Verbräuche'!X171), 'Klisz-Verbräuche'!X171*Emissionsfaktoren!W171/1000, 0)</f>
        <v>0</v>
      </c>
      <c r="X501" s="15">
        <f>IF(ISNUMBER('Klisz-Verbräuche'!Y171), 'Klisz-Verbräuche'!Y171*Emissionsfaktoren!X171/1000, 0)</f>
        <v>0</v>
      </c>
    </row>
    <row r="502" spans="2:24" ht="16.5" hidden="1" x14ac:dyDescent="0.45">
      <c r="B502" s="15">
        <v>113</v>
      </c>
      <c r="C502" s="20" t="str">
        <f>'Refsz-Verbräuche'!C172</f>
        <v>Altglas</v>
      </c>
      <c r="D502" t="s">
        <v>208</v>
      </c>
      <c r="E502" s="15">
        <f>IF(ISNUMBER('Klisz-Verbräuche'!F172), 'Klisz-Verbräuche'!F172*Emissionsfaktoren!E172/1000, 0)</f>
        <v>0</v>
      </c>
      <c r="F502" s="15">
        <f>IF(ISNUMBER('Klisz-Verbräuche'!G172), 'Klisz-Verbräuche'!G172*Emissionsfaktoren!F172/1000, 0)</f>
        <v>0</v>
      </c>
      <c r="G502" s="15">
        <f>IF(ISNUMBER('Klisz-Verbräuche'!H172), 'Klisz-Verbräuche'!H172*Emissionsfaktoren!G172/1000, 0)</f>
        <v>0</v>
      </c>
      <c r="H502" s="15">
        <f>IF(ISNUMBER('Klisz-Verbräuche'!I172), 'Klisz-Verbräuche'!I172*Emissionsfaktoren!H172/1000, 0)</f>
        <v>0</v>
      </c>
      <c r="I502" s="15">
        <f>IF(ISNUMBER('Klisz-Verbräuche'!J172), 'Klisz-Verbräuche'!J172*Emissionsfaktoren!I172/1000, 0)</f>
        <v>0</v>
      </c>
      <c r="J502" s="15">
        <f>IF(ISNUMBER('Klisz-Verbräuche'!K172), 'Klisz-Verbräuche'!K172*Emissionsfaktoren!J172/1000, 0)</f>
        <v>0</v>
      </c>
      <c r="K502" s="15">
        <f>IF(ISNUMBER('Klisz-Verbräuche'!L172), 'Klisz-Verbräuche'!L172*Emissionsfaktoren!K172/1000, 0)</f>
        <v>0</v>
      </c>
      <c r="L502" s="15">
        <f>IF(ISNUMBER('Klisz-Verbräuche'!M172), 'Klisz-Verbräuche'!M172*Emissionsfaktoren!L172/1000, 0)</f>
        <v>0</v>
      </c>
      <c r="M502" s="15">
        <f>IF(ISNUMBER('Klisz-Verbräuche'!N172), 'Klisz-Verbräuche'!N172*Emissionsfaktoren!M172/1000, 0)</f>
        <v>0</v>
      </c>
      <c r="N502" s="15">
        <f>IF(ISNUMBER('Klisz-Verbräuche'!O172), 'Klisz-Verbräuche'!O172*Emissionsfaktoren!N172/1000, 0)</f>
        <v>0</v>
      </c>
      <c r="O502" s="15">
        <f>IF(ISNUMBER('Klisz-Verbräuche'!P172), 'Klisz-Verbräuche'!P172*Emissionsfaktoren!O172/1000, 0)</f>
        <v>0</v>
      </c>
      <c r="P502" s="15">
        <f>IF(ISNUMBER('Klisz-Verbräuche'!Q172), 'Klisz-Verbräuche'!Q172*Emissionsfaktoren!P172/1000, 0)</f>
        <v>0</v>
      </c>
      <c r="Q502" s="15">
        <f>IF(ISNUMBER('Klisz-Verbräuche'!R172), 'Klisz-Verbräuche'!R172*Emissionsfaktoren!Q172/1000, 0)</f>
        <v>0</v>
      </c>
      <c r="R502" s="15">
        <f>IF(ISNUMBER('Klisz-Verbräuche'!S172), 'Klisz-Verbräuche'!S172*Emissionsfaktoren!R172/1000, 0)</f>
        <v>0</v>
      </c>
      <c r="S502" s="15">
        <f>IF(ISNUMBER('Klisz-Verbräuche'!T172), 'Klisz-Verbräuche'!T172*Emissionsfaktoren!S172/1000, 0)</f>
        <v>0</v>
      </c>
      <c r="T502" s="15">
        <f>IF(ISNUMBER('Klisz-Verbräuche'!U172), 'Klisz-Verbräuche'!U172*Emissionsfaktoren!T172/1000, 0)</f>
        <v>0</v>
      </c>
      <c r="U502" s="15">
        <f>IF(ISNUMBER('Klisz-Verbräuche'!V172), 'Klisz-Verbräuche'!V172*Emissionsfaktoren!U172/1000, 0)</f>
        <v>0</v>
      </c>
      <c r="V502" s="15">
        <f>IF(ISNUMBER('Klisz-Verbräuche'!W172), 'Klisz-Verbräuche'!W172*Emissionsfaktoren!V172/1000, 0)</f>
        <v>0</v>
      </c>
      <c r="W502" s="15">
        <f>IF(ISNUMBER('Klisz-Verbräuche'!X172), 'Klisz-Verbräuche'!X172*Emissionsfaktoren!W172/1000, 0)</f>
        <v>0</v>
      </c>
      <c r="X502" s="15">
        <f>IF(ISNUMBER('Klisz-Verbräuche'!Y172), 'Klisz-Verbräuche'!Y172*Emissionsfaktoren!X172/1000, 0)</f>
        <v>0</v>
      </c>
    </row>
    <row r="503" spans="2:24" ht="16.5" hidden="1" x14ac:dyDescent="0.45">
      <c r="B503" s="15">
        <v>114</v>
      </c>
      <c r="C503" s="20" t="str">
        <f>'Refsz-Verbräuche'!C173</f>
        <v>E-Großgeräte (Abfall)</v>
      </c>
      <c r="D503" t="s">
        <v>208</v>
      </c>
      <c r="E503" s="15">
        <f>IF(ISNUMBER('Klisz-Verbräuche'!F173), 'Klisz-Verbräuche'!F173*Emissionsfaktoren!E173/1000, 0)</f>
        <v>0</v>
      </c>
      <c r="F503" s="15">
        <f>IF(ISNUMBER('Klisz-Verbräuche'!G173), 'Klisz-Verbräuche'!G173*Emissionsfaktoren!F173/1000, 0)</f>
        <v>0</v>
      </c>
      <c r="G503" s="15">
        <f>IF(ISNUMBER('Klisz-Verbräuche'!H173), 'Klisz-Verbräuche'!H173*Emissionsfaktoren!G173/1000, 0)</f>
        <v>0</v>
      </c>
      <c r="H503" s="15">
        <f>IF(ISNUMBER('Klisz-Verbräuche'!I173), 'Klisz-Verbräuche'!I173*Emissionsfaktoren!H173/1000, 0)</f>
        <v>0</v>
      </c>
      <c r="I503" s="15">
        <f>IF(ISNUMBER('Klisz-Verbräuche'!J173), 'Klisz-Verbräuche'!J173*Emissionsfaktoren!I173/1000, 0)</f>
        <v>0</v>
      </c>
      <c r="J503" s="15">
        <f>IF(ISNUMBER('Klisz-Verbräuche'!K173), 'Klisz-Verbräuche'!K173*Emissionsfaktoren!J173/1000, 0)</f>
        <v>0</v>
      </c>
      <c r="K503" s="15">
        <f>IF(ISNUMBER('Klisz-Verbräuche'!L173), 'Klisz-Verbräuche'!L173*Emissionsfaktoren!K173/1000, 0)</f>
        <v>0</v>
      </c>
      <c r="L503" s="15">
        <f>IF(ISNUMBER('Klisz-Verbräuche'!M173), 'Klisz-Verbräuche'!M173*Emissionsfaktoren!L173/1000, 0)</f>
        <v>0</v>
      </c>
      <c r="M503" s="15">
        <f>IF(ISNUMBER('Klisz-Verbräuche'!N173), 'Klisz-Verbräuche'!N173*Emissionsfaktoren!M173/1000, 0)</f>
        <v>0</v>
      </c>
      <c r="N503" s="15">
        <f>IF(ISNUMBER('Klisz-Verbräuche'!O173), 'Klisz-Verbräuche'!O173*Emissionsfaktoren!N173/1000, 0)</f>
        <v>0</v>
      </c>
      <c r="O503" s="15">
        <f>IF(ISNUMBER('Klisz-Verbräuche'!P173), 'Klisz-Verbräuche'!P173*Emissionsfaktoren!O173/1000, 0)</f>
        <v>0</v>
      </c>
      <c r="P503" s="15">
        <f>IF(ISNUMBER('Klisz-Verbräuche'!Q173), 'Klisz-Verbräuche'!Q173*Emissionsfaktoren!P173/1000, 0)</f>
        <v>0</v>
      </c>
      <c r="Q503" s="15">
        <f>IF(ISNUMBER('Klisz-Verbräuche'!R173), 'Klisz-Verbräuche'!R173*Emissionsfaktoren!Q173/1000, 0)</f>
        <v>0</v>
      </c>
      <c r="R503" s="15">
        <f>IF(ISNUMBER('Klisz-Verbräuche'!S173), 'Klisz-Verbräuche'!S173*Emissionsfaktoren!R173/1000, 0)</f>
        <v>0</v>
      </c>
      <c r="S503" s="15">
        <f>IF(ISNUMBER('Klisz-Verbräuche'!T173), 'Klisz-Verbräuche'!T173*Emissionsfaktoren!S173/1000, 0)</f>
        <v>0</v>
      </c>
      <c r="T503" s="15">
        <f>IF(ISNUMBER('Klisz-Verbräuche'!U173), 'Klisz-Verbräuche'!U173*Emissionsfaktoren!T173/1000, 0)</f>
        <v>0</v>
      </c>
      <c r="U503" s="15">
        <f>IF(ISNUMBER('Klisz-Verbräuche'!V173), 'Klisz-Verbräuche'!V173*Emissionsfaktoren!U173/1000, 0)</f>
        <v>0</v>
      </c>
      <c r="V503" s="15">
        <f>IF(ISNUMBER('Klisz-Verbräuche'!W173), 'Klisz-Verbräuche'!W173*Emissionsfaktoren!V173/1000, 0)</f>
        <v>0</v>
      </c>
      <c r="W503" s="15">
        <f>IF(ISNUMBER('Klisz-Verbräuche'!X173), 'Klisz-Verbräuche'!X173*Emissionsfaktoren!W173/1000, 0)</f>
        <v>0</v>
      </c>
      <c r="X503" s="15">
        <f>IF(ISNUMBER('Klisz-Verbräuche'!Y173), 'Klisz-Verbräuche'!Y173*Emissionsfaktoren!X173/1000, 0)</f>
        <v>0</v>
      </c>
    </row>
    <row r="504" spans="2:24" ht="16.5" hidden="1" x14ac:dyDescent="0.45">
      <c r="B504" s="15">
        <v>115</v>
      </c>
      <c r="C504" s="20" t="str">
        <f>'Refsz-Verbräuche'!C174</f>
        <v>Metalle (Abfall)</v>
      </c>
      <c r="D504" t="s">
        <v>208</v>
      </c>
      <c r="E504" s="15">
        <f>IF(ISNUMBER('Klisz-Verbräuche'!F174), 'Klisz-Verbräuche'!F174*Emissionsfaktoren!E174/1000, 0)</f>
        <v>0</v>
      </c>
      <c r="F504" s="15">
        <f>IF(ISNUMBER('Klisz-Verbräuche'!G174), 'Klisz-Verbräuche'!G174*Emissionsfaktoren!F174/1000, 0)</f>
        <v>0</v>
      </c>
      <c r="G504" s="15">
        <f>IF(ISNUMBER('Klisz-Verbräuche'!H174), 'Klisz-Verbräuche'!H174*Emissionsfaktoren!G174/1000, 0)</f>
        <v>0</v>
      </c>
      <c r="H504" s="15">
        <f>IF(ISNUMBER('Klisz-Verbräuche'!I174), 'Klisz-Verbräuche'!I174*Emissionsfaktoren!H174/1000, 0)</f>
        <v>0</v>
      </c>
      <c r="I504" s="15">
        <f>IF(ISNUMBER('Klisz-Verbräuche'!J174), 'Klisz-Verbräuche'!J174*Emissionsfaktoren!I174/1000, 0)</f>
        <v>0</v>
      </c>
      <c r="J504" s="15">
        <f>IF(ISNUMBER('Klisz-Verbräuche'!K174), 'Klisz-Verbräuche'!K174*Emissionsfaktoren!J174/1000, 0)</f>
        <v>0</v>
      </c>
      <c r="K504" s="15">
        <f>IF(ISNUMBER('Klisz-Verbräuche'!L174), 'Klisz-Verbräuche'!L174*Emissionsfaktoren!K174/1000, 0)</f>
        <v>0</v>
      </c>
      <c r="L504" s="15">
        <f>IF(ISNUMBER('Klisz-Verbräuche'!M174), 'Klisz-Verbräuche'!M174*Emissionsfaktoren!L174/1000, 0)</f>
        <v>0</v>
      </c>
      <c r="M504" s="15">
        <f>IF(ISNUMBER('Klisz-Verbräuche'!N174), 'Klisz-Verbräuche'!N174*Emissionsfaktoren!M174/1000, 0)</f>
        <v>0</v>
      </c>
      <c r="N504" s="15">
        <f>IF(ISNUMBER('Klisz-Verbräuche'!O174), 'Klisz-Verbräuche'!O174*Emissionsfaktoren!N174/1000, 0)</f>
        <v>0</v>
      </c>
      <c r="O504" s="15">
        <f>IF(ISNUMBER('Klisz-Verbräuche'!P174), 'Klisz-Verbräuche'!P174*Emissionsfaktoren!O174/1000, 0)</f>
        <v>0</v>
      </c>
      <c r="P504" s="15">
        <f>IF(ISNUMBER('Klisz-Verbräuche'!Q174), 'Klisz-Verbräuche'!Q174*Emissionsfaktoren!P174/1000, 0)</f>
        <v>0</v>
      </c>
      <c r="Q504" s="15">
        <f>IF(ISNUMBER('Klisz-Verbräuche'!R174), 'Klisz-Verbräuche'!R174*Emissionsfaktoren!Q174/1000, 0)</f>
        <v>0</v>
      </c>
      <c r="R504" s="15">
        <f>IF(ISNUMBER('Klisz-Verbräuche'!S174), 'Klisz-Verbräuche'!S174*Emissionsfaktoren!R174/1000, 0)</f>
        <v>0</v>
      </c>
      <c r="S504" s="15">
        <f>IF(ISNUMBER('Klisz-Verbräuche'!T174), 'Klisz-Verbräuche'!T174*Emissionsfaktoren!S174/1000, 0)</f>
        <v>0</v>
      </c>
      <c r="T504" s="15">
        <f>IF(ISNUMBER('Klisz-Verbräuche'!U174), 'Klisz-Verbräuche'!U174*Emissionsfaktoren!T174/1000, 0)</f>
        <v>0</v>
      </c>
      <c r="U504" s="15">
        <f>IF(ISNUMBER('Klisz-Verbräuche'!V174), 'Klisz-Verbräuche'!V174*Emissionsfaktoren!U174/1000, 0)</f>
        <v>0</v>
      </c>
      <c r="V504" s="15">
        <f>IF(ISNUMBER('Klisz-Verbräuche'!W174), 'Klisz-Verbräuche'!W174*Emissionsfaktoren!V174/1000, 0)</f>
        <v>0</v>
      </c>
      <c r="W504" s="15">
        <f>IF(ISNUMBER('Klisz-Verbräuche'!X174), 'Klisz-Verbräuche'!X174*Emissionsfaktoren!W174/1000, 0)</f>
        <v>0</v>
      </c>
      <c r="X504" s="15">
        <f>IF(ISNUMBER('Klisz-Verbräuche'!Y174), 'Klisz-Verbräuche'!Y174*Emissionsfaktoren!X174/1000, 0)</f>
        <v>0</v>
      </c>
    </row>
    <row r="505" spans="2:24" ht="16.5" hidden="1" x14ac:dyDescent="0.45">
      <c r="B505" s="15">
        <v>116</v>
      </c>
      <c r="C505" s="20" t="str">
        <f>'Refsz-Verbräuche'!C175</f>
        <v>Bauschutt</v>
      </c>
      <c r="D505" t="s">
        <v>208</v>
      </c>
      <c r="E505" s="15">
        <f>IF(ISNUMBER('Klisz-Verbräuche'!F175), 'Klisz-Verbräuche'!F175*Emissionsfaktoren!E175/1000, 0)</f>
        <v>0</v>
      </c>
      <c r="F505" s="15">
        <f>IF(ISNUMBER('Klisz-Verbräuche'!G175), 'Klisz-Verbräuche'!G175*Emissionsfaktoren!F175/1000, 0)</f>
        <v>0</v>
      </c>
      <c r="G505" s="15">
        <f>IF(ISNUMBER('Klisz-Verbräuche'!H175), 'Klisz-Verbräuche'!H175*Emissionsfaktoren!G175/1000, 0)</f>
        <v>0</v>
      </c>
      <c r="H505" s="15">
        <f>IF(ISNUMBER('Klisz-Verbräuche'!I175), 'Klisz-Verbräuche'!I175*Emissionsfaktoren!H175/1000, 0)</f>
        <v>0</v>
      </c>
      <c r="I505" s="15">
        <f>IF(ISNUMBER('Klisz-Verbräuche'!J175), 'Klisz-Verbräuche'!J175*Emissionsfaktoren!I175/1000, 0)</f>
        <v>0</v>
      </c>
      <c r="J505" s="15">
        <f>IF(ISNUMBER('Klisz-Verbräuche'!K175), 'Klisz-Verbräuche'!K175*Emissionsfaktoren!J175/1000, 0)</f>
        <v>0</v>
      </c>
      <c r="K505" s="15">
        <f>IF(ISNUMBER('Klisz-Verbräuche'!L175), 'Klisz-Verbräuche'!L175*Emissionsfaktoren!K175/1000, 0)</f>
        <v>0</v>
      </c>
      <c r="L505" s="15">
        <f>IF(ISNUMBER('Klisz-Verbräuche'!M175), 'Klisz-Verbräuche'!M175*Emissionsfaktoren!L175/1000, 0)</f>
        <v>0</v>
      </c>
      <c r="M505" s="15">
        <f>IF(ISNUMBER('Klisz-Verbräuche'!N175), 'Klisz-Verbräuche'!N175*Emissionsfaktoren!M175/1000, 0)</f>
        <v>0</v>
      </c>
      <c r="N505" s="15">
        <f>IF(ISNUMBER('Klisz-Verbräuche'!O175), 'Klisz-Verbräuche'!O175*Emissionsfaktoren!N175/1000, 0)</f>
        <v>0</v>
      </c>
      <c r="O505" s="15">
        <f>IF(ISNUMBER('Klisz-Verbräuche'!P175), 'Klisz-Verbräuche'!P175*Emissionsfaktoren!O175/1000, 0)</f>
        <v>0</v>
      </c>
      <c r="P505" s="15">
        <f>IF(ISNUMBER('Klisz-Verbräuche'!Q175), 'Klisz-Verbräuche'!Q175*Emissionsfaktoren!P175/1000, 0)</f>
        <v>0</v>
      </c>
      <c r="Q505" s="15">
        <f>IF(ISNUMBER('Klisz-Verbräuche'!R175), 'Klisz-Verbräuche'!R175*Emissionsfaktoren!Q175/1000, 0)</f>
        <v>0</v>
      </c>
      <c r="R505" s="15">
        <f>IF(ISNUMBER('Klisz-Verbräuche'!S175), 'Klisz-Verbräuche'!S175*Emissionsfaktoren!R175/1000, 0)</f>
        <v>0</v>
      </c>
      <c r="S505" s="15">
        <f>IF(ISNUMBER('Klisz-Verbräuche'!T175), 'Klisz-Verbräuche'!T175*Emissionsfaktoren!S175/1000, 0)</f>
        <v>0</v>
      </c>
      <c r="T505" s="15">
        <f>IF(ISNUMBER('Klisz-Verbräuche'!U175), 'Klisz-Verbräuche'!U175*Emissionsfaktoren!T175/1000, 0)</f>
        <v>0</v>
      </c>
      <c r="U505" s="15">
        <f>IF(ISNUMBER('Klisz-Verbräuche'!V175), 'Klisz-Verbräuche'!V175*Emissionsfaktoren!U175/1000, 0)</f>
        <v>0</v>
      </c>
      <c r="V505" s="15">
        <f>IF(ISNUMBER('Klisz-Verbräuche'!W175), 'Klisz-Verbräuche'!W175*Emissionsfaktoren!V175/1000, 0)</f>
        <v>0</v>
      </c>
      <c r="W505" s="15">
        <f>IF(ISNUMBER('Klisz-Verbräuche'!X175), 'Klisz-Verbräuche'!X175*Emissionsfaktoren!W175/1000, 0)</f>
        <v>0</v>
      </c>
      <c r="X505" s="15">
        <f>IF(ISNUMBER('Klisz-Verbräuche'!Y175), 'Klisz-Verbräuche'!Y175*Emissionsfaktoren!X175/1000, 0)</f>
        <v>0</v>
      </c>
    </row>
    <row r="506" spans="2:24" ht="16.5" hidden="1" x14ac:dyDescent="0.45">
      <c r="B506" s="15">
        <v>117</v>
      </c>
      <c r="C506" s="20">
        <f>'Refsz-Verbräuche'!C176</f>
        <v>0</v>
      </c>
      <c r="D506" t="s">
        <v>208</v>
      </c>
      <c r="E506" s="15">
        <f>IF(ISNUMBER('Klisz-Verbräuche'!F176), 'Klisz-Verbräuche'!F176*Emissionsfaktoren!E176/1000, 0)</f>
        <v>0</v>
      </c>
      <c r="F506" s="15">
        <f>IF(ISNUMBER('Klisz-Verbräuche'!G176), 'Klisz-Verbräuche'!G176*Emissionsfaktoren!F176/1000, 0)</f>
        <v>0</v>
      </c>
      <c r="G506" s="15">
        <f>IF(ISNUMBER('Klisz-Verbräuche'!H176), 'Klisz-Verbräuche'!H176*Emissionsfaktoren!G176/1000, 0)</f>
        <v>0</v>
      </c>
      <c r="H506" s="15">
        <f>IF(ISNUMBER('Klisz-Verbräuche'!I176), 'Klisz-Verbräuche'!I176*Emissionsfaktoren!H176/1000, 0)</f>
        <v>0</v>
      </c>
      <c r="I506" s="15">
        <f>IF(ISNUMBER('Klisz-Verbräuche'!J176), 'Klisz-Verbräuche'!J176*Emissionsfaktoren!I176/1000, 0)</f>
        <v>0</v>
      </c>
      <c r="J506" s="15">
        <f>IF(ISNUMBER('Klisz-Verbräuche'!K176), 'Klisz-Verbräuche'!K176*Emissionsfaktoren!J176/1000, 0)</f>
        <v>0</v>
      </c>
      <c r="K506" s="15">
        <f>IF(ISNUMBER('Klisz-Verbräuche'!L176), 'Klisz-Verbräuche'!L176*Emissionsfaktoren!K176/1000, 0)</f>
        <v>0</v>
      </c>
      <c r="L506" s="15">
        <f>IF(ISNUMBER('Klisz-Verbräuche'!M176), 'Klisz-Verbräuche'!M176*Emissionsfaktoren!L176/1000, 0)</f>
        <v>0</v>
      </c>
      <c r="M506" s="15">
        <f>IF(ISNUMBER('Klisz-Verbräuche'!N176), 'Klisz-Verbräuche'!N176*Emissionsfaktoren!M176/1000, 0)</f>
        <v>0</v>
      </c>
      <c r="N506" s="15">
        <f>IF(ISNUMBER('Klisz-Verbräuche'!O176), 'Klisz-Verbräuche'!O176*Emissionsfaktoren!N176/1000, 0)</f>
        <v>0</v>
      </c>
      <c r="O506" s="15">
        <f>IF(ISNUMBER('Klisz-Verbräuche'!P176), 'Klisz-Verbräuche'!P176*Emissionsfaktoren!O176/1000, 0)</f>
        <v>0</v>
      </c>
      <c r="P506" s="15">
        <f>IF(ISNUMBER('Klisz-Verbräuche'!Q176), 'Klisz-Verbräuche'!Q176*Emissionsfaktoren!P176/1000, 0)</f>
        <v>0</v>
      </c>
      <c r="Q506" s="15">
        <f>IF(ISNUMBER('Klisz-Verbräuche'!R176), 'Klisz-Verbräuche'!R176*Emissionsfaktoren!Q176/1000, 0)</f>
        <v>0</v>
      </c>
      <c r="R506" s="15">
        <f>IF(ISNUMBER('Klisz-Verbräuche'!S176), 'Klisz-Verbräuche'!S176*Emissionsfaktoren!R176/1000, 0)</f>
        <v>0</v>
      </c>
      <c r="S506" s="15">
        <f>IF(ISNUMBER('Klisz-Verbräuche'!T176), 'Klisz-Verbräuche'!T176*Emissionsfaktoren!S176/1000, 0)</f>
        <v>0</v>
      </c>
      <c r="T506" s="15">
        <f>IF(ISNUMBER('Klisz-Verbräuche'!U176), 'Klisz-Verbräuche'!U176*Emissionsfaktoren!T176/1000, 0)</f>
        <v>0</v>
      </c>
      <c r="U506" s="15">
        <f>IF(ISNUMBER('Klisz-Verbräuche'!V176), 'Klisz-Verbräuche'!V176*Emissionsfaktoren!U176/1000, 0)</f>
        <v>0</v>
      </c>
      <c r="V506" s="15">
        <f>IF(ISNUMBER('Klisz-Verbräuche'!W176), 'Klisz-Verbräuche'!W176*Emissionsfaktoren!V176/1000, 0)</f>
        <v>0</v>
      </c>
      <c r="W506" s="15">
        <f>IF(ISNUMBER('Klisz-Verbräuche'!X176), 'Klisz-Verbräuche'!X176*Emissionsfaktoren!W176/1000, 0)</f>
        <v>0</v>
      </c>
      <c r="X506" s="15">
        <f>IF(ISNUMBER('Klisz-Verbräuche'!Y176), 'Klisz-Verbräuche'!Y176*Emissionsfaktoren!X176/1000, 0)</f>
        <v>0</v>
      </c>
    </row>
    <row r="507" spans="2:24" ht="16.5" hidden="1" x14ac:dyDescent="0.45">
      <c r="B507" s="15">
        <v>118</v>
      </c>
      <c r="C507" s="20" t="str">
        <f>'Refsz-Verbräuche'!C177</f>
        <v>Branntkalk</v>
      </c>
      <c r="D507" t="s">
        <v>208</v>
      </c>
      <c r="E507" s="15">
        <f>IF(ISNUMBER('Klisz-Verbräuche'!F177), 'Klisz-Verbräuche'!F177*Emissionsfaktoren!E177/1000, 0)</f>
        <v>0</v>
      </c>
      <c r="F507" s="15">
        <f>IF(ISNUMBER('Klisz-Verbräuche'!G177), 'Klisz-Verbräuche'!G177*Emissionsfaktoren!F177/1000, 0)</f>
        <v>0</v>
      </c>
      <c r="G507" s="15">
        <f>IF(ISNUMBER('Klisz-Verbräuche'!H177), 'Klisz-Verbräuche'!H177*Emissionsfaktoren!G177/1000, 0)</f>
        <v>0</v>
      </c>
      <c r="H507" s="15">
        <f>IF(ISNUMBER('Klisz-Verbräuche'!I177), 'Klisz-Verbräuche'!I177*Emissionsfaktoren!H177/1000, 0)</f>
        <v>0</v>
      </c>
      <c r="I507" s="15">
        <f>IF(ISNUMBER('Klisz-Verbräuche'!J177), 'Klisz-Verbräuche'!J177*Emissionsfaktoren!I177/1000, 0)</f>
        <v>0</v>
      </c>
      <c r="J507" s="15">
        <f>IF(ISNUMBER('Klisz-Verbräuche'!K177), 'Klisz-Verbräuche'!K177*Emissionsfaktoren!J177/1000, 0)</f>
        <v>0</v>
      </c>
      <c r="K507" s="15">
        <f>IF(ISNUMBER('Klisz-Verbräuche'!L177), 'Klisz-Verbräuche'!L177*Emissionsfaktoren!K177/1000, 0)</f>
        <v>0</v>
      </c>
      <c r="L507" s="15">
        <f>IF(ISNUMBER('Klisz-Verbräuche'!M177), 'Klisz-Verbräuche'!M177*Emissionsfaktoren!L177/1000, 0)</f>
        <v>0</v>
      </c>
      <c r="M507" s="15">
        <f>IF(ISNUMBER('Klisz-Verbräuche'!N177), 'Klisz-Verbräuche'!N177*Emissionsfaktoren!M177/1000, 0)</f>
        <v>0</v>
      </c>
      <c r="N507" s="15">
        <f>IF(ISNUMBER('Klisz-Verbräuche'!O177), 'Klisz-Verbräuche'!O177*Emissionsfaktoren!N177/1000, 0)</f>
        <v>0</v>
      </c>
      <c r="O507" s="15">
        <f>IF(ISNUMBER('Klisz-Verbräuche'!P177), 'Klisz-Verbräuche'!P177*Emissionsfaktoren!O177/1000, 0)</f>
        <v>0</v>
      </c>
      <c r="P507" s="15">
        <f>IF(ISNUMBER('Klisz-Verbräuche'!Q177), 'Klisz-Verbräuche'!Q177*Emissionsfaktoren!P177/1000, 0)</f>
        <v>0</v>
      </c>
      <c r="Q507" s="15">
        <f>IF(ISNUMBER('Klisz-Verbräuche'!R177), 'Klisz-Verbräuche'!R177*Emissionsfaktoren!Q177/1000, 0)</f>
        <v>0</v>
      </c>
      <c r="R507" s="15">
        <f>IF(ISNUMBER('Klisz-Verbräuche'!S177), 'Klisz-Verbräuche'!S177*Emissionsfaktoren!R177/1000, 0)</f>
        <v>0</v>
      </c>
      <c r="S507" s="15">
        <f>IF(ISNUMBER('Klisz-Verbräuche'!T177), 'Klisz-Verbräuche'!T177*Emissionsfaktoren!S177/1000, 0)</f>
        <v>0</v>
      </c>
      <c r="T507" s="15">
        <f>IF(ISNUMBER('Klisz-Verbräuche'!U177), 'Klisz-Verbräuche'!U177*Emissionsfaktoren!T177/1000, 0)</f>
        <v>0</v>
      </c>
      <c r="U507" s="15">
        <f>IF(ISNUMBER('Klisz-Verbräuche'!V177), 'Klisz-Verbräuche'!V177*Emissionsfaktoren!U177/1000, 0)</f>
        <v>0</v>
      </c>
      <c r="V507" s="15">
        <f>IF(ISNUMBER('Klisz-Verbräuche'!W177), 'Klisz-Verbräuche'!W177*Emissionsfaktoren!V177/1000, 0)</f>
        <v>0</v>
      </c>
      <c r="W507" s="15">
        <f>IF(ISNUMBER('Klisz-Verbräuche'!X177), 'Klisz-Verbräuche'!X177*Emissionsfaktoren!W177/1000, 0)</f>
        <v>0</v>
      </c>
      <c r="X507" s="15">
        <f>IF(ISNUMBER('Klisz-Verbräuche'!Y177), 'Klisz-Verbräuche'!Y177*Emissionsfaktoren!X177/1000, 0)</f>
        <v>0</v>
      </c>
    </row>
    <row r="508" spans="2:24" ht="16.5" hidden="1" x14ac:dyDescent="0.45">
      <c r="B508" s="15">
        <v>119</v>
      </c>
      <c r="C508" s="20" t="str">
        <f>'Refsz-Verbräuche'!C178</f>
        <v>Gips</v>
      </c>
      <c r="D508" t="s">
        <v>208</v>
      </c>
      <c r="E508" s="15">
        <f>IF(ISNUMBER('Klisz-Verbräuche'!F178), 'Klisz-Verbräuche'!F178*Emissionsfaktoren!E178/1000, 0)</f>
        <v>0</v>
      </c>
      <c r="F508" s="15">
        <f>IF(ISNUMBER('Klisz-Verbräuche'!G178), 'Klisz-Verbräuche'!G178*Emissionsfaktoren!F178/1000, 0)</f>
        <v>0</v>
      </c>
      <c r="G508" s="15">
        <f>IF(ISNUMBER('Klisz-Verbräuche'!H178), 'Klisz-Verbräuche'!H178*Emissionsfaktoren!G178/1000, 0)</f>
        <v>0</v>
      </c>
      <c r="H508" s="15">
        <f>IF(ISNUMBER('Klisz-Verbräuche'!I178), 'Klisz-Verbräuche'!I178*Emissionsfaktoren!H178/1000, 0)</f>
        <v>0</v>
      </c>
      <c r="I508" s="15">
        <f>IF(ISNUMBER('Klisz-Verbräuche'!J178), 'Klisz-Verbräuche'!J178*Emissionsfaktoren!I178/1000, 0)</f>
        <v>0</v>
      </c>
      <c r="J508" s="15">
        <f>IF(ISNUMBER('Klisz-Verbräuche'!K178), 'Klisz-Verbräuche'!K178*Emissionsfaktoren!J178/1000, 0)</f>
        <v>0</v>
      </c>
      <c r="K508" s="15">
        <f>IF(ISNUMBER('Klisz-Verbräuche'!L178), 'Klisz-Verbräuche'!L178*Emissionsfaktoren!K178/1000, 0)</f>
        <v>0</v>
      </c>
      <c r="L508" s="15">
        <f>IF(ISNUMBER('Klisz-Verbräuche'!M178), 'Klisz-Verbräuche'!M178*Emissionsfaktoren!L178/1000, 0)</f>
        <v>0</v>
      </c>
      <c r="M508" s="15">
        <f>IF(ISNUMBER('Klisz-Verbräuche'!N178), 'Klisz-Verbräuche'!N178*Emissionsfaktoren!M178/1000, 0)</f>
        <v>0</v>
      </c>
      <c r="N508" s="15">
        <f>IF(ISNUMBER('Klisz-Verbräuche'!O178), 'Klisz-Verbräuche'!O178*Emissionsfaktoren!N178/1000, 0)</f>
        <v>0</v>
      </c>
      <c r="O508" s="15">
        <f>IF(ISNUMBER('Klisz-Verbräuche'!P178), 'Klisz-Verbräuche'!P178*Emissionsfaktoren!O178/1000, 0)</f>
        <v>0</v>
      </c>
      <c r="P508" s="15">
        <f>IF(ISNUMBER('Klisz-Verbräuche'!Q178), 'Klisz-Verbräuche'!Q178*Emissionsfaktoren!P178/1000, 0)</f>
        <v>0</v>
      </c>
      <c r="Q508" s="15">
        <f>IF(ISNUMBER('Klisz-Verbräuche'!R178), 'Klisz-Verbräuche'!R178*Emissionsfaktoren!Q178/1000, 0)</f>
        <v>0</v>
      </c>
      <c r="R508" s="15">
        <f>IF(ISNUMBER('Klisz-Verbräuche'!S178), 'Klisz-Verbräuche'!S178*Emissionsfaktoren!R178/1000, 0)</f>
        <v>0</v>
      </c>
      <c r="S508" s="15">
        <f>IF(ISNUMBER('Klisz-Verbräuche'!T178), 'Klisz-Verbräuche'!T178*Emissionsfaktoren!S178/1000, 0)</f>
        <v>0</v>
      </c>
      <c r="T508" s="15">
        <f>IF(ISNUMBER('Klisz-Verbräuche'!U178), 'Klisz-Verbräuche'!U178*Emissionsfaktoren!T178/1000, 0)</f>
        <v>0</v>
      </c>
      <c r="U508" s="15">
        <f>IF(ISNUMBER('Klisz-Verbräuche'!V178), 'Klisz-Verbräuche'!V178*Emissionsfaktoren!U178/1000, 0)</f>
        <v>0</v>
      </c>
      <c r="V508" s="15">
        <f>IF(ISNUMBER('Klisz-Verbräuche'!W178), 'Klisz-Verbräuche'!W178*Emissionsfaktoren!V178/1000, 0)</f>
        <v>0</v>
      </c>
      <c r="W508" s="15">
        <f>IF(ISNUMBER('Klisz-Verbräuche'!X178), 'Klisz-Verbräuche'!X178*Emissionsfaktoren!W178/1000, 0)</f>
        <v>0</v>
      </c>
      <c r="X508" s="15">
        <f>IF(ISNUMBER('Klisz-Verbräuche'!Y178), 'Klisz-Verbräuche'!Y178*Emissionsfaktoren!X178/1000, 0)</f>
        <v>0</v>
      </c>
    </row>
    <row r="509" spans="2:24" ht="16.5" hidden="1" x14ac:dyDescent="0.45">
      <c r="B509" s="15">
        <v>120</v>
      </c>
      <c r="C509" s="20" t="str">
        <f>'Refsz-Verbräuche'!C179</f>
        <v>Gipsplatte</v>
      </c>
      <c r="D509" t="s">
        <v>208</v>
      </c>
      <c r="E509" s="15">
        <f>IF(ISNUMBER('Klisz-Verbräuche'!F179), 'Klisz-Verbräuche'!F179*Emissionsfaktoren!E179/1000, 0)</f>
        <v>0</v>
      </c>
      <c r="F509" s="15">
        <f>IF(ISNUMBER('Klisz-Verbräuche'!G179), 'Klisz-Verbräuche'!G179*Emissionsfaktoren!F179/1000, 0)</f>
        <v>0</v>
      </c>
      <c r="G509" s="15">
        <f>IF(ISNUMBER('Klisz-Verbräuche'!H179), 'Klisz-Verbräuche'!H179*Emissionsfaktoren!G179/1000, 0)</f>
        <v>0</v>
      </c>
      <c r="H509" s="15">
        <f>IF(ISNUMBER('Klisz-Verbräuche'!I179), 'Klisz-Verbräuche'!I179*Emissionsfaktoren!H179/1000, 0)</f>
        <v>0</v>
      </c>
      <c r="I509" s="15">
        <f>IF(ISNUMBER('Klisz-Verbräuche'!J179), 'Klisz-Verbräuche'!J179*Emissionsfaktoren!I179/1000, 0)</f>
        <v>0</v>
      </c>
      <c r="J509" s="15">
        <f>IF(ISNUMBER('Klisz-Verbräuche'!K179), 'Klisz-Verbräuche'!K179*Emissionsfaktoren!J179/1000, 0)</f>
        <v>0</v>
      </c>
      <c r="K509" s="15">
        <f>IF(ISNUMBER('Klisz-Verbräuche'!L179), 'Klisz-Verbräuche'!L179*Emissionsfaktoren!K179/1000, 0)</f>
        <v>0</v>
      </c>
      <c r="L509" s="15">
        <f>IF(ISNUMBER('Klisz-Verbräuche'!M179), 'Klisz-Verbräuche'!M179*Emissionsfaktoren!L179/1000, 0)</f>
        <v>0</v>
      </c>
      <c r="M509" s="15">
        <f>IF(ISNUMBER('Klisz-Verbräuche'!N179), 'Klisz-Verbräuche'!N179*Emissionsfaktoren!M179/1000, 0)</f>
        <v>0</v>
      </c>
      <c r="N509" s="15">
        <f>IF(ISNUMBER('Klisz-Verbräuche'!O179), 'Klisz-Verbräuche'!O179*Emissionsfaktoren!N179/1000, 0)</f>
        <v>0</v>
      </c>
      <c r="O509" s="15">
        <f>IF(ISNUMBER('Klisz-Verbräuche'!P179), 'Klisz-Verbräuche'!P179*Emissionsfaktoren!O179/1000, 0)</f>
        <v>0</v>
      </c>
      <c r="P509" s="15">
        <f>IF(ISNUMBER('Klisz-Verbräuche'!Q179), 'Klisz-Verbräuche'!Q179*Emissionsfaktoren!P179/1000, 0)</f>
        <v>0</v>
      </c>
      <c r="Q509" s="15">
        <f>IF(ISNUMBER('Klisz-Verbräuche'!R179), 'Klisz-Verbräuche'!R179*Emissionsfaktoren!Q179/1000, 0)</f>
        <v>0</v>
      </c>
      <c r="R509" s="15">
        <f>IF(ISNUMBER('Klisz-Verbräuche'!S179), 'Klisz-Verbräuche'!S179*Emissionsfaktoren!R179/1000, 0)</f>
        <v>0</v>
      </c>
      <c r="S509" s="15">
        <f>IF(ISNUMBER('Klisz-Verbräuche'!T179), 'Klisz-Verbräuche'!T179*Emissionsfaktoren!S179/1000, 0)</f>
        <v>0</v>
      </c>
      <c r="T509" s="15">
        <f>IF(ISNUMBER('Klisz-Verbräuche'!U179), 'Klisz-Verbräuche'!U179*Emissionsfaktoren!T179/1000, 0)</f>
        <v>0</v>
      </c>
      <c r="U509" s="15">
        <f>IF(ISNUMBER('Klisz-Verbräuche'!V179), 'Klisz-Verbräuche'!V179*Emissionsfaktoren!U179/1000, 0)</f>
        <v>0</v>
      </c>
      <c r="V509" s="15">
        <f>IF(ISNUMBER('Klisz-Verbräuche'!W179), 'Klisz-Verbräuche'!W179*Emissionsfaktoren!V179/1000, 0)</f>
        <v>0</v>
      </c>
      <c r="W509" s="15">
        <f>IF(ISNUMBER('Klisz-Verbräuche'!X179), 'Klisz-Verbräuche'!X179*Emissionsfaktoren!W179/1000, 0)</f>
        <v>0</v>
      </c>
      <c r="X509" s="15">
        <f>IF(ISNUMBER('Klisz-Verbräuche'!Y179), 'Klisz-Verbräuche'!Y179*Emissionsfaktoren!X179/1000, 0)</f>
        <v>0</v>
      </c>
    </row>
    <row r="510" spans="2:24" ht="16.5" hidden="1" x14ac:dyDescent="0.45">
      <c r="B510" s="15">
        <v>121</v>
      </c>
      <c r="C510" s="20" t="str">
        <f>'Refsz-Verbräuche'!C180</f>
        <v>Glas (flach)</v>
      </c>
      <c r="D510" t="s">
        <v>208</v>
      </c>
      <c r="E510" s="15">
        <f>IF(ISNUMBER('Klisz-Verbräuche'!F180), 'Klisz-Verbräuche'!F180*Emissionsfaktoren!E180/1000, 0)</f>
        <v>0</v>
      </c>
      <c r="F510" s="15">
        <f>IF(ISNUMBER('Klisz-Verbräuche'!G180), 'Klisz-Verbräuche'!G180*Emissionsfaktoren!F180/1000, 0)</f>
        <v>0</v>
      </c>
      <c r="G510" s="15">
        <f>IF(ISNUMBER('Klisz-Verbräuche'!H180), 'Klisz-Verbräuche'!H180*Emissionsfaktoren!G180/1000, 0)</f>
        <v>0</v>
      </c>
      <c r="H510" s="15">
        <f>IF(ISNUMBER('Klisz-Verbräuche'!I180), 'Klisz-Verbräuche'!I180*Emissionsfaktoren!H180/1000, 0)</f>
        <v>0</v>
      </c>
      <c r="I510" s="15">
        <f>IF(ISNUMBER('Klisz-Verbräuche'!J180), 'Klisz-Verbräuche'!J180*Emissionsfaktoren!I180/1000, 0)</f>
        <v>0</v>
      </c>
      <c r="J510" s="15">
        <f>IF(ISNUMBER('Klisz-Verbräuche'!K180), 'Klisz-Verbräuche'!K180*Emissionsfaktoren!J180/1000, 0)</f>
        <v>0</v>
      </c>
      <c r="K510" s="15">
        <f>IF(ISNUMBER('Klisz-Verbräuche'!L180), 'Klisz-Verbräuche'!L180*Emissionsfaktoren!K180/1000, 0)</f>
        <v>0</v>
      </c>
      <c r="L510" s="15">
        <f>IF(ISNUMBER('Klisz-Verbräuche'!M180), 'Klisz-Verbräuche'!M180*Emissionsfaktoren!L180/1000, 0)</f>
        <v>0</v>
      </c>
      <c r="M510" s="15">
        <f>IF(ISNUMBER('Klisz-Verbräuche'!N180), 'Klisz-Verbräuche'!N180*Emissionsfaktoren!M180/1000, 0)</f>
        <v>0</v>
      </c>
      <c r="N510" s="15">
        <f>IF(ISNUMBER('Klisz-Verbräuche'!O180), 'Klisz-Verbräuche'!O180*Emissionsfaktoren!N180/1000, 0)</f>
        <v>0</v>
      </c>
      <c r="O510" s="15">
        <f>IF(ISNUMBER('Klisz-Verbräuche'!P180), 'Klisz-Verbräuche'!P180*Emissionsfaktoren!O180/1000, 0)</f>
        <v>0</v>
      </c>
      <c r="P510" s="15">
        <f>IF(ISNUMBER('Klisz-Verbräuche'!Q180), 'Klisz-Verbräuche'!Q180*Emissionsfaktoren!P180/1000, 0)</f>
        <v>0</v>
      </c>
      <c r="Q510" s="15">
        <f>IF(ISNUMBER('Klisz-Verbräuche'!R180), 'Klisz-Verbräuche'!R180*Emissionsfaktoren!Q180/1000, 0)</f>
        <v>0</v>
      </c>
      <c r="R510" s="15">
        <f>IF(ISNUMBER('Klisz-Verbräuche'!S180), 'Klisz-Verbräuche'!S180*Emissionsfaktoren!R180/1000, 0)</f>
        <v>0</v>
      </c>
      <c r="S510" s="15">
        <f>IF(ISNUMBER('Klisz-Verbräuche'!T180), 'Klisz-Verbräuche'!T180*Emissionsfaktoren!S180/1000, 0)</f>
        <v>0</v>
      </c>
      <c r="T510" s="15">
        <f>IF(ISNUMBER('Klisz-Verbräuche'!U180), 'Klisz-Verbräuche'!U180*Emissionsfaktoren!T180/1000, 0)</f>
        <v>0</v>
      </c>
      <c r="U510" s="15">
        <f>IF(ISNUMBER('Klisz-Verbräuche'!V180), 'Klisz-Verbräuche'!V180*Emissionsfaktoren!U180/1000, 0)</f>
        <v>0</v>
      </c>
      <c r="V510" s="15">
        <f>IF(ISNUMBER('Klisz-Verbräuche'!W180), 'Klisz-Verbräuche'!W180*Emissionsfaktoren!V180/1000, 0)</f>
        <v>0</v>
      </c>
      <c r="W510" s="15">
        <f>IF(ISNUMBER('Klisz-Verbräuche'!X180), 'Klisz-Verbräuche'!X180*Emissionsfaktoren!W180/1000, 0)</f>
        <v>0</v>
      </c>
      <c r="X510" s="15">
        <f>IF(ISNUMBER('Klisz-Verbräuche'!Y180), 'Klisz-Verbräuche'!Y180*Emissionsfaktoren!X180/1000, 0)</f>
        <v>0</v>
      </c>
    </row>
    <row r="511" spans="2:24" ht="16.5" hidden="1" x14ac:dyDescent="0.45">
      <c r="B511" s="15">
        <v>122</v>
      </c>
      <c r="C511" s="20" t="str">
        <f>'Refsz-Verbräuche'!C181</f>
        <v>Gussasphalt</v>
      </c>
      <c r="D511" t="s">
        <v>208</v>
      </c>
      <c r="E511" s="15">
        <f>IF(ISNUMBER('Klisz-Verbräuche'!F181), 'Klisz-Verbräuche'!F181*Emissionsfaktoren!E181/1000, 0)</f>
        <v>0</v>
      </c>
      <c r="F511" s="15">
        <f>IF(ISNUMBER('Klisz-Verbräuche'!G181), 'Klisz-Verbräuche'!G181*Emissionsfaktoren!F181/1000, 0)</f>
        <v>0</v>
      </c>
      <c r="G511" s="15">
        <f>IF(ISNUMBER('Klisz-Verbräuche'!H181), 'Klisz-Verbräuche'!H181*Emissionsfaktoren!G181/1000, 0)</f>
        <v>0</v>
      </c>
      <c r="H511" s="15">
        <f>IF(ISNUMBER('Klisz-Verbräuche'!I181), 'Klisz-Verbräuche'!I181*Emissionsfaktoren!H181/1000, 0)</f>
        <v>0</v>
      </c>
      <c r="I511" s="15">
        <f>IF(ISNUMBER('Klisz-Verbräuche'!J181), 'Klisz-Verbräuche'!J181*Emissionsfaktoren!I181/1000, 0)</f>
        <v>0</v>
      </c>
      <c r="J511" s="15">
        <f>IF(ISNUMBER('Klisz-Verbräuche'!K181), 'Klisz-Verbräuche'!K181*Emissionsfaktoren!J181/1000, 0)</f>
        <v>0</v>
      </c>
      <c r="K511" s="15">
        <f>IF(ISNUMBER('Klisz-Verbräuche'!L181), 'Klisz-Verbräuche'!L181*Emissionsfaktoren!K181/1000, 0)</f>
        <v>0</v>
      </c>
      <c r="L511" s="15">
        <f>IF(ISNUMBER('Klisz-Verbräuche'!M181), 'Klisz-Verbräuche'!M181*Emissionsfaktoren!L181/1000, 0)</f>
        <v>0</v>
      </c>
      <c r="M511" s="15">
        <f>IF(ISNUMBER('Klisz-Verbräuche'!N181), 'Klisz-Verbräuche'!N181*Emissionsfaktoren!M181/1000, 0)</f>
        <v>0</v>
      </c>
      <c r="N511" s="15">
        <f>IF(ISNUMBER('Klisz-Verbräuche'!O181), 'Klisz-Verbräuche'!O181*Emissionsfaktoren!N181/1000, 0)</f>
        <v>0</v>
      </c>
      <c r="O511" s="15">
        <f>IF(ISNUMBER('Klisz-Verbräuche'!P181), 'Klisz-Verbräuche'!P181*Emissionsfaktoren!O181/1000, 0)</f>
        <v>0</v>
      </c>
      <c r="P511" s="15">
        <f>IF(ISNUMBER('Klisz-Verbräuche'!Q181), 'Klisz-Verbräuche'!Q181*Emissionsfaktoren!P181/1000, 0)</f>
        <v>0</v>
      </c>
      <c r="Q511" s="15">
        <f>IF(ISNUMBER('Klisz-Verbräuche'!R181), 'Klisz-Verbräuche'!R181*Emissionsfaktoren!Q181/1000, 0)</f>
        <v>0</v>
      </c>
      <c r="R511" s="15">
        <f>IF(ISNUMBER('Klisz-Verbräuche'!S181), 'Klisz-Verbräuche'!S181*Emissionsfaktoren!R181/1000, 0)</f>
        <v>0</v>
      </c>
      <c r="S511" s="15">
        <f>IF(ISNUMBER('Klisz-Verbräuche'!T181), 'Klisz-Verbräuche'!T181*Emissionsfaktoren!S181/1000, 0)</f>
        <v>0</v>
      </c>
      <c r="T511" s="15">
        <f>IF(ISNUMBER('Klisz-Verbräuche'!U181), 'Klisz-Verbräuche'!U181*Emissionsfaktoren!T181/1000, 0)</f>
        <v>0</v>
      </c>
      <c r="U511" s="15">
        <f>IF(ISNUMBER('Klisz-Verbräuche'!V181), 'Klisz-Verbräuche'!V181*Emissionsfaktoren!U181/1000, 0)</f>
        <v>0</v>
      </c>
      <c r="V511" s="15">
        <f>IF(ISNUMBER('Klisz-Verbräuche'!W181), 'Klisz-Verbräuche'!W181*Emissionsfaktoren!V181/1000, 0)</f>
        <v>0</v>
      </c>
      <c r="W511" s="15">
        <f>IF(ISNUMBER('Klisz-Verbräuche'!X181), 'Klisz-Verbräuche'!X181*Emissionsfaktoren!W181/1000, 0)</f>
        <v>0</v>
      </c>
      <c r="X511" s="15">
        <f>IF(ISNUMBER('Klisz-Verbräuche'!Y181), 'Klisz-Verbräuche'!Y181*Emissionsfaktoren!X181/1000, 0)</f>
        <v>0</v>
      </c>
    </row>
    <row r="512" spans="2:24" ht="16.5" hidden="1" x14ac:dyDescent="0.45">
      <c r="B512" s="15">
        <v>123</v>
      </c>
      <c r="C512" s="20" t="str">
        <f>'Refsz-Verbräuche'!C182</f>
        <v>Kalksandstein</v>
      </c>
      <c r="D512" t="s">
        <v>208</v>
      </c>
      <c r="E512" s="15">
        <f>IF(ISNUMBER('Klisz-Verbräuche'!F182), 'Klisz-Verbräuche'!F182*Emissionsfaktoren!E182/1000, 0)</f>
        <v>0</v>
      </c>
      <c r="F512" s="15">
        <f>IF(ISNUMBER('Klisz-Verbräuche'!G182), 'Klisz-Verbräuche'!G182*Emissionsfaktoren!F182/1000, 0)</f>
        <v>0</v>
      </c>
      <c r="G512" s="15">
        <f>IF(ISNUMBER('Klisz-Verbräuche'!H182), 'Klisz-Verbräuche'!H182*Emissionsfaktoren!G182/1000, 0)</f>
        <v>0</v>
      </c>
      <c r="H512" s="15">
        <f>IF(ISNUMBER('Klisz-Verbräuche'!I182), 'Klisz-Verbräuche'!I182*Emissionsfaktoren!H182/1000, 0)</f>
        <v>0</v>
      </c>
      <c r="I512" s="15">
        <f>IF(ISNUMBER('Klisz-Verbräuche'!J182), 'Klisz-Verbräuche'!J182*Emissionsfaktoren!I182/1000, 0)</f>
        <v>0</v>
      </c>
      <c r="J512" s="15">
        <f>IF(ISNUMBER('Klisz-Verbräuche'!K182), 'Klisz-Verbräuche'!K182*Emissionsfaktoren!J182/1000, 0)</f>
        <v>0</v>
      </c>
      <c r="K512" s="15">
        <f>IF(ISNUMBER('Klisz-Verbräuche'!L182), 'Klisz-Verbräuche'!L182*Emissionsfaktoren!K182/1000, 0)</f>
        <v>0</v>
      </c>
      <c r="L512" s="15">
        <f>IF(ISNUMBER('Klisz-Verbräuche'!M182), 'Klisz-Verbräuche'!M182*Emissionsfaktoren!L182/1000, 0)</f>
        <v>0</v>
      </c>
      <c r="M512" s="15">
        <f>IF(ISNUMBER('Klisz-Verbräuche'!N182), 'Klisz-Verbräuche'!N182*Emissionsfaktoren!M182/1000, 0)</f>
        <v>0</v>
      </c>
      <c r="N512" s="15">
        <f>IF(ISNUMBER('Klisz-Verbräuche'!O182), 'Klisz-Verbräuche'!O182*Emissionsfaktoren!N182/1000, 0)</f>
        <v>0</v>
      </c>
      <c r="O512" s="15">
        <f>IF(ISNUMBER('Klisz-Verbräuche'!P182), 'Klisz-Verbräuche'!P182*Emissionsfaktoren!O182/1000, 0)</f>
        <v>0</v>
      </c>
      <c r="P512" s="15">
        <f>IF(ISNUMBER('Klisz-Verbräuche'!Q182), 'Klisz-Verbräuche'!Q182*Emissionsfaktoren!P182/1000, 0)</f>
        <v>0</v>
      </c>
      <c r="Q512" s="15">
        <f>IF(ISNUMBER('Klisz-Verbräuche'!R182), 'Klisz-Verbräuche'!R182*Emissionsfaktoren!Q182/1000, 0)</f>
        <v>0</v>
      </c>
      <c r="R512" s="15">
        <f>IF(ISNUMBER('Klisz-Verbräuche'!S182), 'Klisz-Verbräuche'!S182*Emissionsfaktoren!R182/1000, 0)</f>
        <v>0</v>
      </c>
      <c r="S512" s="15">
        <f>IF(ISNUMBER('Klisz-Verbräuche'!T182), 'Klisz-Verbräuche'!T182*Emissionsfaktoren!S182/1000, 0)</f>
        <v>0</v>
      </c>
      <c r="T512" s="15">
        <f>IF(ISNUMBER('Klisz-Verbräuche'!U182), 'Klisz-Verbräuche'!U182*Emissionsfaktoren!T182/1000, 0)</f>
        <v>0</v>
      </c>
      <c r="U512" s="15">
        <f>IF(ISNUMBER('Klisz-Verbräuche'!V182), 'Klisz-Verbräuche'!V182*Emissionsfaktoren!U182/1000, 0)</f>
        <v>0</v>
      </c>
      <c r="V512" s="15">
        <f>IF(ISNUMBER('Klisz-Verbräuche'!W182), 'Klisz-Verbräuche'!W182*Emissionsfaktoren!V182/1000, 0)</f>
        <v>0</v>
      </c>
      <c r="W512" s="15">
        <f>IF(ISNUMBER('Klisz-Verbräuche'!X182), 'Klisz-Verbräuche'!X182*Emissionsfaktoren!W182/1000, 0)</f>
        <v>0</v>
      </c>
      <c r="X512" s="15">
        <f>IF(ISNUMBER('Klisz-Verbräuche'!Y182), 'Klisz-Verbräuche'!Y182*Emissionsfaktoren!X182/1000, 0)</f>
        <v>0</v>
      </c>
    </row>
    <row r="513" spans="2:24" ht="16.5" hidden="1" x14ac:dyDescent="0.45">
      <c r="B513" s="15">
        <v>124</v>
      </c>
      <c r="C513" s="20" t="str">
        <f>'Refsz-Verbräuche'!C183</f>
        <v>Porenbetonstein</v>
      </c>
      <c r="D513" t="s">
        <v>208</v>
      </c>
      <c r="E513" s="15">
        <f>IF(ISNUMBER('Klisz-Verbräuche'!F183), 'Klisz-Verbräuche'!F183*Emissionsfaktoren!E183/1000, 0)</f>
        <v>0</v>
      </c>
      <c r="F513" s="15">
        <f>IF(ISNUMBER('Klisz-Verbräuche'!G183), 'Klisz-Verbräuche'!G183*Emissionsfaktoren!F183/1000, 0)</f>
        <v>0</v>
      </c>
      <c r="G513" s="15">
        <f>IF(ISNUMBER('Klisz-Verbräuche'!H183), 'Klisz-Verbräuche'!H183*Emissionsfaktoren!G183/1000, 0)</f>
        <v>0</v>
      </c>
      <c r="H513" s="15">
        <f>IF(ISNUMBER('Klisz-Verbräuche'!I183), 'Klisz-Verbräuche'!I183*Emissionsfaktoren!H183/1000, 0)</f>
        <v>0</v>
      </c>
      <c r="I513" s="15">
        <f>IF(ISNUMBER('Klisz-Verbräuche'!J183), 'Klisz-Verbräuche'!J183*Emissionsfaktoren!I183/1000, 0)</f>
        <v>0</v>
      </c>
      <c r="J513" s="15">
        <f>IF(ISNUMBER('Klisz-Verbräuche'!K183), 'Klisz-Verbräuche'!K183*Emissionsfaktoren!J183/1000, 0)</f>
        <v>0</v>
      </c>
      <c r="K513" s="15">
        <f>IF(ISNUMBER('Klisz-Verbräuche'!L183), 'Klisz-Verbräuche'!L183*Emissionsfaktoren!K183/1000, 0)</f>
        <v>0</v>
      </c>
      <c r="L513" s="15">
        <f>IF(ISNUMBER('Klisz-Verbräuche'!M183), 'Klisz-Verbräuche'!M183*Emissionsfaktoren!L183/1000, 0)</f>
        <v>0</v>
      </c>
      <c r="M513" s="15">
        <f>IF(ISNUMBER('Klisz-Verbräuche'!N183), 'Klisz-Verbräuche'!N183*Emissionsfaktoren!M183/1000, 0)</f>
        <v>0</v>
      </c>
      <c r="N513" s="15">
        <f>IF(ISNUMBER('Klisz-Verbräuche'!O183), 'Klisz-Verbräuche'!O183*Emissionsfaktoren!N183/1000, 0)</f>
        <v>0</v>
      </c>
      <c r="O513" s="15">
        <f>IF(ISNUMBER('Klisz-Verbräuche'!P183), 'Klisz-Verbräuche'!P183*Emissionsfaktoren!O183/1000, 0)</f>
        <v>0</v>
      </c>
      <c r="P513" s="15">
        <f>IF(ISNUMBER('Klisz-Verbräuche'!Q183), 'Klisz-Verbräuche'!Q183*Emissionsfaktoren!P183/1000, 0)</f>
        <v>0</v>
      </c>
      <c r="Q513" s="15">
        <f>IF(ISNUMBER('Klisz-Verbräuche'!R183), 'Klisz-Verbräuche'!R183*Emissionsfaktoren!Q183/1000, 0)</f>
        <v>0</v>
      </c>
      <c r="R513" s="15">
        <f>IF(ISNUMBER('Klisz-Verbräuche'!S183), 'Klisz-Verbräuche'!S183*Emissionsfaktoren!R183/1000, 0)</f>
        <v>0</v>
      </c>
      <c r="S513" s="15">
        <f>IF(ISNUMBER('Klisz-Verbräuche'!T183), 'Klisz-Verbräuche'!T183*Emissionsfaktoren!S183/1000, 0)</f>
        <v>0</v>
      </c>
      <c r="T513" s="15">
        <f>IF(ISNUMBER('Klisz-Verbräuche'!U183), 'Klisz-Verbräuche'!U183*Emissionsfaktoren!T183/1000, 0)</f>
        <v>0</v>
      </c>
      <c r="U513" s="15">
        <f>IF(ISNUMBER('Klisz-Verbräuche'!V183), 'Klisz-Verbräuche'!V183*Emissionsfaktoren!U183/1000, 0)</f>
        <v>0</v>
      </c>
      <c r="V513" s="15">
        <f>IF(ISNUMBER('Klisz-Verbräuche'!W183), 'Klisz-Verbräuche'!W183*Emissionsfaktoren!V183/1000, 0)</f>
        <v>0</v>
      </c>
      <c r="W513" s="15">
        <f>IF(ISNUMBER('Klisz-Verbräuche'!X183), 'Klisz-Verbräuche'!X183*Emissionsfaktoren!W183/1000, 0)</f>
        <v>0</v>
      </c>
      <c r="X513" s="15">
        <f>IF(ISNUMBER('Klisz-Verbräuche'!Y183), 'Klisz-Verbräuche'!Y183*Emissionsfaktoren!X183/1000, 0)</f>
        <v>0</v>
      </c>
    </row>
    <row r="514" spans="2:24" ht="16.5" hidden="1" x14ac:dyDescent="0.45">
      <c r="B514" s="15">
        <v>125</v>
      </c>
      <c r="C514" s="20" t="str">
        <f>'Refsz-Verbräuche'!C184</f>
        <v>Steinwolle</v>
      </c>
      <c r="D514" t="s">
        <v>208</v>
      </c>
      <c r="E514" s="15">
        <f>IF(ISNUMBER('Klisz-Verbräuche'!F184), 'Klisz-Verbräuche'!F184*Emissionsfaktoren!E184/1000, 0)</f>
        <v>0</v>
      </c>
      <c r="F514" s="15">
        <f>IF(ISNUMBER('Klisz-Verbräuche'!G184), 'Klisz-Verbräuche'!G184*Emissionsfaktoren!F184/1000, 0)</f>
        <v>0</v>
      </c>
      <c r="G514" s="15">
        <f>IF(ISNUMBER('Klisz-Verbräuche'!H184), 'Klisz-Verbräuche'!H184*Emissionsfaktoren!G184/1000, 0)</f>
        <v>0</v>
      </c>
      <c r="H514" s="15">
        <f>IF(ISNUMBER('Klisz-Verbräuche'!I184), 'Klisz-Verbräuche'!I184*Emissionsfaktoren!H184/1000, 0)</f>
        <v>0</v>
      </c>
      <c r="I514" s="15">
        <f>IF(ISNUMBER('Klisz-Verbräuche'!J184), 'Klisz-Verbräuche'!J184*Emissionsfaktoren!I184/1000, 0)</f>
        <v>0</v>
      </c>
      <c r="J514" s="15">
        <f>IF(ISNUMBER('Klisz-Verbräuche'!K184), 'Klisz-Verbräuche'!K184*Emissionsfaktoren!J184/1000, 0)</f>
        <v>0</v>
      </c>
      <c r="K514" s="15">
        <f>IF(ISNUMBER('Klisz-Verbräuche'!L184), 'Klisz-Verbräuche'!L184*Emissionsfaktoren!K184/1000, 0)</f>
        <v>0</v>
      </c>
      <c r="L514" s="15">
        <f>IF(ISNUMBER('Klisz-Verbräuche'!M184), 'Klisz-Verbräuche'!M184*Emissionsfaktoren!L184/1000, 0)</f>
        <v>0</v>
      </c>
      <c r="M514" s="15">
        <f>IF(ISNUMBER('Klisz-Verbräuche'!N184), 'Klisz-Verbräuche'!N184*Emissionsfaktoren!M184/1000, 0)</f>
        <v>0</v>
      </c>
      <c r="N514" s="15">
        <f>IF(ISNUMBER('Klisz-Verbräuche'!O184), 'Klisz-Verbräuche'!O184*Emissionsfaktoren!N184/1000, 0)</f>
        <v>0</v>
      </c>
      <c r="O514" s="15">
        <f>IF(ISNUMBER('Klisz-Verbräuche'!P184), 'Klisz-Verbräuche'!P184*Emissionsfaktoren!O184/1000, 0)</f>
        <v>0</v>
      </c>
      <c r="P514" s="15">
        <f>IF(ISNUMBER('Klisz-Verbräuche'!Q184), 'Klisz-Verbräuche'!Q184*Emissionsfaktoren!P184/1000, 0)</f>
        <v>0</v>
      </c>
      <c r="Q514" s="15">
        <f>IF(ISNUMBER('Klisz-Verbräuche'!R184), 'Klisz-Verbräuche'!R184*Emissionsfaktoren!Q184/1000, 0)</f>
        <v>0</v>
      </c>
      <c r="R514" s="15">
        <f>IF(ISNUMBER('Klisz-Verbräuche'!S184), 'Klisz-Verbräuche'!S184*Emissionsfaktoren!R184/1000, 0)</f>
        <v>0</v>
      </c>
      <c r="S514" s="15">
        <f>IF(ISNUMBER('Klisz-Verbräuche'!T184), 'Klisz-Verbräuche'!T184*Emissionsfaktoren!S184/1000, 0)</f>
        <v>0</v>
      </c>
      <c r="T514" s="15">
        <f>IF(ISNUMBER('Klisz-Verbräuche'!U184), 'Klisz-Verbräuche'!U184*Emissionsfaktoren!T184/1000, 0)</f>
        <v>0</v>
      </c>
      <c r="U514" s="15">
        <f>IF(ISNUMBER('Klisz-Verbräuche'!V184), 'Klisz-Verbräuche'!V184*Emissionsfaktoren!U184/1000, 0)</f>
        <v>0</v>
      </c>
      <c r="V514" s="15">
        <f>IF(ISNUMBER('Klisz-Verbräuche'!W184), 'Klisz-Verbräuche'!W184*Emissionsfaktoren!V184/1000, 0)</f>
        <v>0</v>
      </c>
      <c r="W514" s="15">
        <f>IF(ISNUMBER('Klisz-Verbräuche'!X184), 'Klisz-Verbräuche'!X184*Emissionsfaktoren!W184/1000, 0)</f>
        <v>0</v>
      </c>
      <c r="X514" s="15">
        <f>IF(ISNUMBER('Klisz-Verbräuche'!Y184), 'Klisz-Verbräuche'!Y184*Emissionsfaktoren!X184/1000, 0)</f>
        <v>0</v>
      </c>
    </row>
    <row r="515" spans="2:24" ht="16.5" hidden="1" x14ac:dyDescent="0.45">
      <c r="B515" s="15">
        <v>126</v>
      </c>
      <c r="C515" s="20" t="str">
        <f>'Refsz-Verbräuche'!C185</f>
        <v>Tonziegel (fürs Dach)</v>
      </c>
      <c r="D515" t="s">
        <v>208</v>
      </c>
      <c r="E515" s="15">
        <f>IF(ISNUMBER('Klisz-Verbräuche'!F185), 'Klisz-Verbräuche'!F185*Emissionsfaktoren!E185/1000, 0)</f>
        <v>0</v>
      </c>
      <c r="F515" s="15">
        <f>IF(ISNUMBER('Klisz-Verbräuche'!G185), 'Klisz-Verbräuche'!G185*Emissionsfaktoren!F185/1000, 0)</f>
        <v>0</v>
      </c>
      <c r="G515" s="15">
        <f>IF(ISNUMBER('Klisz-Verbräuche'!H185), 'Klisz-Verbräuche'!H185*Emissionsfaktoren!G185/1000, 0)</f>
        <v>0</v>
      </c>
      <c r="H515" s="15">
        <f>IF(ISNUMBER('Klisz-Verbräuche'!I185), 'Klisz-Verbräuche'!I185*Emissionsfaktoren!H185/1000, 0)</f>
        <v>0</v>
      </c>
      <c r="I515" s="15">
        <f>IF(ISNUMBER('Klisz-Verbräuche'!J185), 'Klisz-Verbräuche'!J185*Emissionsfaktoren!I185/1000, 0)</f>
        <v>0</v>
      </c>
      <c r="J515" s="15">
        <f>IF(ISNUMBER('Klisz-Verbräuche'!K185), 'Klisz-Verbräuche'!K185*Emissionsfaktoren!J185/1000, 0)</f>
        <v>0</v>
      </c>
      <c r="K515" s="15">
        <f>IF(ISNUMBER('Klisz-Verbräuche'!L185), 'Klisz-Verbräuche'!L185*Emissionsfaktoren!K185/1000, 0)</f>
        <v>0</v>
      </c>
      <c r="L515" s="15">
        <f>IF(ISNUMBER('Klisz-Verbräuche'!M185), 'Klisz-Verbräuche'!M185*Emissionsfaktoren!L185/1000, 0)</f>
        <v>0</v>
      </c>
      <c r="M515" s="15">
        <f>IF(ISNUMBER('Klisz-Verbräuche'!N185), 'Klisz-Verbräuche'!N185*Emissionsfaktoren!M185/1000, 0)</f>
        <v>0</v>
      </c>
      <c r="N515" s="15">
        <f>IF(ISNUMBER('Klisz-Verbräuche'!O185), 'Klisz-Verbräuche'!O185*Emissionsfaktoren!N185/1000, 0)</f>
        <v>0</v>
      </c>
      <c r="O515" s="15">
        <f>IF(ISNUMBER('Klisz-Verbräuche'!P185), 'Klisz-Verbräuche'!P185*Emissionsfaktoren!O185/1000, 0)</f>
        <v>0</v>
      </c>
      <c r="P515" s="15">
        <f>IF(ISNUMBER('Klisz-Verbräuche'!Q185), 'Klisz-Verbräuche'!Q185*Emissionsfaktoren!P185/1000, 0)</f>
        <v>0</v>
      </c>
      <c r="Q515" s="15">
        <f>IF(ISNUMBER('Klisz-Verbräuche'!R185), 'Klisz-Verbräuche'!R185*Emissionsfaktoren!Q185/1000, 0)</f>
        <v>0</v>
      </c>
      <c r="R515" s="15">
        <f>IF(ISNUMBER('Klisz-Verbräuche'!S185), 'Klisz-Verbräuche'!S185*Emissionsfaktoren!R185/1000, 0)</f>
        <v>0</v>
      </c>
      <c r="S515" s="15">
        <f>IF(ISNUMBER('Klisz-Verbräuche'!T185), 'Klisz-Verbräuche'!T185*Emissionsfaktoren!S185/1000, 0)</f>
        <v>0</v>
      </c>
      <c r="T515" s="15">
        <f>IF(ISNUMBER('Klisz-Verbräuche'!U185), 'Klisz-Verbräuche'!U185*Emissionsfaktoren!T185/1000, 0)</f>
        <v>0</v>
      </c>
      <c r="U515" s="15">
        <f>IF(ISNUMBER('Klisz-Verbräuche'!V185), 'Klisz-Verbräuche'!V185*Emissionsfaktoren!U185/1000, 0)</f>
        <v>0</v>
      </c>
      <c r="V515" s="15">
        <f>IF(ISNUMBER('Klisz-Verbräuche'!W185), 'Klisz-Verbräuche'!W185*Emissionsfaktoren!V185/1000, 0)</f>
        <v>0</v>
      </c>
      <c r="W515" s="15">
        <f>IF(ISNUMBER('Klisz-Verbräuche'!X185), 'Klisz-Verbräuche'!X185*Emissionsfaktoren!W185/1000, 0)</f>
        <v>0</v>
      </c>
      <c r="X515" s="15">
        <f>IF(ISNUMBER('Klisz-Verbräuche'!Y185), 'Klisz-Verbräuche'!Y185*Emissionsfaktoren!X185/1000, 0)</f>
        <v>0</v>
      </c>
    </row>
    <row r="516" spans="2:24" ht="16.5" hidden="1" x14ac:dyDescent="0.45">
      <c r="B516" s="15">
        <v>127</v>
      </c>
      <c r="C516" s="20" t="str">
        <f>'Refsz-Verbräuche'!C186</f>
        <v>Zement (Portland)</v>
      </c>
      <c r="D516" t="s">
        <v>208</v>
      </c>
      <c r="E516" s="15">
        <f>IF(ISNUMBER('Klisz-Verbräuche'!F186), 'Klisz-Verbräuche'!F186*Emissionsfaktoren!E186/1000, 0)</f>
        <v>0</v>
      </c>
      <c r="F516" s="15">
        <f>IF(ISNUMBER('Klisz-Verbräuche'!G186), 'Klisz-Verbräuche'!G186*Emissionsfaktoren!F186/1000, 0)</f>
        <v>0</v>
      </c>
      <c r="G516" s="15">
        <f>IF(ISNUMBER('Klisz-Verbräuche'!H186), 'Klisz-Verbräuche'!H186*Emissionsfaktoren!G186/1000, 0)</f>
        <v>0</v>
      </c>
      <c r="H516" s="15">
        <f>IF(ISNUMBER('Klisz-Verbräuche'!I186), 'Klisz-Verbräuche'!I186*Emissionsfaktoren!H186/1000, 0)</f>
        <v>0</v>
      </c>
      <c r="I516" s="15">
        <f>IF(ISNUMBER('Klisz-Verbräuche'!J186), 'Klisz-Verbräuche'!J186*Emissionsfaktoren!I186/1000, 0)</f>
        <v>0</v>
      </c>
      <c r="J516" s="15">
        <f>IF(ISNUMBER('Klisz-Verbräuche'!K186), 'Klisz-Verbräuche'!K186*Emissionsfaktoren!J186/1000, 0)</f>
        <v>0</v>
      </c>
      <c r="K516" s="15">
        <f>IF(ISNUMBER('Klisz-Verbräuche'!L186), 'Klisz-Verbräuche'!L186*Emissionsfaktoren!K186/1000, 0)</f>
        <v>0</v>
      </c>
      <c r="L516" s="15">
        <f>IF(ISNUMBER('Klisz-Verbräuche'!M186), 'Klisz-Verbräuche'!M186*Emissionsfaktoren!L186/1000, 0)</f>
        <v>0</v>
      </c>
      <c r="M516" s="15">
        <f>IF(ISNUMBER('Klisz-Verbräuche'!N186), 'Klisz-Verbräuche'!N186*Emissionsfaktoren!M186/1000, 0)</f>
        <v>0</v>
      </c>
      <c r="N516" s="15">
        <f>IF(ISNUMBER('Klisz-Verbräuche'!O186), 'Klisz-Verbräuche'!O186*Emissionsfaktoren!N186/1000, 0)</f>
        <v>0</v>
      </c>
      <c r="O516" s="15">
        <f>IF(ISNUMBER('Klisz-Verbräuche'!P186), 'Klisz-Verbräuche'!P186*Emissionsfaktoren!O186/1000, 0)</f>
        <v>0</v>
      </c>
      <c r="P516" s="15">
        <f>IF(ISNUMBER('Klisz-Verbräuche'!Q186), 'Klisz-Verbräuche'!Q186*Emissionsfaktoren!P186/1000, 0)</f>
        <v>0</v>
      </c>
      <c r="Q516" s="15">
        <f>IF(ISNUMBER('Klisz-Verbräuche'!R186), 'Klisz-Verbräuche'!R186*Emissionsfaktoren!Q186/1000, 0)</f>
        <v>0</v>
      </c>
      <c r="R516" s="15">
        <f>IF(ISNUMBER('Klisz-Verbräuche'!S186), 'Klisz-Verbräuche'!S186*Emissionsfaktoren!R186/1000, 0)</f>
        <v>0</v>
      </c>
      <c r="S516" s="15">
        <f>IF(ISNUMBER('Klisz-Verbräuche'!T186), 'Klisz-Verbräuche'!T186*Emissionsfaktoren!S186/1000, 0)</f>
        <v>0</v>
      </c>
      <c r="T516" s="15">
        <f>IF(ISNUMBER('Klisz-Verbräuche'!U186), 'Klisz-Verbräuche'!U186*Emissionsfaktoren!T186/1000, 0)</f>
        <v>0</v>
      </c>
      <c r="U516" s="15">
        <f>IF(ISNUMBER('Klisz-Verbräuche'!V186), 'Klisz-Verbräuche'!V186*Emissionsfaktoren!U186/1000, 0)</f>
        <v>0</v>
      </c>
      <c r="V516" s="15">
        <f>IF(ISNUMBER('Klisz-Verbräuche'!W186), 'Klisz-Verbräuche'!W186*Emissionsfaktoren!V186/1000, 0)</f>
        <v>0</v>
      </c>
      <c r="W516" s="15">
        <f>IF(ISNUMBER('Klisz-Verbräuche'!X186), 'Klisz-Verbräuche'!X186*Emissionsfaktoren!W186/1000, 0)</f>
        <v>0</v>
      </c>
      <c r="X516" s="15">
        <f>IF(ISNUMBER('Klisz-Verbräuche'!Y186), 'Klisz-Verbräuche'!Y186*Emissionsfaktoren!X186/1000, 0)</f>
        <v>0</v>
      </c>
    </row>
    <row r="517" spans="2:24" ht="16.5" hidden="1" x14ac:dyDescent="0.45">
      <c r="B517" s="15">
        <v>128</v>
      </c>
      <c r="C517" s="20" t="str">
        <f>'Refsz-Verbräuche'!C187</f>
        <v>Kies</v>
      </c>
      <c r="D517" t="s">
        <v>208</v>
      </c>
      <c r="E517" s="15">
        <f>IF(ISNUMBER('Klisz-Verbräuche'!F187), 'Klisz-Verbräuche'!F187*Emissionsfaktoren!E187/1000, 0)</f>
        <v>0</v>
      </c>
      <c r="F517" s="15">
        <f>IF(ISNUMBER('Klisz-Verbräuche'!G187), 'Klisz-Verbräuche'!G187*Emissionsfaktoren!F187/1000, 0)</f>
        <v>0</v>
      </c>
      <c r="G517" s="15">
        <f>IF(ISNUMBER('Klisz-Verbräuche'!H187), 'Klisz-Verbräuche'!H187*Emissionsfaktoren!G187/1000, 0)</f>
        <v>0</v>
      </c>
      <c r="H517" s="15">
        <f>IF(ISNUMBER('Klisz-Verbräuche'!I187), 'Klisz-Verbräuche'!I187*Emissionsfaktoren!H187/1000, 0)</f>
        <v>0</v>
      </c>
      <c r="I517" s="15">
        <f>IF(ISNUMBER('Klisz-Verbräuche'!J187), 'Klisz-Verbräuche'!J187*Emissionsfaktoren!I187/1000, 0)</f>
        <v>0</v>
      </c>
      <c r="J517" s="15">
        <f>IF(ISNUMBER('Klisz-Verbräuche'!K187), 'Klisz-Verbräuche'!K187*Emissionsfaktoren!J187/1000, 0)</f>
        <v>0</v>
      </c>
      <c r="K517" s="15">
        <f>IF(ISNUMBER('Klisz-Verbräuche'!L187), 'Klisz-Verbräuche'!L187*Emissionsfaktoren!K187/1000, 0)</f>
        <v>0</v>
      </c>
      <c r="L517" s="15">
        <f>IF(ISNUMBER('Klisz-Verbräuche'!M187), 'Klisz-Verbräuche'!M187*Emissionsfaktoren!L187/1000, 0)</f>
        <v>0</v>
      </c>
      <c r="M517" s="15">
        <f>IF(ISNUMBER('Klisz-Verbräuche'!N187), 'Klisz-Verbräuche'!N187*Emissionsfaktoren!M187/1000, 0)</f>
        <v>0</v>
      </c>
      <c r="N517" s="15">
        <f>IF(ISNUMBER('Klisz-Verbräuche'!O187), 'Klisz-Verbräuche'!O187*Emissionsfaktoren!N187/1000, 0)</f>
        <v>0</v>
      </c>
      <c r="O517" s="15">
        <f>IF(ISNUMBER('Klisz-Verbräuche'!P187), 'Klisz-Verbräuche'!P187*Emissionsfaktoren!O187/1000, 0)</f>
        <v>0</v>
      </c>
      <c r="P517" s="15">
        <f>IF(ISNUMBER('Klisz-Verbräuche'!Q187), 'Klisz-Verbräuche'!Q187*Emissionsfaktoren!P187/1000, 0)</f>
        <v>0</v>
      </c>
      <c r="Q517" s="15">
        <f>IF(ISNUMBER('Klisz-Verbräuche'!R187), 'Klisz-Verbräuche'!R187*Emissionsfaktoren!Q187/1000, 0)</f>
        <v>0</v>
      </c>
      <c r="R517" s="15">
        <f>IF(ISNUMBER('Klisz-Verbräuche'!S187), 'Klisz-Verbräuche'!S187*Emissionsfaktoren!R187/1000, 0)</f>
        <v>0</v>
      </c>
      <c r="S517" s="15">
        <f>IF(ISNUMBER('Klisz-Verbräuche'!T187), 'Klisz-Verbräuche'!T187*Emissionsfaktoren!S187/1000, 0)</f>
        <v>0</v>
      </c>
      <c r="T517" s="15">
        <f>IF(ISNUMBER('Klisz-Verbräuche'!U187), 'Klisz-Verbräuche'!U187*Emissionsfaktoren!T187/1000, 0)</f>
        <v>0</v>
      </c>
      <c r="U517" s="15">
        <f>IF(ISNUMBER('Klisz-Verbräuche'!V187), 'Klisz-Verbräuche'!V187*Emissionsfaktoren!U187/1000, 0)</f>
        <v>0</v>
      </c>
      <c r="V517" s="15">
        <f>IF(ISNUMBER('Klisz-Verbräuche'!W187), 'Klisz-Verbräuche'!W187*Emissionsfaktoren!V187/1000, 0)</f>
        <v>0</v>
      </c>
      <c r="W517" s="15">
        <f>IF(ISNUMBER('Klisz-Verbräuche'!X187), 'Klisz-Verbräuche'!X187*Emissionsfaktoren!W187/1000, 0)</f>
        <v>0</v>
      </c>
      <c r="X517" s="15">
        <f>IF(ISNUMBER('Klisz-Verbräuche'!Y187), 'Klisz-Verbräuche'!Y187*Emissionsfaktoren!X187/1000, 0)</f>
        <v>0</v>
      </c>
    </row>
    <row r="518" spans="2:24" ht="16.5" hidden="1" x14ac:dyDescent="0.45">
      <c r="B518" s="15">
        <v>129</v>
      </c>
      <c r="C518" s="20" t="str">
        <f>'Refsz-Verbräuche'!C188</f>
        <v>Sand</v>
      </c>
      <c r="D518" t="s">
        <v>208</v>
      </c>
      <c r="E518" s="15">
        <f>IF(ISNUMBER('Klisz-Verbräuche'!F188), 'Klisz-Verbräuche'!F188*Emissionsfaktoren!E188/1000, 0)</f>
        <v>0</v>
      </c>
      <c r="F518" s="15">
        <f>IF(ISNUMBER('Klisz-Verbräuche'!G188), 'Klisz-Verbräuche'!G188*Emissionsfaktoren!F188/1000, 0)</f>
        <v>0</v>
      </c>
      <c r="G518" s="15">
        <f>IF(ISNUMBER('Klisz-Verbräuche'!H188), 'Klisz-Verbräuche'!H188*Emissionsfaktoren!G188/1000, 0)</f>
        <v>0</v>
      </c>
      <c r="H518" s="15">
        <f>IF(ISNUMBER('Klisz-Verbräuche'!I188), 'Klisz-Verbräuche'!I188*Emissionsfaktoren!H188/1000, 0)</f>
        <v>0</v>
      </c>
      <c r="I518" s="15">
        <f>IF(ISNUMBER('Klisz-Verbräuche'!J188), 'Klisz-Verbräuche'!J188*Emissionsfaktoren!I188/1000, 0)</f>
        <v>0</v>
      </c>
      <c r="J518" s="15">
        <f>IF(ISNUMBER('Klisz-Verbräuche'!K188), 'Klisz-Verbräuche'!K188*Emissionsfaktoren!J188/1000, 0)</f>
        <v>0</v>
      </c>
      <c r="K518" s="15">
        <f>IF(ISNUMBER('Klisz-Verbräuche'!L188), 'Klisz-Verbräuche'!L188*Emissionsfaktoren!K188/1000, 0)</f>
        <v>0</v>
      </c>
      <c r="L518" s="15">
        <f>IF(ISNUMBER('Klisz-Verbräuche'!M188), 'Klisz-Verbräuche'!M188*Emissionsfaktoren!L188/1000, 0)</f>
        <v>0</v>
      </c>
      <c r="M518" s="15">
        <f>IF(ISNUMBER('Klisz-Verbräuche'!N188), 'Klisz-Verbräuche'!N188*Emissionsfaktoren!M188/1000, 0)</f>
        <v>0</v>
      </c>
      <c r="N518" s="15">
        <f>IF(ISNUMBER('Klisz-Verbräuche'!O188), 'Klisz-Verbräuche'!O188*Emissionsfaktoren!N188/1000, 0)</f>
        <v>0</v>
      </c>
      <c r="O518" s="15">
        <f>IF(ISNUMBER('Klisz-Verbräuche'!P188), 'Klisz-Verbräuche'!P188*Emissionsfaktoren!O188/1000, 0)</f>
        <v>0</v>
      </c>
      <c r="P518" s="15">
        <f>IF(ISNUMBER('Klisz-Verbräuche'!Q188), 'Klisz-Verbräuche'!Q188*Emissionsfaktoren!P188/1000, 0)</f>
        <v>0</v>
      </c>
      <c r="Q518" s="15">
        <f>IF(ISNUMBER('Klisz-Verbräuche'!R188), 'Klisz-Verbräuche'!R188*Emissionsfaktoren!Q188/1000, 0)</f>
        <v>0</v>
      </c>
      <c r="R518" s="15">
        <f>IF(ISNUMBER('Klisz-Verbräuche'!S188), 'Klisz-Verbräuche'!S188*Emissionsfaktoren!R188/1000, 0)</f>
        <v>0</v>
      </c>
      <c r="S518" s="15">
        <f>IF(ISNUMBER('Klisz-Verbräuche'!T188), 'Klisz-Verbräuche'!T188*Emissionsfaktoren!S188/1000, 0)</f>
        <v>0</v>
      </c>
      <c r="T518" s="15">
        <f>IF(ISNUMBER('Klisz-Verbräuche'!U188), 'Klisz-Verbräuche'!U188*Emissionsfaktoren!T188/1000, 0)</f>
        <v>0</v>
      </c>
      <c r="U518" s="15">
        <f>IF(ISNUMBER('Klisz-Verbräuche'!V188), 'Klisz-Verbräuche'!V188*Emissionsfaktoren!U188/1000, 0)</f>
        <v>0</v>
      </c>
      <c r="V518" s="15">
        <f>IF(ISNUMBER('Klisz-Verbräuche'!W188), 'Klisz-Verbräuche'!W188*Emissionsfaktoren!V188/1000, 0)</f>
        <v>0</v>
      </c>
      <c r="W518" s="15">
        <f>IF(ISNUMBER('Klisz-Verbräuche'!X188), 'Klisz-Verbräuche'!X188*Emissionsfaktoren!W188/1000, 0)</f>
        <v>0</v>
      </c>
      <c r="X518" s="15">
        <f>IF(ISNUMBER('Klisz-Verbräuche'!Y188), 'Klisz-Verbräuche'!Y188*Emissionsfaktoren!X188/1000, 0)</f>
        <v>0</v>
      </c>
    </row>
    <row r="519" spans="2:24" ht="16.5" hidden="1" x14ac:dyDescent="0.45">
      <c r="B519" s="15">
        <v>130</v>
      </c>
      <c r="C519" s="20" t="str">
        <f>'Refsz-Verbräuche'!C189</f>
        <v>Kupferdraht</v>
      </c>
      <c r="D519" t="s">
        <v>208</v>
      </c>
      <c r="E519" s="15">
        <f>IF(ISNUMBER('Klisz-Verbräuche'!F189), 'Klisz-Verbräuche'!F189*Emissionsfaktoren!E189/1000, 0)</f>
        <v>0</v>
      </c>
      <c r="F519" s="15">
        <f>IF(ISNUMBER('Klisz-Verbräuche'!G189), 'Klisz-Verbräuche'!G189*Emissionsfaktoren!F189/1000, 0)</f>
        <v>0</v>
      </c>
      <c r="G519" s="15">
        <f>IF(ISNUMBER('Klisz-Verbräuche'!H189), 'Klisz-Verbräuche'!H189*Emissionsfaktoren!G189/1000, 0)</f>
        <v>0</v>
      </c>
      <c r="H519" s="15">
        <f>IF(ISNUMBER('Klisz-Verbräuche'!I189), 'Klisz-Verbräuche'!I189*Emissionsfaktoren!H189/1000, 0)</f>
        <v>0</v>
      </c>
      <c r="I519" s="15">
        <f>IF(ISNUMBER('Klisz-Verbräuche'!J189), 'Klisz-Verbräuche'!J189*Emissionsfaktoren!I189/1000, 0)</f>
        <v>0</v>
      </c>
      <c r="J519" s="15">
        <f>IF(ISNUMBER('Klisz-Verbräuche'!K189), 'Klisz-Verbräuche'!K189*Emissionsfaktoren!J189/1000, 0)</f>
        <v>0</v>
      </c>
      <c r="K519" s="15">
        <f>IF(ISNUMBER('Klisz-Verbräuche'!L189), 'Klisz-Verbräuche'!L189*Emissionsfaktoren!K189/1000, 0)</f>
        <v>0</v>
      </c>
      <c r="L519" s="15">
        <f>IF(ISNUMBER('Klisz-Verbräuche'!M189), 'Klisz-Verbräuche'!M189*Emissionsfaktoren!L189/1000, 0)</f>
        <v>0</v>
      </c>
      <c r="M519" s="15">
        <f>IF(ISNUMBER('Klisz-Verbräuche'!N189), 'Klisz-Verbräuche'!N189*Emissionsfaktoren!M189/1000, 0)</f>
        <v>0</v>
      </c>
      <c r="N519" s="15">
        <f>IF(ISNUMBER('Klisz-Verbräuche'!O189), 'Klisz-Verbräuche'!O189*Emissionsfaktoren!N189/1000, 0)</f>
        <v>0</v>
      </c>
      <c r="O519" s="15">
        <f>IF(ISNUMBER('Klisz-Verbräuche'!P189), 'Klisz-Verbräuche'!P189*Emissionsfaktoren!O189/1000, 0)</f>
        <v>0</v>
      </c>
      <c r="P519" s="15">
        <f>IF(ISNUMBER('Klisz-Verbräuche'!Q189), 'Klisz-Verbräuche'!Q189*Emissionsfaktoren!P189/1000, 0)</f>
        <v>0</v>
      </c>
      <c r="Q519" s="15">
        <f>IF(ISNUMBER('Klisz-Verbräuche'!R189), 'Klisz-Verbräuche'!R189*Emissionsfaktoren!Q189/1000, 0)</f>
        <v>0</v>
      </c>
      <c r="R519" s="15">
        <f>IF(ISNUMBER('Klisz-Verbräuche'!S189), 'Klisz-Verbräuche'!S189*Emissionsfaktoren!R189/1000, 0)</f>
        <v>0</v>
      </c>
      <c r="S519" s="15">
        <f>IF(ISNUMBER('Klisz-Verbräuche'!T189), 'Klisz-Verbräuche'!T189*Emissionsfaktoren!S189/1000, 0)</f>
        <v>0</v>
      </c>
      <c r="T519" s="15">
        <f>IF(ISNUMBER('Klisz-Verbräuche'!U189), 'Klisz-Verbräuche'!U189*Emissionsfaktoren!T189/1000, 0)</f>
        <v>0</v>
      </c>
      <c r="U519" s="15">
        <f>IF(ISNUMBER('Klisz-Verbräuche'!V189), 'Klisz-Verbräuche'!V189*Emissionsfaktoren!U189/1000, 0)</f>
        <v>0</v>
      </c>
      <c r="V519" s="15">
        <f>IF(ISNUMBER('Klisz-Verbräuche'!W189), 'Klisz-Verbräuche'!W189*Emissionsfaktoren!V189/1000, 0)</f>
        <v>0</v>
      </c>
      <c r="W519" s="15">
        <f>IF(ISNUMBER('Klisz-Verbräuche'!X189), 'Klisz-Verbräuche'!X189*Emissionsfaktoren!W189/1000, 0)</f>
        <v>0</v>
      </c>
      <c r="X519" s="15">
        <f>IF(ISNUMBER('Klisz-Verbräuche'!Y189), 'Klisz-Verbräuche'!Y189*Emissionsfaktoren!X189/1000, 0)</f>
        <v>0</v>
      </c>
    </row>
    <row r="520" spans="2:24" ht="16.5" hidden="1" x14ac:dyDescent="0.45">
      <c r="B520" s="15">
        <v>131</v>
      </c>
      <c r="C520" s="20" t="str">
        <f>'Refsz-Verbräuche'!C190</f>
        <v>Kupferrohr</v>
      </c>
      <c r="D520" t="s">
        <v>208</v>
      </c>
      <c r="E520" s="15">
        <f>IF(ISNUMBER('Klisz-Verbräuche'!F190), 'Klisz-Verbräuche'!F190*Emissionsfaktoren!E190/1000, 0)</f>
        <v>0</v>
      </c>
      <c r="F520" s="15">
        <f>IF(ISNUMBER('Klisz-Verbräuche'!G190), 'Klisz-Verbräuche'!G190*Emissionsfaktoren!F190/1000, 0)</f>
        <v>0</v>
      </c>
      <c r="G520" s="15">
        <f>IF(ISNUMBER('Klisz-Verbräuche'!H190), 'Klisz-Verbräuche'!H190*Emissionsfaktoren!G190/1000, 0)</f>
        <v>0</v>
      </c>
      <c r="H520" s="15">
        <f>IF(ISNUMBER('Klisz-Verbräuche'!I190), 'Klisz-Verbräuche'!I190*Emissionsfaktoren!H190/1000, 0)</f>
        <v>0</v>
      </c>
      <c r="I520" s="15">
        <f>IF(ISNUMBER('Klisz-Verbräuche'!J190), 'Klisz-Verbräuche'!J190*Emissionsfaktoren!I190/1000, 0)</f>
        <v>0</v>
      </c>
      <c r="J520" s="15">
        <f>IF(ISNUMBER('Klisz-Verbräuche'!K190), 'Klisz-Verbräuche'!K190*Emissionsfaktoren!J190/1000, 0)</f>
        <v>0</v>
      </c>
      <c r="K520" s="15">
        <f>IF(ISNUMBER('Klisz-Verbräuche'!L190), 'Klisz-Verbräuche'!L190*Emissionsfaktoren!K190/1000, 0)</f>
        <v>0</v>
      </c>
      <c r="L520" s="15">
        <f>IF(ISNUMBER('Klisz-Verbräuche'!M190), 'Klisz-Verbräuche'!M190*Emissionsfaktoren!L190/1000, 0)</f>
        <v>0</v>
      </c>
      <c r="M520" s="15">
        <f>IF(ISNUMBER('Klisz-Verbräuche'!N190), 'Klisz-Verbräuche'!N190*Emissionsfaktoren!M190/1000, 0)</f>
        <v>0</v>
      </c>
      <c r="N520" s="15">
        <f>IF(ISNUMBER('Klisz-Verbräuche'!O190), 'Klisz-Verbräuche'!O190*Emissionsfaktoren!N190/1000, 0)</f>
        <v>0</v>
      </c>
      <c r="O520" s="15">
        <f>IF(ISNUMBER('Klisz-Verbräuche'!P190), 'Klisz-Verbräuche'!P190*Emissionsfaktoren!O190/1000, 0)</f>
        <v>0</v>
      </c>
      <c r="P520" s="15">
        <f>IF(ISNUMBER('Klisz-Verbräuche'!Q190), 'Klisz-Verbräuche'!Q190*Emissionsfaktoren!P190/1000, 0)</f>
        <v>0</v>
      </c>
      <c r="Q520" s="15">
        <f>IF(ISNUMBER('Klisz-Verbräuche'!R190), 'Klisz-Verbräuche'!R190*Emissionsfaktoren!Q190/1000, 0)</f>
        <v>0</v>
      </c>
      <c r="R520" s="15">
        <f>IF(ISNUMBER('Klisz-Verbräuche'!S190), 'Klisz-Verbräuche'!S190*Emissionsfaktoren!R190/1000, 0)</f>
        <v>0</v>
      </c>
      <c r="S520" s="15">
        <f>IF(ISNUMBER('Klisz-Verbräuche'!T190), 'Klisz-Verbräuche'!T190*Emissionsfaktoren!S190/1000, 0)</f>
        <v>0</v>
      </c>
      <c r="T520" s="15">
        <f>IF(ISNUMBER('Klisz-Verbräuche'!U190), 'Klisz-Verbräuche'!U190*Emissionsfaktoren!T190/1000, 0)</f>
        <v>0</v>
      </c>
      <c r="U520" s="15">
        <f>IF(ISNUMBER('Klisz-Verbräuche'!V190), 'Klisz-Verbräuche'!V190*Emissionsfaktoren!U190/1000, 0)</f>
        <v>0</v>
      </c>
      <c r="V520" s="15">
        <f>IF(ISNUMBER('Klisz-Verbräuche'!W190), 'Klisz-Verbräuche'!W190*Emissionsfaktoren!V190/1000, 0)</f>
        <v>0</v>
      </c>
      <c r="W520" s="15">
        <f>IF(ISNUMBER('Klisz-Verbräuche'!X190), 'Klisz-Verbräuche'!X190*Emissionsfaktoren!W190/1000, 0)</f>
        <v>0</v>
      </c>
      <c r="X520" s="15">
        <f>IF(ISNUMBER('Klisz-Verbräuche'!Y190), 'Klisz-Verbräuche'!Y190*Emissionsfaktoren!X190/1000, 0)</f>
        <v>0</v>
      </c>
    </row>
    <row r="521" spans="2:24" ht="16.5" hidden="1" x14ac:dyDescent="0.45">
      <c r="B521" s="15">
        <v>132</v>
      </c>
      <c r="C521" s="20" t="str">
        <f>'Refsz-Verbräuche'!C191</f>
        <v>Stahl-Blech</v>
      </c>
      <c r="D521" t="s">
        <v>208</v>
      </c>
      <c r="E521" s="15">
        <f>IF(ISNUMBER('Klisz-Verbräuche'!F191), 'Klisz-Verbräuche'!F191*Emissionsfaktoren!E191/1000, 0)</f>
        <v>0</v>
      </c>
      <c r="F521" s="15">
        <f>IF(ISNUMBER('Klisz-Verbräuche'!G191), 'Klisz-Verbräuche'!G191*Emissionsfaktoren!F191/1000, 0)</f>
        <v>0</v>
      </c>
      <c r="G521" s="15">
        <f>IF(ISNUMBER('Klisz-Verbräuche'!H191), 'Klisz-Verbräuche'!H191*Emissionsfaktoren!G191/1000, 0)</f>
        <v>0</v>
      </c>
      <c r="H521" s="15">
        <f>IF(ISNUMBER('Klisz-Verbräuche'!I191), 'Klisz-Verbräuche'!I191*Emissionsfaktoren!H191/1000, 0)</f>
        <v>0</v>
      </c>
      <c r="I521" s="15">
        <f>IF(ISNUMBER('Klisz-Verbräuche'!J191), 'Klisz-Verbräuche'!J191*Emissionsfaktoren!I191/1000, 0)</f>
        <v>0</v>
      </c>
      <c r="J521" s="15">
        <f>IF(ISNUMBER('Klisz-Verbräuche'!K191), 'Klisz-Verbräuche'!K191*Emissionsfaktoren!J191/1000, 0)</f>
        <v>0</v>
      </c>
      <c r="K521" s="15">
        <f>IF(ISNUMBER('Klisz-Verbräuche'!L191), 'Klisz-Verbräuche'!L191*Emissionsfaktoren!K191/1000, 0)</f>
        <v>0</v>
      </c>
      <c r="L521" s="15">
        <f>IF(ISNUMBER('Klisz-Verbräuche'!M191), 'Klisz-Verbräuche'!M191*Emissionsfaktoren!L191/1000, 0)</f>
        <v>0</v>
      </c>
      <c r="M521" s="15">
        <f>IF(ISNUMBER('Klisz-Verbräuche'!N191), 'Klisz-Verbräuche'!N191*Emissionsfaktoren!M191/1000, 0)</f>
        <v>0</v>
      </c>
      <c r="N521" s="15">
        <f>IF(ISNUMBER('Klisz-Verbräuche'!O191), 'Klisz-Verbräuche'!O191*Emissionsfaktoren!N191/1000, 0)</f>
        <v>0</v>
      </c>
      <c r="O521" s="15">
        <f>IF(ISNUMBER('Klisz-Verbräuche'!P191), 'Klisz-Verbräuche'!P191*Emissionsfaktoren!O191/1000, 0)</f>
        <v>0</v>
      </c>
      <c r="P521" s="15">
        <f>IF(ISNUMBER('Klisz-Verbräuche'!Q191), 'Klisz-Verbräuche'!Q191*Emissionsfaktoren!P191/1000, 0)</f>
        <v>0</v>
      </c>
      <c r="Q521" s="15">
        <f>IF(ISNUMBER('Klisz-Verbräuche'!R191), 'Klisz-Verbräuche'!R191*Emissionsfaktoren!Q191/1000, 0)</f>
        <v>0</v>
      </c>
      <c r="R521" s="15">
        <f>IF(ISNUMBER('Klisz-Verbräuche'!S191), 'Klisz-Verbräuche'!S191*Emissionsfaktoren!R191/1000, 0)</f>
        <v>0</v>
      </c>
      <c r="S521" s="15">
        <f>IF(ISNUMBER('Klisz-Verbräuche'!T191), 'Klisz-Verbräuche'!T191*Emissionsfaktoren!S191/1000, 0)</f>
        <v>0</v>
      </c>
      <c r="T521" s="15">
        <f>IF(ISNUMBER('Klisz-Verbräuche'!U191), 'Klisz-Verbräuche'!U191*Emissionsfaktoren!T191/1000, 0)</f>
        <v>0</v>
      </c>
      <c r="U521" s="15">
        <f>IF(ISNUMBER('Klisz-Verbräuche'!V191), 'Klisz-Verbräuche'!V191*Emissionsfaktoren!U191/1000, 0)</f>
        <v>0</v>
      </c>
      <c r="V521" s="15">
        <f>IF(ISNUMBER('Klisz-Verbräuche'!W191), 'Klisz-Verbräuche'!W191*Emissionsfaktoren!V191/1000, 0)</f>
        <v>0</v>
      </c>
      <c r="W521" s="15">
        <f>IF(ISNUMBER('Klisz-Verbräuche'!X191), 'Klisz-Verbräuche'!X191*Emissionsfaktoren!W191/1000, 0)</f>
        <v>0</v>
      </c>
      <c r="X521" s="15">
        <f>IF(ISNUMBER('Klisz-Verbräuche'!Y191), 'Klisz-Verbräuche'!Y191*Emissionsfaktoren!X191/1000, 0)</f>
        <v>0</v>
      </c>
    </row>
    <row r="522" spans="2:24" ht="16.5" hidden="1" x14ac:dyDescent="0.45">
      <c r="B522" s="15">
        <v>133</v>
      </c>
      <c r="C522" s="20" t="str">
        <f>'Refsz-Verbräuche'!C192</f>
        <v>Stahl-Blech verzinkt</v>
      </c>
      <c r="D522" t="s">
        <v>208</v>
      </c>
      <c r="E522" s="15">
        <f>IF(ISNUMBER('Klisz-Verbräuche'!F192), 'Klisz-Verbräuche'!F192*Emissionsfaktoren!E192/1000, 0)</f>
        <v>0</v>
      </c>
      <c r="F522" s="15">
        <f>IF(ISNUMBER('Klisz-Verbräuche'!G192), 'Klisz-Verbräuche'!G192*Emissionsfaktoren!F192/1000, 0)</f>
        <v>0</v>
      </c>
      <c r="G522" s="15">
        <f>IF(ISNUMBER('Klisz-Verbräuche'!H192), 'Klisz-Verbräuche'!H192*Emissionsfaktoren!G192/1000, 0)</f>
        <v>0</v>
      </c>
      <c r="H522" s="15">
        <f>IF(ISNUMBER('Klisz-Verbräuche'!I192), 'Klisz-Verbräuche'!I192*Emissionsfaktoren!H192/1000, 0)</f>
        <v>0</v>
      </c>
      <c r="I522" s="15">
        <f>IF(ISNUMBER('Klisz-Verbräuche'!J192), 'Klisz-Verbräuche'!J192*Emissionsfaktoren!I192/1000, 0)</f>
        <v>0</v>
      </c>
      <c r="J522" s="15">
        <f>IF(ISNUMBER('Klisz-Verbräuche'!K192), 'Klisz-Verbräuche'!K192*Emissionsfaktoren!J192/1000, 0)</f>
        <v>0</v>
      </c>
      <c r="K522" s="15">
        <f>IF(ISNUMBER('Klisz-Verbräuche'!L192), 'Klisz-Verbräuche'!L192*Emissionsfaktoren!K192/1000, 0)</f>
        <v>0</v>
      </c>
      <c r="L522" s="15">
        <f>IF(ISNUMBER('Klisz-Verbräuche'!M192), 'Klisz-Verbräuche'!M192*Emissionsfaktoren!L192/1000, 0)</f>
        <v>0</v>
      </c>
      <c r="M522" s="15">
        <f>IF(ISNUMBER('Klisz-Verbräuche'!N192), 'Klisz-Verbräuche'!N192*Emissionsfaktoren!M192/1000, 0)</f>
        <v>0</v>
      </c>
      <c r="N522" s="15">
        <f>IF(ISNUMBER('Klisz-Verbräuche'!O192), 'Klisz-Verbräuche'!O192*Emissionsfaktoren!N192/1000, 0)</f>
        <v>0</v>
      </c>
      <c r="O522" s="15">
        <f>IF(ISNUMBER('Klisz-Verbräuche'!P192), 'Klisz-Verbräuche'!P192*Emissionsfaktoren!O192/1000, 0)</f>
        <v>0</v>
      </c>
      <c r="P522" s="15">
        <f>IF(ISNUMBER('Klisz-Verbräuche'!Q192), 'Klisz-Verbräuche'!Q192*Emissionsfaktoren!P192/1000, 0)</f>
        <v>0</v>
      </c>
      <c r="Q522" s="15">
        <f>IF(ISNUMBER('Klisz-Verbräuche'!R192), 'Klisz-Verbräuche'!R192*Emissionsfaktoren!Q192/1000, 0)</f>
        <v>0</v>
      </c>
      <c r="R522" s="15">
        <f>IF(ISNUMBER('Klisz-Verbräuche'!S192), 'Klisz-Verbräuche'!S192*Emissionsfaktoren!R192/1000, 0)</f>
        <v>0</v>
      </c>
      <c r="S522" s="15">
        <f>IF(ISNUMBER('Klisz-Verbräuche'!T192), 'Klisz-Verbräuche'!T192*Emissionsfaktoren!S192/1000, 0)</f>
        <v>0</v>
      </c>
      <c r="T522" s="15">
        <f>IF(ISNUMBER('Klisz-Verbräuche'!U192), 'Klisz-Verbräuche'!U192*Emissionsfaktoren!T192/1000, 0)</f>
        <v>0</v>
      </c>
      <c r="U522" s="15">
        <f>IF(ISNUMBER('Klisz-Verbräuche'!V192), 'Klisz-Verbräuche'!V192*Emissionsfaktoren!U192/1000, 0)</f>
        <v>0</v>
      </c>
      <c r="V522" s="15">
        <f>IF(ISNUMBER('Klisz-Verbräuche'!W192), 'Klisz-Verbräuche'!W192*Emissionsfaktoren!V192/1000, 0)</f>
        <v>0</v>
      </c>
      <c r="W522" s="15">
        <f>IF(ISNUMBER('Klisz-Verbräuche'!X192), 'Klisz-Verbräuche'!X192*Emissionsfaktoren!W192/1000, 0)</f>
        <v>0</v>
      </c>
      <c r="X522" s="15">
        <f>IF(ISNUMBER('Klisz-Verbräuche'!Y192), 'Klisz-Verbräuche'!Y192*Emissionsfaktoren!X192/1000, 0)</f>
        <v>0</v>
      </c>
    </row>
    <row r="523" spans="2:24" ht="16.5" hidden="1" x14ac:dyDescent="0.45">
      <c r="B523" s="15">
        <v>134</v>
      </c>
      <c r="C523" s="20" t="str">
        <f>'Refsz-Verbräuche'!C193</f>
        <v>Stahl-Elektro</v>
      </c>
      <c r="D523" t="s">
        <v>208</v>
      </c>
      <c r="E523" s="15">
        <f>IF(ISNUMBER('Klisz-Verbräuche'!F193), 'Klisz-Verbräuche'!F193*Emissionsfaktoren!E193/1000, 0)</f>
        <v>0</v>
      </c>
      <c r="F523" s="15">
        <f>IF(ISNUMBER('Klisz-Verbräuche'!G193), 'Klisz-Verbräuche'!G193*Emissionsfaktoren!F193/1000, 0)</f>
        <v>0</v>
      </c>
      <c r="G523" s="15">
        <f>IF(ISNUMBER('Klisz-Verbräuche'!H193), 'Klisz-Verbräuche'!H193*Emissionsfaktoren!G193/1000, 0)</f>
        <v>0</v>
      </c>
      <c r="H523" s="15">
        <f>IF(ISNUMBER('Klisz-Verbräuche'!I193), 'Klisz-Verbräuche'!I193*Emissionsfaktoren!H193/1000, 0)</f>
        <v>0</v>
      </c>
      <c r="I523" s="15">
        <f>IF(ISNUMBER('Klisz-Verbräuche'!J193), 'Klisz-Verbräuche'!J193*Emissionsfaktoren!I193/1000, 0)</f>
        <v>0</v>
      </c>
      <c r="J523" s="15">
        <f>IF(ISNUMBER('Klisz-Verbräuche'!K193), 'Klisz-Verbräuche'!K193*Emissionsfaktoren!J193/1000, 0)</f>
        <v>0</v>
      </c>
      <c r="K523" s="15">
        <f>IF(ISNUMBER('Klisz-Verbräuche'!L193), 'Klisz-Verbräuche'!L193*Emissionsfaktoren!K193/1000, 0)</f>
        <v>0</v>
      </c>
      <c r="L523" s="15">
        <f>IF(ISNUMBER('Klisz-Verbräuche'!M193), 'Klisz-Verbräuche'!M193*Emissionsfaktoren!L193/1000, 0)</f>
        <v>0</v>
      </c>
      <c r="M523" s="15">
        <f>IF(ISNUMBER('Klisz-Verbräuche'!N193), 'Klisz-Verbräuche'!N193*Emissionsfaktoren!M193/1000, 0)</f>
        <v>0</v>
      </c>
      <c r="N523" s="15">
        <f>IF(ISNUMBER('Klisz-Verbräuche'!O193), 'Klisz-Verbräuche'!O193*Emissionsfaktoren!N193/1000, 0)</f>
        <v>0</v>
      </c>
      <c r="O523" s="15">
        <f>IF(ISNUMBER('Klisz-Verbräuche'!P193), 'Klisz-Verbräuche'!P193*Emissionsfaktoren!O193/1000, 0)</f>
        <v>0</v>
      </c>
      <c r="P523" s="15">
        <f>IF(ISNUMBER('Klisz-Verbräuche'!Q193), 'Klisz-Verbräuche'!Q193*Emissionsfaktoren!P193/1000, 0)</f>
        <v>0</v>
      </c>
      <c r="Q523" s="15">
        <f>IF(ISNUMBER('Klisz-Verbräuche'!R193), 'Klisz-Verbräuche'!R193*Emissionsfaktoren!Q193/1000, 0)</f>
        <v>0</v>
      </c>
      <c r="R523" s="15">
        <f>IF(ISNUMBER('Klisz-Verbräuche'!S193), 'Klisz-Verbräuche'!S193*Emissionsfaktoren!R193/1000, 0)</f>
        <v>0</v>
      </c>
      <c r="S523" s="15">
        <f>IF(ISNUMBER('Klisz-Verbräuche'!T193), 'Klisz-Verbräuche'!T193*Emissionsfaktoren!S193/1000, 0)</f>
        <v>0</v>
      </c>
      <c r="T523" s="15">
        <f>IF(ISNUMBER('Klisz-Verbräuche'!U193), 'Klisz-Verbräuche'!U193*Emissionsfaktoren!T193/1000, 0)</f>
        <v>0</v>
      </c>
      <c r="U523" s="15">
        <f>IF(ISNUMBER('Klisz-Verbräuche'!V193), 'Klisz-Verbräuche'!V193*Emissionsfaktoren!U193/1000, 0)</f>
        <v>0</v>
      </c>
      <c r="V523" s="15">
        <f>IF(ISNUMBER('Klisz-Verbräuche'!W193), 'Klisz-Verbräuche'!W193*Emissionsfaktoren!V193/1000, 0)</f>
        <v>0</v>
      </c>
      <c r="W523" s="15">
        <f>IF(ISNUMBER('Klisz-Verbräuche'!X193), 'Klisz-Verbräuche'!X193*Emissionsfaktoren!W193/1000, 0)</f>
        <v>0</v>
      </c>
      <c r="X523" s="15">
        <f>IF(ISNUMBER('Klisz-Verbräuche'!Y193), 'Klisz-Verbräuche'!Y193*Emissionsfaktoren!X193/1000, 0)</f>
        <v>0</v>
      </c>
    </row>
    <row r="524" spans="2:24" ht="16.5" hidden="1" x14ac:dyDescent="0.45">
      <c r="B524" s="15">
        <v>135</v>
      </c>
      <c r="C524" s="20" t="str">
        <f>'Refsz-Verbräuche'!C194</f>
        <v>Stahl-mix</v>
      </c>
      <c r="D524" t="s">
        <v>208</v>
      </c>
      <c r="E524" s="15">
        <f>IF(ISNUMBER('Klisz-Verbräuche'!F194), 'Klisz-Verbräuche'!F194*Emissionsfaktoren!E194/1000, 0)</f>
        <v>0</v>
      </c>
      <c r="F524" s="15">
        <f>IF(ISNUMBER('Klisz-Verbräuche'!G194), 'Klisz-Verbräuche'!G194*Emissionsfaktoren!F194/1000, 0)</f>
        <v>0</v>
      </c>
      <c r="G524" s="15">
        <f>IF(ISNUMBER('Klisz-Verbräuche'!H194), 'Klisz-Verbräuche'!H194*Emissionsfaktoren!G194/1000, 0)</f>
        <v>0</v>
      </c>
      <c r="H524" s="15">
        <f>IF(ISNUMBER('Klisz-Verbräuche'!I194), 'Klisz-Verbräuche'!I194*Emissionsfaktoren!H194/1000, 0)</f>
        <v>0</v>
      </c>
      <c r="I524" s="15">
        <f>IF(ISNUMBER('Klisz-Verbräuche'!J194), 'Klisz-Verbräuche'!J194*Emissionsfaktoren!I194/1000, 0)</f>
        <v>0</v>
      </c>
      <c r="J524" s="15">
        <f>IF(ISNUMBER('Klisz-Verbräuche'!K194), 'Klisz-Verbräuche'!K194*Emissionsfaktoren!J194/1000, 0)</f>
        <v>0</v>
      </c>
      <c r="K524" s="15">
        <f>IF(ISNUMBER('Klisz-Verbräuche'!L194), 'Klisz-Verbräuche'!L194*Emissionsfaktoren!K194/1000, 0)</f>
        <v>0</v>
      </c>
      <c r="L524" s="15">
        <f>IF(ISNUMBER('Klisz-Verbräuche'!M194), 'Klisz-Verbräuche'!M194*Emissionsfaktoren!L194/1000, 0)</f>
        <v>0</v>
      </c>
      <c r="M524" s="15">
        <f>IF(ISNUMBER('Klisz-Verbräuche'!N194), 'Klisz-Verbräuche'!N194*Emissionsfaktoren!M194/1000, 0)</f>
        <v>0</v>
      </c>
      <c r="N524" s="15">
        <f>IF(ISNUMBER('Klisz-Verbräuche'!O194), 'Klisz-Verbräuche'!O194*Emissionsfaktoren!N194/1000, 0)</f>
        <v>0</v>
      </c>
      <c r="O524" s="15">
        <f>IF(ISNUMBER('Klisz-Verbräuche'!P194), 'Klisz-Verbräuche'!P194*Emissionsfaktoren!O194/1000, 0)</f>
        <v>0</v>
      </c>
      <c r="P524" s="15">
        <f>IF(ISNUMBER('Klisz-Verbräuche'!Q194), 'Klisz-Verbräuche'!Q194*Emissionsfaktoren!P194/1000, 0)</f>
        <v>0</v>
      </c>
      <c r="Q524" s="15">
        <f>IF(ISNUMBER('Klisz-Verbräuche'!R194), 'Klisz-Verbräuche'!R194*Emissionsfaktoren!Q194/1000, 0)</f>
        <v>0</v>
      </c>
      <c r="R524" s="15">
        <f>IF(ISNUMBER('Klisz-Verbräuche'!S194), 'Klisz-Verbräuche'!S194*Emissionsfaktoren!R194/1000, 0)</f>
        <v>0</v>
      </c>
      <c r="S524" s="15">
        <f>IF(ISNUMBER('Klisz-Verbräuche'!T194), 'Klisz-Verbräuche'!T194*Emissionsfaktoren!S194/1000, 0)</f>
        <v>0</v>
      </c>
      <c r="T524" s="15">
        <f>IF(ISNUMBER('Klisz-Verbräuche'!U194), 'Klisz-Verbräuche'!U194*Emissionsfaktoren!T194/1000, 0)</f>
        <v>0</v>
      </c>
      <c r="U524" s="15">
        <f>IF(ISNUMBER('Klisz-Verbräuche'!V194), 'Klisz-Verbräuche'!V194*Emissionsfaktoren!U194/1000, 0)</f>
        <v>0</v>
      </c>
      <c r="V524" s="15">
        <f>IF(ISNUMBER('Klisz-Verbräuche'!W194), 'Klisz-Verbräuche'!W194*Emissionsfaktoren!V194/1000, 0)</f>
        <v>0</v>
      </c>
      <c r="W524" s="15">
        <f>IF(ISNUMBER('Klisz-Verbräuche'!X194), 'Klisz-Verbräuche'!X194*Emissionsfaktoren!W194/1000, 0)</f>
        <v>0</v>
      </c>
      <c r="X524" s="15">
        <f>IF(ISNUMBER('Klisz-Verbräuche'!Y194), 'Klisz-Verbräuche'!Y194*Emissionsfaktoren!X194/1000, 0)</f>
        <v>0</v>
      </c>
    </row>
    <row r="525" spans="2:24" ht="16.5" hidden="1" x14ac:dyDescent="0.45">
      <c r="B525" s="15">
        <v>136</v>
      </c>
      <c r="C525" s="20" t="str">
        <f>'Refsz-Verbräuche'!C195</f>
        <v>Beton</v>
      </c>
      <c r="D525" t="s">
        <v>208</v>
      </c>
      <c r="E525" s="15">
        <f>IF(ISNUMBER('Klisz-Verbräuche'!F195), 'Klisz-Verbräuche'!F195*Emissionsfaktoren!E195/1000, 0)</f>
        <v>0</v>
      </c>
      <c r="F525" s="15">
        <f>IF(ISNUMBER('Klisz-Verbräuche'!G195), 'Klisz-Verbräuche'!G195*Emissionsfaktoren!F195/1000, 0)</f>
        <v>0</v>
      </c>
      <c r="G525" s="15">
        <f>IF(ISNUMBER('Klisz-Verbräuche'!H195), 'Klisz-Verbräuche'!H195*Emissionsfaktoren!G195/1000, 0)</f>
        <v>0</v>
      </c>
      <c r="H525" s="15">
        <f>IF(ISNUMBER('Klisz-Verbräuche'!I195), 'Klisz-Verbräuche'!I195*Emissionsfaktoren!H195/1000, 0)</f>
        <v>0</v>
      </c>
      <c r="I525" s="15">
        <f>IF(ISNUMBER('Klisz-Verbräuche'!J195), 'Klisz-Verbräuche'!J195*Emissionsfaktoren!I195/1000, 0)</f>
        <v>0</v>
      </c>
      <c r="J525" s="15">
        <f>IF(ISNUMBER('Klisz-Verbräuche'!K195), 'Klisz-Verbräuche'!K195*Emissionsfaktoren!J195/1000, 0)</f>
        <v>0</v>
      </c>
      <c r="K525" s="15">
        <f>IF(ISNUMBER('Klisz-Verbräuche'!L195), 'Klisz-Verbräuche'!L195*Emissionsfaktoren!K195/1000, 0)</f>
        <v>0</v>
      </c>
      <c r="L525" s="15">
        <f>IF(ISNUMBER('Klisz-Verbräuche'!M195), 'Klisz-Verbräuche'!M195*Emissionsfaktoren!L195/1000, 0)</f>
        <v>0</v>
      </c>
      <c r="M525" s="15">
        <f>IF(ISNUMBER('Klisz-Verbräuche'!N195), 'Klisz-Verbräuche'!N195*Emissionsfaktoren!M195/1000, 0)</f>
        <v>0</v>
      </c>
      <c r="N525" s="15">
        <f>IF(ISNUMBER('Klisz-Verbräuche'!O195), 'Klisz-Verbräuche'!O195*Emissionsfaktoren!N195/1000, 0)</f>
        <v>0</v>
      </c>
      <c r="O525" s="15">
        <f>IF(ISNUMBER('Klisz-Verbräuche'!P195), 'Klisz-Verbräuche'!P195*Emissionsfaktoren!O195/1000, 0)</f>
        <v>0</v>
      </c>
      <c r="P525" s="15">
        <f>IF(ISNUMBER('Klisz-Verbräuche'!Q195), 'Klisz-Verbräuche'!Q195*Emissionsfaktoren!P195/1000, 0)</f>
        <v>0</v>
      </c>
      <c r="Q525" s="15">
        <f>IF(ISNUMBER('Klisz-Verbräuche'!R195), 'Klisz-Verbräuche'!R195*Emissionsfaktoren!Q195/1000, 0)</f>
        <v>0</v>
      </c>
      <c r="R525" s="15">
        <f>IF(ISNUMBER('Klisz-Verbräuche'!S195), 'Klisz-Verbräuche'!S195*Emissionsfaktoren!R195/1000, 0)</f>
        <v>0</v>
      </c>
      <c r="S525" s="15">
        <f>IF(ISNUMBER('Klisz-Verbräuche'!T195), 'Klisz-Verbräuche'!T195*Emissionsfaktoren!S195/1000, 0)</f>
        <v>0</v>
      </c>
      <c r="T525" s="15">
        <f>IF(ISNUMBER('Klisz-Verbräuche'!U195), 'Klisz-Verbräuche'!U195*Emissionsfaktoren!T195/1000, 0)</f>
        <v>0</v>
      </c>
      <c r="U525" s="15">
        <f>IF(ISNUMBER('Klisz-Verbräuche'!V195), 'Klisz-Verbräuche'!V195*Emissionsfaktoren!U195/1000, 0)</f>
        <v>0</v>
      </c>
      <c r="V525" s="15">
        <f>IF(ISNUMBER('Klisz-Verbräuche'!W195), 'Klisz-Verbräuche'!W195*Emissionsfaktoren!V195/1000, 0)</f>
        <v>0</v>
      </c>
      <c r="W525" s="15">
        <f>IF(ISNUMBER('Klisz-Verbräuche'!X195), 'Klisz-Verbräuche'!X195*Emissionsfaktoren!W195/1000, 0)</f>
        <v>0</v>
      </c>
      <c r="X525" s="15">
        <f>IF(ISNUMBER('Klisz-Verbräuche'!Y195), 'Klisz-Verbräuche'!Y195*Emissionsfaktoren!X195/1000, 0)</f>
        <v>0</v>
      </c>
    </row>
    <row r="526" spans="2:24" ht="16.5" hidden="1" x14ac:dyDescent="0.45">
      <c r="B526" s="15">
        <v>137</v>
      </c>
      <c r="C526" s="20" t="str">
        <f>'Refsz-Verbräuche'!C196</f>
        <v>Glaswolle</v>
      </c>
      <c r="D526" t="s">
        <v>208</v>
      </c>
      <c r="E526" s="15">
        <f>IF(ISNUMBER('Klisz-Verbräuche'!F196), 'Klisz-Verbräuche'!F196*Emissionsfaktoren!E196/1000, 0)</f>
        <v>0</v>
      </c>
      <c r="F526" s="15">
        <f>IF(ISNUMBER('Klisz-Verbräuche'!G196), 'Klisz-Verbräuche'!G196*Emissionsfaktoren!F196/1000, 0)</f>
        <v>0</v>
      </c>
      <c r="G526" s="15">
        <f>IF(ISNUMBER('Klisz-Verbräuche'!H196), 'Klisz-Verbräuche'!H196*Emissionsfaktoren!G196/1000, 0)</f>
        <v>0</v>
      </c>
      <c r="H526" s="15">
        <f>IF(ISNUMBER('Klisz-Verbräuche'!I196), 'Klisz-Verbräuche'!I196*Emissionsfaktoren!H196/1000, 0)</f>
        <v>0</v>
      </c>
      <c r="I526" s="15">
        <f>IF(ISNUMBER('Klisz-Verbräuche'!J196), 'Klisz-Verbräuche'!J196*Emissionsfaktoren!I196/1000, 0)</f>
        <v>0</v>
      </c>
      <c r="J526" s="15">
        <f>IF(ISNUMBER('Klisz-Verbräuche'!K196), 'Klisz-Verbräuche'!K196*Emissionsfaktoren!J196/1000, 0)</f>
        <v>0</v>
      </c>
      <c r="K526" s="15">
        <f>IF(ISNUMBER('Klisz-Verbräuche'!L196), 'Klisz-Verbräuche'!L196*Emissionsfaktoren!K196/1000, 0)</f>
        <v>0</v>
      </c>
      <c r="L526" s="15">
        <f>IF(ISNUMBER('Klisz-Verbräuche'!M196), 'Klisz-Verbräuche'!M196*Emissionsfaktoren!L196/1000, 0)</f>
        <v>0</v>
      </c>
      <c r="M526" s="15">
        <f>IF(ISNUMBER('Klisz-Verbräuche'!N196), 'Klisz-Verbräuche'!N196*Emissionsfaktoren!M196/1000, 0)</f>
        <v>0</v>
      </c>
      <c r="N526" s="15">
        <f>IF(ISNUMBER('Klisz-Verbräuche'!O196), 'Klisz-Verbräuche'!O196*Emissionsfaktoren!N196/1000, 0)</f>
        <v>0</v>
      </c>
      <c r="O526" s="15">
        <f>IF(ISNUMBER('Klisz-Verbräuche'!P196), 'Klisz-Verbräuche'!P196*Emissionsfaktoren!O196/1000, 0)</f>
        <v>0</v>
      </c>
      <c r="P526" s="15">
        <f>IF(ISNUMBER('Klisz-Verbräuche'!Q196), 'Klisz-Verbräuche'!Q196*Emissionsfaktoren!P196/1000, 0)</f>
        <v>0</v>
      </c>
      <c r="Q526" s="15">
        <f>IF(ISNUMBER('Klisz-Verbräuche'!R196), 'Klisz-Verbräuche'!R196*Emissionsfaktoren!Q196/1000, 0)</f>
        <v>0</v>
      </c>
      <c r="R526" s="15">
        <f>IF(ISNUMBER('Klisz-Verbräuche'!S196), 'Klisz-Verbräuche'!S196*Emissionsfaktoren!R196/1000, 0)</f>
        <v>0</v>
      </c>
      <c r="S526" s="15">
        <f>IF(ISNUMBER('Klisz-Verbräuche'!T196), 'Klisz-Verbräuche'!T196*Emissionsfaktoren!S196/1000, 0)</f>
        <v>0</v>
      </c>
      <c r="T526" s="15">
        <f>IF(ISNUMBER('Klisz-Verbräuche'!U196), 'Klisz-Verbräuche'!U196*Emissionsfaktoren!T196/1000, 0)</f>
        <v>0</v>
      </c>
      <c r="U526" s="15">
        <f>IF(ISNUMBER('Klisz-Verbräuche'!V196), 'Klisz-Verbräuche'!V196*Emissionsfaktoren!U196/1000, 0)</f>
        <v>0</v>
      </c>
      <c r="V526" s="15">
        <f>IF(ISNUMBER('Klisz-Verbräuche'!W196), 'Klisz-Verbräuche'!W196*Emissionsfaktoren!V196/1000, 0)</f>
        <v>0</v>
      </c>
      <c r="W526" s="15">
        <f>IF(ISNUMBER('Klisz-Verbräuche'!X196), 'Klisz-Verbräuche'!X196*Emissionsfaktoren!W196/1000, 0)</f>
        <v>0</v>
      </c>
      <c r="X526" s="15">
        <f>IF(ISNUMBER('Klisz-Verbräuche'!Y196), 'Klisz-Verbräuche'!Y196*Emissionsfaktoren!X196/1000, 0)</f>
        <v>0</v>
      </c>
    </row>
    <row r="527" spans="2:24" ht="16.5" hidden="1" x14ac:dyDescent="0.45">
      <c r="B527" s="15">
        <v>138</v>
      </c>
      <c r="C527" s="20" t="str">
        <f>'Refsz-Verbräuche'!C197</f>
        <v>Konstruktionsvollholz</v>
      </c>
      <c r="D527" t="s">
        <v>208</v>
      </c>
      <c r="E527" s="15">
        <f>IF(ISNUMBER('Klisz-Verbräuche'!F197), 'Klisz-Verbräuche'!F197*Emissionsfaktoren!E197/1000, 0)</f>
        <v>0</v>
      </c>
      <c r="F527" s="15">
        <f>IF(ISNUMBER('Klisz-Verbräuche'!G197), 'Klisz-Verbräuche'!G197*Emissionsfaktoren!F197/1000, 0)</f>
        <v>0</v>
      </c>
      <c r="G527" s="15">
        <f>IF(ISNUMBER('Klisz-Verbräuche'!H197), 'Klisz-Verbräuche'!H197*Emissionsfaktoren!G197/1000, 0)</f>
        <v>0</v>
      </c>
      <c r="H527" s="15">
        <f>IF(ISNUMBER('Klisz-Verbräuche'!I197), 'Klisz-Verbräuche'!I197*Emissionsfaktoren!H197/1000, 0)</f>
        <v>0</v>
      </c>
      <c r="I527" s="15">
        <f>IF(ISNUMBER('Klisz-Verbräuche'!J197), 'Klisz-Verbräuche'!J197*Emissionsfaktoren!I197/1000, 0)</f>
        <v>0</v>
      </c>
      <c r="J527" s="15">
        <f>IF(ISNUMBER('Klisz-Verbräuche'!K197), 'Klisz-Verbräuche'!K197*Emissionsfaktoren!J197/1000, 0)</f>
        <v>0</v>
      </c>
      <c r="K527" s="15">
        <f>IF(ISNUMBER('Klisz-Verbräuche'!L197), 'Klisz-Verbräuche'!L197*Emissionsfaktoren!K197/1000, 0)</f>
        <v>0</v>
      </c>
      <c r="L527" s="15">
        <f>IF(ISNUMBER('Klisz-Verbräuche'!M197), 'Klisz-Verbräuche'!M197*Emissionsfaktoren!L197/1000, 0)</f>
        <v>0</v>
      </c>
      <c r="M527" s="15">
        <f>IF(ISNUMBER('Klisz-Verbräuche'!N197), 'Klisz-Verbräuche'!N197*Emissionsfaktoren!M197/1000, 0)</f>
        <v>0</v>
      </c>
      <c r="N527" s="15">
        <f>IF(ISNUMBER('Klisz-Verbräuche'!O197), 'Klisz-Verbräuche'!O197*Emissionsfaktoren!N197/1000, 0)</f>
        <v>0</v>
      </c>
      <c r="O527" s="15">
        <f>IF(ISNUMBER('Klisz-Verbräuche'!P197), 'Klisz-Verbräuche'!P197*Emissionsfaktoren!O197/1000, 0)</f>
        <v>0</v>
      </c>
      <c r="P527" s="15">
        <f>IF(ISNUMBER('Klisz-Verbräuche'!Q197), 'Klisz-Verbräuche'!Q197*Emissionsfaktoren!P197/1000, 0)</f>
        <v>0</v>
      </c>
      <c r="Q527" s="15">
        <f>IF(ISNUMBER('Klisz-Verbräuche'!R197), 'Klisz-Verbräuche'!R197*Emissionsfaktoren!Q197/1000, 0)</f>
        <v>0</v>
      </c>
      <c r="R527" s="15">
        <f>IF(ISNUMBER('Klisz-Verbräuche'!S197), 'Klisz-Verbräuche'!S197*Emissionsfaktoren!R197/1000, 0)</f>
        <v>0</v>
      </c>
      <c r="S527" s="15">
        <f>IF(ISNUMBER('Klisz-Verbräuche'!T197), 'Klisz-Verbräuche'!T197*Emissionsfaktoren!S197/1000, 0)</f>
        <v>0</v>
      </c>
      <c r="T527" s="15">
        <f>IF(ISNUMBER('Klisz-Verbräuche'!U197), 'Klisz-Verbräuche'!U197*Emissionsfaktoren!T197/1000, 0)</f>
        <v>0</v>
      </c>
      <c r="U527" s="15">
        <f>IF(ISNUMBER('Klisz-Verbräuche'!V197), 'Klisz-Verbräuche'!V197*Emissionsfaktoren!U197/1000, 0)</f>
        <v>0</v>
      </c>
      <c r="V527" s="15">
        <f>IF(ISNUMBER('Klisz-Verbräuche'!W197), 'Klisz-Verbräuche'!W197*Emissionsfaktoren!V197/1000, 0)</f>
        <v>0</v>
      </c>
      <c r="W527" s="15">
        <f>IF(ISNUMBER('Klisz-Verbräuche'!X197), 'Klisz-Verbräuche'!X197*Emissionsfaktoren!W197/1000, 0)</f>
        <v>0</v>
      </c>
      <c r="X527" s="15">
        <f>IF(ISNUMBER('Klisz-Verbräuche'!Y197), 'Klisz-Verbräuche'!Y197*Emissionsfaktoren!X197/1000, 0)</f>
        <v>0</v>
      </c>
    </row>
    <row r="528" spans="2:24" ht="16.5" hidden="1" x14ac:dyDescent="0.45">
      <c r="B528" s="15">
        <v>139</v>
      </c>
      <c r="C528" s="20" t="str">
        <f>'Refsz-Verbräuche'!C198</f>
        <v>Spanplatte</v>
      </c>
      <c r="D528" t="s">
        <v>208</v>
      </c>
      <c r="E528" s="15">
        <f>IF(ISNUMBER('Klisz-Verbräuche'!F198), 'Klisz-Verbräuche'!F198*Emissionsfaktoren!E198/1000, 0)</f>
        <v>0</v>
      </c>
      <c r="F528" s="15">
        <f>IF(ISNUMBER('Klisz-Verbräuche'!G198), 'Klisz-Verbräuche'!G198*Emissionsfaktoren!F198/1000, 0)</f>
        <v>0</v>
      </c>
      <c r="G528" s="15">
        <f>IF(ISNUMBER('Klisz-Verbräuche'!H198), 'Klisz-Verbräuche'!H198*Emissionsfaktoren!G198/1000, 0)</f>
        <v>0</v>
      </c>
      <c r="H528" s="15">
        <f>IF(ISNUMBER('Klisz-Verbräuche'!I198), 'Klisz-Verbräuche'!I198*Emissionsfaktoren!H198/1000, 0)</f>
        <v>0</v>
      </c>
      <c r="I528" s="15">
        <f>IF(ISNUMBER('Klisz-Verbräuche'!J198), 'Klisz-Verbräuche'!J198*Emissionsfaktoren!I198/1000, 0)</f>
        <v>0</v>
      </c>
      <c r="J528" s="15">
        <f>IF(ISNUMBER('Klisz-Verbräuche'!K198), 'Klisz-Verbräuche'!K198*Emissionsfaktoren!J198/1000, 0)</f>
        <v>0</v>
      </c>
      <c r="K528" s="15">
        <f>IF(ISNUMBER('Klisz-Verbräuche'!L198), 'Klisz-Verbräuche'!L198*Emissionsfaktoren!K198/1000, 0)</f>
        <v>0</v>
      </c>
      <c r="L528" s="15">
        <f>IF(ISNUMBER('Klisz-Verbräuche'!M198), 'Klisz-Verbräuche'!M198*Emissionsfaktoren!L198/1000, 0)</f>
        <v>0</v>
      </c>
      <c r="M528" s="15">
        <f>IF(ISNUMBER('Klisz-Verbräuche'!N198), 'Klisz-Verbräuche'!N198*Emissionsfaktoren!M198/1000, 0)</f>
        <v>0</v>
      </c>
      <c r="N528" s="15">
        <f>IF(ISNUMBER('Klisz-Verbräuche'!O198), 'Klisz-Verbräuche'!O198*Emissionsfaktoren!N198/1000, 0)</f>
        <v>0</v>
      </c>
      <c r="O528" s="15">
        <f>IF(ISNUMBER('Klisz-Verbräuche'!P198), 'Klisz-Verbräuche'!P198*Emissionsfaktoren!O198/1000, 0)</f>
        <v>0</v>
      </c>
      <c r="P528" s="15">
        <f>IF(ISNUMBER('Klisz-Verbräuche'!Q198), 'Klisz-Verbräuche'!Q198*Emissionsfaktoren!P198/1000, 0)</f>
        <v>0</v>
      </c>
      <c r="Q528" s="15">
        <f>IF(ISNUMBER('Klisz-Verbräuche'!R198), 'Klisz-Verbräuche'!R198*Emissionsfaktoren!Q198/1000, 0)</f>
        <v>0</v>
      </c>
      <c r="R528" s="15">
        <f>IF(ISNUMBER('Klisz-Verbräuche'!S198), 'Klisz-Verbräuche'!S198*Emissionsfaktoren!R198/1000, 0)</f>
        <v>0</v>
      </c>
      <c r="S528" s="15">
        <f>IF(ISNUMBER('Klisz-Verbräuche'!T198), 'Klisz-Verbräuche'!T198*Emissionsfaktoren!S198/1000, 0)</f>
        <v>0</v>
      </c>
      <c r="T528" s="15">
        <f>IF(ISNUMBER('Klisz-Verbräuche'!U198), 'Klisz-Verbräuche'!U198*Emissionsfaktoren!T198/1000, 0)</f>
        <v>0</v>
      </c>
      <c r="U528" s="15">
        <f>IF(ISNUMBER('Klisz-Verbräuche'!V198), 'Klisz-Verbräuche'!V198*Emissionsfaktoren!U198/1000, 0)</f>
        <v>0</v>
      </c>
      <c r="V528" s="15">
        <f>IF(ISNUMBER('Klisz-Verbräuche'!W198), 'Klisz-Verbräuche'!W198*Emissionsfaktoren!V198/1000, 0)</f>
        <v>0</v>
      </c>
      <c r="W528" s="15">
        <f>IF(ISNUMBER('Klisz-Verbräuche'!X198), 'Klisz-Verbräuche'!X198*Emissionsfaktoren!W198/1000, 0)</f>
        <v>0</v>
      </c>
      <c r="X528" s="15">
        <f>IF(ISNUMBER('Klisz-Verbräuche'!Y198), 'Klisz-Verbräuche'!Y198*Emissionsfaktoren!X198/1000, 0)</f>
        <v>0</v>
      </c>
    </row>
    <row r="529" spans="2:24" ht="16.5" hidden="1" x14ac:dyDescent="0.45">
      <c r="B529" s="15">
        <v>140</v>
      </c>
      <c r="C529" s="20" t="str">
        <f>'Refsz-Verbräuche'!C199</f>
        <v>Perlit</v>
      </c>
      <c r="D529" t="s">
        <v>208</v>
      </c>
      <c r="E529" s="15">
        <f>IF(ISNUMBER('Klisz-Verbräuche'!F199), 'Klisz-Verbräuche'!F199*Emissionsfaktoren!E199/1000, 0)</f>
        <v>0</v>
      </c>
      <c r="F529" s="15">
        <f>IF(ISNUMBER('Klisz-Verbräuche'!G199), 'Klisz-Verbräuche'!G199*Emissionsfaktoren!F199/1000, 0)</f>
        <v>0</v>
      </c>
      <c r="G529" s="15">
        <f>IF(ISNUMBER('Klisz-Verbräuche'!H199), 'Klisz-Verbräuche'!H199*Emissionsfaktoren!G199/1000, 0)</f>
        <v>0</v>
      </c>
      <c r="H529" s="15">
        <f>IF(ISNUMBER('Klisz-Verbräuche'!I199), 'Klisz-Verbräuche'!I199*Emissionsfaktoren!H199/1000, 0)</f>
        <v>0</v>
      </c>
      <c r="I529" s="15">
        <f>IF(ISNUMBER('Klisz-Verbräuche'!J199), 'Klisz-Verbräuche'!J199*Emissionsfaktoren!I199/1000, 0)</f>
        <v>0</v>
      </c>
      <c r="J529" s="15">
        <f>IF(ISNUMBER('Klisz-Verbräuche'!K199), 'Klisz-Verbräuche'!K199*Emissionsfaktoren!J199/1000, 0)</f>
        <v>0</v>
      </c>
      <c r="K529" s="15">
        <f>IF(ISNUMBER('Klisz-Verbräuche'!L199), 'Klisz-Verbräuche'!L199*Emissionsfaktoren!K199/1000, 0)</f>
        <v>0</v>
      </c>
      <c r="L529" s="15">
        <f>IF(ISNUMBER('Klisz-Verbräuche'!M199), 'Klisz-Verbräuche'!M199*Emissionsfaktoren!L199/1000, 0)</f>
        <v>0</v>
      </c>
      <c r="M529" s="15">
        <f>IF(ISNUMBER('Klisz-Verbräuche'!N199), 'Klisz-Verbräuche'!N199*Emissionsfaktoren!M199/1000, 0)</f>
        <v>0</v>
      </c>
      <c r="N529" s="15">
        <f>IF(ISNUMBER('Klisz-Verbräuche'!O199), 'Klisz-Verbräuche'!O199*Emissionsfaktoren!N199/1000, 0)</f>
        <v>0</v>
      </c>
      <c r="O529" s="15">
        <f>IF(ISNUMBER('Klisz-Verbräuche'!P199), 'Klisz-Verbräuche'!P199*Emissionsfaktoren!O199/1000, 0)</f>
        <v>0</v>
      </c>
      <c r="P529" s="15">
        <f>IF(ISNUMBER('Klisz-Verbräuche'!Q199), 'Klisz-Verbräuche'!Q199*Emissionsfaktoren!P199/1000, 0)</f>
        <v>0</v>
      </c>
      <c r="Q529" s="15">
        <f>IF(ISNUMBER('Klisz-Verbräuche'!R199), 'Klisz-Verbräuche'!R199*Emissionsfaktoren!Q199/1000, 0)</f>
        <v>0</v>
      </c>
      <c r="R529" s="15">
        <f>IF(ISNUMBER('Klisz-Verbräuche'!S199), 'Klisz-Verbräuche'!S199*Emissionsfaktoren!R199/1000, 0)</f>
        <v>0</v>
      </c>
      <c r="S529" s="15">
        <f>IF(ISNUMBER('Klisz-Verbräuche'!T199), 'Klisz-Verbräuche'!T199*Emissionsfaktoren!S199/1000, 0)</f>
        <v>0</v>
      </c>
      <c r="T529" s="15">
        <f>IF(ISNUMBER('Klisz-Verbräuche'!U199), 'Klisz-Verbräuche'!U199*Emissionsfaktoren!T199/1000, 0)</f>
        <v>0</v>
      </c>
      <c r="U529" s="15">
        <f>IF(ISNUMBER('Klisz-Verbräuche'!V199), 'Klisz-Verbräuche'!V199*Emissionsfaktoren!U199/1000, 0)</f>
        <v>0</v>
      </c>
      <c r="V529" s="15">
        <f>IF(ISNUMBER('Klisz-Verbräuche'!W199), 'Klisz-Verbräuche'!W199*Emissionsfaktoren!V199/1000, 0)</f>
        <v>0</v>
      </c>
      <c r="W529" s="15">
        <f>IF(ISNUMBER('Klisz-Verbräuche'!X199), 'Klisz-Verbräuche'!X199*Emissionsfaktoren!W199/1000, 0)</f>
        <v>0</v>
      </c>
      <c r="X529" s="15">
        <f>IF(ISNUMBER('Klisz-Verbräuche'!Y199), 'Klisz-Verbräuche'!Y199*Emissionsfaktoren!X199/1000, 0)</f>
        <v>0</v>
      </c>
    </row>
    <row r="530" spans="2:24" ht="16.5" hidden="1" x14ac:dyDescent="0.45">
      <c r="B530" s="15">
        <v>141</v>
      </c>
      <c r="C530" s="20" t="str">
        <f>'Refsz-Verbräuche'!C200</f>
        <v>Stahlbeton Fertigteil Decke (20cm Dicke)</v>
      </c>
      <c r="D530" t="s">
        <v>208</v>
      </c>
      <c r="E530" s="15">
        <f>IF(ISNUMBER('Klisz-Verbräuche'!F200), 'Klisz-Verbräuche'!F200*Emissionsfaktoren!E200/1000, 0)</f>
        <v>0</v>
      </c>
      <c r="F530" s="15">
        <f>IF(ISNUMBER('Klisz-Verbräuche'!G200), 'Klisz-Verbräuche'!G200*Emissionsfaktoren!F200/1000, 0)</f>
        <v>0</v>
      </c>
      <c r="G530" s="15">
        <f>IF(ISNUMBER('Klisz-Verbräuche'!H200), 'Klisz-Verbräuche'!H200*Emissionsfaktoren!G200/1000, 0)</f>
        <v>0</v>
      </c>
      <c r="H530" s="15">
        <f>IF(ISNUMBER('Klisz-Verbräuche'!I200), 'Klisz-Verbräuche'!I200*Emissionsfaktoren!H200/1000, 0)</f>
        <v>0</v>
      </c>
      <c r="I530" s="15">
        <f>IF(ISNUMBER('Klisz-Verbräuche'!J200), 'Klisz-Verbräuche'!J200*Emissionsfaktoren!I200/1000, 0)</f>
        <v>0</v>
      </c>
      <c r="J530" s="15">
        <f>IF(ISNUMBER('Klisz-Verbräuche'!K200), 'Klisz-Verbräuche'!K200*Emissionsfaktoren!J200/1000, 0)</f>
        <v>0</v>
      </c>
      <c r="K530" s="15">
        <f>IF(ISNUMBER('Klisz-Verbräuche'!L200), 'Klisz-Verbräuche'!L200*Emissionsfaktoren!K200/1000, 0)</f>
        <v>0</v>
      </c>
      <c r="L530" s="15">
        <f>IF(ISNUMBER('Klisz-Verbräuche'!M200), 'Klisz-Verbräuche'!M200*Emissionsfaktoren!L200/1000, 0)</f>
        <v>0</v>
      </c>
      <c r="M530" s="15">
        <f>IF(ISNUMBER('Klisz-Verbräuche'!N200), 'Klisz-Verbräuche'!N200*Emissionsfaktoren!M200/1000, 0)</f>
        <v>0</v>
      </c>
      <c r="N530" s="15">
        <f>IF(ISNUMBER('Klisz-Verbräuche'!O200), 'Klisz-Verbräuche'!O200*Emissionsfaktoren!N200/1000, 0)</f>
        <v>0</v>
      </c>
      <c r="O530" s="15">
        <f>IF(ISNUMBER('Klisz-Verbräuche'!P200), 'Klisz-Verbräuche'!P200*Emissionsfaktoren!O200/1000, 0)</f>
        <v>0</v>
      </c>
      <c r="P530" s="15">
        <f>IF(ISNUMBER('Klisz-Verbräuche'!Q200), 'Klisz-Verbräuche'!Q200*Emissionsfaktoren!P200/1000, 0)</f>
        <v>0</v>
      </c>
      <c r="Q530" s="15">
        <f>IF(ISNUMBER('Klisz-Verbräuche'!R200), 'Klisz-Verbräuche'!R200*Emissionsfaktoren!Q200/1000, 0)</f>
        <v>0</v>
      </c>
      <c r="R530" s="15">
        <f>IF(ISNUMBER('Klisz-Verbräuche'!S200), 'Klisz-Verbräuche'!S200*Emissionsfaktoren!R200/1000, 0)</f>
        <v>0</v>
      </c>
      <c r="S530" s="15">
        <f>IF(ISNUMBER('Klisz-Verbräuche'!T200), 'Klisz-Verbräuche'!T200*Emissionsfaktoren!S200/1000, 0)</f>
        <v>0</v>
      </c>
      <c r="T530" s="15">
        <f>IF(ISNUMBER('Klisz-Verbräuche'!U200), 'Klisz-Verbräuche'!U200*Emissionsfaktoren!T200/1000, 0)</f>
        <v>0</v>
      </c>
      <c r="U530" s="15">
        <f>IF(ISNUMBER('Klisz-Verbräuche'!V200), 'Klisz-Verbräuche'!V200*Emissionsfaktoren!U200/1000, 0)</f>
        <v>0</v>
      </c>
      <c r="V530" s="15">
        <f>IF(ISNUMBER('Klisz-Verbräuche'!W200), 'Klisz-Verbräuche'!W200*Emissionsfaktoren!V200/1000, 0)</f>
        <v>0</v>
      </c>
      <c r="W530" s="15">
        <f>IF(ISNUMBER('Klisz-Verbräuche'!X200), 'Klisz-Verbräuche'!X200*Emissionsfaktoren!W200/1000, 0)</f>
        <v>0</v>
      </c>
      <c r="X530" s="15">
        <f>IF(ISNUMBER('Klisz-Verbräuche'!Y200), 'Klisz-Verbräuche'!Y200*Emissionsfaktoren!X200/1000, 0)</f>
        <v>0</v>
      </c>
    </row>
    <row r="531" spans="2:24" ht="16.5" hidden="1" x14ac:dyDescent="0.45">
      <c r="B531" s="15">
        <v>142</v>
      </c>
      <c r="C531" s="20" t="str">
        <f>'Refsz-Verbräuche'!C201</f>
        <v>Stahlbeton Fertigteil Wand (12cm Dicke)</v>
      </c>
      <c r="D531" t="s">
        <v>208</v>
      </c>
      <c r="E531" s="15">
        <f>IF(ISNUMBER('Klisz-Verbräuche'!F201), 'Klisz-Verbräuche'!F201*Emissionsfaktoren!E201/1000, 0)</f>
        <v>0</v>
      </c>
      <c r="F531" s="15">
        <f>IF(ISNUMBER('Klisz-Verbräuche'!G201), 'Klisz-Verbräuche'!G201*Emissionsfaktoren!F201/1000, 0)</f>
        <v>0</v>
      </c>
      <c r="G531" s="15">
        <f>IF(ISNUMBER('Klisz-Verbräuche'!H201), 'Klisz-Verbräuche'!H201*Emissionsfaktoren!G201/1000, 0)</f>
        <v>0</v>
      </c>
      <c r="H531" s="15">
        <f>IF(ISNUMBER('Klisz-Verbräuche'!I201), 'Klisz-Verbräuche'!I201*Emissionsfaktoren!H201/1000, 0)</f>
        <v>0</v>
      </c>
      <c r="I531" s="15">
        <f>IF(ISNUMBER('Klisz-Verbräuche'!J201), 'Klisz-Verbräuche'!J201*Emissionsfaktoren!I201/1000, 0)</f>
        <v>0</v>
      </c>
      <c r="J531" s="15">
        <f>IF(ISNUMBER('Klisz-Verbräuche'!K201), 'Klisz-Verbräuche'!K201*Emissionsfaktoren!J201/1000, 0)</f>
        <v>0</v>
      </c>
      <c r="K531" s="15">
        <f>IF(ISNUMBER('Klisz-Verbräuche'!L201), 'Klisz-Verbräuche'!L201*Emissionsfaktoren!K201/1000, 0)</f>
        <v>0</v>
      </c>
      <c r="L531" s="15">
        <f>IF(ISNUMBER('Klisz-Verbräuche'!M201), 'Klisz-Verbräuche'!M201*Emissionsfaktoren!L201/1000, 0)</f>
        <v>0</v>
      </c>
      <c r="M531" s="15">
        <f>IF(ISNUMBER('Klisz-Verbräuche'!N201), 'Klisz-Verbräuche'!N201*Emissionsfaktoren!M201/1000, 0)</f>
        <v>0</v>
      </c>
      <c r="N531" s="15">
        <f>IF(ISNUMBER('Klisz-Verbräuche'!O201), 'Klisz-Verbräuche'!O201*Emissionsfaktoren!N201/1000, 0)</f>
        <v>0</v>
      </c>
      <c r="O531" s="15">
        <f>IF(ISNUMBER('Klisz-Verbräuche'!P201), 'Klisz-Verbräuche'!P201*Emissionsfaktoren!O201/1000, 0)</f>
        <v>0</v>
      </c>
      <c r="P531" s="15">
        <f>IF(ISNUMBER('Klisz-Verbräuche'!Q201), 'Klisz-Verbräuche'!Q201*Emissionsfaktoren!P201/1000, 0)</f>
        <v>0</v>
      </c>
      <c r="Q531" s="15">
        <f>IF(ISNUMBER('Klisz-Verbräuche'!R201), 'Klisz-Verbräuche'!R201*Emissionsfaktoren!Q201/1000, 0)</f>
        <v>0</v>
      </c>
      <c r="R531" s="15">
        <f>IF(ISNUMBER('Klisz-Verbräuche'!S201), 'Klisz-Verbräuche'!S201*Emissionsfaktoren!R201/1000, 0)</f>
        <v>0</v>
      </c>
      <c r="S531" s="15">
        <f>IF(ISNUMBER('Klisz-Verbräuche'!T201), 'Klisz-Verbräuche'!T201*Emissionsfaktoren!S201/1000, 0)</f>
        <v>0</v>
      </c>
      <c r="T531" s="15">
        <f>IF(ISNUMBER('Klisz-Verbräuche'!U201), 'Klisz-Verbräuche'!U201*Emissionsfaktoren!T201/1000, 0)</f>
        <v>0</v>
      </c>
      <c r="U531" s="15">
        <f>IF(ISNUMBER('Klisz-Verbräuche'!V201), 'Klisz-Verbräuche'!V201*Emissionsfaktoren!U201/1000, 0)</f>
        <v>0</v>
      </c>
      <c r="V531" s="15">
        <f>IF(ISNUMBER('Klisz-Verbräuche'!W201), 'Klisz-Verbräuche'!W201*Emissionsfaktoren!V201/1000, 0)</f>
        <v>0</v>
      </c>
      <c r="W531" s="15">
        <f>IF(ISNUMBER('Klisz-Verbräuche'!X201), 'Klisz-Verbräuche'!X201*Emissionsfaktoren!W201/1000, 0)</f>
        <v>0</v>
      </c>
      <c r="X531" s="15">
        <f>IF(ISNUMBER('Klisz-Verbräuche'!Y201), 'Klisz-Verbräuche'!Y201*Emissionsfaktoren!X201/1000, 0)</f>
        <v>0</v>
      </c>
    </row>
    <row r="532" spans="2:24" ht="16.5" hidden="1" x14ac:dyDescent="0.45">
      <c r="B532" s="15">
        <v>143</v>
      </c>
      <c r="C532" s="20" t="str">
        <f>'Refsz-Verbräuche'!C202</f>
        <v xml:space="preserve">Stahlbeton Fertigteil Treppe (1,1 m Breite, 9 Stufen a 16 cm) </v>
      </c>
      <c r="D532" t="s">
        <v>208</v>
      </c>
      <c r="E532" s="15">
        <f>IF(ISNUMBER('Klisz-Verbräuche'!F202), 'Klisz-Verbräuche'!F202*Emissionsfaktoren!E202/1000, 0)</f>
        <v>0</v>
      </c>
      <c r="F532" s="15">
        <f>IF(ISNUMBER('Klisz-Verbräuche'!G202), 'Klisz-Verbräuche'!G202*Emissionsfaktoren!F202/1000, 0)</f>
        <v>0</v>
      </c>
      <c r="G532" s="15">
        <f>IF(ISNUMBER('Klisz-Verbräuche'!H202), 'Klisz-Verbräuche'!H202*Emissionsfaktoren!G202/1000, 0)</f>
        <v>0</v>
      </c>
      <c r="H532" s="15">
        <f>IF(ISNUMBER('Klisz-Verbräuche'!I202), 'Klisz-Verbräuche'!I202*Emissionsfaktoren!H202/1000, 0)</f>
        <v>0</v>
      </c>
      <c r="I532" s="15">
        <f>IF(ISNUMBER('Klisz-Verbräuche'!J202), 'Klisz-Verbräuche'!J202*Emissionsfaktoren!I202/1000, 0)</f>
        <v>0</v>
      </c>
      <c r="J532" s="15">
        <f>IF(ISNUMBER('Klisz-Verbräuche'!K202), 'Klisz-Verbräuche'!K202*Emissionsfaktoren!J202/1000, 0)</f>
        <v>0</v>
      </c>
      <c r="K532" s="15">
        <f>IF(ISNUMBER('Klisz-Verbräuche'!L202), 'Klisz-Verbräuche'!L202*Emissionsfaktoren!K202/1000, 0)</f>
        <v>0</v>
      </c>
      <c r="L532" s="15">
        <f>IF(ISNUMBER('Klisz-Verbräuche'!M202), 'Klisz-Verbräuche'!M202*Emissionsfaktoren!L202/1000, 0)</f>
        <v>0</v>
      </c>
      <c r="M532" s="15">
        <f>IF(ISNUMBER('Klisz-Verbräuche'!N202), 'Klisz-Verbräuche'!N202*Emissionsfaktoren!M202/1000, 0)</f>
        <v>0</v>
      </c>
      <c r="N532" s="15">
        <f>IF(ISNUMBER('Klisz-Verbräuche'!O202), 'Klisz-Verbräuche'!O202*Emissionsfaktoren!N202/1000, 0)</f>
        <v>0</v>
      </c>
      <c r="O532" s="15">
        <f>IF(ISNUMBER('Klisz-Verbräuche'!P202), 'Klisz-Verbräuche'!P202*Emissionsfaktoren!O202/1000, 0)</f>
        <v>0</v>
      </c>
      <c r="P532" s="15">
        <f>IF(ISNUMBER('Klisz-Verbräuche'!Q202), 'Klisz-Verbräuche'!Q202*Emissionsfaktoren!P202/1000, 0)</f>
        <v>0</v>
      </c>
      <c r="Q532" s="15">
        <f>IF(ISNUMBER('Klisz-Verbräuche'!R202), 'Klisz-Verbräuche'!R202*Emissionsfaktoren!Q202/1000, 0)</f>
        <v>0</v>
      </c>
      <c r="R532" s="15">
        <f>IF(ISNUMBER('Klisz-Verbräuche'!S202), 'Klisz-Verbräuche'!S202*Emissionsfaktoren!R202/1000, 0)</f>
        <v>0</v>
      </c>
      <c r="S532" s="15">
        <f>IF(ISNUMBER('Klisz-Verbräuche'!T202), 'Klisz-Verbräuche'!T202*Emissionsfaktoren!S202/1000, 0)</f>
        <v>0</v>
      </c>
      <c r="T532" s="15">
        <f>IF(ISNUMBER('Klisz-Verbräuche'!U202), 'Klisz-Verbräuche'!U202*Emissionsfaktoren!T202/1000, 0)</f>
        <v>0</v>
      </c>
      <c r="U532" s="15">
        <f>IF(ISNUMBER('Klisz-Verbräuche'!V202), 'Klisz-Verbräuche'!V202*Emissionsfaktoren!U202/1000, 0)</f>
        <v>0</v>
      </c>
      <c r="V532" s="15">
        <f>IF(ISNUMBER('Klisz-Verbräuche'!W202), 'Klisz-Verbräuche'!W202*Emissionsfaktoren!V202/1000, 0)</f>
        <v>0</v>
      </c>
      <c r="W532" s="15">
        <f>IF(ISNUMBER('Klisz-Verbräuche'!X202), 'Klisz-Verbräuche'!X202*Emissionsfaktoren!W202/1000, 0)</f>
        <v>0</v>
      </c>
      <c r="X532" s="15">
        <f>IF(ISNUMBER('Klisz-Verbräuche'!Y202), 'Klisz-Verbräuche'!Y202*Emissionsfaktoren!X202/1000, 0)</f>
        <v>0</v>
      </c>
    </row>
    <row r="533" spans="2:24" ht="16.5" hidden="1" x14ac:dyDescent="0.45">
      <c r="B533" s="15">
        <v>144</v>
      </c>
      <c r="C533" s="20" t="str">
        <f>'Refsz-Verbräuche'!C203</f>
        <v>Mineralwolle</v>
      </c>
      <c r="D533" t="s">
        <v>208</v>
      </c>
      <c r="E533" s="15">
        <f>IF(ISNUMBER('Klisz-Verbräuche'!F203), 'Klisz-Verbräuche'!F203*Emissionsfaktoren!E203/1000, 0)</f>
        <v>0</v>
      </c>
      <c r="F533" s="15">
        <f>IF(ISNUMBER('Klisz-Verbräuche'!G203), 'Klisz-Verbräuche'!G203*Emissionsfaktoren!F203/1000, 0)</f>
        <v>0</v>
      </c>
      <c r="G533" s="15">
        <f>IF(ISNUMBER('Klisz-Verbräuche'!H203), 'Klisz-Verbräuche'!H203*Emissionsfaktoren!G203/1000, 0)</f>
        <v>0</v>
      </c>
      <c r="H533" s="15">
        <f>IF(ISNUMBER('Klisz-Verbräuche'!I203), 'Klisz-Verbräuche'!I203*Emissionsfaktoren!H203/1000, 0)</f>
        <v>0</v>
      </c>
      <c r="I533" s="15">
        <f>IF(ISNUMBER('Klisz-Verbräuche'!J203), 'Klisz-Verbräuche'!J203*Emissionsfaktoren!I203/1000, 0)</f>
        <v>0</v>
      </c>
      <c r="J533" s="15">
        <f>IF(ISNUMBER('Klisz-Verbräuche'!K203), 'Klisz-Verbräuche'!K203*Emissionsfaktoren!J203/1000, 0)</f>
        <v>0</v>
      </c>
      <c r="K533" s="15">
        <f>IF(ISNUMBER('Klisz-Verbräuche'!L203), 'Klisz-Verbräuche'!L203*Emissionsfaktoren!K203/1000, 0)</f>
        <v>0</v>
      </c>
      <c r="L533" s="15">
        <f>IF(ISNUMBER('Klisz-Verbräuche'!M203), 'Klisz-Verbräuche'!M203*Emissionsfaktoren!L203/1000, 0)</f>
        <v>0</v>
      </c>
      <c r="M533" s="15">
        <f>IF(ISNUMBER('Klisz-Verbräuche'!N203), 'Klisz-Verbräuche'!N203*Emissionsfaktoren!M203/1000, 0)</f>
        <v>0</v>
      </c>
      <c r="N533" s="15">
        <f>IF(ISNUMBER('Klisz-Verbräuche'!O203), 'Klisz-Verbräuche'!O203*Emissionsfaktoren!N203/1000, 0)</f>
        <v>0</v>
      </c>
      <c r="O533" s="15">
        <f>IF(ISNUMBER('Klisz-Verbräuche'!P203), 'Klisz-Verbräuche'!P203*Emissionsfaktoren!O203/1000, 0)</f>
        <v>0</v>
      </c>
      <c r="P533" s="15">
        <f>IF(ISNUMBER('Klisz-Verbräuche'!Q203), 'Klisz-Verbräuche'!Q203*Emissionsfaktoren!P203/1000, 0)</f>
        <v>0</v>
      </c>
      <c r="Q533" s="15">
        <f>IF(ISNUMBER('Klisz-Verbräuche'!R203), 'Klisz-Verbräuche'!R203*Emissionsfaktoren!Q203/1000, 0)</f>
        <v>0</v>
      </c>
      <c r="R533" s="15">
        <f>IF(ISNUMBER('Klisz-Verbräuche'!S203), 'Klisz-Verbräuche'!S203*Emissionsfaktoren!R203/1000, 0)</f>
        <v>0</v>
      </c>
      <c r="S533" s="15">
        <f>IF(ISNUMBER('Klisz-Verbräuche'!T203), 'Klisz-Verbräuche'!T203*Emissionsfaktoren!S203/1000, 0)</f>
        <v>0</v>
      </c>
      <c r="T533" s="15">
        <f>IF(ISNUMBER('Klisz-Verbräuche'!U203), 'Klisz-Verbräuche'!U203*Emissionsfaktoren!T203/1000, 0)</f>
        <v>0</v>
      </c>
      <c r="U533" s="15">
        <f>IF(ISNUMBER('Klisz-Verbräuche'!V203), 'Klisz-Verbräuche'!V203*Emissionsfaktoren!U203/1000, 0)</f>
        <v>0</v>
      </c>
      <c r="V533" s="15">
        <f>IF(ISNUMBER('Klisz-Verbräuche'!W203), 'Klisz-Verbräuche'!W203*Emissionsfaktoren!V203/1000, 0)</f>
        <v>0</v>
      </c>
      <c r="W533" s="15">
        <f>IF(ISNUMBER('Klisz-Verbräuche'!X203), 'Klisz-Verbräuche'!X203*Emissionsfaktoren!W203/1000, 0)</f>
        <v>0</v>
      </c>
      <c r="X533" s="15">
        <f>IF(ISNUMBER('Klisz-Verbräuche'!Y203), 'Klisz-Verbräuche'!Y203*Emissionsfaktoren!X203/1000, 0)</f>
        <v>0</v>
      </c>
    </row>
    <row r="534" spans="2:24" ht="16.5" hidden="1" x14ac:dyDescent="0.45">
      <c r="B534" s="15">
        <v>145</v>
      </c>
      <c r="C534" s="20" t="str">
        <f>'Refsz-Verbräuche'!C204</f>
        <v>Mauerziegel (ungefüllt)</v>
      </c>
      <c r="D534" t="s">
        <v>208</v>
      </c>
      <c r="E534" s="15">
        <f>IF(ISNUMBER('Klisz-Verbräuche'!F204), 'Klisz-Verbräuche'!F204*Emissionsfaktoren!E204/1000, 0)</f>
        <v>0</v>
      </c>
      <c r="F534" s="15">
        <f>IF(ISNUMBER('Klisz-Verbräuche'!G204), 'Klisz-Verbräuche'!G204*Emissionsfaktoren!F204/1000, 0)</f>
        <v>0</v>
      </c>
      <c r="G534" s="15">
        <f>IF(ISNUMBER('Klisz-Verbräuche'!H204), 'Klisz-Verbräuche'!H204*Emissionsfaktoren!G204/1000, 0)</f>
        <v>0</v>
      </c>
      <c r="H534" s="15">
        <f>IF(ISNUMBER('Klisz-Verbräuche'!I204), 'Klisz-Verbräuche'!I204*Emissionsfaktoren!H204/1000, 0)</f>
        <v>0</v>
      </c>
      <c r="I534" s="15">
        <f>IF(ISNUMBER('Klisz-Verbräuche'!J204), 'Klisz-Verbräuche'!J204*Emissionsfaktoren!I204/1000, 0)</f>
        <v>0</v>
      </c>
      <c r="J534" s="15">
        <f>IF(ISNUMBER('Klisz-Verbräuche'!K204), 'Klisz-Verbräuche'!K204*Emissionsfaktoren!J204/1000, 0)</f>
        <v>0</v>
      </c>
      <c r="K534" s="15">
        <f>IF(ISNUMBER('Klisz-Verbräuche'!L204), 'Klisz-Verbräuche'!L204*Emissionsfaktoren!K204/1000, 0)</f>
        <v>0</v>
      </c>
      <c r="L534" s="15">
        <f>IF(ISNUMBER('Klisz-Verbräuche'!M204), 'Klisz-Verbräuche'!M204*Emissionsfaktoren!L204/1000, 0)</f>
        <v>0</v>
      </c>
      <c r="M534" s="15">
        <f>IF(ISNUMBER('Klisz-Verbräuche'!N204), 'Klisz-Verbräuche'!N204*Emissionsfaktoren!M204/1000, 0)</f>
        <v>0</v>
      </c>
      <c r="N534" s="15">
        <f>IF(ISNUMBER('Klisz-Verbräuche'!O204), 'Klisz-Verbräuche'!O204*Emissionsfaktoren!N204/1000, 0)</f>
        <v>0</v>
      </c>
      <c r="O534" s="15">
        <f>IF(ISNUMBER('Klisz-Verbräuche'!P204), 'Klisz-Verbräuche'!P204*Emissionsfaktoren!O204/1000, 0)</f>
        <v>0</v>
      </c>
      <c r="P534" s="15">
        <f>IF(ISNUMBER('Klisz-Verbräuche'!Q204), 'Klisz-Verbräuche'!Q204*Emissionsfaktoren!P204/1000, 0)</f>
        <v>0</v>
      </c>
      <c r="Q534" s="15">
        <f>IF(ISNUMBER('Klisz-Verbräuche'!R204), 'Klisz-Verbräuche'!R204*Emissionsfaktoren!Q204/1000, 0)</f>
        <v>0</v>
      </c>
      <c r="R534" s="15">
        <f>IF(ISNUMBER('Klisz-Verbräuche'!S204), 'Klisz-Verbräuche'!S204*Emissionsfaktoren!R204/1000, 0)</f>
        <v>0</v>
      </c>
      <c r="S534" s="15">
        <f>IF(ISNUMBER('Klisz-Verbräuche'!T204), 'Klisz-Verbräuche'!T204*Emissionsfaktoren!S204/1000, 0)</f>
        <v>0</v>
      </c>
      <c r="T534" s="15">
        <f>IF(ISNUMBER('Klisz-Verbräuche'!U204), 'Klisz-Verbräuche'!U204*Emissionsfaktoren!T204/1000, 0)</f>
        <v>0</v>
      </c>
      <c r="U534" s="15">
        <f>IF(ISNUMBER('Klisz-Verbräuche'!V204), 'Klisz-Verbräuche'!V204*Emissionsfaktoren!U204/1000, 0)</f>
        <v>0</v>
      </c>
      <c r="V534" s="15">
        <f>IF(ISNUMBER('Klisz-Verbräuche'!W204), 'Klisz-Verbräuche'!W204*Emissionsfaktoren!V204/1000, 0)</f>
        <v>0</v>
      </c>
      <c r="W534" s="15">
        <f>IF(ISNUMBER('Klisz-Verbräuche'!X204), 'Klisz-Verbräuche'!X204*Emissionsfaktoren!W204/1000, 0)</f>
        <v>0</v>
      </c>
      <c r="X534" s="15">
        <f>IF(ISNUMBER('Klisz-Verbräuche'!Y204), 'Klisz-Verbräuche'!Y204*Emissionsfaktoren!X204/1000, 0)</f>
        <v>0</v>
      </c>
    </row>
    <row r="535" spans="2:24" ht="16.5" hidden="1" x14ac:dyDescent="0.45">
      <c r="B535" s="15">
        <v>146</v>
      </c>
      <c r="C535" s="20">
        <f>'Refsz-Verbräuche'!C205</f>
        <v>0</v>
      </c>
      <c r="D535" t="s">
        <v>208</v>
      </c>
      <c r="E535" s="15">
        <f>IF(ISNUMBER('Klisz-Verbräuche'!F205), 'Klisz-Verbräuche'!F205*Emissionsfaktoren!E205/1000, 0)</f>
        <v>0</v>
      </c>
      <c r="F535" s="15">
        <f>IF(ISNUMBER('Klisz-Verbräuche'!G205), 'Klisz-Verbräuche'!G205*Emissionsfaktoren!F205/1000, 0)</f>
        <v>0</v>
      </c>
      <c r="G535" s="15">
        <f>IF(ISNUMBER('Klisz-Verbräuche'!H205), 'Klisz-Verbräuche'!H205*Emissionsfaktoren!G205/1000, 0)</f>
        <v>0</v>
      </c>
      <c r="H535" s="15">
        <f>IF(ISNUMBER('Klisz-Verbräuche'!I205), 'Klisz-Verbräuche'!I205*Emissionsfaktoren!H205/1000, 0)</f>
        <v>0</v>
      </c>
      <c r="I535" s="15">
        <f>IF(ISNUMBER('Klisz-Verbräuche'!J205), 'Klisz-Verbräuche'!J205*Emissionsfaktoren!I205/1000, 0)</f>
        <v>0</v>
      </c>
      <c r="J535" s="15">
        <f>IF(ISNUMBER('Klisz-Verbräuche'!K205), 'Klisz-Verbräuche'!K205*Emissionsfaktoren!J205/1000, 0)</f>
        <v>0</v>
      </c>
      <c r="K535" s="15">
        <f>IF(ISNUMBER('Klisz-Verbräuche'!L205), 'Klisz-Verbräuche'!L205*Emissionsfaktoren!K205/1000, 0)</f>
        <v>0</v>
      </c>
      <c r="L535" s="15">
        <f>IF(ISNUMBER('Klisz-Verbräuche'!M205), 'Klisz-Verbräuche'!M205*Emissionsfaktoren!L205/1000, 0)</f>
        <v>0</v>
      </c>
      <c r="M535" s="15">
        <f>IF(ISNUMBER('Klisz-Verbräuche'!N205), 'Klisz-Verbräuche'!N205*Emissionsfaktoren!M205/1000, 0)</f>
        <v>0</v>
      </c>
      <c r="N535" s="15">
        <f>IF(ISNUMBER('Klisz-Verbräuche'!O205), 'Klisz-Verbräuche'!O205*Emissionsfaktoren!N205/1000, 0)</f>
        <v>0</v>
      </c>
      <c r="O535" s="15">
        <f>IF(ISNUMBER('Klisz-Verbräuche'!P205), 'Klisz-Verbräuche'!P205*Emissionsfaktoren!O205/1000, 0)</f>
        <v>0</v>
      </c>
      <c r="P535" s="15">
        <f>IF(ISNUMBER('Klisz-Verbräuche'!Q205), 'Klisz-Verbräuche'!Q205*Emissionsfaktoren!P205/1000, 0)</f>
        <v>0</v>
      </c>
      <c r="Q535" s="15">
        <f>IF(ISNUMBER('Klisz-Verbräuche'!R205), 'Klisz-Verbräuche'!R205*Emissionsfaktoren!Q205/1000, 0)</f>
        <v>0</v>
      </c>
      <c r="R535" s="15">
        <f>IF(ISNUMBER('Klisz-Verbräuche'!S205), 'Klisz-Verbräuche'!S205*Emissionsfaktoren!R205/1000, 0)</f>
        <v>0</v>
      </c>
      <c r="S535" s="15">
        <f>IF(ISNUMBER('Klisz-Verbräuche'!T205), 'Klisz-Verbräuche'!T205*Emissionsfaktoren!S205/1000, 0)</f>
        <v>0</v>
      </c>
      <c r="T535" s="15">
        <f>IF(ISNUMBER('Klisz-Verbräuche'!U205), 'Klisz-Verbräuche'!U205*Emissionsfaktoren!T205/1000, 0)</f>
        <v>0</v>
      </c>
      <c r="U535" s="15">
        <f>IF(ISNUMBER('Klisz-Verbräuche'!V205), 'Klisz-Verbräuche'!V205*Emissionsfaktoren!U205/1000, 0)</f>
        <v>0</v>
      </c>
      <c r="V535" s="15">
        <f>IF(ISNUMBER('Klisz-Verbräuche'!W205), 'Klisz-Verbräuche'!W205*Emissionsfaktoren!V205/1000, 0)</f>
        <v>0</v>
      </c>
      <c r="W535" s="15">
        <f>IF(ISNUMBER('Klisz-Verbräuche'!X205), 'Klisz-Verbräuche'!X205*Emissionsfaktoren!W205/1000, 0)</f>
        <v>0</v>
      </c>
      <c r="X535" s="15">
        <f>IF(ISNUMBER('Klisz-Verbräuche'!Y205), 'Klisz-Verbräuche'!Y205*Emissionsfaktoren!X205/1000, 0)</f>
        <v>0</v>
      </c>
    </row>
    <row r="536" spans="2:24" ht="16.5" hidden="1" x14ac:dyDescent="0.45">
      <c r="B536" s="15">
        <v>147</v>
      </c>
      <c r="C536" s="20" t="str">
        <f>'Refsz-Verbräuche'!C206</f>
        <v>Holzfaserdämmpatte (flexibe Matte)</v>
      </c>
      <c r="D536" t="s">
        <v>208</v>
      </c>
      <c r="E536" s="15">
        <f>IF(ISNUMBER('Klisz-Verbräuche'!F206), 'Klisz-Verbräuche'!F206*Emissionsfaktoren!E206/1000, 0)</f>
        <v>0</v>
      </c>
      <c r="F536" s="15">
        <f>IF(ISNUMBER('Klisz-Verbräuche'!G206), 'Klisz-Verbräuche'!G206*Emissionsfaktoren!F206/1000, 0)</f>
        <v>0</v>
      </c>
      <c r="G536" s="15">
        <f>IF(ISNUMBER('Klisz-Verbräuche'!H206), 'Klisz-Verbräuche'!H206*Emissionsfaktoren!G206/1000, 0)</f>
        <v>0</v>
      </c>
      <c r="H536" s="15">
        <f>IF(ISNUMBER('Klisz-Verbräuche'!I206), 'Klisz-Verbräuche'!I206*Emissionsfaktoren!H206/1000, 0)</f>
        <v>0</v>
      </c>
      <c r="I536" s="15">
        <f>IF(ISNUMBER('Klisz-Verbräuche'!J206), 'Klisz-Verbräuche'!J206*Emissionsfaktoren!I206/1000, 0)</f>
        <v>0</v>
      </c>
      <c r="J536" s="15">
        <f>IF(ISNUMBER('Klisz-Verbräuche'!K206), 'Klisz-Verbräuche'!K206*Emissionsfaktoren!J206/1000, 0)</f>
        <v>0</v>
      </c>
      <c r="K536" s="15">
        <f>IF(ISNUMBER('Klisz-Verbräuche'!L206), 'Klisz-Verbräuche'!L206*Emissionsfaktoren!K206/1000, 0)</f>
        <v>0</v>
      </c>
      <c r="L536" s="15">
        <f>IF(ISNUMBER('Klisz-Verbräuche'!M206), 'Klisz-Verbräuche'!M206*Emissionsfaktoren!L206/1000, 0)</f>
        <v>0</v>
      </c>
      <c r="M536" s="15">
        <f>IF(ISNUMBER('Klisz-Verbräuche'!N206), 'Klisz-Verbräuche'!N206*Emissionsfaktoren!M206/1000, 0)</f>
        <v>0</v>
      </c>
      <c r="N536" s="15">
        <f>IF(ISNUMBER('Klisz-Verbräuche'!O206), 'Klisz-Verbräuche'!O206*Emissionsfaktoren!N206/1000, 0)</f>
        <v>0</v>
      </c>
      <c r="O536" s="15">
        <f>IF(ISNUMBER('Klisz-Verbräuche'!P206), 'Klisz-Verbräuche'!P206*Emissionsfaktoren!O206/1000, 0)</f>
        <v>0</v>
      </c>
      <c r="P536" s="15">
        <f>IF(ISNUMBER('Klisz-Verbräuche'!Q206), 'Klisz-Verbräuche'!Q206*Emissionsfaktoren!P206/1000, 0)</f>
        <v>0</v>
      </c>
      <c r="Q536" s="15">
        <f>IF(ISNUMBER('Klisz-Verbräuche'!R206), 'Klisz-Verbräuche'!R206*Emissionsfaktoren!Q206/1000, 0)</f>
        <v>0</v>
      </c>
      <c r="R536" s="15">
        <f>IF(ISNUMBER('Klisz-Verbräuche'!S206), 'Klisz-Verbräuche'!S206*Emissionsfaktoren!R206/1000, 0)</f>
        <v>0</v>
      </c>
      <c r="S536" s="15">
        <f>IF(ISNUMBER('Klisz-Verbräuche'!T206), 'Klisz-Verbräuche'!T206*Emissionsfaktoren!S206/1000, 0)</f>
        <v>0</v>
      </c>
      <c r="T536" s="15">
        <f>IF(ISNUMBER('Klisz-Verbräuche'!U206), 'Klisz-Verbräuche'!U206*Emissionsfaktoren!T206/1000, 0)</f>
        <v>0</v>
      </c>
      <c r="U536" s="15">
        <f>IF(ISNUMBER('Klisz-Verbräuche'!V206), 'Klisz-Verbräuche'!V206*Emissionsfaktoren!U206/1000, 0)</f>
        <v>0</v>
      </c>
      <c r="V536" s="15">
        <f>IF(ISNUMBER('Klisz-Verbräuche'!W206), 'Klisz-Verbräuche'!W206*Emissionsfaktoren!V206/1000, 0)</f>
        <v>0</v>
      </c>
      <c r="W536" s="15">
        <f>IF(ISNUMBER('Klisz-Verbräuche'!X206), 'Klisz-Verbräuche'!X206*Emissionsfaktoren!W206/1000, 0)</f>
        <v>0</v>
      </c>
      <c r="X536" s="15">
        <f>IF(ISNUMBER('Klisz-Verbräuche'!Y206), 'Klisz-Verbräuche'!Y206*Emissionsfaktoren!X206/1000, 0)</f>
        <v>0</v>
      </c>
    </row>
    <row r="537" spans="2:24" ht="16.5" hidden="1" x14ac:dyDescent="0.45">
      <c r="B537" s="15">
        <v>148</v>
      </c>
      <c r="C537" s="20">
        <f>'Refsz-Verbräuche'!C207</f>
        <v>0</v>
      </c>
      <c r="D537" t="s">
        <v>208</v>
      </c>
      <c r="E537" s="15">
        <f>IF(ISNUMBER('Klisz-Verbräuche'!F207), 'Klisz-Verbräuche'!F207*Emissionsfaktoren!E207/1000, 0)</f>
        <v>0</v>
      </c>
      <c r="F537" s="15">
        <f>IF(ISNUMBER('Klisz-Verbräuche'!G207), 'Klisz-Verbräuche'!G207*Emissionsfaktoren!F207/1000, 0)</f>
        <v>0</v>
      </c>
      <c r="G537" s="15">
        <f>IF(ISNUMBER('Klisz-Verbräuche'!H207), 'Klisz-Verbräuche'!H207*Emissionsfaktoren!G207/1000, 0)</f>
        <v>0</v>
      </c>
      <c r="H537" s="15">
        <f>IF(ISNUMBER('Klisz-Verbräuche'!I207), 'Klisz-Verbräuche'!I207*Emissionsfaktoren!H207/1000, 0)</f>
        <v>0</v>
      </c>
      <c r="I537" s="15">
        <f>IF(ISNUMBER('Klisz-Verbräuche'!J207), 'Klisz-Verbräuche'!J207*Emissionsfaktoren!I207/1000, 0)</f>
        <v>0</v>
      </c>
      <c r="J537" s="15">
        <f>IF(ISNUMBER('Klisz-Verbräuche'!K207), 'Klisz-Verbräuche'!K207*Emissionsfaktoren!J207/1000, 0)</f>
        <v>0</v>
      </c>
      <c r="K537" s="15">
        <f>IF(ISNUMBER('Klisz-Verbräuche'!L207), 'Klisz-Verbräuche'!L207*Emissionsfaktoren!K207/1000, 0)</f>
        <v>0</v>
      </c>
      <c r="L537" s="15">
        <f>IF(ISNUMBER('Klisz-Verbräuche'!M207), 'Klisz-Verbräuche'!M207*Emissionsfaktoren!L207/1000, 0)</f>
        <v>0</v>
      </c>
      <c r="M537" s="15">
        <f>IF(ISNUMBER('Klisz-Verbräuche'!N207), 'Klisz-Verbräuche'!N207*Emissionsfaktoren!M207/1000, 0)</f>
        <v>0</v>
      </c>
      <c r="N537" s="15">
        <f>IF(ISNUMBER('Klisz-Verbräuche'!O207), 'Klisz-Verbräuche'!O207*Emissionsfaktoren!N207/1000, 0)</f>
        <v>0</v>
      </c>
      <c r="O537" s="15">
        <f>IF(ISNUMBER('Klisz-Verbräuche'!P207), 'Klisz-Verbräuche'!P207*Emissionsfaktoren!O207/1000, 0)</f>
        <v>0</v>
      </c>
      <c r="P537" s="15">
        <f>IF(ISNUMBER('Klisz-Verbräuche'!Q207), 'Klisz-Verbräuche'!Q207*Emissionsfaktoren!P207/1000, 0)</f>
        <v>0</v>
      </c>
      <c r="Q537" s="15">
        <f>IF(ISNUMBER('Klisz-Verbräuche'!R207), 'Klisz-Verbräuche'!R207*Emissionsfaktoren!Q207/1000, 0)</f>
        <v>0</v>
      </c>
      <c r="R537" s="15">
        <f>IF(ISNUMBER('Klisz-Verbräuche'!S207), 'Klisz-Verbräuche'!S207*Emissionsfaktoren!R207/1000, 0)</f>
        <v>0</v>
      </c>
      <c r="S537" s="15">
        <f>IF(ISNUMBER('Klisz-Verbräuche'!T207), 'Klisz-Verbräuche'!T207*Emissionsfaktoren!S207/1000, 0)</f>
        <v>0</v>
      </c>
      <c r="T537" s="15">
        <f>IF(ISNUMBER('Klisz-Verbräuche'!U207), 'Klisz-Verbräuche'!U207*Emissionsfaktoren!T207/1000, 0)</f>
        <v>0</v>
      </c>
      <c r="U537" s="15">
        <f>IF(ISNUMBER('Klisz-Verbräuche'!V207), 'Klisz-Verbräuche'!V207*Emissionsfaktoren!U207/1000, 0)</f>
        <v>0</v>
      </c>
      <c r="V537" s="15">
        <f>IF(ISNUMBER('Klisz-Verbräuche'!W207), 'Klisz-Verbräuche'!W207*Emissionsfaktoren!V207/1000, 0)</f>
        <v>0</v>
      </c>
      <c r="W537" s="15">
        <f>IF(ISNUMBER('Klisz-Verbräuche'!X207), 'Klisz-Verbräuche'!X207*Emissionsfaktoren!W207/1000, 0)</f>
        <v>0</v>
      </c>
      <c r="X537" s="15">
        <f>IF(ISNUMBER('Klisz-Verbräuche'!Y207), 'Klisz-Verbräuche'!Y207*Emissionsfaktoren!X207/1000, 0)</f>
        <v>0</v>
      </c>
    </row>
    <row r="538" spans="2:24" ht="16.5" hidden="1" x14ac:dyDescent="0.45">
      <c r="B538" s="15">
        <v>149</v>
      </c>
      <c r="C538" s="20" t="str">
        <f>'Refsz-Verbräuche'!C208</f>
        <v>Kompensation</v>
      </c>
      <c r="D538" t="s">
        <v>208</v>
      </c>
      <c r="E538" s="15">
        <f>IF(ISNUMBER('Klisz-Verbräuche'!F208), 'Klisz-Verbräuche'!F208*Emissionsfaktoren!E208/1000, 0)</f>
        <v>0</v>
      </c>
      <c r="F538" s="15">
        <f>IF(ISNUMBER('Klisz-Verbräuche'!G208), 'Klisz-Verbräuche'!G208*Emissionsfaktoren!F208/1000, 0)</f>
        <v>0</v>
      </c>
      <c r="G538" s="15">
        <f>IF(ISNUMBER('Klisz-Verbräuche'!H208), 'Klisz-Verbräuche'!H208*Emissionsfaktoren!G208/1000, 0)</f>
        <v>0</v>
      </c>
      <c r="H538" s="15">
        <f>IF(ISNUMBER('Klisz-Verbräuche'!I208), 'Klisz-Verbräuche'!I208*Emissionsfaktoren!H208/1000, 0)</f>
        <v>0</v>
      </c>
      <c r="I538" s="15">
        <f>IF(ISNUMBER('Klisz-Verbräuche'!J208), 'Klisz-Verbräuche'!J208*Emissionsfaktoren!I208/1000, 0)</f>
        <v>0</v>
      </c>
      <c r="J538" s="15">
        <f>IF(ISNUMBER('Klisz-Verbräuche'!K208), 'Klisz-Verbräuche'!K208*Emissionsfaktoren!J208/1000, 0)</f>
        <v>0</v>
      </c>
      <c r="K538" s="15">
        <f>IF(ISNUMBER('Klisz-Verbräuche'!L208), 'Klisz-Verbräuche'!L208*Emissionsfaktoren!K208/1000, 0)</f>
        <v>0</v>
      </c>
      <c r="L538" s="15">
        <f>IF(ISNUMBER('Klisz-Verbräuche'!M208), 'Klisz-Verbräuche'!M208*Emissionsfaktoren!L208/1000, 0)</f>
        <v>0</v>
      </c>
      <c r="M538" s="15">
        <f>IF(ISNUMBER('Klisz-Verbräuche'!N208), 'Klisz-Verbräuche'!N208*Emissionsfaktoren!M208/1000, 0)</f>
        <v>0</v>
      </c>
      <c r="N538" s="15">
        <f>IF(ISNUMBER('Klisz-Verbräuche'!O208), 'Klisz-Verbräuche'!O208*Emissionsfaktoren!N208/1000, 0)</f>
        <v>0</v>
      </c>
      <c r="O538" s="15">
        <f>IF(ISNUMBER('Klisz-Verbräuche'!P208), 'Klisz-Verbräuche'!P208*Emissionsfaktoren!O208/1000, 0)</f>
        <v>0</v>
      </c>
      <c r="P538" s="15">
        <f>IF(ISNUMBER('Klisz-Verbräuche'!Q208), 'Klisz-Verbräuche'!Q208*Emissionsfaktoren!P208/1000, 0)</f>
        <v>0</v>
      </c>
      <c r="Q538" s="15">
        <f>IF(ISNUMBER('Klisz-Verbräuche'!R208), 'Klisz-Verbräuche'!R208*Emissionsfaktoren!Q208/1000, 0)</f>
        <v>0</v>
      </c>
      <c r="R538" s="15">
        <f>IF(ISNUMBER('Klisz-Verbräuche'!S208), 'Klisz-Verbräuche'!S208*Emissionsfaktoren!R208/1000, 0)</f>
        <v>0</v>
      </c>
      <c r="S538" s="15">
        <f>IF(ISNUMBER('Klisz-Verbräuche'!T208), 'Klisz-Verbräuche'!T208*Emissionsfaktoren!S208/1000, 0)</f>
        <v>0</v>
      </c>
      <c r="T538" s="15">
        <f>IF(ISNUMBER('Klisz-Verbräuche'!U208), 'Klisz-Verbräuche'!U208*Emissionsfaktoren!T208/1000, 0)</f>
        <v>0</v>
      </c>
      <c r="U538" s="15">
        <f>IF(ISNUMBER('Klisz-Verbräuche'!V208), 'Klisz-Verbräuche'!V208*Emissionsfaktoren!U208/1000, 0)</f>
        <v>0</v>
      </c>
      <c r="V538" s="15">
        <f>IF(ISNUMBER('Klisz-Verbräuche'!W208), 'Klisz-Verbräuche'!W208*Emissionsfaktoren!V208/1000, 0)</f>
        <v>0</v>
      </c>
      <c r="W538" s="15">
        <f>IF(ISNUMBER('Klisz-Verbräuche'!X208), 'Klisz-Verbräuche'!X208*Emissionsfaktoren!W208/1000, 0)</f>
        <v>0</v>
      </c>
      <c r="X538" s="15">
        <f>IF(ISNUMBER('Klisz-Verbräuche'!Y208), 'Klisz-Verbräuche'!Y208*Emissionsfaktoren!X208/1000, 0)</f>
        <v>0</v>
      </c>
    </row>
    <row r="539" spans="2:24" ht="16.5" hidden="1" x14ac:dyDescent="0.45">
      <c r="B539" s="15">
        <v>150</v>
      </c>
      <c r="C539" s="20">
        <f>'Refsz-Verbräuche'!C209</f>
        <v>0</v>
      </c>
      <c r="D539" t="s">
        <v>208</v>
      </c>
      <c r="E539" s="15">
        <f>IF(ISNUMBER('Klisz-Verbräuche'!F209), 'Klisz-Verbräuche'!F209*Emissionsfaktoren!E209/1000, 0)</f>
        <v>0</v>
      </c>
      <c r="F539" s="15">
        <f>IF(ISNUMBER('Klisz-Verbräuche'!G209), 'Klisz-Verbräuche'!G209*Emissionsfaktoren!F209/1000, 0)</f>
        <v>0</v>
      </c>
      <c r="G539" s="15">
        <f>IF(ISNUMBER('Klisz-Verbräuche'!H209), 'Klisz-Verbräuche'!H209*Emissionsfaktoren!G209/1000, 0)</f>
        <v>0</v>
      </c>
      <c r="H539" s="15">
        <f>IF(ISNUMBER('Klisz-Verbräuche'!I209), 'Klisz-Verbräuche'!I209*Emissionsfaktoren!H209/1000, 0)</f>
        <v>0</v>
      </c>
      <c r="I539" s="15">
        <f>IF(ISNUMBER('Klisz-Verbräuche'!J209), 'Klisz-Verbräuche'!J209*Emissionsfaktoren!I209/1000, 0)</f>
        <v>0</v>
      </c>
      <c r="J539" s="15">
        <f>IF(ISNUMBER('Klisz-Verbräuche'!K209), 'Klisz-Verbräuche'!K209*Emissionsfaktoren!J209/1000, 0)</f>
        <v>0</v>
      </c>
      <c r="K539" s="15">
        <f>IF(ISNUMBER('Klisz-Verbräuche'!L209), 'Klisz-Verbräuche'!L209*Emissionsfaktoren!K209/1000, 0)</f>
        <v>0</v>
      </c>
      <c r="L539" s="15">
        <f>IF(ISNUMBER('Klisz-Verbräuche'!M209), 'Klisz-Verbräuche'!M209*Emissionsfaktoren!L209/1000, 0)</f>
        <v>0</v>
      </c>
      <c r="M539" s="15">
        <f>IF(ISNUMBER('Klisz-Verbräuche'!N209), 'Klisz-Verbräuche'!N209*Emissionsfaktoren!M209/1000, 0)</f>
        <v>0</v>
      </c>
      <c r="N539" s="15">
        <f>IF(ISNUMBER('Klisz-Verbräuche'!O209), 'Klisz-Verbräuche'!O209*Emissionsfaktoren!N209/1000, 0)</f>
        <v>0</v>
      </c>
      <c r="O539" s="15">
        <f>IF(ISNUMBER('Klisz-Verbräuche'!P209), 'Klisz-Verbräuche'!P209*Emissionsfaktoren!O209/1000, 0)</f>
        <v>0</v>
      </c>
      <c r="P539" s="15">
        <f>IF(ISNUMBER('Klisz-Verbräuche'!Q209), 'Klisz-Verbräuche'!Q209*Emissionsfaktoren!P209/1000, 0)</f>
        <v>0</v>
      </c>
      <c r="Q539" s="15">
        <f>IF(ISNUMBER('Klisz-Verbräuche'!R209), 'Klisz-Verbräuche'!R209*Emissionsfaktoren!Q209/1000, 0)</f>
        <v>0</v>
      </c>
      <c r="R539" s="15">
        <f>IF(ISNUMBER('Klisz-Verbräuche'!S209), 'Klisz-Verbräuche'!S209*Emissionsfaktoren!R209/1000, 0)</f>
        <v>0</v>
      </c>
      <c r="S539" s="15">
        <f>IF(ISNUMBER('Klisz-Verbräuche'!T209), 'Klisz-Verbräuche'!T209*Emissionsfaktoren!S209/1000, 0)</f>
        <v>0</v>
      </c>
      <c r="T539" s="15">
        <f>IF(ISNUMBER('Klisz-Verbräuche'!U209), 'Klisz-Verbräuche'!U209*Emissionsfaktoren!T209/1000, 0)</f>
        <v>0</v>
      </c>
      <c r="U539" s="15">
        <f>IF(ISNUMBER('Klisz-Verbräuche'!V209), 'Klisz-Verbräuche'!V209*Emissionsfaktoren!U209/1000, 0)</f>
        <v>0</v>
      </c>
      <c r="V539" s="15">
        <f>IF(ISNUMBER('Klisz-Verbräuche'!W209), 'Klisz-Verbräuche'!W209*Emissionsfaktoren!V209/1000, 0)</f>
        <v>0</v>
      </c>
      <c r="W539" s="15">
        <f>IF(ISNUMBER('Klisz-Verbräuche'!X209), 'Klisz-Verbräuche'!X209*Emissionsfaktoren!W209/1000, 0)</f>
        <v>0</v>
      </c>
      <c r="X539" s="15">
        <f>IF(ISNUMBER('Klisz-Verbräuche'!Y209), 'Klisz-Verbräuche'!Y209*Emissionsfaktoren!X209/1000, 0)</f>
        <v>0</v>
      </c>
    </row>
    <row r="540" spans="2:24" ht="16.5" hidden="1" x14ac:dyDescent="0.45">
      <c r="B540" s="15">
        <v>151</v>
      </c>
      <c r="C540" s="20">
        <f>'Refsz-Verbräuche'!C210</f>
        <v>0</v>
      </c>
      <c r="D540" t="s">
        <v>208</v>
      </c>
      <c r="E540" s="15">
        <f>IF(ISNUMBER('Klisz-Verbräuche'!F210), 'Klisz-Verbräuche'!F210*Emissionsfaktoren!E210/1000, 0)</f>
        <v>0</v>
      </c>
      <c r="F540" s="15">
        <f>IF(ISNUMBER('Klisz-Verbräuche'!G210), 'Klisz-Verbräuche'!G210*Emissionsfaktoren!F210/1000, 0)</f>
        <v>0</v>
      </c>
      <c r="G540" s="15">
        <f>IF(ISNUMBER('Klisz-Verbräuche'!H210), 'Klisz-Verbräuche'!H210*Emissionsfaktoren!G210/1000, 0)</f>
        <v>0</v>
      </c>
      <c r="H540" s="15">
        <f>IF(ISNUMBER('Klisz-Verbräuche'!I210), 'Klisz-Verbräuche'!I210*Emissionsfaktoren!H210/1000, 0)</f>
        <v>0</v>
      </c>
      <c r="I540" s="15">
        <f>IF(ISNUMBER('Klisz-Verbräuche'!J210), 'Klisz-Verbräuche'!J210*Emissionsfaktoren!I210/1000, 0)</f>
        <v>0</v>
      </c>
      <c r="J540" s="15">
        <f>IF(ISNUMBER('Klisz-Verbräuche'!K210), 'Klisz-Verbräuche'!K210*Emissionsfaktoren!J210/1000, 0)</f>
        <v>0</v>
      </c>
      <c r="K540" s="15">
        <f>IF(ISNUMBER('Klisz-Verbräuche'!L210), 'Klisz-Verbräuche'!L210*Emissionsfaktoren!K210/1000, 0)</f>
        <v>0</v>
      </c>
      <c r="L540" s="15">
        <f>IF(ISNUMBER('Klisz-Verbräuche'!M210), 'Klisz-Verbräuche'!M210*Emissionsfaktoren!L210/1000, 0)</f>
        <v>0</v>
      </c>
      <c r="M540" s="15">
        <f>IF(ISNUMBER('Klisz-Verbräuche'!N210), 'Klisz-Verbräuche'!N210*Emissionsfaktoren!M210/1000, 0)</f>
        <v>0</v>
      </c>
      <c r="N540" s="15">
        <f>IF(ISNUMBER('Klisz-Verbräuche'!O210), 'Klisz-Verbräuche'!O210*Emissionsfaktoren!N210/1000, 0)</f>
        <v>0</v>
      </c>
      <c r="O540" s="15">
        <f>IF(ISNUMBER('Klisz-Verbräuche'!P210), 'Klisz-Verbräuche'!P210*Emissionsfaktoren!O210/1000, 0)</f>
        <v>0</v>
      </c>
      <c r="P540" s="15">
        <f>IF(ISNUMBER('Klisz-Verbräuche'!Q210), 'Klisz-Verbräuche'!Q210*Emissionsfaktoren!P210/1000, 0)</f>
        <v>0</v>
      </c>
      <c r="Q540" s="15">
        <f>IF(ISNUMBER('Klisz-Verbräuche'!R210), 'Klisz-Verbräuche'!R210*Emissionsfaktoren!Q210/1000, 0)</f>
        <v>0</v>
      </c>
      <c r="R540" s="15">
        <f>IF(ISNUMBER('Klisz-Verbräuche'!S210), 'Klisz-Verbräuche'!S210*Emissionsfaktoren!R210/1000, 0)</f>
        <v>0</v>
      </c>
      <c r="S540" s="15">
        <f>IF(ISNUMBER('Klisz-Verbräuche'!T210), 'Klisz-Verbräuche'!T210*Emissionsfaktoren!S210/1000, 0)</f>
        <v>0</v>
      </c>
      <c r="T540" s="15">
        <f>IF(ISNUMBER('Klisz-Verbräuche'!U210), 'Klisz-Verbräuche'!U210*Emissionsfaktoren!T210/1000, 0)</f>
        <v>0</v>
      </c>
      <c r="U540" s="15">
        <f>IF(ISNUMBER('Klisz-Verbräuche'!V210), 'Klisz-Verbräuche'!V210*Emissionsfaktoren!U210/1000, 0)</f>
        <v>0</v>
      </c>
      <c r="V540" s="15">
        <f>IF(ISNUMBER('Klisz-Verbräuche'!W210), 'Klisz-Verbräuche'!W210*Emissionsfaktoren!V210/1000, 0)</f>
        <v>0</v>
      </c>
      <c r="W540" s="15">
        <f>IF(ISNUMBER('Klisz-Verbräuche'!X210), 'Klisz-Verbräuche'!X210*Emissionsfaktoren!W210/1000, 0)</f>
        <v>0</v>
      </c>
      <c r="X540" s="15">
        <f>IF(ISNUMBER('Klisz-Verbräuche'!Y210), 'Klisz-Verbräuche'!Y210*Emissionsfaktoren!X210/1000, 0)</f>
        <v>0</v>
      </c>
    </row>
    <row r="541" spans="2:24" ht="16.5" hidden="1" x14ac:dyDescent="0.45">
      <c r="B541" s="15">
        <v>152</v>
      </c>
      <c r="C541" s="20">
        <f>'Refsz-Verbräuche'!C211</f>
        <v>0</v>
      </c>
      <c r="D541" t="s">
        <v>208</v>
      </c>
      <c r="E541" s="15">
        <f>IF(ISNUMBER('Klisz-Verbräuche'!F211), 'Klisz-Verbräuche'!F211*Emissionsfaktoren!E211/1000, 0)</f>
        <v>0</v>
      </c>
      <c r="F541" s="15">
        <f>IF(ISNUMBER('Klisz-Verbräuche'!G211), 'Klisz-Verbräuche'!G211*Emissionsfaktoren!F211/1000, 0)</f>
        <v>0</v>
      </c>
      <c r="G541" s="15">
        <f>IF(ISNUMBER('Klisz-Verbräuche'!H211), 'Klisz-Verbräuche'!H211*Emissionsfaktoren!G211/1000, 0)</f>
        <v>0</v>
      </c>
      <c r="H541" s="15">
        <f>IF(ISNUMBER('Klisz-Verbräuche'!I211), 'Klisz-Verbräuche'!I211*Emissionsfaktoren!H211/1000, 0)</f>
        <v>0</v>
      </c>
      <c r="I541" s="15">
        <f>IF(ISNUMBER('Klisz-Verbräuche'!J211), 'Klisz-Verbräuche'!J211*Emissionsfaktoren!I211/1000, 0)</f>
        <v>0</v>
      </c>
      <c r="J541" s="15">
        <f>IF(ISNUMBER('Klisz-Verbräuche'!K211), 'Klisz-Verbräuche'!K211*Emissionsfaktoren!J211/1000, 0)</f>
        <v>0</v>
      </c>
      <c r="K541" s="15">
        <f>IF(ISNUMBER('Klisz-Verbräuche'!L211), 'Klisz-Verbräuche'!L211*Emissionsfaktoren!K211/1000, 0)</f>
        <v>0</v>
      </c>
      <c r="L541" s="15">
        <f>IF(ISNUMBER('Klisz-Verbräuche'!M211), 'Klisz-Verbräuche'!M211*Emissionsfaktoren!L211/1000, 0)</f>
        <v>0</v>
      </c>
      <c r="M541" s="15">
        <f>IF(ISNUMBER('Klisz-Verbräuche'!N211), 'Klisz-Verbräuche'!N211*Emissionsfaktoren!M211/1000, 0)</f>
        <v>0</v>
      </c>
      <c r="N541" s="15">
        <f>IF(ISNUMBER('Klisz-Verbräuche'!O211), 'Klisz-Verbräuche'!O211*Emissionsfaktoren!N211/1000, 0)</f>
        <v>0</v>
      </c>
      <c r="O541" s="15">
        <f>IF(ISNUMBER('Klisz-Verbräuche'!P211), 'Klisz-Verbräuche'!P211*Emissionsfaktoren!O211/1000, 0)</f>
        <v>0</v>
      </c>
      <c r="P541" s="15">
        <f>IF(ISNUMBER('Klisz-Verbräuche'!Q211), 'Klisz-Verbräuche'!Q211*Emissionsfaktoren!P211/1000, 0)</f>
        <v>0</v>
      </c>
      <c r="Q541" s="15">
        <f>IF(ISNUMBER('Klisz-Verbräuche'!R211), 'Klisz-Verbräuche'!R211*Emissionsfaktoren!Q211/1000, 0)</f>
        <v>0</v>
      </c>
      <c r="R541" s="15">
        <f>IF(ISNUMBER('Klisz-Verbräuche'!S211), 'Klisz-Verbräuche'!S211*Emissionsfaktoren!R211/1000, 0)</f>
        <v>0</v>
      </c>
      <c r="S541" s="15">
        <f>IF(ISNUMBER('Klisz-Verbräuche'!T211), 'Klisz-Verbräuche'!T211*Emissionsfaktoren!S211/1000, 0)</f>
        <v>0</v>
      </c>
      <c r="T541" s="15">
        <f>IF(ISNUMBER('Klisz-Verbräuche'!U211), 'Klisz-Verbräuche'!U211*Emissionsfaktoren!T211/1000, 0)</f>
        <v>0</v>
      </c>
      <c r="U541" s="15">
        <f>IF(ISNUMBER('Klisz-Verbräuche'!V211), 'Klisz-Verbräuche'!V211*Emissionsfaktoren!U211/1000, 0)</f>
        <v>0</v>
      </c>
      <c r="V541" s="15">
        <f>IF(ISNUMBER('Klisz-Verbräuche'!W211), 'Klisz-Verbräuche'!W211*Emissionsfaktoren!V211/1000, 0)</f>
        <v>0</v>
      </c>
      <c r="W541" s="15">
        <f>IF(ISNUMBER('Klisz-Verbräuche'!X211), 'Klisz-Verbräuche'!X211*Emissionsfaktoren!W211/1000, 0)</f>
        <v>0</v>
      </c>
      <c r="X541" s="15">
        <f>IF(ISNUMBER('Klisz-Verbräuche'!Y211), 'Klisz-Verbräuche'!Y211*Emissionsfaktoren!X211/1000, 0)</f>
        <v>0</v>
      </c>
    </row>
    <row r="542" spans="2:24" ht="16.5" hidden="1" x14ac:dyDescent="0.45">
      <c r="B542" s="15">
        <v>153</v>
      </c>
      <c r="C542" s="20">
        <f>'Refsz-Verbräuche'!C212</f>
        <v>0</v>
      </c>
      <c r="D542" t="s">
        <v>208</v>
      </c>
      <c r="E542" s="15">
        <f>IF(ISNUMBER('Klisz-Verbräuche'!F212), 'Klisz-Verbräuche'!F212*Emissionsfaktoren!E212/1000, 0)</f>
        <v>0</v>
      </c>
      <c r="F542" s="15">
        <f>IF(ISNUMBER('Klisz-Verbräuche'!G212), 'Klisz-Verbräuche'!G212*Emissionsfaktoren!F212/1000, 0)</f>
        <v>0</v>
      </c>
      <c r="G542" s="15">
        <f>IF(ISNUMBER('Klisz-Verbräuche'!H212), 'Klisz-Verbräuche'!H212*Emissionsfaktoren!G212/1000, 0)</f>
        <v>0</v>
      </c>
      <c r="H542" s="15">
        <f>IF(ISNUMBER('Klisz-Verbräuche'!I212), 'Klisz-Verbräuche'!I212*Emissionsfaktoren!H212/1000, 0)</f>
        <v>0</v>
      </c>
      <c r="I542" s="15">
        <f>IF(ISNUMBER('Klisz-Verbräuche'!J212), 'Klisz-Verbräuche'!J212*Emissionsfaktoren!I212/1000, 0)</f>
        <v>0</v>
      </c>
      <c r="J542" s="15">
        <f>IF(ISNUMBER('Klisz-Verbräuche'!K212), 'Klisz-Verbräuche'!K212*Emissionsfaktoren!J212/1000, 0)</f>
        <v>0</v>
      </c>
      <c r="K542" s="15">
        <f>IF(ISNUMBER('Klisz-Verbräuche'!L212), 'Klisz-Verbräuche'!L212*Emissionsfaktoren!K212/1000, 0)</f>
        <v>0</v>
      </c>
      <c r="L542" s="15">
        <f>IF(ISNUMBER('Klisz-Verbräuche'!M212), 'Klisz-Verbräuche'!M212*Emissionsfaktoren!L212/1000, 0)</f>
        <v>0</v>
      </c>
      <c r="M542" s="15">
        <f>IF(ISNUMBER('Klisz-Verbräuche'!N212), 'Klisz-Verbräuche'!N212*Emissionsfaktoren!M212/1000, 0)</f>
        <v>0</v>
      </c>
      <c r="N542" s="15">
        <f>IF(ISNUMBER('Klisz-Verbräuche'!O212), 'Klisz-Verbräuche'!O212*Emissionsfaktoren!N212/1000, 0)</f>
        <v>0</v>
      </c>
      <c r="O542" s="15">
        <f>IF(ISNUMBER('Klisz-Verbräuche'!P212), 'Klisz-Verbräuche'!P212*Emissionsfaktoren!O212/1000, 0)</f>
        <v>0</v>
      </c>
      <c r="P542" s="15">
        <f>IF(ISNUMBER('Klisz-Verbräuche'!Q212), 'Klisz-Verbräuche'!Q212*Emissionsfaktoren!P212/1000, 0)</f>
        <v>0</v>
      </c>
      <c r="Q542" s="15">
        <f>IF(ISNUMBER('Klisz-Verbräuche'!R212), 'Klisz-Verbräuche'!R212*Emissionsfaktoren!Q212/1000, 0)</f>
        <v>0</v>
      </c>
      <c r="R542" s="15">
        <f>IF(ISNUMBER('Klisz-Verbräuche'!S212), 'Klisz-Verbräuche'!S212*Emissionsfaktoren!R212/1000, 0)</f>
        <v>0</v>
      </c>
      <c r="S542" s="15">
        <f>IF(ISNUMBER('Klisz-Verbräuche'!T212), 'Klisz-Verbräuche'!T212*Emissionsfaktoren!S212/1000, 0)</f>
        <v>0</v>
      </c>
      <c r="T542" s="15">
        <f>IF(ISNUMBER('Klisz-Verbräuche'!U212), 'Klisz-Verbräuche'!U212*Emissionsfaktoren!T212/1000, 0)</f>
        <v>0</v>
      </c>
      <c r="U542" s="15">
        <f>IF(ISNUMBER('Klisz-Verbräuche'!V212), 'Klisz-Verbräuche'!V212*Emissionsfaktoren!U212/1000, 0)</f>
        <v>0</v>
      </c>
      <c r="V542" s="15">
        <f>IF(ISNUMBER('Klisz-Verbräuche'!W212), 'Klisz-Verbräuche'!W212*Emissionsfaktoren!V212/1000, 0)</f>
        <v>0</v>
      </c>
      <c r="W542" s="15">
        <f>IF(ISNUMBER('Klisz-Verbräuche'!X212), 'Klisz-Verbräuche'!X212*Emissionsfaktoren!W212/1000, 0)</f>
        <v>0</v>
      </c>
      <c r="X542" s="15">
        <f>IF(ISNUMBER('Klisz-Verbräuche'!Y212), 'Klisz-Verbräuche'!Y212*Emissionsfaktoren!X212/1000, 0)</f>
        <v>0</v>
      </c>
    </row>
    <row r="543" spans="2:24" ht="16.5" hidden="1" x14ac:dyDescent="0.45">
      <c r="B543" s="15">
        <v>154</v>
      </c>
      <c r="C543" s="20">
        <f>'Refsz-Verbräuche'!C213</f>
        <v>0</v>
      </c>
      <c r="D543" t="s">
        <v>208</v>
      </c>
      <c r="E543" s="15">
        <f>IF(ISNUMBER('Klisz-Verbräuche'!F213), 'Klisz-Verbräuche'!F213*Emissionsfaktoren!E213/1000, 0)</f>
        <v>0</v>
      </c>
      <c r="F543" s="15">
        <f>IF(ISNUMBER('Klisz-Verbräuche'!G213), 'Klisz-Verbräuche'!G213*Emissionsfaktoren!F213/1000, 0)</f>
        <v>0</v>
      </c>
      <c r="G543" s="15">
        <f>IF(ISNUMBER('Klisz-Verbräuche'!H213), 'Klisz-Verbräuche'!H213*Emissionsfaktoren!G213/1000, 0)</f>
        <v>0</v>
      </c>
      <c r="H543" s="15">
        <f>IF(ISNUMBER('Klisz-Verbräuche'!I213), 'Klisz-Verbräuche'!I213*Emissionsfaktoren!H213/1000, 0)</f>
        <v>0</v>
      </c>
      <c r="I543" s="15">
        <f>IF(ISNUMBER('Klisz-Verbräuche'!J213), 'Klisz-Verbräuche'!J213*Emissionsfaktoren!I213/1000, 0)</f>
        <v>0</v>
      </c>
      <c r="J543" s="15">
        <f>IF(ISNUMBER('Klisz-Verbräuche'!K213), 'Klisz-Verbräuche'!K213*Emissionsfaktoren!J213/1000, 0)</f>
        <v>0</v>
      </c>
      <c r="K543" s="15">
        <f>IF(ISNUMBER('Klisz-Verbräuche'!L213), 'Klisz-Verbräuche'!L213*Emissionsfaktoren!K213/1000, 0)</f>
        <v>0</v>
      </c>
      <c r="L543" s="15">
        <f>IF(ISNUMBER('Klisz-Verbräuche'!M213), 'Klisz-Verbräuche'!M213*Emissionsfaktoren!L213/1000, 0)</f>
        <v>0</v>
      </c>
      <c r="M543" s="15">
        <f>IF(ISNUMBER('Klisz-Verbräuche'!N213), 'Klisz-Verbräuche'!N213*Emissionsfaktoren!M213/1000, 0)</f>
        <v>0</v>
      </c>
      <c r="N543" s="15">
        <f>IF(ISNUMBER('Klisz-Verbräuche'!O213), 'Klisz-Verbräuche'!O213*Emissionsfaktoren!N213/1000, 0)</f>
        <v>0</v>
      </c>
      <c r="O543" s="15">
        <f>IF(ISNUMBER('Klisz-Verbräuche'!P213), 'Klisz-Verbräuche'!P213*Emissionsfaktoren!O213/1000, 0)</f>
        <v>0</v>
      </c>
      <c r="P543" s="15">
        <f>IF(ISNUMBER('Klisz-Verbräuche'!Q213), 'Klisz-Verbräuche'!Q213*Emissionsfaktoren!P213/1000, 0)</f>
        <v>0</v>
      </c>
      <c r="Q543" s="15">
        <f>IF(ISNUMBER('Klisz-Verbräuche'!R213), 'Klisz-Verbräuche'!R213*Emissionsfaktoren!Q213/1000, 0)</f>
        <v>0</v>
      </c>
      <c r="R543" s="15">
        <f>IF(ISNUMBER('Klisz-Verbräuche'!S213), 'Klisz-Verbräuche'!S213*Emissionsfaktoren!R213/1000, 0)</f>
        <v>0</v>
      </c>
      <c r="S543" s="15">
        <f>IF(ISNUMBER('Klisz-Verbräuche'!T213), 'Klisz-Verbräuche'!T213*Emissionsfaktoren!S213/1000, 0)</f>
        <v>0</v>
      </c>
      <c r="T543" s="15">
        <f>IF(ISNUMBER('Klisz-Verbräuche'!U213), 'Klisz-Verbräuche'!U213*Emissionsfaktoren!T213/1000, 0)</f>
        <v>0</v>
      </c>
      <c r="U543" s="15">
        <f>IF(ISNUMBER('Klisz-Verbräuche'!V213), 'Klisz-Verbräuche'!V213*Emissionsfaktoren!U213/1000, 0)</f>
        <v>0</v>
      </c>
      <c r="V543" s="15">
        <f>IF(ISNUMBER('Klisz-Verbräuche'!W213), 'Klisz-Verbräuche'!W213*Emissionsfaktoren!V213/1000, 0)</f>
        <v>0</v>
      </c>
      <c r="W543" s="15">
        <f>IF(ISNUMBER('Klisz-Verbräuche'!X213), 'Klisz-Verbräuche'!X213*Emissionsfaktoren!W213/1000, 0)</f>
        <v>0</v>
      </c>
      <c r="X543" s="15">
        <f>IF(ISNUMBER('Klisz-Verbräuche'!Y213), 'Klisz-Verbräuche'!Y213*Emissionsfaktoren!X213/1000, 0)</f>
        <v>0</v>
      </c>
    </row>
    <row r="544" spans="2:24" ht="16.5" hidden="1" x14ac:dyDescent="0.45">
      <c r="B544" s="15">
        <v>155</v>
      </c>
      <c r="C544" s="20">
        <f>'Refsz-Verbräuche'!C214</f>
        <v>0</v>
      </c>
      <c r="D544" t="s">
        <v>208</v>
      </c>
      <c r="E544" s="15">
        <f>IF(ISNUMBER('Klisz-Verbräuche'!F214), 'Klisz-Verbräuche'!F214*Emissionsfaktoren!E214/1000, 0)</f>
        <v>0</v>
      </c>
      <c r="F544" s="15">
        <f>IF(ISNUMBER('Klisz-Verbräuche'!G214), 'Klisz-Verbräuche'!G214*Emissionsfaktoren!F214/1000, 0)</f>
        <v>0</v>
      </c>
      <c r="G544" s="15">
        <f>IF(ISNUMBER('Klisz-Verbräuche'!H214), 'Klisz-Verbräuche'!H214*Emissionsfaktoren!G214/1000, 0)</f>
        <v>0</v>
      </c>
      <c r="H544" s="15">
        <f>IF(ISNUMBER('Klisz-Verbräuche'!I214), 'Klisz-Verbräuche'!I214*Emissionsfaktoren!H214/1000, 0)</f>
        <v>0</v>
      </c>
      <c r="I544" s="15">
        <f>IF(ISNUMBER('Klisz-Verbräuche'!J214), 'Klisz-Verbräuche'!J214*Emissionsfaktoren!I214/1000, 0)</f>
        <v>0</v>
      </c>
      <c r="J544" s="15">
        <f>IF(ISNUMBER('Klisz-Verbräuche'!K214), 'Klisz-Verbräuche'!K214*Emissionsfaktoren!J214/1000, 0)</f>
        <v>0</v>
      </c>
      <c r="K544" s="15">
        <f>IF(ISNUMBER('Klisz-Verbräuche'!L214), 'Klisz-Verbräuche'!L214*Emissionsfaktoren!K214/1000, 0)</f>
        <v>0</v>
      </c>
      <c r="L544" s="15">
        <f>IF(ISNUMBER('Klisz-Verbräuche'!M214), 'Klisz-Verbräuche'!M214*Emissionsfaktoren!L214/1000, 0)</f>
        <v>0</v>
      </c>
      <c r="M544" s="15">
        <f>IF(ISNUMBER('Klisz-Verbräuche'!N214), 'Klisz-Verbräuche'!N214*Emissionsfaktoren!M214/1000, 0)</f>
        <v>0</v>
      </c>
      <c r="N544" s="15">
        <f>IF(ISNUMBER('Klisz-Verbräuche'!O214), 'Klisz-Verbräuche'!O214*Emissionsfaktoren!N214/1000, 0)</f>
        <v>0</v>
      </c>
      <c r="O544" s="15">
        <f>IF(ISNUMBER('Klisz-Verbräuche'!P214), 'Klisz-Verbräuche'!P214*Emissionsfaktoren!O214/1000, 0)</f>
        <v>0</v>
      </c>
      <c r="P544" s="15">
        <f>IF(ISNUMBER('Klisz-Verbräuche'!Q214), 'Klisz-Verbräuche'!Q214*Emissionsfaktoren!P214/1000, 0)</f>
        <v>0</v>
      </c>
      <c r="Q544" s="15">
        <f>IF(ISNUMBER('Klisz-Verbräuche'!R214), 'Klisz-Verbräuche'!R214*Emissionsfaktoren!Q214/1000, 0)</f>
        <v>0</v>
      </c>
      <c r="R544" s="15">
        <f>IF(ISNUMBER('Klisz-Verbräuche'!S214), 'Klisz-Verbräuche'!S214*Emissionsfaktoren!R214/1000, 0)</f>
        <v>0</v>
      </c>
      <c r="S544" s="15">
        <f>IF(ISNUMBER('Klisz-Verbräuche'!T214), 'Klisz-Verbräuche'!T214*Emissionsfaktoren!S214/1000, 0)</f>
        <v>0</v>
      </c>
      <c r="T544" s="15">
        <f>IF(ISNUMBER('Klisz-Verbräuche'!U214), 'Klisz-Verbräuche'!U214*Emissionsfaktoren!T214/1000, 0)</f>
        <v>0</v>
      </c>
      <c r="U544" s="15">
        <f>IF(ISNUMBER('Klisz-Verbräuche'!V214), 'Klisz-Verbräuche'!V214*Emissionsfaktoren!U214/1000, 0)</f>
        <v>0</v>
      </c>
      <c r="V544" s="15">
        <f>IF(ISNUMBER('Klisz-Verbräuche'!W214), 'Klisz-Verbräuche'!W214*Emissionsfaktoren!V214/1000, 0)</f>
        <v>0</v>
      </c>
      <c r="W544" s="15">
        <f>IF(ISNUMBER('Klisz-Verbräuche'!X214), 'Klisz-Verbräuche'!X214*Emissionsfaktoren!W214/1000, 0)</f>
        <v>0</v>
      </c>
      <c r="X544" s="15">
        <f>IF(ISNUMBER('Klisz-Verbräuche'!Y214), 'Klisz-Verbräuche'!Y214*Emissionsfaktoren!X214/1000, 0)</f>
        <v>0</v>
      </c>
    </row>
    <row r="545" spans="2:24" ht="16.5" hidden="1" x14ac:dyDescent="0.45">
      <c r="B545" s="15">
        <v>156</v>
      </c>
      <c r="C545" s="20">
        <f>'Refsz-Verbräuche'!C215</f>
        <v>0</v>
      </c>
      <c r="D545" t="s">
        <v>208</v>
      </c>
      <c r="E545" s="15">
        <f>IF(ISNUMBER('Klisz-Verbräuche'!F215), 'Klisz-Verbräuche'!F215*Emissionsfaktoren!E215/1000, 0)</f>
        <v>0</v>
      </c>
      <c r="F545" s="15">
        <f>IF(ISNUMBER('Klisz-Verbräuche'!G215), 'Klisz-Verbräuche'!G215*Emissionsfaktoren!F215/1000, 0)</f>
        <v>0</v>
      </c>
      <c r="G545" s="15">
        <f>IF(ISNUMBER('Klisz-Verbräuche'!H215), 'Klisz-Verbräuche'!H215*Emissionsfaktoren!G215/1000, 0)</f>
        <v>0</v>
      </c>
      <c r="H545" s="15">
        <f>IF(ISNUMBER('Klisz-Verbräuche'!I215), 'Klisz-Verbräuche'!I215*Emissionsfaktoren!H215/1000, 0)</f>
        <v>0</v>
      </c>
      <c r="I545" s="15">
        <f>IF(ISNUMBER('Klisz-Verbräuche'!J215), 'Klisz-Verbräuche'!J215*Emissionsfaktoren!I215/1000, 0)</f>
        <v>0</v>
      </c>
      <c r="J545" s="15">
        <f>IF(ISNUMBER('Klisz-Verbräuche'!K215), 'Klisz-Verbräuche'!K215*Emissionsfaktoren!J215/1000, 0)</f>
        <v>0</v>
      </c>
      <c r="K545" s="15">
        <f>IF(ISNUMBER('Klisz-Verbräuche'!L215), 'Klisz-Verbräuche'!L215*Emissionsfaktoren!K215/1000, 0)</f>
        <v>0</v>
      </c>
      <c r="L545" s="15">
        <f>IF(ISNUMBER('Klisz-Verbräuche'!M215), 'Klisz-Verbräuche'!M215*Emissionsfaktoren!L215/1000, 0)</f>
        <v>0</v>
      </c>
      <c r="M545" s="15">
        <f>IF(ISNUMBER('Klisz-Verbräuche'!N215), 'Klisz-Verbräuche'!N215*Emissionsfaktoren!M215/1000, 0)</f>
        <v>0</v>
      </c>
      <c r="N545" s="15">
        <f>IF(ISNUMBER('Klisz-Verbräuche'!O215), 'Klisz-Verbräuche'!O215*Emissionsfaktoren!N215/1000, 0)</f>
        <v>0</v>
      </c>
      <c r="O545" s="15">
        <f>IF(ISNUMBER('Klisz-Verbräuche'!P215), 'Klisz-Verbräuche'!P215*Emissionsfaktoren!O215/1000, 0)</f>
        <v>0</v>
      </c>
      <c r="P545" s="15">
        <f>IF(ISNUMBER('Klisz-Verbräuche'!Q215), 'Klisz-Verbräuche'!Q215*Emissionsfaktoren!P215/1000, 0)</f>
        <v>0</v>
      </c>
      <c r="Q545" s="15">
        <f>IF(ISNUMBER('Klisz-Verbräuche'!R215), 'Klisz-Verbräuche'!R215*Emissionsfaktoren!Q215/1000, 0)</f>
        <v>0</v>
      </c>
      <c r="R545" s="15">
        <f>IF(ISNUMBER('Klisz-Verbräuche'!S215), 'Klisz-Verbräuche'!S215*Emissionsfaktoren!R215/1000, 0)</f>
        <v>0</v>
      </c>
      <c r="S545" s="15">
        <f>IF(ISNUMBER('Klisz-Verbräuche'!T215), 'Klisz-Verbräuche'!T215*Emissionsfaktoren!S215/1000, 0)</f>
        <v>0</v>
      </c>
      <c r="T545" s="15">
        <f>IF(ISNUMBER('Klisz-Verbräuche'!U215), 'Klisz-Verbräuche'!U215*Emissionsfaktoren!T215/1000, 0)</f>
        <v>0</v>
      </c>
      <c r="U545" s="15">
        <f>IF(ISNUMBER('Klisz-Verbräuche'!V215), 'Klisz-Verbräuche'!V215*Emissionsfaktoren!U215/1000, 0)</f>
        <v>0</v>
      </c>
      <c r="V545" s="15">
        <f>IF(ISNUMBER('Klisz-Verbräuche'!W215), 'Klisz-Verbräuche'!W215*Emissionsfaktoren!V215/1000, 0)</f>
        <v>0</v>
      </c>
      <c r="W545" s="15">
        <f>IF(ISNUMBER('Klisz-Verbräuche'!X215), 'Klisz-Verbräuche'!X215*Emissionsfaktoren!W215/1000, 0)</f>
        <v>0</v>
      </c>
      <c r="X545" s="15">
        <f>IF(ISNUMBER('Klisz-Verbräuche'!Y215), 'Klisz-Verbräuche'!Y215*Emissionsfaktoren!X215/1000, 0)</f>
        <v>0</v>
      </c>
    </row>
    <row r="546" spans="2:24" ht="16.5" hidden="1" x14ac:dyDescent="0.45">
      <c r="B546" s="15">
        <v>157</v>
      </c>
      <c r="C546" s="20">
        <f>'Refsz-Verbräuche'!C216</f>
        <v>0</v>
      </c>
      <c r="D546" t="s">
        <v>208</v>
      </c>
      <c r="E546" s="15">
        <f>IF(ISNUMBER('Klisz-Verbräuche'!F216), 'Klisz-Verbräuche'!F216*Emissionsfaktoren!E216/1000, 0)</f>
        <v>0</v>
      </c>
      <c r="F546" s="15">
        <f>IF(ISNUMBER('Klisz-Verbräuche'!G216), 'Klisz-Verbräuche'!G216*Emissionsfaktoren!F216/1000, 0)</f>
        <v>0</v>
      </c>
      <c r="G546" s="15">
        <f>IF(ISNUMBER('Klisz-Verbräuche'!H216), 'Klisz-Verbräuche'!H216*Emissionsfaktoren!G216/1000, 0)</f>
        <v>0</v>
      </c>
      <c r="H546" s="15">
        <f>IF(ISNUMBER('Klisz-Verbräuche'!I216), 'Klisz-Verbräuche'!I216*Emissionsfaktoren!H216/1000, 0)</f>
        <v>0</v>
      </c>
      <c r="I546" s="15">
        <f>IF(ISNUMBER('Klisz-Verbräuche'!J216), 'Klisz-Verbräuche'!J216*Emissionsfaktoren!I216/1000, 0)</f>
        <v>0</v>
      </c>
      <c r="J546" s="15">
        <f>IF(ISNUMBER('Klisz-Verbräuche'!K216), 'Klisz-Verbräuche'!K216*Emissionsfaktoren!J216/1000, 0)</f>
        <v>0</v>
      </c>
      <c r="K546" s="15">
        <f>IF(ISNUMBER('Klisz-Verbräuche'!L216), 'Klisz-Verbräuche'!L216*Emissionsfaktoren!K216/1000, 0)</f>
        <v>0</v>
      </c>
      <c r="L546" s="15">
        <f>IF(ISNUMBER('Klisz-Verbräuche'!M216), 'Klisz-Verbräuche'!M216*Emissionsfaktoren!L216/1000, 0)</f>
        <v>0</v>
      </c>
      <c r="M546" s="15">
        <f>IF(ISNUMBER('Klisz-Verbräuche'!N216), 'Klisz-Verbräuche'!N216*Emissionsfaktoren!M216/1000, 0)</f>
        <v>0</v>
      </c>
      <c r="N546" s="15">
        <f>IF(ISNUMBER('Klisz-Verbräuche'!O216), 'Klisz-Verbräuche'!O216*Emissionsfaktoren!N216/1000, 0)</f>
        <v>0</v>
      </c>
      <c r="O546" s="15">
        <f>IF(ISNUMBER('Klisz-Verbräuche'!P216), 'Klisz-Verbräuche'!P216*Emissionsfaktoren!O216/1000, 0)</f>
        <v>0</v>
      </c>
      <c r="P546" s="15">
        <f>IF(ISNUMBER('Klisz-Verbräuche'!Q216), 'Klisz-Verbräuche'!Q216*Emissionsfaktoren!P216/1000, 0)</f>
        <v>0</v>
      </c>
      <c r="Q546" s="15">
        <f>IF(ISNUMBER('Klisz-Verbräuche'!R216), 'Klisz-Verbräuche'!R216*Emissionsfaktoren!Q216/1000, 0)</f>
        <v>0</v>
      </c>
      <c r="R546" s="15">
        <f>IF(ISNUMBER('Klisz-Verbräuche'!S216), 'Klisz-Verbräuche'!S216*Emissionsfaktoren!R216/1000, 0)</f>
        <v>0</v>
      </c>
      <c r="S546" s="15">
        <f>IF(ISNUMBER('Klisz-Verbräuche'!T216), 'Klisz-Verbräuche'!T216*Emissionsfaktoren!S216/1000, 0)</f>
        <v>0</v>
      </c>
      <c r="T546" s="15">
        <f>IF(ISNUMBER('Klisz-Verbräuche'!U216), 'Klisz-Verbräuche'!U216*Emissionsfaktoren!T216/1000, 0)</f>
        <v>0</v>
      </c>
      <c r="U546" s="15">
        <f>IF(ISNUMBER('Klisz-Verbräuche'!V216), 'Klisz-Verbräuche'!V216*Emissionsfaktoren!U216/1000, 0)</f>
        <v>0</v>
      </c>
      <c r="V546" s="15">
        <f>IF(ISNUMBER('Klisz-Verbräuche'!W216), 'Klisz-Verbräuche'!W216*Emissionsfaktoren!V216/1000, 0)</f>
        <v>0</v>
      </c>
      <c r="W546" s="15">
        <f>IF(ISNUMBER('Klisz-Verbräuche'!X216), 'Klisz-Verbräuche'!X216*Emissionsfaktoren!W216/1000, 0)</f>
        <v>0</v>
      </c>
      <c r="X546" s="15">
        <f>IF(ISNUMBER('Klisz-Verbräuche'!Y216), 'Klisz-Verbräuche'!Y216*Emissionsfaktoren!X216/1000, 0)</f>
        <v>0</v>
      </c>
    </row>
    <row r="547" spans="2:24" ht="16.5" hidden="1" x14ac:dyDescent="0.45">
      <c r="B547" s="15">
        <v>158</v>
      </c>
      <c r="C547" s="20">
        <f>'Refsz-Verbräuche'!C217</f>
        <v>0</v>
      </c>
      <c r="D547" t="s">
        <v>208</v>
      </c>
      <c r="E547" s="15">
        <f>IF(ISNUMBER('Klisz-Verbräuche'!F217), 'Klisz-Verbräuche'!F217*Emissionsfaktoren!E217/1000, 0)</f>
        <v>0</v>
      </c>
      <c r="F547" s="15">
        <f>IF(ISNUMBER('Klisz-Verbräuche'!G217), 'Klisz-Verbräuche'!G217*Emissionsfaktoren!F217/1000, 0)</f>
        <v>0</v>
      </c>
      <c r="G547" s="15">
        <f>IF(ISNUMBER('Klisz-Verbräuche'!H217), 'Klisz-Verbräuche'!H217*Emissionsfaktoren!G217/1000, 0)</f>
        <v>0</v>
      </c>
      <c r="H547" s="15">
        <f>IF(ISNUMBER('Klisz-Verbräuche'!I217), 'Klisz-Verbräuche'!I217*Emissionsfaktoren!H217/1000, 0)</f>
        <v>0</v>
      </c>
      <c r="I547" s="15">
        <f>IF(ISNUMBER('Klisz-Verbräuche'!J217), 'Klisz-Verbräuche'!J217*Emissionsfaktoren!I217/1000, 0)</f>
        <v>0</v>
      </c>
      <c r="J547" s="15">
        <f>IF(ISNUMBER('Klisz-Verbräuche'!K217), 'Klisz-Verbräuche'!K217*Emissionsfaktoren!J217/1000, 0)</f>
        <v>0</v>
      </c>
      <c r="K547" s="15">
        <f>IF(ISNUMBER('Klisz-Verbräuche'!L217), 'Klisz-Verbräuche'!L217*Emissionsfaktoren!K217/1000, 0)</f>
        <v>0</v>
      </c>
      <c r="L547" s="15">
        <f>IF(ISNUMBER('Klisz-Verbräuche'!M217), 'Klisz-Verbräuche'!M217*Emissionsfaktoren!L217/1000, 0)</f>
        <v>0</v>
      </c>
      <c r="M547" s="15">
        <f>IF(ISNUMBER('Klisz-Verbräuche'!N217), 'Klisz-Verbräuche'!N217*Emissionsfaktoren!M217/1000, 0)</f>
        <v>0</v>
      </c>
      <c r="N547" s="15">
        <f>IF(ISNUMBER('Klisz-Verbräuche'!O217), 'Klisz-Verbräuche'!O217*Emissionsfaktoren!N217/1000, 0)</f>
        <v>0</v>
      </c>
      <c r="O547" s="15">
        <f>IF(ISNUMBER('Klisz-Verbräuche'!P217), 'Klisz-Verbräuche'!P217*Emissionsfaktoren!O217/1000, 0)</f>
        <v>0</v>
      </c>
      <c r="P547" s="15">
        <f>IF(ISNUMBER('Klisz-Verbräuche'!Q217), 'Klisz-Verbräuche'!Q217*Emissionsfaktoren!P217/1000, 0)</f>
        <v>0</v>
      </c>
      <c r="Q547" s="15">
        <f>IF(ISNUMBER('Klisz-Verbräuche'!R217), 'Klisz-Verbräuche'!R217*Emissionsfaktoren!Q217/1000, 0)</f>
        <v>0</v>
      </c>
      <c r="R547" s="15">
        <f>IF(ISNUMBER('Klisz-Verbräuche'!S217), 'Klisz-Verbräuche'!S217*Emissionsfaktoren!R217/1000, 0)</f>
        <v>0</v>
      </c>
      <c r="S547" s="15">
        <f>IF(ISNUMBER('Klisz-Verbräuche'!T217), 'Klisz-Verbräuche'!T217*Emissionsfaktoren!S217/1000, 0)</f>
        <v>0</v>
      </c>
      <c r="T547" s="15">
        <f>IF(ISNUMBER('Klisz-Verbräuche'!U217), 'Klisz-Verbräuche'!U217*Emissionsfaktoren!T217/1000, 0)</f>
        <v>0</v>
      </c>
      <c r="U547" s="15">
        <f>IF(ISNUMBER('Klisz-Verbräuche'!V217), 'Klisz-Verbräuche'!V217*Emissionsfaktoren!U217/1000, 0)</f>
        <v>0</v>
      </c>
      <c r="V547" s="15">
        <f>IF(ISNUMBER('Klisz-Verbräuche'!W217), 'Klisz-Verbräuche'!W217*Emissionsfaktoren!V217/1000, 0)</f>
        <v>0</v>
      </c>
      <c r="W547" s="15">
        <f>IF(ISNUMBER('Klisz-Verbräuche'!X217), 'Klisz-Verbräuche'!X217*Emissionsfaktoren!W217/1000, 0)</f>
        <v>0</v>
      </c>
      <c r="X547" s="15">
        <f>IF(ISNUMBER('Klisz-Verbräuche'!Y217), 'Klisz-Verbräuche'!Y217*Emissionsfaktoren!X217/1000, 0)</f>
        <v>0</v>
      </c>
    </row>
    <row r="548" spans="2:24" ht="16.5" hidden="1" x14ac:dyDescent="0.45">
      <c r="B548" s="15">
        <v>159</v>
      </c>
      <c r="C548" s="20">
        <f>'Refsz-Verbräuche'!C218</f>
        <v>0</v>
      </c>
      <c r="D548" t="s">
        <v>208</v>
      </c>
      <c r="E548" s="15">
        <f>IF(ISNUMBER('Klisz-Verbräuche'!F218), 'Klisz-Verbräuche'!F218*Emissionsfaktoren!E218/1000, 0)</f>
        <v>0</v>
      </c>
      <c r="F548" s="15">
        <f>IF(ISNUMBER('Klisz-Verbräuche'!G218), 'Klisz-Verbräuche'!G218*Emissionsfaktoren!F218/1000, 0)</f>
        <v>0</v>
      </c>
      <c r="G548" s="15">
        <f>IF(ISNUMBER('Klisz-Verbräuche'!H218), 'Klisz-Verbräuche'!H218*Emissionsfaktoren!G218/1000, 0)</f>
        <v>0</v>
      </c>
      <c r="H548" s="15">
        <f>IF(ISNUMBER('Klisz-Verbräuche'!I218), 'Klisz-Verbräuche'!I218*Emissionsfaktoren!H218/1000, 0)</f>
        <v>0</v>
      </c>
      <c r="I548" s="15">
        <f>IF(ISNUMBER('Klisz-Verbräuche'!J218), 'Klisz-Verbräuche'!J218*Emissionsfaktoren!I218/1000, 0)</f>
        <v>0</v>
      </c>
      <c r="J548" s="15">
        <f>IF(ISNUMBER('Klisz-Verbräuche'!K218), 'Klisz-Verbräuche'!K218*Emissionsfaktoren!J218/1000, 0)</f>
        <v>0</v>
      </c>
      <c r="K548" s="15">
        <f>IF(ISNUMBER('Klisz-Verbräuche'!L218), 'Klisz-Verbräuche'!L218*Emissionsfaktoren!K218/1000, 0)</f>
        <v>0</v>
      </c>
      <c r="L548" s="15">
        <f>IF(ISNUMBER('Klisz-Verbräuche'!M218), 'Klisz-Verbräuche'!M218*Emissionsfaktoren!L218/1000, 0)</f>
        <v>0</v>
      </c>
      <c r="M548" s="15">
        <f>IF(ISNUMBER('Klisz-Verbräuche'!N218), 'Klisz-Verbräuche'!N218*Emissionsfaktoren!M218/1000, 0)</f>
        <v>0</v>
      </c>
      <c r="N548" s="15">
        <f>IF(ISNUMBER('Klisz-Verbräuche'!O218), 'Klisz-Verbräuche'!O218*Emissionsfaktoren!N218/1000, 0)</f>
        <v>0</v>
      </c>
      <c r="O548" s="15">
        <f>IF(ISNUMBER('Klisz-Verbräuche'!P218), 'Klisz-Verbräuche'!P218*Emissionsfaktoren!O218/1000, 0)</f>
        <v>0</v>
      </c>
      <c r="P548" s="15">
        <f>IF(ISNUMBER('Klisz-Verbräuche'!Q218), 'Klisz-Verbräuche'!Q218*Emissionsfaktoren!P218/1000, 0)</f>
        <v>0</v>
      </c>
      <c r="Q548" s="15">
        <f>IF(ISNUMBER('Klisz-Verbräuche'!R218), 'Klisz-Verbräuche'!R218*Emissionsfaktoren!Q218/1000, 0)</f>
        <v>0</v>
      </c>
      <c r="R548" s="15">
        <f>IF(ISNUMBER('Klisz-Verbräuche'!S218), 'Klisz-Verbräuche'!S218*Emissionsfaktoren!R218/1000, 0)</f>
        <v>0</v>
      </c>
      <c r="S548" s="15">
        <f>IF(ISNUMBER('Klisz-Verbräuche'!T218), 'Klisz-Verbräuche'!T218*Emissionsfaktoren!S218/1000, 0)</f>
        <v>0</v>
      </c>
      <c r="T548" s="15">
        <f>IF(ISNUMBER('Klisz-Verbräuche'!U218), 'Klisz-Verbräuche'!U218*Emissionsfaktoren!T218/1000, 0)</f>
        <v>0</v>
      </c>
      <c r="U548" s="15">
        <f>IF(ISNUMBER('Klisz-Verbräuche'!V218), 'Klisz-Verbräuche'!V218*Emissionsfaktoren!U218/1000, 0)</f>
        <v>0</v>
      </c>
      <c r="V548" s="15">
        <f>IF(ISNUMBER('Klisz-Verbräuche'!W218), 'Klisz-Verbräuche'!W218*Emissionsfaktoren!V218/1000, 0)</f>
        <v>0</v>
      </c>
      <c r="W548" s="15">
        <f>IF(ISNUMBER('Klisz-Verbräuche'!X218), 'Klisz-Verbräuche'!X218*Emissionsfaktoren!W218/1000, 0)</f>
        <v>0</v>
      </c>
      <c r="X548" s="15">
        <f>IF(ISNUMBER('Klisz-Verbräuche'!Y218), 'Klisz-Verbräuche'!Y218*Emissionsfaktoren!X218/1000, 0)</f>
        <v>0</v>
      </c>
    </row>
    <row r="549" spans="2:24" ht="16.5" hidden="1" x14ac:dyDescent="0.45">
      <c r="B549" s="15">
        <v>160</v>
      </c>
      <c r="C549" s="20">
        <f>'Refsz-Verbräuche'!C219</f>
        <v>0</v>
      </c>
      <c r="D549" t="s">
        <v>208</v>
      </c>
      <c r="E549" s="15">
        <f>IF(ISNUMBER('Klisz-Verbräuche'!F219), 'Klisz-Verbräuche'!F219*Emissionsfaktoren!E219/1000, 0)</f>
        <v>0</v>
      </c>
      <c r="F549" s="15">
        <f>IF(ISNUMBER('Klisz-Verbräuche'!G219), 'Klisz-Verbräuche'!G219*Emissionsfaktoren!F219/1000, 0)</f>
        <v>0</v>
      </c>
      <c r="G549" s="15">
        <f>IF(ISNUMBER('Klisz-Verbräuche'!H219), 'Klisz-Verbräuche'!H219*Emissionsfaktoren!G219/1000, 0)</f>
        <v>0</v>
      </c>
      <c r="H549" s="15">
        <f>IF(ISNUMBER('Klisz-Verbräuche'!I219), 'Klisz-Verbräuche'!I219*Emissionsfaktoren!H219/1000, 0)</f>
        <v>0</v>
      </c>
      <c r="I549" s="15">
        <f>IF(ISNUMBER('Klisz-Verbräuche'!J219), 'Klisz-Verbräuche'!J219*Emissionsfaktoren!I219/1000, 0)</f>
        <v>0</v>
      </c>
      <c r="J549" s="15">
        <f>IF(ISNUMBER('Klisz-Verbräuche'!K219), 'Klisz-Verbräuche'!K219*Emissionsfaktoren!J219/1000, 0)</f>
        <v>0</v>
      </c>
      <c r="K549" s="15">
        <f>IF(ISNUMBER('Klisz-Verbräuche'!L219), 'Klisz-Verbräuche'!L219*Emissionsfaktoren!K219/1000, 0)</f>
        <v>0</v>
      </c>
      <c r="L549" s="15">
        <f>IF(ISNUMBER('Klisz-Verbräuche'!M219), 'Klisz-Verbräuche'!M219*Emissionsfaktoren!L219/1000, 0)</f>
        <v>0</v>
      </c>
      <c r="M549" s="15">
        <f>IF(ISNUMBER('Klisz-Verbräuche'!N219), 'Klisz-Verbräuche'!N219*Emissionsfaktoren!M219/1000, 0)</f>
        <v>0</v>
      </c>
      <c r="N549" s="15">
        <f>IF(ISNUMBER('Klisz-Verbräuche'!O219), 'Klisz-Verbräuche'!O219*Emissionsfaktoren!N219/1000, 0)</f>
        <v>0</v>
      </c>
      <c r="O549" s="15">
        <f>IF(ISNUMBER('Klisz-Verbräuche'!P219), 'Klisz-Verbräuche'!P219*Emissionsfaktoren!O219/1000, 0)</f>
        <v>0</v>
      </c>
      <c r="P549" s="15">
        <f>IF(ISNUMBER('Klisz-Verbräuche'!Q219), 'Klisz-Verbräuche'!Q219*Emissionsfaktoren!P219/1000, 0)</f>
        <v>0</v>
      </c>
      <c r="Q549" s="15">
        <f>IF(ISNUMBER('Klisz-Verbräuche'!R219), 'Klisz-Verbräuche'!R219*Emissionsfaktoren!Q219/1000, 0)</f>
        <v>0</v>
      </c>
      <c r="R549" s="15">
        <f>IF(ISNUMBER('Klisz-Verbräuche'!S219), 'Klisz-Verbräuche'!S219*Emissionsfaktoren!R219/1000, 0)</f>
        <v>0</v>
      </c>
      <c r="S549" s="15">
        <f>IF(ISNUMBER('Klisz-Verbräuche'!T219), 'Klisz-Verbräuche'!T219*Emissionsfaktoren!S219/1000, 0)</f>
        <v>0</v>
      </c>
      <c r="T549" s="15">
        <f>IF(ISNUMBER('Klisz-Verbräuche'!U219), 'Klisz-Verbräuche'!U219*Emissionsfaktoren!T219/1000, 0)</f>
        <v>0</v>
      </c>
      <c r="U549" s="15">
        <f>IF(ISNUMBER('Klisz-Verbräuche'!V219), 'Klisz-Verbräuche'!V219*Emissionsfaktoren!U219/1000, 0)</f>
        <v>0</v>
      </c>
      <c r="V549" s="15">
        <f>IF(ISNUMBER('Klisz-Verbräuche'!W219), 'Klisz-Verbräuche'!W219*Emissionsfaktoren!V219/1000, 0)</f>
        <v>0</v>
      </c>
      <c r="W549" s="15">
        <f>IF(ISNUMBER('Klisz-Verbräuche'!X219), 'Klisz-Verbräuche'!X219*Emissionsfaktoren!W219/1000, 0)</f>
        <v>0</v>
      </c>
      <c r="X549" s="15">
        <f>IF(ISNUMBER('Klisz-Verbräuche'!Y219), 'Klisz-Verbräuche'!Y219*Emissionsfaktoren!X219/1000, 0)</f>
        <v>0</v>
      </c>
    </row>
    <row r="550" spans="2:24" ht="16.5" hidden="1" x14ac:dyDescent="0.45">
      <c r="B550" s="15">
        <v>161</v>
      </c>
      <c r="C550" s="20">
        <f>'Refsz-Verbräuche'!C220</f>
        <v>0</v>
      </c>
      <c r="D550" t="s">
        <v>208</v>
      </c>
      <c r="E550" s="15">
        <f>IF(ISNUMBER('Klisz-Verbräuche'!F220), 'Klisz-Verbräuche'!F220*Emissionsfaktoren!E220/1000, 0)</f>
        <v>0</v>
      </c>
      <c r="F550" s="15">
        <f>IF(ISNUMBER('Klisz-Verbräuche'!G220), 'Klisz-Verbräuche'!G220*Emissionsfaktoren!F220/1000, 0)</f>
        <v>0</v>
      </c>
      <c r="G550" s="15">
        <f>IF(ISNUMBER('Klisz-Verbräuche'!H220), 'Klisz-Verbräuche'!H220*Emissionsfaktoren!G220/1000, 0)</f>
        <v>0</v>
      </c>
      <c r="H550" s="15">
        <f>IF(ISNUMBER('Klisz-Verbräuche'!I220), 'Klisz-Verbräuche'!I220*Emissionsfaktoren!H220/1000, 0)</f>
        <v>0</v>
      </c>
      <c r="I550" s="15">
        <f>IF(ISNUMBER('Klisz-Verbräuche'!J220), 'Klisz-Verbräuche'!J220*Emissionsfaktoren!I220/1000, 0)</f>
        <v>0</v>
      </c>
      <c r="J550" s="15">
        <f>IF(ISNUMBER('Klisz-Verbräuche'!K220), 'Klisz-Verbräuche'!K220*Emissionsfaktoren!J220/1000, 0)</f>
        <v>0</v>
      </c>
      <c r="K550" s="15">
        <f>IF(ISNUMBER('Klisz-Verbräuche'!L220), 'Klisz-Verbräuche'!L220*Emissionsfaktoren!K220/1000, 0)</f>
        <v>0</v>
      </c>
      <c r="L550" s="15">
        <f>IF(ISNUMBER('Klisz-Verbräuche'!M220), 'Klisz-Verbräuche'!M220*Emissionsfaktoren!L220/1000, 0)</f>
        <v>0</v>
      </c>
      <c r="M550" s="15">
        <f>IF(ISNUMBER('Klisz-Verbräuche'!N220), 'Klisz-Verbräuche'!N220*Emissionsfaktoren!M220/1000, 0)</f>
        <v>0</v>
      </c>
      <c r="N550" s="15">
        <f>IF(ISNUMBER('Klisz-Verbräuche'!O220), 'Klisz-Verbräuche'!O220*Emissionsfaktoren!N220/1000, 0)</f>
        <v>0</v>
      </c>
      <c r="O550" s="15">
        <f>IF(ISNUMBER('Klisz-Verbräuche'!P220), 'Klisz-Verbräuche'!P220*Emissionsfaktoren!O220/1000, 0)</f>
        <v>0</v>
      </c>
      <c r="P550" s="15">
        <f>IF(ISNUMBER('Klisz-Verbräuche'!Q220), 'Klisz-Verbräuche'!Q220*Emissionsfaktoren!P220/1000, 0)</f>
        <v>0</v>
      </c>
      <c r="Q550" s="15">
        <f>IF(ISNUMBER('Klisz-Verbräuche'!R220), 'Klisz-Verbräuche'!R220*Emissionsfaktoren!Q220/1000, 0)</f>
        <v>0</v>
      </c>
      <c r="R550" s="15">
        <f>IF(ISNUMBER('Klisz-Verbräuche'!S220), 'Klisz-Verbräuche'!S220*Emissionsfaktoren!R220/1000, 0)</f>
        <v>0</v>
      </c>
      <c r="S550" s="15">
        <f>IF(ISNUMBER('Klisz-Verbräuche'!T220), 'Klisz-Verbräuche'!T220*Emissionsfaktoren!S220/1000, 0)</f>
        <v>0</v>
      </c>
      <c r="T550" s="15">
        <f>IF(ISNUMBER('Klisz-Verbräuche'!U220), 'Klisz-Verbräuche'!U220*Emissionsfaktoren!T220/1000, 0)</f>
        <v>0</v>
      </c>
      <c r="U550" s="15">
        <f>IF(ISNUMBER('Klisz-Verbräuche'!V220), 'Klisz-Verbräuche'!V220*Emissionsfaktoren!U220/1000, 0)</f>
        <v>0</v>
      </c>
      <c r="V550" s="15">
        <f>IF(ISNUMBER('Klisz-Verbräuche'!W220), 'Klisz-Verbräuche'!W220*Emissionsfaktoren!V220/1000, 0)</f>
        <v>0</v>
      </c>
      <c r="W550" s="15">
        <f>IF(ISNUMBER('Klisz-Verbräuche'!X220), 'Klisz-Verbräuche'!X220*Emissionsfaktoren!W220/1000, 0)</f>
        <v>0</v>
      </c>
      <c r="X550" s="15">
        <f>IF(ISNUMBER('Klisz-Verbräuche'!Y220), 'Klisz-Verbräuche'!Y220*Emissionsfaktoren!X220/1000, 0)</f>
        <v>0</v>
      </c>
    </row>
    <row r="551" spans="2:24" ht="16.5" hidden="1" x14ac:dyDescent="0.45">
      <c r="B551" s="15">
        <v>162</v>
      </c>
      <c r="C551" s="20">
        <f>'Refsz-Verbräuche'!C221</f>
        <v>0</v>
      </c>
      <c r="D551" t="s">
        <v>208</v>
      </c>
      <c r="E551" s="15">
        <f>IF(ISNUMBER('Klisz-Verbräuche'!F221), 'Klisz-Verbräuche'!F221*Emissionsfaktoren!E221/1000, 0)</f>
        <v>0</v>
      </c>
      <c r="F551" s="15">
        <f>IF(ISNUMBER('Klisz-Verbräuche'!G221), 'Klisz-Verbräuche'!G221*Emissionsfaktoren!F221/1000, 0)</f>
        <v>0</v>
      </c>
      <c r="G551" s="15">
        <f>IF(ISNUMBER('Klisz-Verbräuche'!H221), 'Klisz-Verbräuche'!H221*Emissionsfaktoren!G221/1000, 0)</f>
        <v>0</v>
      </c>
      <c r="H551" s="15">
        <f>IF(ISNUMBER('Klisz-Verbräuche'!I221), 'Klisz-Verbräuche'!I221*Emissionsfaktoren!H221/1000, 0)</f>
        <v>0</v>
      </c>
      <c r="I551" s="15">
        <f>IF(ISNUMBER('Klisz-Verbräuche'!J221), 'Klisz-Verbräuche'!J221*Emissionsfaktoren!I221/1000, 0)</f>
        <v>0</v>
      </c>
      <c r="J551" s="15">
        <f>IF(ISNUMBER('Klisz-Verbräuche'!K221), 'Klisz-Verbräuche'!K221*Emissionsfaktoren!J221/1000, 0)</f>
        <v>0</v>
      </c>
      <c r="K551" s="15">
        <f>IF(ISNUMBER('Klisz-Verbräuche'!L221), 'Klisz-Verbräuche'!L221*Emissionsfaktoren!K221/1000, 0)</f>
        <v>0</v>
      </c>
      <c r="L551" s="15">
        <f>IF(ISNUMBER('Klisz-Verbräuche'!M221), 'Klisz-Verbräuche'!M221*Emissionsfaktoren!L221/1000, 0)</f>
        <v>0</v>
      </c>
      <c r="M551" s="15">
        <f>IF(ISNUMBER('Klisz-Verbräuche'!N221), 'Klisz-Verbräuche'!N221*Emissionsfaktoren!M221/1000, 0)</f>
        <v>0</v>
      </c>
      <c r="N551" s="15">
        <f>IF(ISNUMBER('Klisz-Verbräuche'!O221), 'Klisz-Verbräuche'!O221*Emissionsfaktoren!N221/1000, 0)</f>
        <v>0</v>
      </c>
      <c r="O551" s="15">
        <f>IF(ISNUMBER('Klisz-Verbräuche'!P221), 'Klisz-Verbräuche'!P221*Emissionsfaktoren!O221/1000, 0)</f>
        <v>0</v>
      </c>
      <c r="P551" s="15">
        <f>IF(ISNUMBER('Klisz-Verbräuche'!Q221), 'Klisz-Verbräuche'!Q221*Emissionsfaktoren!P221/1000, 0)</f>
        <v>0</v>
      </c>
      <c r="Q551" s="15">
        <f>IF(ISNUMBER('Klisz-Verbräuche'!R221), 'Klisz-Verbräuche'!R221*Emissionsfaktoren!Q221/1000, 0)</f>
        <v>0</v>
      </c>
      <c r="R551" s="15">
        <f>IF(ISNUMBER('Klisz-Verbräuche'!S221), 'Klisz-Verbräuche'!S221*Emissionsfaktoren!R221/1000, 0)</f>
        <v>0</v>
      </c>
      <c r="S551" s="15">
        <f>IF(ISNUMBER('Klisz-Verbräuche'!T221), 'Klisz-Verbräuche'!T221*Emissionsfaktoren!S221/1000, 0)</f>
        <v>0</v>
      </c>
      <c r="T551" s="15">
        <f>IF(ISNUMBER('Klisz-Verbräuche'!U221), 'Klisz-Verbräuche'!U221*Emissionsfaktoren!T221/1000, 0)</f>
        <v>0</v>
      </c>
      <c r="U551" s="15">
        <f>IF(ISNUMBER('Klisz-Verbräuche'!V221), 'Klisz-Verbräuche'!V221*Emissionsfaktoren!U221/1000, 0)</f>
        <v>0</v>
      </c>
      <c r="V551" s="15">
        <f>IF(ISNUMBER('Klisz-Verbräuche'!W221), 'Klisz-Verbräuche'!W221*Emissionsfaktoren!V221/1000, 0)</f>
        <v>0</v>
      </c>
      <c r="W551" s="15">
        <f>IF(ISNUMBER('Klisz-Verbräuche'!X221), 'Klisz-Verbräuche'!X221*Emissionsfaktoren!W221/1000, 0)</f>
        <v>0</v>
      </c>
      <c r="X551" s="15">
        <f>IF(ISNUMBER('Klisz-Verbräuche'!Y221), 'Klisz-Verbräuche'!Y221*Emissionsfaktoren!X221/1000, 0)</f>
        <v>0</v>
      </c>
    </row>
    <row r="552" spans="2:24" hidden="1" x14ac:dyDescent="0.35"/>
    <row r="553" spans="2:24" hidden="1" x14ac:dyDescent="0.35"/>
    <row r="554" spans="2:24" hidden="1" x14ac:dyDescent="0.35">
      <c r="B554" s="1" t="s">
        <v>256</v>
      </c>
    </row>
    <row r="555" spans="2:24" hidden="1" x14ac:dyDescent="0.35"/>
    <row r="556" spans="2:24" hidden="1" x14ac:dyDescent="0.35"/>
    <row r="557" spans="2:24" hidden="1" x14ac:dyDescent="0.35"/>
    <row r="558" spans="2:24" hidden="1" x14ac:dyDescent="0.35"/>
    <row r="559" spans="2:24" hidden="1" x14ac:dyDescent="0.35"/>
    <row r="560" spans="2:24" hidden="1" x14ac:dyDescent="0.35">
      <c r="B560" t="s">
        <v>253</v>
      </c>
      <c r="C560" s="125" t="s">
        <v>410</v>
      </c>
      <c r="D560" s="118"/>
      <c r="E560" s="118"/>
    </row>
    <row r="561" spans="2:26" hidden="1" x14ac:dyDescent="0.35">
      <c r="B561" t="s">
        <v>248</v>
      </c>
      <c r="C561" s="138" t="s">
        <v>473</v>
      </c>
      <c r="D561" s="118"/>
      <c r="E561" s="118"/>
    </row>
    <row r="562" spans="2:26" hidden="1" x14ac:dyDescent="0.35"/>
    <row r="563" spans="2:26" hidden="1" x14ac:dyDescent="0.35">
      <c r="B563" s="1" t="s">
        <v>249</v>
      </c>
    </row>
    <row r="564" spans="2:26" hidden="1" x14ac:dyDescent="0.35">
      <c r="B564" s="36" t="s">
        <v>42</v>
      </c>
      <c r="C564" s="36" t="s">
        <v>28</v>
      </c>
      <c r="D564" s="36" t="s">
        <v>2</v>
      </c>
      <c r="E564" s="36" t="s">
        <v>3</v>
      </c>
      <c r="F564" s="36" t="s">
        <v>4</v>
      </c>
      <c r="G564" s="36" t="s">
        <v>5</v>
      </c>
      <c r="H564" s="36" t="s">
        <v>6</v>
      </c>
      <c r="I564" s="36" t="s">
        <v>7</v>
      </c>
      <c r="J564" s="36" t="s">
        <v>8</v>
      </c>
      <c r="K564" s="36" t="s">
        <v>9</v>
      </c>
      <c r="L564" s="36" t="s">
        <v>10</v>
      </c>
      <c r="M564" s="36" t="s">
        <v>11</v>
      </c>
      <c r="N564" s="36" t="s">
        <v>12</v>
      </c>
      <c r="O564" s="36" t="s">
        <v>13</v>
      </c>
      <c r="P564" s="36" t="s">
        <v>14</v>
      </c>
      <c r="Q564" s="36" t="s">
        <v>232</v>
      </c>
      <c r="R564" s="36" t="s">
        <v>233</v>
      </c>
      <c r="S564" s="36" t="s">
        <v>234</v>
      </c>
      <c r="T564" s="36" t="s">
        <v>15</v>
      </c>
      <c r="U564" s="36" t="s">
        <v>16</v>
      </c>
      <c r="V564" s="36" t="s">
        <v>17</v>
      </c>
      <c r="W564" s="36" t="s">
        <v>18</v>
      </c>
      <c r="X564" s="36" t="s">
        <v>19</v>
      </c>
      <c r="Y564" s="36" t="s">
        <v>40</v>
      </c>
      <c r="Z564" s="37" t="s">
        <v>147</v>
      </c>
    </row>
    <row r="565" spans="2:26" hidden="1" x14ac:dyDescent="0.35">
      <c r="B565" s="34">
        <v>1</v>
      </c>
      <c r="C565" s="129" t="s">
        <v>251</v>
      </c>
      <c r="D565" s="129" t="s">
        <v>252</v>
      </c>
      <c r="E565" s="129">
        <v>9.1989999999999998</v>
      </c>
      <c r="F565" s="129">
        <v>9.1989999999999998</v>
      </c>
      <c r="G565" s="129">
        <v>9.1989999999999998</v>
      </c>
      <c r="H565" s="129">
        <v>9.1989999999999998</v>
      </c>
      <c r="I565" s="129">
        <v>9.1989999999999998</v>
      </c>
      <c r="J565" s="129">
        <v>9.0660000000000007</v>
      </c>
      <c r="K565" s="129">
        <v>9.0660000000000007</v>
      </c>
      <c r="L565" s="129">
        <v>9.0660000000000007</v>
      </c>
      <c r="M565" s="129">
        <v>9.0660000000000007</v>
      </c>
      <c r="N565" s="129">
        <v>9.0660000000000007</v>
      </c>
      <c r="O565" s="129">
        <v>9.0660000000000007</v>
      </c>
      <c r="P565" s="129">
        <v>9.0660000000000007</v>
      </c>
      <c r="Q565" s="129">
        <v>8.1630000000000003</v>
      </c>
      <c r="R565" s="129">
        <v>8.1630000000000003</v>
      </c>
      <c r="S565" s="129">
        <v>8.1630000000000003</v>
      </c>
      <c r="T565" s="129">
        <v>8.1630000000000003</v>
      </c>
      <c r="U565" s="129">
        <v>8.1630000000000003</v>
      </c>
      <c r="V565" s="129">
        <v>8.1630000000000003</v>
      </c>
      <c r="W565" s="129">
        <v>8.1630000000000003</v>
      </c>
      <c r="X565" s="129">
        <v>8.1630000000000003</v>
      </c>
      <c r="Y565" s="129" t="s">
        <v>32</v>
      </c>
      <c r="Z565" s="129" t="s">
        <v>250</v>
      </c>
    </row>
    <row r="566" spans="2:26" hidden="1" x14ac:dyDescent="0.35">
      <c r="B566" s="35">
        <v>2</v>
      </c>
      <c r="C566" s="128"/>
      <c r="D566" s="119"/>
      <c r="E566" s="131"/>
      <c r="F566" s="131"/>
      <c r="G566" s="131"/>
      <c r="H566" s="131"/>
      <c r="I566" s="131"/>
      <c r="J566" s="131"/>
      <c r="K566" s="131"/>
      <c r="L566" s="131"/>
      <c r="M566" s="131"/>
      <c r="N566" s="131"/>
      <c r="O566" s="131"/>
      <c r="P566" s="131"/>
      <c r="Q566" s="131"/>
      <c r="R566" s="131"/>
      <c r="S566" s="131"/>
      <c r="T566" s="131"/>
      <c r="U566" s="131"/>
      <c r="V566" s="131"/>
      <c r="W566" s="131"/>
      <c r="X566" s="131"/>
      <c r="Y566" s="132"/>
      <c r="Z566" s="133"/>
    </row>
    <row r="567" spans="2:26" hidden="1" x14ac:dyDescent="0.35">
      <c r="B567" s="38">
        <v>3</v>
      </c>
      <c r="C567" s="130"/>
      <c r="D567" s="134"/>
      <c r="E567" s="135"/>
      <c r="F567" s="135"/>
      <c r="G567" s="135"/>
      <c r="H567" s="135"/>
      <c r="I567" s="135"/>
      <c r="J567" s="135"/>
      <c r="K567" s="135"/>
      <c r="L567" s="135"/>
      <c r="M567" s="135"/>
      <c r="N567" s="135"/>
      <c r="O567" s="135"/>
      <c r="P567" s="135"/>
      <c r="Q567" s="135"/>
      <c r="R567" s="135"/>
      <c r="S567" s="135"/>
      <c r="T567" s="135"/>
      <c r="U567" s="135"/>
      <c r="V567" s="135"/>
      <c r="W567" s="135"/>
      <c r="X567" s="135"/>
      <c r="Y567" s="136"/>
      <c r="Z567" s="137"/>
    </row>
    <row r="568" spans="2:26" hidden="1" x14ac:dyDescent="0.35"/>
    <row r="569" spans="2:26" hidden="1" x14ac:dyDescent="0.35">
      <c r="B569" s="1" t="s">
        <v>254</v>
      </c>
    </row>
    <row r="570" spans="2:26" hidden="1" x14ac:dyDescent="0.35">
      <c r="B570" t="s">
        <v>42</v>
      </c>
      <c r="C570" s="15" t="s">
        <v>28</v>
      </c>
      <c r="D570" t="s">
        <v>2</v>
      </c>
      <c r="E570" t="s">
        <v>3</v>
      </c>
      <c r="F570" t="s">
        <v>4</v>
      </c>
      <c r="G570" t="s">
        <v>5</v>
      </c>
      <c r="H570" t="s">
        <v>6</v>
      </c>
      <c r="I570" t="s">
        <v>7</v>
      </c>
      <c r="J570" t="s">
        <v>8</v>
      </c>
      <c r="K570" t="s">
        <v>9</v>
      </c>
      <c r="L570" t="s">
        <v>10</v>
      </c>
      <c r="M570" t="s">
        <v>11</v>
      </c>
      <c r="N570" t="s">
        <v>12</v>
      </c>
      <c r="O570" t="s">
        <v>13</v>
      </c>
      <c r="P570" t="s">
        <v>14</v>
      </c>
      <c r="Q570" t="s">
        <v>232</v>
      </c>
      <c r="R570" t="s">
        <v>233</v>
      </c>
      <c r="S570" t="s">
        <v>234</v>
      </c>
      <c r="T570" t="s">
        <v>15</v>
      </c>
      <c r="U570" t="s">
        <v>16</v>
      </c>
      <c r="V570" t="s">
        <v>17</v>
      </c>
      <c r="W570" t="s">
        <v>18</v>
      </c>
      <c r="X570" t="s">
        <v>19</v>
      </c>
      <c r="Y570" t="s">
        <v>49</v>
      </c>
    </row>
    <row r="571" spans="2:26" ht="16.5" hidden="1" x14ac:dyDescent="0.45">
      <c r="B571" s="15">
        <v>1</v>
      </c>
      <c r="C571" s="127" t="s">
        <v>251</v>
      </c>
      <c r="D571" t="s">
        <v>208</v>
      </c>
      <c r="E571" s="124">
        <f>IF((OR(ISNUMBER('Klisz-Verbräuche'!F61),ISNUMBER('Klisz-Verbräuche'!F62),ISNUMBER('Klisz-Verbräuche'!F63),ISNUMBER('Klisz-Verbräuche'!F64),ISNUMBER('Klisz-Verbräuche'!F65), ISNUMBER('Klisz-Verbräuche'!F66), ISNUMBER('Klisz-Verbräuche'!F67), ISNUMBER('Klisz-Verbräuche'!F68), ISNUMBER('Klisz-Verbräuche'!F69), ISNUMBER('Klisz-Verbräuche'!F70), ISNUMBER('Klisz-Verbräuche'!F71))), (SUM('Klisz-Verbräuche'!F61:F71)*'Klisz-Emissionen'!E565/1000), 0)</f>
        <v>0</v>
      </c>
      <c r="F571" s="124">
        <f>IF((OR(ISNUMBER('Klisz-Verbräuche'!G61),ISNUMBER('Klisz-Verbräuche'!G62),ISNUMBER('Klisz-Verbräuche'!G63),ISNUMBER('Klisz-Verbräuche'!G64),ISNUMBER('Klisz-Verbräuche'!G65), ISNUMBER('Klisz-Verbräuche'!G66), ISNUMBER('Klisz-Verbräuche'!G67), ISNUMBER('Klisz-Verbräuche'!G68), ISNUMBER('Klisz-Verbräuche'!G69), ISNUMBER('Klisz-Verbräuche'!G70), ISNUMBER('Klisz-Verbräuche'!G71))), (SUM('Klisz-Verbräuche'!G61:G71)*'Klisz-Emissionen'!F565/1000), 0)</f>
        <v>0</v>
      </c>
      <c r="G571" s="124">
        <f>IF((OR(ISNUMBER('Klisz-Verbräuche'!H61),ISNUMBER('Klisz-Verbräuche'!H62),ISNUMBER('Klisz-Verbräuche'!H63),ISNUMBER('Klisz-Verbräuche'!H64),ISNUMBER('Klisz-Verbräuche'!H65), ISNUMBER('Klisz-Verbräuche'!H66), ISNUMBER('Klisz-Verbräuche'!H67), ISNUMBER('Klisz-Verbräuche'!H68), ISNUMBER('Klisz-Verbräuche'!H69), ISNUMBER('Klisz-Verbräuche'!H70), ISNUMBER('Klisz-Verbräuche'!H71))), (SUM('Klisz-Verbräuche'!H61:H71)*'Klisz-Emissionen'!G565/1000), 0)</f>
        <v>0</v>
      </c>
      <c r="H571" s="124">
        <f>IF((OR(ISNUMBER('Klisz-Verbräuche'!I61),ISNUMBER('Klisz-Verbräuche'!I62),ISNUMBER('Klisz-Verbräuche'!I63),ISNUMBER('Klisz-Verbräuche'!I64),ISNUMBER('Klisz-Verbräuche'!I65), ISNUMBER('Klisz-Verbräuche'!I66), ISNUMBER('Klisz-Verbräuche'!I67), ISNUMBER('Klisz-Verbräuche'!I68), ISNUMBER('Klisz-Verbräuche'!I69), ISNUMBER('Klisz-Verbräuche'!I70), ISNUMBER('Klisz-Verbräuche'!I71))), (SUM('Klisz-Verbräuche'!I61:I71)*'Klisz-Emissionen'!H565/1000), 0)</f>
        <v>0</v>
      </c>
      <c r="I571" s="124">
        <f>IF((OR(ISNUMBER('Klisz-Verbräuche'!J61),ISNUMBER('Klisz-Verbräuche'!J62),ISNUMBER('Klisz-Verbräuche'!J63),ISNUMBER('Klisz-Verbräuche'!J64),ISNUMBER('Klisz-Verbräuche'!J65), ISNUMBER('Klisz-Verbräuche'!J66), ISNUMBER('Klisz-Verbräuche'!J67), ISNUMBER('Klisz-Verbräuche'!J68), ISNUMBER('Klisz-Verbräuche'!J69), ISNUMBER('Klisz-Verbräuche'!J70), ISNUMBER('Klisz-Verbräuche'!J71))), (SUM('Klisz-Verbräuche'!J61:J71)*'Klisz-Emissionen'!I565/1000), 0)</f>
        <v>0</v>
      </c>
      <c r="J571" s="124">
        <f>IF((OR(ISNUMBER('Klisz-Verbräuche'!K61),ISNUMBER('Klisz-Verbräuche'!K62),ISNUMBER('Klisz-Verbräuche'!K63),ISNUMBER('Klisz-Verbräuche'!K64),ISNUMBER('Klisz-Verbräuche'!K65), ISNUMBER('Klisz-Verbräuche'!K66), ISNUMBER('Klisz-Verbräuche'!K67), ISNUMBER('Klisz-Verbräuche'!K68), ISNUMBER('Klisz-Verbräuche'!K69), ISNUMBER('Klisz-Verbräuche'!K70), ISNUMBER('Klisz-Verbräuche'!K71))), (SUM('Klisz-Verbräuche'!K61:K71)*'Klisz-Emissionen'!J565/1000), 0)</f>
        <v>0</v>
      </c>
      <c r="K571" s="124">
        <f>IF((OR(ISNUMBER('Klisz-Verbräuche'!L61),ISNUMBER('Klisz-Verbräuche'!L62),ISNUMBER('Klisz-Verbräuche'!L63),ISNUMBER('Klisz-Verbräuche'!L64),ISNUMBER('Klisz-Verbräuche'!L65), ISNUMBER('Klisz-Verbräuche'!L66), ISNUMBER('Klisz-Verbräuche'!L67), ISNUMBER('Klisz-Verbräuche'!L68), ISNUMBER('Klisz-Verbräuche'!L69), ISNUMBER('Klisz-Verbräuche'!L70), ISNUMBER('Klisz-Verbräuche'!L71))), (SUM('Klisz-Verbräuche'!L61:L71)*'Klisz-Emissionen'!K565/1000), 0)</f>
        <v>0</v>
      </c>
      <c r="L571" s="124">
        <f>IF((OR(ISNUMBER('Klisz-Verbräuche'!M61),ISNUMBER('Klisz-Verbräuche'!M62),ISNUMBER('Klisz-Verbräuche'!M63),ISNUMBER('Klisz-Verbräuche'!M64),ISNUMBER('Klisz-Verbräuche'!M65), ISNUMBER('Klisz-Verbräuche'!M66), ISNUMBER('Klisz-Verbräuche'!M67), ISNUMBER('Klisz-Verbräuche'!M68), ISNUMBER('Klisz-Verbräuche'!M69), ISNUMBER('Klisz-Verbräuche'!M70), ISNUMBER('Klisz-Verbräuche'!M71))), (SUM('Klisz-Verbräuche'!M61:M71)*'Klisz-Emissionen'!L565/1000), 0)</f>
        <v>0</v>
      </c>
      <c r="M571" s="124">
        <f>IF((OR(ISNUMBER('Klisz-Verbräuche'!N61),ISNUMBER('Klisz-Verbräuche'!N62),ISNUMBER('Klisz-Verbräuche'!N63),ISNUMBER('Klisz-Verbräuche'!N64),ISNUMBER('Klisz-Verbräuche'!N65), ISNUMBER('Klisz-Verbräuche'!N66), ISNUMBER('Klisz-Verbräuche'!N67), ISNUMBER('Klisz-Verbräuche'!N68), ISNUMBER('Klisz-Verbräuche'!N69), ISNUMBER('Klisz-Verbräuche'!N70), ISNUMBER('Klisz-Verbräuche'!N71))), (SUM('Klisz-Verbräuche'!N61:N71)*'Klisz-Emissionen'!M565/1000), 0)</f>
        <v>0</v>
      </c>
      <c r="N571" s="124">
        <f>IF((OR(ISNUMBER('Klisz-Verbräuche'!O61),ISNUMBER('Klisz-Verbräuche'!O62),ISNUMBER('Klisz-Verbräuche'!O63),ISNUMBER('Klisz-Verbräuche'!O64),ISNUMBER('Klisz-Verbräuche'!O65), ISNUMBER('Klisz-Verbräuche'!O66), ISNUMBER('Klisz-Verbräuche'!O67), ISNUMBER('Klisz-Verbräuche'!O68), ISNUMBER('Klisz-Verbräuche'!O69), ISNUMBER('Klisz-Verbräuche'!O70), ISNUMBER('Klisz-Verbräuche'!O71))), (SUM('Klisz-Verbräuche'!O61:O71)*'Klisz-Emissionen'!N565/1000), 0)</f>
        <v>0</v>
      </c>
      <c r="O571" s="124">
        <f>IF((OR(ISNUMBER('Klisz-Verbräuche'!P61),ISNUMBER('Klisz-Verbräuche'!P62),ISNUMBER('Klisz-Verbräuche'!P63),ISNUMBER('Klisz-Verbräuche'!P64),ISNUMBER('Klisz-Verbräuche'!P65), ISNUMBER('Klisz-Verbräuche'!P66), ISNUMBER('Klisz-Verbräuche'!P67), ISNUMBER('Klisz-Verbräuche'!P68), ISNUMBER('Klisz-Verbräuche'!P69), ISNUMBER('Klisz-Verbräuche'!P70), ISNUMBER('Klisz-Verbräuche'!P71))), (SUM('Klisz-Verbräuche'!P61:P71)*'Klisz-Emissionen'!O565/1000), 0)</f>
        <v>0</v>
      </c>
      <c r="P571" s="124">
        <f>IF((OR(ISNUMBER('Klisz-Verbräuche'!Q61),ISNUMBER('Klisz-Verbräuche'!Q62),ISNUMBER('Klisz-Verbräuche'!Q63),ISNUMBER('Klisz-Verbräuche'!Q64),ISNUMBER('Klisz-Verbräuche'!Q65), ISNUMBER('Klisz-Verbräuche'!Q66), ISNUMBER('Klisz-Verbräuche'!Q67), ISNUMBER('Klisz-Verbräuche'!Q68), ISNUMBER('Klisz-Verbräuche'!Q69), ISNUMBER('Klisz-Verbräuche'!Q70), ISNUMBER('Klisz-Verbräuche'!Q71))), (SUM('Klisz-Verbräuche'!Q61:Q71)*'Klisz-Emissionen'!P565/1000), 0)</f>
        <v>0</v>
      </c>
      <c r="Q571" s="124">
        <f>IF((OR(ISNUMBER('Klisz-Verbräuche'!R61),ISNUMBER('Klisz-Verbräuche'!R62),ISNUMBER('Klisz-Verbräuche'!R63),ISNUMBER('Klisz-Verbräuche'!R64),ISNUMBER('Klisz-Verbräuche'!R65), ISNUMBER('Klisz-Verbräuche'!R66), ISNUMBER('Klisz-Verbräuche'!R67), ISNUMBER('Klisz-Verbräuche'!R68), ISNUMBER('Klisz-Verbräuche'!R69), ISNUMBER('Klisz-Verbräuche'!R70), ISNUMBER('Klisz-Verbräuche'!R71))), (SUM('Klisz-Verbräuche'!R61:R71)*'Klisz-Emissionen'!Q565/1000), 0)</f>
        <v>0</v>
      </c>
      <c r="R571" s="124">
        <f>IF((OR(ISNUMBER('Klisz-Verbräuche'!S61),ISNUMBER('Klisz-Verbräuche'!S62),ISNUMBER('Klisz-Verbräuche'!S63),ISNUMBER('Klisz-Verbräuche'!S64),ISNUMBER('Klisz-Verbräuche'!S65), ISNUMBER('Klisz-Verbräuche'!S66), ISNUMBER('Klisz-Verbräuche'!S67), ISNUMBER('Klisz-Verbräuche'!S68), ISNUMBER('Klisz-Verbräuche'!S69), ISNUMBER('Klisz-Verbräuche'!S70), ISNUMBER('Klisz-Verbräuche'!S71))), (SUM('Klisz-Verbräuche'!S61:S71)*'Klisz-Emissionen'!R565/1000), 0)</f>
        <v>0</v>
      </c>
      <c r="S571" s="124">
        <f>IF((OR(ISNUMBER('Klisz-Verbräuche'!T61),ISNUMBER('Klisz-Verbräuche'!T62),ISNUMBER('Klisz-Verbräuche'!T63),ISNUMBER('Klisz-Verbräuche'!T64),ISNUMBER('Klisz-Verbräuche'!T65), ISNUMBER('Klisz-Verbräuche'!T66), ISNUMBER('Klisz-Verbräuche'!T67), ISNUMBER('Klisz-Verbräuche'!T68), ISNUMBER('Klisz-Verbräuche'!T69), ISNUMBER('Klisz-Verbräuche'!T70), ISNUMBER('Klisz-Verbräuche'!T71))), (SUM('Klisz-Verbräuche'!T61:T71)*'Klisz-Emissionen'!S565/1000), 0)</f>
        <v>0</v>
      </c>
      <c r="T571" s="124">
        <f>IF((OR(ISNUMBER('Klisz-Verbräuche'!U61),ISNUMBER('Klisz-Verbräuche'!U62),ISNUMBER('Klisz-Verbräuche'!U63),ISNUMBER('Klisz-Verbräuche'!U64),ISNUMBER('Klisz-Verbräuche'!U65), ISNUMBER('Klisz-Verbräuche'!U66), ISNUMBER('Klisz-Verbräuche'!U67), ISNUMBER('Klisz-Verbräuche'!U68), ISNUMBER('Klisz-Verbräuche'!U69), ISNUMBER('Klisz-Verbräuche'!U70), ISNUMBER('Klisz-Verbräuche'!U71))), (SUM('Klisz-Verbräuche'!U61:U71)*'Klisz-Emissionen'!T565/1000), 0)</f>
        <v>0</v>
      </c>
      <c r="U571" s="124">
        <f>IF((OR(ISNUMBER('Klisz-Verbräuche'!V61),ISNUMBER('Klisz-Verbräuche'!V62),ISNUMBER('Klisz-Verbräuche'!V63),ISNUMBER('Klisz-Verbräuche'!V64),ISNUMBER('Klisz-Verbräuche'!V65), ISNUMBER('Klisz-Verbräuche'!V66), ISNUMBER('Klisz-Verbräuche'!V67), ISNUMBER('Klisz-Verbräuche'!V68), ISNUMBER('Klisz-Verbräuche'!V69), ISNUMBER('Klisz-Verbräuche'!V70), ISNUMBER('Klisz-Verbräuche'!V71))), (SUM('Klisz-Verbräuche'!V61:V71)*'Klisz-Emissionen'!U565/1000), 0)</f>
        <v>0</v>
      </c>
      <c r="V571" s="124">
        <f>IF((OR(ISNUMBER('Klisz-Verbräuche'!W61),ISNUMBER('Klisz-Verbräuche'!W62),ISNUMBER('Klisz-Verbräuche'!W63),ISNUMBER('Klisz-Verbräuche'!W64),ISNUMBER('Klisz-Verbräuche'!W65), ISNUMBER('Klisz-Verbräuche'!W66), ISNUMBER('Klisz-Verbräuche'!W67), ISNUMBER('Klisz-Verbräuche'!W68), ISNUMBER('Klisz-Verbräuche'!W69), ISNUMBER('Klisz-Verbräuche'!W70), ISNUMBER('Klisz-Verbräuche'!W71))), (SUM('Klisz-Verbräuche'!W61:W71)*'Klisz-Emissionen'!V565/1000), 0)</f>
        <v>0</v>
      </c>
      <c r="W571" s="124">
        <f>IF((OR(ISNUMBER('Klisz-Verbräuche'!X61),ISNUMBER('Klisz-Verbräuche'!X62),ISNUMBER('Klisz-Verbräuche'!X63),ISNUMBER('Klisz-Verbräuche'!X64),ISNUMBER('Klisz-Verbräuche'!X65), ISNUMBER('Klisz-Verbräuche'!X66), ISNUMBER('Klisz-Verbräuche'!X67), ISNUMBER('Klisz-Verbräuche'!X68), ISNUMBER('Klisz-Verbräuche'!X69), ISNUMBER('Klisz-Verbräuche'!X70), ISNUMBER('Klisz-Verbräuche'!X71))), (SUM('Klisz-Verbräuche'!X61:X71)*'Klisz-Emissionen'!W565/1000), 0)</f>
        <v>0</v>
      </c>
      <c r="X571" s="124">
        <f>IF((OR(ISNUMBER('Klisz-Verbräuche'!Y61),ISNUMBER('Klisz-Verbräuche'!Y62),ISNUMBER('Klisz-Verbräuche'!Y63),ISNUMBER('Klisz-Verbräuche'!Y64),ISNUMBER('Klisz-Verbräuche'!Y65), ISNUMBER('Klisz-Verbräuche'!Y66), ISNUMBER('Klisz-Verbräuche'!Y67), ISNUMBER('Klisz-Verbräuche'!Y68), ISNUMBER('Klisz-Verbräuche'!Y69), ISNUMBER('Klisz-Verbräuche'!Y70), ISNUMBER('Klisz-Verbräuche'!Y71))), (SUM('Klisz-Verbräuche'!Y61:Y71)*'Klisz-Emissionen'!X565/1000), 0)</f>
        <v>0</v>
      </c>
    </row>
    <row r="572" spans="2:26" ht="16.5" hidden="1" x14ac:dyDescent="0.45">
      <c r="B572" s="15">
        <v>2</v>
      </c>
      <c r="C572" s="20" t="str">
        <f>'Refsz-Verbräuche'!C62</f>
        <v>Elektrischer Strom (Bundesmix KS80)</v>
      </c>
      <c r="D572" t="s">
        <v>208</v>
      </c>
      <c r="E572" s="124"/>
      <c r="F572" s="124"/>
      <c r="G572" s="124"/>
      <c r="H572" s="124"/>
      <c r="I572" s="124"/>
      <c r="J572" s="124"/>
      <c r="K572" s="124"/>
      <c r="L572" s="124"/>
      <c r="M572" s="124"/>
      <c r="N572" s="124"/>
      <c r="O572" s="124"/>
      <c r="P572" s="124"/>
      <c r="Q572" s="124"/>
      <c r="R572" s="124"/>
      <c r="S572" s="124"/>
      <c r="T572" s="124"/>
      <c r="U572" s="124"/>
      <c r="V572" s="124"/>
      <c r="W572" s="124"/>
      <c r="X572" s="124"/>
    </row>
    <row r="573" spans="2:26" ht="16.5" hidden="1" x14ac:dyDescent="0.45">
      <c r="B573" s="15">
        <v>3</v>
      </c>
      <c r="C573" s="20" t="str">
        <f>'Refsz-Verbräuche'!C63</f>
        <v>Elektrischer Strom (individueller Strommix Einrichtung 1)</v>
      </c>
      <c r="D573" t="s">
        <v>208</v>
      </c>
      <c r="E573" s="124"/>
      <c r="F573" s="124"/>
      <c r="G573" s="124"/>
      <c r="H573" s="124"/>
      <c r="I573" s="124"/>
      <c r="J573" s="124"/>
      <c r="K573" s="124"/>
      <c r="L573" s="124"/>
      <c r="M573" s="124"/>
      <c r="N573" s="124"/>
      <c r="O573" s="124"/>
      <c r="P573" s="124"/>
      <c r="Q573" s="124"/>
      <c r="R573" s="124"/>
      <c r="S573" s="124"/>
      <c r="T573" s="124"/>
      <c r="U573" s="124"/>
      <c r="V573" s="124"/>
      <c r="W573" s="124"/>
      <c r="X573" s="124"/>
    </row>
    <row r="574" spans="2:26" ht="16.5" hidden="1" x14ac:dyDescent="0.45">
      <c r="B574" s="15">
        <v>4</v>
      </c>
      <c r="C574" s="20" t="str">
        <f>'Refsz-Verbräuche'!C64</f>
        <v>Elektrischer Strom (individueller Strommix Einrichtung 2)</v>
      </c>
      <c r="D574" t="s">
        <v>208</v>
      </c>
      <c r="E574" s="124"/>
      <c r="F574" s="124"/>
      <c r="G574" s="124"/>
      <c r="H574" s="124"/>
      <c r="I574" s="124"/>
      <c r="J574" s="124"/>
      <c r="K574" s="124"/>
      <c r="L574" s="124"/>
      <c r="M574" s="124"/>
      <c r="N574" s="124"/>
      <c r="O574" s="124"/>
      <c r="P574" s="124"/>
      <c r="Q574" s="124"/>
      <c r="R574" s="124"/>
      <c r="S574" s="124"/>
      <c r="T574" s="124"/>
      <c r="U574" s="124"/>
      <c r="V574" s="124"/>
      <c r="W574" s="124"/>
      <c r="X574" s="124"/>
    </row>
    <row r="575" spans="2:26" ht="16.5" hidden="1" x14ac:dyDescent="0.45">
      <c r="B575" s="15">
        <v>5</v>
      </c>
      <c r="C575" s="20" t="str">
        <f>'Refsz-Verbräuche'!C65</f>
        <v>Elektrischer Strom (individueller Strommix Einrichtung 3)</v>
      </c>
      <c r="D575" t="s">
        <v>208</v>
      </c>
      <c r="E575" s="124"/>
      <c r="F575" s="124"/>
      <c r="G575" s="124"/>
      <c r="H575" s="124"/>
      <c r="I575" s="124"/>
      <c r="J575" s="124"/>
      <c r="K575" s="124"/>
      <c r="L575" s="124"/>
      <c r="M575" s="124"/>
      <c r="N575" s="124"/>
      <c r="O575" s="124"/>
      <c r="P575" s="124"/>
      <c r="Q575" s="124"/>
      <c r="R575" s="124"/>
      <c r="S575" s="124"/>
      <c r="T575" s="124"/>
      <c r="U575" s="124"/>
      <c r="V575" s="124"/>
      <c r="W575" s="124"/>
      <c r="X575" s="124"/>
    </row>
    <row r="576" spans="2:26" ht="16.5" hidden="1" x14ac:dyDescent="0.45">
      <c r="B576" s="15">
        <v>6</v>
      </c>
      <c r="C576" s="20" t="str">
        <f>'Refsz-Verbräuche'!C66</f>
        <v>Elektrischer Strom (individueller Strommix Einrichtung 4)</v>
      </c>
      <c r="D576" t="s">
        <v>208</v>
      </c>
      <c r="E576" s="124"/>
      <c r="F576" s="124"/>
      <c r="G576" s="124"/>
      <c r="H576" s="124"/>
      <c r="I576" s="124"/>
      <c r="J576" s="124"/>
      <c r="K576" s="124"/>
      <c r="L576" s="124"/>
      <c r="M576" s="124"/>
      <c r="N576" s="124"/>
      <c r="O576" s="124"/>
      <c r="P576" s="124"/>
      <c r="Q576" s="124"/>
      <c r="R576" s="124"/>
      <c r="S576" s="124"/>
      <c r="T576" s="124"/>
      <c r="U576" s="124"/>
      <c r="V576" s="124"/>
      <c r="W576" s="124"/>
      <c r="X576" s="124"/>
    </row>
    <row r="577" spans="2:24" ht="16.5" hidden="1" x14ac:dyDescent="0.45">
      <c r="B577" s="15">
        <v>7</v>
      </c>
      <c r="C577" s="20" t="str">
        <f>'Refsz-Verbräuche'!C67</f>
        <v>Elektrischer Strom (individueller Strommix Einrichtung 5)</v>
      </c>
      <c r="D577" t="s">
        <v>208</v>
      </c>
      <c r="E577" s="124"/>
      <c r="F577" s="124"/>
      <c r="G577" s="124"/>
      <c r="H577" s="124"/>
      <c r="I577" s="124"/>
      <c r="J577" s="124"/>
      <c r="K577" s="124"/>
      <c r="L577" s="124"/>
      <c r="M577" s="124"/>
      <c r="N577" s="124"/>
      <c r="O577" s="124"/>
      <c r="P577" s="124"/>
      <c r="Q577" s="124"/>
      <c r="R577" s="124"/>
      <c r="S577" s="124"/>
      <c r="T577" s="124"/>
      <c r="U577" s="124"/>
      <c r="V577" s="124"/>
      <c r="W577" s="124"/>
      <c r="X577" s="124"/>
    </row>
    <row r="578" spans="2:24" ht="16.5" hidden="1" x14ac:dyDescent="0.45">
      <c r="B578" s="15">
        <v>8</v>
      </c>
      <c r="C578" s="20" t="str">
        <f>'Refsz-Verbräuche'!C68</f>
        <v>Elektrischer Strom (individueller Strommix Einrichtung 6)</v>
      </c>
      <c r="D578" t="s">
        <v>208</v>
      </c>
      <c r="E578" s="124"/>
      <c r="F578" s="124"/>
      <c r="G578" s="124"/>
      <c r="H578" s="124"/>
      <c r="I578" s="124"/>
      <c r="J578" s="124"/>
      <c r="K578" s="124"/>
      <c r="L578" s="124"/>
      <c r="M578" s="124"/>
      <c r="N578" s="124"/>
      <c r="O578" s="124"/>
      <c r="P578" s="124"/>
      <c r="Q578" s="124"/>
      <c r="R578" s="124"/>
      <c r="S578" s="124"/>
      <c r="T578" s="124"/>
      <c r="U578" s="124"/>
      <c r="V578" s="124"/>
      <c r="W578" s="124"/>
      <c r="X578" s="124"/>
    </row>
    <row r="579" spans="2:24" ht="16.5" hidden="1" x14ac:dyDescent="0.45">
      <c r="B579" s="15">
        <v>9</v>
      </c>
      <c r="C579" s="20" t="str">
        <f>'Refsz-Verbräuche'!C69</f>
        <v>Elektrischer Strom (BHKW)</v>
      </c>
      <c r="D579" t="s">
        <v>208</v>
      </c>
      <c r="E579" s="124">
        <f>'Strommix &amp; BHKW'!D207+'Strommix &amp; BHKW'!D227+'Strommix &amp; BHKW'!D233+'Strommix &amp; BHKW'!D239</f>
        <v>0</v>
      </c>
      <c r="F579" s="124">
        <f>'Strommix &amp; BHKW'!E207+'Strommix &amp; BHKW'!E227+'Strommix &amp; BHKW'!E233+'Strommix &amp; BHKW'!E239</f>
        <v>0</v>
      </c>
      <c r="G579" s="124">
        <f>'Strommix &amp; BHKW'!F207+'Strommix &amp; BHKW'!F227+'Strommix &amp; BHKW'!F233+'Strommix &amp; BHKW'!F239</f>
        <v>0</v>
      </c>
      <c r="H579" s="124">
        <f>'Strommix &amp; BHKW'!G207+'Strommix &amp; BHKW'!G227+'Strommix &amp; BHKW'!G233+'Strommix &amp; BHKW'!G239</f>
        <v>0</v>
      </c>
      <c r="I579" s="124">
        <f>'Strommix &amp; BHKW'!H207+'Strommix &amp; BHKW'!H227+'Strommix &amp; BHKW'!H233+'Strommix &amp; BHKW'!H239</f>
        <v>0</v>
      </c>
      <c r="J579" s="124">
        <f>'Strommix &amp; BHKW'!I207+'Strommix &amp; BHKW'!I227+'Strommix &amp; BHKW'!I233+'Strommix &amp; BHKW'!I239</f>
        <v>0</v>
      </c>
      <c r="K579" s="124">
        <f>'Strommix &amp; BHKW'!J207+'Strommix &amp; BHKW'!J227+'Strommix &amp; BHKW'!J233+'Strommix &amp; BHKW'!J239</f>
        <v>0</v>
      </c>
      <c r="L579" s="124">
        <f>'Strommix &amp; BHKW'!K207+'Strommix &amp; BHKW'!K227+'Strommix &amp; BHKW'!K233+'Strommix &amp; BHKW'!K239</f>
        <v>0</v>
      </c>
      <c r="M579" s="124">
        <f>'Strommix &amp; BHKW'!L207+'Strommix &amp; BHKW'!L227+'Strommix &amp; BHKW'!L233+'Strommix &amp; BHKW'!L239</f>
        <v>0</v>
      </c>
      <c r="N579" s="124">
        <f>'Strommix &amp; BHKW'!M207+'Strommix &amp; BHKW'!M227+'Strommix &amp; BHKW'!M233+'Strommix &amp; BHKW'!M239</f>
        <v>0</v>
      </c>
      <c r="O579" s="124">
        <f>'Strommix &amp; BHKW'!N207+'Strommix &amp; BHKW'!N227+'Strommix &amp; BHKW'!N233+'Strommix &amp; BHKW'!N239</f>
        <v>0</v>
      </c>
      <c r="P579" s="124">
        <f>'Strommix &amp; BHKW'!O207+'Strommix &amp; BHKW'!O227+'Strommix &amp; BHKW'!O233+'Strommix &amp; BHKW'!O239</f>
        <v>0</v>
      </c>
      <c r="Q579" s="124">
        <f>'Strommix &amp; BHKW'!P207+'Strommix &amp; BHKW'!P227+'Strommix &amp; BHKW'!P233+'Strommix &amp; BHKW'!P239</f>
        <v>0</v>
      </c>
      <c r="R579" s="124">
        <f>'Strommix &amp; BHKW'!Q207+'Strommix &amp; BHKW'!Q227+'Strommix &amp; BHKW'!Q233+'Strommix &amp; BHKW'!Q239</f>
        <v>0</v>
      </c>
      <c r="S579" s="124">
        <f>'Strommix &amp; BHKW'!R207+'Strommix &amp; BHKW'!R227+'Strommix &amp; BHKW'!R233+'Strommix &amp; BHKW'!R239</f>
        <v>0</v>
      </c>
      <c r="T579" s="124">
        <f>'Strommix &amp; BHKW'!S207+'Strommix &amp; BHKW'!S227+'Strommix &amp; BHKW'!S233+'Strommix &amp; BHKW'!S239</f>
        <v>0</v>
      </c>
      <c r="U579" s="124">
        <f>'Strommix &amp; BHKW'!T207+'Strommix &amp; BHKW'!T227+'Strommix &amp; BHKW'!T233+'Strommix &amp; BHKW'!T239</f>
        <v>0</v>
      </c>
      <c r="V579" s="124">
        <f>'Strommix &amp; BHKW'!U207+'Strommix &amp; BHKW'!U227+'Strommix &amp; BHKW'!U233+'Strommix &amp; BHKW'!U239</f>
        <v>0</v>
      </c>
      <c r="W579" s="124">
        <f>'Strommix &amp; BHKW'!V207+'Strommix &amp; BHKW'!V227+'Strommix &amp; BHKW'!V233+'Strommix &amp; BHKW'!V239</f>
        <v>0</v>
      </c>
      <c r="X579" s="124">
        <f>'Strommix &amp; BHKW'!W207+'Strommix &amp; BHKW'!W227+'Strommix &amp; BHKW'!W233+'Strommix &amp; BHKW'!W239</f>
        <v>0</v>
      </c>
    </row>
    <row r="580" spans="2:24" ht="16.5" hidden="1" x14ac:dyDescent="0.45">
      <c r="B580" s="15">
        <v>10</v>
      </c>
      <c r="C580" s="20" t="str">
        <f>'Refsz-Verbräuche'!C70</f>
        <v>Elektrischer Strom (Ökostrom)</v>
      </c>
      <c r="D580" t="s">
        <v>208</v>
      </c>
      <c r="E580" s="124"/>
      <c r="F580" s="124"/>
      <c r="G580" s="124"/>
      <c r="H580" s="124"/>
      <c r="I580" s="124"/>
      <c r="J580" s="124"/>
      <c r="K580" s="124"/>
      <c r="L580" s="124"/>
      <c r="M580" s="124"/>
      <c r="N580" s="124"/>
      <c r="O580" s="124"/>
      <c r="P580" s="124"/>
      <c r="Q580" s="124"/>
      <c r="R580" s="124"/>
      <c r="S580" s="124"/>
      <c r="T580" s="124"/>
      <c r="U580" s="124"/>
      <c r="V580" s="124"/>
      <c r="W580" s="124"/>
      <c r="X580" s="124"/>
    </row>
    <row r="581" spans="2:24" ht="16.5" hidden="1" x14ac:dyDescent="0.45">
      <c r="B581" s="15">
        <v>11</v>
      </c>
      <c r="C581" s="20" t="str">
        <f>'Refsz-Verbräuche'!C71</f>
        <v>Elektrischer Strom (PV-Eigennutzung)</v>
      </c>
      <c r="D581" t="s">
        <v>208</v>
      </c>
      <c r="E581" s="124">
        <f>IF(ISNUMBER('Klisz-Verbräuche'!F71), 'Klisz-Verbräuche'!F71*Emissionsfaktoren!E71/1000, 0)</f>
        <v>0</v>
      </c>
      <c r="F581" s="124">
        <f>IF(ISNUMBER('Klisz-Verbräuche'!G71), 'Klisz-Verbräuche'!G71*Emissionsfaktoren!F71/1000, 0)</f>
        <v>0</v>
      </c>
      <c r="G581" s="124">
        <f>IF(ISNUMBER('Klisz-Verbräuche'!H71), 'Klisz-Verbräuche'!H71*Emissionsfaktoren!G71/1000, 0)</f>
        <v>0</v>
      </c>
      <c r="H581" s="124">
        <f>IF(ISNUMBER('Klisz-Verbräuche'!I71), 'Klisz-Verbräuche'!I71*Emissionsfaktoren!H71/1000, 0)</f>
        <v>0</v>
      </c>
      <c r="I581" s="124">
        <f>IF(ISNUMBER('Klisz-Verbräuche'!J71), 'Klisz-Verbräuche'!J71*Emissionsfaktoren!I71/1000, 0)</f>
        <v>0</v>
      </c>
      <c r="J581" s="124">
        <f>IF(ISNUMBER('Klisz-Verbräuche'!K71), 'Klisz-Verbräuche'!K71*Emissionsfaktoren!J71/1000, 0)</f>
        <v>0</v>
      </c>
      <c r="K581" s="124">
        <f>IF(ISNUMBER('Klisz-Verbräuche'!L71), 'Klisz-Verbräuche'!L71*Emissionsfaktoren!K71/1000, 0)</f>
        <v>0</v>
      </c>
      <c r="L581" s="124">
        <f>IF(ISNUMBER('Klisz-Verbräuche'!M71), 'Klisz-Verbräuche'!M71*Emissionsfaktoren!L71/1000, 0)</f>
        <v>0</v>
      </c>
      <c r="M581" s="124">
        <f>IF(ISNUMBER('Klisz-Verbräuche'!N71), 'Klisz-Verbräuche'!N71*Emissionsfaktoren!M71/1000, 0)</f>
        <v>0</v>
      </c>
      <c r="N581" s="124">
        <f>IF(ISNUMBER('Klisz-Verbräuche'!O71), 'Klisz-Verbräuche'!O71*Emissionsfaktoren!N71/1000, 0)</f>
        <v>0</v>
      </c>
      <c r="O581" s="124">
        <f>IF(ISNUMBER('Klisz-Verbräuche'!P71), 'Klisz-Verbräuche'!P71*Emissionsfaktoren!O71/1000, 0)</f>
        <v>0</v>
      </c>
      <c r="P581" s="124">
        <f>IF(ISNUMBER('Klisz-Verbräuche'!Q71), 'Klisz-Verbräuche'!Q71*Emissionsfaktoren!P71/1000, 0)</f>
        <v>0</v>
      </c>
      <c r="Q581" s="124">
        <f>IF(ISNUMBER('Klisz-Verbräuche'!R71), 'Klisz-Verbräuche'!R71*Emissionsfaktoren!Q71/1000, 0)</f>
        <v>0</v>
      </c>
      <c r="R581" s="124">
        <f>IF(ISNUMBER('Klisz-Verbräuche'!S71), 'Klisz-Verbräuche'!S71*Emissionsfaktoren!R71/1000, 0)</f>
        <v>0</v>
      </c>
      <c r="S581" s="124">
        <f>IF(ISNUMBER('Klisz-Verbräuche'!T71), 'Klisz-Verbräuche'!T71*Emissionsfaktoren!S71/1000, 0)</f>
        <v>0</v>
      </c>
      <c r="T581" s="124">
        <f>IF(ISNUMBER('Klisz-Verbräuche'!U71), 'Klisz-Verbräuche'!U71*Emissionsfaktoren!T71/1000, 0)</f>
        <v>0</v>
      </c>
      <c r="U581" s="124">
        <f>IF(ISNUMBER('Klisz-Verbräuche'!V71), 'Klisz-Verbräuche'!V71*Emissionsfaktoren!U71/1000, 0)</f>
        <v>0</v>
      </c>
      <c r="V581" s="124">
        <f>IF(ISNUMBER('Klisz-Verbräuche'!W71), 'Klisz-Verbräuche'!W71*Emissionsfaktoren!V71/1000, 0)</f>
        <v>0</v>
      </c>
      <c r="W581" s="124">
        <f>IF(ISNUMBER('Klisz-Verbräuche'!X71), 'Klisz-Verbräuche'!X71*Emissionsfaktoren!W71/1000, 0)</f>
        <v>0</v>
      </c>
      <c r="X581" s="124">
        <f>IF(ISNUMBER('Klisz-Verbräuche'!Y71), 'Klisz-Verbräuche'!Y71*Emissionsfaktoren!X71/1000, 0)</f>
        <v>0</v>
      </c>
    </row>
    <row r="582" spans="2:24" ht="16.5" hidden="1" x14ac:dyDescent="0.45">
      <c r="B582" s="15">
        <v>12</v>
      </c>
      <c r="C582" s="20" t="str">
        <f>'Refsz-Verbräuche'!C72</f>
        <v>Wärme (Erdgas)</v>
      </c>
      <c r="D582" t="s">
        <v>208</v>
      </c>
      <c r="E582" s="124">
        <f>IF(ISNUMBER('Klisz-Verbräuche'!F72), 'Klisz-Verbräuche'!F72*Emissionsfaktoren!E72/1000, 0)</f>
        <v>0</v>
      </c>
      <c r="F582" s="124">
        <f>IF(ISNUMBER('Klisz-Verbräuche'!G72), 'Klisz-Verbräuche'!G72*Emissionsfaktoren!F72/1000, 0)</f>
        <v>0</v>
      </c>
      <c r="G582" s="124">
        <f>IF(ISNUMBER('Klisz-Verbräuche'!H72), 'Klisz-Verbräuche'!H72*Emissionsfaktoren!G72/1000, 0)</f>
        <v>0</v>
      </c>
      <c r="H582" s="124">
        <f>IF(ISNUMBER('Klisz-Verbräuche'!I72), 'Klisz-Verbräuche'!I72*Emissionsfaktoren!H72/1000, 0)</f>
        <v>0</v>
      </c>
      <c r="I582" s="124">
        <f>IF(ISNUMBER('Klisz-Verbräuche'!J72), 'Klisz-Verbräuche'!J72*Emissionsfaktoren!I72/1000, 0)</f>
        <v>0</v>
      </c>
      <c r="J582" s="124">
        <f>IF(ISNUMBER('Klisz-Verbräuche'!K72), 'Klisz-Verbräuche'!K72*Emissionsfaktoren!J72/1000, 0)</f>
        <v>0</v>
      </c>
      <c r="K582" s="124">
        <f>IF(ISNUMBER('Klisz-Verbräuche'!L72), 'Klisz-Verbräuche'!L72*Emissionsfaktoren!K72/1000, 0)</f>
        <v>0</v>
      </c>
      <c r="L582" s="124">
        <f>IF(ISNUMBER('Klisz-Verbräuche'!M72), 'Klisz-Verbräuche'!M72*Emissionsfaktoren!L72/1000, 0)</f>
        <v>0</v>
      </c>
      <c r="M582" s="124">
        <f>IF(ISNUMBER('Klisz-Verbräuche'!N72), 'Klisz-Verbräuche'!N72*Emissionsfaktoren!M72/1000, 0)</f>
        <v>0</v>
      </c>
      <c r="N582" s="124">
        <f>IF(ISNUMBER('Klisz-Verbräuche'!O72), 'Klisz-Verbräuche'!O72*Emissionsfaktoren!N72/1000, 0)</f>
        <v>0</v>
      </c>
      <c r="O582" s="124">
        <f>IF(ISNUMBER('Klisz-Verbräuche'!P72), 'Klisz-Verbräuche'!P72*Emissionsfaktoren!O72/1000, 0)</f>
        <v>0</v>
      </c>
      <c r="P582" s="124">
        <f>IF(ISNUMBER('Klisz-Verbräuche'!Q72), 'Klisz-Verbräuche'!Q72*Emissionsfaktoren!P72/1000, 0)</f>
        <v>0</v>
      </c>
      <c r="Q582" s="124">
        <f>IF(ISNUMBER('Klisz-Verbräuche'!R72), 'Klisz-Verbräuche'!R72*Emissionsfaktoren!Q72/1000, 0)</f>
        <v>0</v>
      </c>
      <c r="R582" s="124">
        <f>IF(ISNUMBER('Klisz-Verbräuche'!S72), 'Klisz-Verbräuche'!S72*Emissionsfaktoren!R72/1000, 0)</f>
        <v>0</v>
      </c>
      <c r="S582" s="124">
        <f>IF(ISNUMBER('Klisz-Verbräuche'!T72), 'Klisz-Verbräuche'!T72*Emissionsfaktoren!S72/1000, 0)</f>
        <v>0</v>
      </c>
      <c r="T582" s="124">
        <f>IF(ISNUMBER('Klisz-Verbräuche'!U72), 'Klisz-Verbräuche'!U72*Emissionsfaktoren!T72/1000, 0)</f>
        <v>0</v>
      </c>
      <c r="U582" s="124">
        <f>IF(ISNUMBER('Klisz-Verbräuche'!V72), 'Klisz-Verbräuche'!V72*Emissionsfaktoren!U72/1000, 0)</f>
        <v>0</v>
      </c>
      <c r="V582" s="124">
        <f>IF(ISNUMBER('Klisz-Verbräuche'!W72), 'Klisz-Verbräuche'!W72*Emissionsfaktoren!V72/1000, 0)</f>
        <v>0</v>
      </c>
      <c r="W582" s="124">
        <f>IF(ISNUMBER('Klisz-Verbräuche'!X72), 'Klisz-Verbräuche'!X72*Emissionsfaktoren!W72/1000, 0)</f>
        <v>0</v>
      </c>
      <c r="X582" s="124">
        <f>IF(ISNUMBER('Klisz-Verbräuche'!Y72), 'Klisz-Verbräuche'!Y72*Emissionsfaktoren!X72/1000, 0)</f>
        <v>0</v>
      </c>
    </row>
    <row r="583" spans="2:24" ht="16.5" hidden="1" x14ac:dyDescent="0.45">
      <c r="B583" s="15">
        <v>13</v>
      </c>
      <c r="C583" s="20" t="str">
        <f>'Refsz-Verbräuche'!C73</f>
        <v>Wärme (BHKW)</v>
      </c>
      <c r="D583" t="s">
        <v>208</v>
      </c>
      <c r="E583" s="124">
        <f>'Strommix &amp; BHKW'!D206+'Strommix &amp; BHKW'!D228+'Strommix &amp; BHKW'!D234+'Strommix &amp; BHKW'!D240</f>
        <v>0</v>
      </c>
      <c r="F583" s="124">
        <f>'Strommix &amp; BHKW'!E206+'Strommix &amp; BHKW'!E228+'Strommix &amp; BHKW'!E234+'Strommix &amp; BHKW'!E240</f>
        <v>0</v>
      </c>
      <c r="G583" s="124">
        <f>'Strommix &amp; BHKW'!F206+'Strommix &amp; BHKW'!F228+'Strommix &amp; BHKW'!F234+'Strommix &amp; BHKW'!F240</f>
        <v>0</v>
      </c>
      <c r="H583" s="124">
        <f>'Strommix &amp; BHKW'!G206+'Strommix &amp; BHKW'!G228+'Strommix &amp; BHKW'!G234+'Strommix &amp; BHKW'!G240</f>
        <v>0</v>
      </c>
      <c r="I583" s="124">
        <f>'Strommix &amp; BHKW'!H206+'Strommix &amp; BHKW'!H228+'Strommix &amp; BHKW'!H234+'Strommix &amp; BHKW'!H240</f>
        <v>0</v>
      </c>
      <c r="J583" s="124">
        <f>'Strommix &amp; BHKW'!I206+'Strommix &amp; BHKW'!I228+'Strommix &amp; BHKW'!I234+'Strommix &amp; BHKW'!I240</f>
        <v>0</v>
      </c>
      <c r="K583" s="124">
        <f>'Strommix &amp; BHKW'!J206+'Strommix &amp; BHKW'!J228+'Strommix &amp; BHKW'!J234+'Strommix &amp; BHKW'!J240</f>
        <v>0</v>
      </c>
      <c r="L583" s="124">
        <f>'Strommix &amp; BHKW'!K206+'Strommix &amp; BHKW'!K228+'Strommix &amp; BHKW'!K234+'Strommix &amp; BHKW'!K240</f>
        <v>0</v>
      </c>
      <c r="M583" s="124">
        <f>'Strommix &amp; BHKW'!L206+'Strommix &amp; BHKW'!L228+'Strommix &amp; BHKW'!L234+'Strommix &amp; BHKW'!L240</f>
        <v>0</v>
      </c>
      <c r="N583" s="124">
        <f>'Strommix &amp; BHKW'!M206+'Strommix &amp; BHKW'!M228+'Strommix &amp; BHKW'!M234+'Strommix &amp; BHKW'!M240</f>
        <v>0</v>
      </c>
      <c r="O583" s="124">
        <f>'Strommix &amp; BHKW'!N206+'Strommix &amp; BHKW'!N228+'Strommix &amp; BHKW'!N234+'Strommix &amp; BHKW'!N240</f>
        <v>0</v>
      </c>
      <c r="P583" s="124">
        <f>'Strommix &amp; BHKW'!O206+'Strommix &amp; BHKW'!O228+'Strommix &amp; BHKW'!O234+'Strommix &amp; BHKW'!O240</f>
        <v>0</v>
      </c>
      <c r="Q583" s="124">
        <f>'Strommix &amp; BHKW'!P206+'Strommix &amp; BHKW'!P228+'Strommix &amp; BHKW'!P234+'Strommix &amp; BHKW'!P240</f>
        <v>0</v>
      </c>
      <c r="R583" s="124">
        <f>'Strommix &amp; BHKW'!Q206+'Strommix &amp; BHKW'!Q228+'Strommix &amp; BHKW'!Q234+'Strommix &amp; BHKW'!Q240</f>
        <v>0</v>
      </c>
      <c r="S583" s="124">
        <f>'Strommix &amp; BHKW'!R206+'Strommix &amp; BHKW'!R228+'Strommix &amp; BHKW'!R234+'Strommix &amp; BHKW'!R240</f>
        <v>0</v>
      </c>
      <c r="T583" s="124">
        <f>'Strommix &amp; BHKW'!S206+'Strommix &amp; BHKW'!S228+'Strommix &amp; BHKW'!S234+'Strommix &amp; BHKW'!S240</f>
        <v>0</v>
      </c>
      <c r="U583" s="124">
        <f>'Strommix &amp; BHKW'!T206+'Strommix &amp; BHKW'!T228+'Strommix &amp; BHKW'!T234+'Strommix &amp; BHKW'!T240</f>
        <v>0</v>
      </c>
      <c r="V583" s="124">
        <f>'Strommix &amp; BHKW'!U206+'Strommix &amp; BHKW'!U228+'Strommix &amp; BHKW'!U234+'Strommix &amp; BHKW'!U240</f>
        <v>0</v>
      </c>
      <c r="W583" s="124">
        <f>'Strommix &amp; BHKW'!V206+'Strommix &amp; BHKW'!V228+'Strommix &amp; BHKW'!V234+'Strommix &amp; BHKW'!V240</f>
        <v>0</v>
      </c>
      <c r="X583" s="124">
        <f>'Strommix &amp; BHKW'!W206+'Strommix &amp; BHKW'!W228+'Strommix &amp; BHKW'!W234+'Strommix &amp; BHKW'!W240</f>
        <v>0</v>
      </c>
    </row>
    <row r="584" spans="2:24" ht="16.5" hidden="1" x14ac:dyDescent="0.45">
      <c r="B584" s="15">
        <v>14</v>
      </c>
      <c r="C584" s="20" t="str">
        <f>'Refsz-Verbräuche'!C74</f>
        <v>Wärme (Biogas)</v>
      </c>
      <c r="D584" t="s">
        <v>208</v>
      </c>
      <c r="E584" s="124">
        <f>IF(ISNUMBER('Klisz-Verbräuche'!F74), 'Klisz-Verbräuche'!F74*Emissionsfaktoren!E74/1000, 0)</f>
        <v>0</v>
      </c>
      <c r="F584" s="124">
        <f>IF(ISNUMBER('Klisz-Verbräuche'!G74), 'Klisz-Verbräuche'!G74*Emissionsfaktoren!F74/1000, 0)</f>
        <v>0</v>
      </c>
      <c r="G584" s="124">
        <f>IF(ISNUMBER('Klisz-Verbräuche'!H74), 'Klisz-Verbräuche'!H74*Emissionsfaktoren!G74/1000, 0)</f>
        <v>0</v>
      </c>
      <c r="H584" s="124">
        <f>IF(ISNUMBER('Klisz-Verbräuche'!I74), 'Klisz-Verbräuche'!I74*Emissionsfaktoren!H74/1000, 0)</f>
        <v>0</v>
      </c>
      <c r="I584" s="124">
        <f>IF(ISNUMBER('Klisz-Verbräuche'!J74), 'Klisz-Verbräuche'!J74*Emissionsfaktoren!I74/1000, 0)</f>
        <v>0</v>
      </c>
      <c r="J584" s="124">
        <f>IF(ISNUMBER('Klisz-Verbräuche'!K74), 'Klisz-Verbräuche'!K74*Emissionsfaktoren!J74/1000, 0)</f>
        <v>0</v>
      </c>
      <c r="K584" s="124">
        <f>IF(ISNUMBER('Klisz-Verbräuche'!L74), 'Klisz-Verbräuche'!L74*Emissionsfaktoren!K74/1000, 0)</f>
        <v>0</v>
      </c>
      <c r="L584" s="124">
        <f>IF(ISNUMBER('Klisz-Verbräuche'!M74), 'Klisz-Verbräuche'!M74*Emissionsfaktoren!L74/1000, 0)</f>
        <v>0</v>
      </c>
      <c r="M584" s="124">
        <f>IF(ISNUMBER('Klisz-Verbräuche'!N74), 'Klisz-Verbräuche'!N74*Emissionsfaktoren!M74/1000, 0)</f>
        <v>0</v>
      </c>
      <c r="N584" s="124">
        <f>IF(ISNUMBER('Klisz-Verbräuche'!O74), 'Klisz-Verbräuche'!O74*Emissionsfaktoren!N74/1000, 0)</f>
        <v>0</v>
      </c>
      <c r="O584" s="124">
        <f>IF(ISNUMBER('Klisz-Verbräuche'!P74), 'Klisz-Verbräuche'!P74*Emissionsfaktoren!O74/1000, 0)</f>
        <v>0</v>
      </c>
      <c r="P584" s="124">
        <f>IF(ISNUMBER('Klisz-Verbräuche'!Q74), 'Klisz-Verbräuche'!Q74*Emissionsfaktoren!P74/1000, 0)</f>
        <v>0</v>
      </c>
      <c r="Q584" s="124">
        <f>IF(ISNUMBER('Klisz-Verbräuche'!R74), 'Klisz-Verbräuche'!R74*Emissionsfaktoren!Q74/1000, 0)</f>
        <v>0</v>
      </c>
      <c r="R584" s="124">
        <f>IF(ISNUMBER('Klisz-Verbräuche'!S74), 'Klisz-Verbräuche'!S74*Emissionsfaktoren!R74/1000, 0)</f>
        <v>0</v>
      </c>
      <c r="S584" s="124">
        <f>IF(ISNUMBER('Klisz-Verbräuche'!T74), 'Klisz-Verbräuche'!T74*Emissionsfaktoren!S74/1000, 0)</f>
        <v>0</v>
      </c>
      <c r="T584" s="124">
        <f>IF(ISNUMBER('Klisz-Verbräuche'!U74), 'Klisz-Verbräuche'!U74*Emissionsfaktoren!T74/1000, 0)</f>
        <v>0</v>
      </c>
      <c r="U584" s="124">
        <f>IF(ISNUMBER('Klisz-Verbräuche'!V74), 'Klisz-Verbräuche'!V74*Emissionsfaktoren!U74/1000, 0)</f>
        <v>0</v>
      </c>
      <c r="V584" s="124">
        <f>IF(ISNUMBER('Klisz-Verbräuche'!W74), 'Klisz-Verbräuche'!W74*Emissionsfaktoren!V74/1000, 0)</f>
        <v>0</v>
      </c>
      <c r="W584" s="124">
        <f>IF(ISNUMBER('Klisz-Verbräuche'!X74), 'Klisz-Verbräuche'!X74*Emissionsfaktoren!W74/1000, 0)</f>
        <v>0</v>
      </c>
      <c r="X584" s="124">
        <f>IF(ISNUMBER('Klisz-Verbräuche'!Y74), 'Klisz-Verbräuche'!Y74*Emissionsfaktoren!X74/1000, 0)</f>
        <v>0</v>
      </c>
    </row>
    <row r="585" spans="2:24" ht="16.5" hidden="1" x14ac:dyDescent="0.45">
      <c r="B585" s="15">
        <v>15</v>
      </c>
      <c r="C585" s="20" t="str">
        <f>'Refsz-Verbräuche'!C75</f>
        <v>Wärme (individueller Emissionsfaktor)</v>
      </c>
      <c r="D585" t="s">
        <v>208</v>
      </c>
      <c r="E585" s="124">
        <f>IF(ISNUMBER('Klisz-Verbräuche'!F75), 'Klisz-Verbräuche'!F75*Emissionsfaktoren!E75/1000, 0)</f>
        <v>0</v>
      </c>
      <c r="F585" s="124">
        <f>IF(ISNUMBER('Klisz-Verbräuche'!G75), 'Klisz-Verbräuche'!G75*Emissionsfaktoren!F75/1000, 0)</f>
        <v>0</v>
      </c>
      <c r="G585" s="124">
        <f>IF(ISNUMBER('Klisz-Verbräuche'!H75), 'Klisz-Verbräuche'!H75*Emissionsfaktoren!G75/1000, 0)</f>
        <v>0</v>
      </c>
      <c r="H585" s="124">
        <f>IF(ISNUMBER('Klisz-Verbräuche'!I75), 'Klisz-Verbräuche'!I75*Emissionsfaktoren!H75/1000, 0)</f>
        <v>0</v>
      </c>
      <c r="I585" s="124">
        <f>IF(ISNUMBER('Klisz-Verbräuche'!J75), 'Klisz-Verbräuche'!J75*Emissionsfaktoren!I75/1000, 0)</f>
        <v>0</v>
      </c>
      <c r="J585" s="124">
        <f>IF(ISNUMBER('Klisz-Verbräuche'!K75), 'Klisz-Verbräuche'!K75*Emissionsfaktoren!J75/1000, 0)</f>
        <v>0</v>
      </c>
      <c r="K585" s="124">
        <f>IF(ISNUMBER('Klisz-Verbräuche'!L75), 'Klisz-Verbräuche'!L75*Emissionsfaktoren!K75/1000, 0)</f>
        <v>0</v>
      </c>
      <c r="L585" s="124">
        <f>IF(ISNUMBER('Klisz-Verbräuche'!M75), 'Klisz-Verbräuche'!M75*Emissionsfaktoren!L75/1000, 0)</f>
        <v>0</v>
      </c>
      <c r="M585" s="124">
        <f>IF(ISNUMBER('Klisz-Verbräuche'!N75), 'Klisz-Verbräuche'!N75*Emissionsfaktoren!M75/1000, 0)</f>
        <v>0</v>
      </c>
      <c r="N585" s="124">
        <f>IF(ISNUMBER('Klisz-Verbräuche'!O75), 'Klisz-Verbräuche'!O75*Emissionsfaktoren!N75/1000, 0)</f>
        <v>0</v>
      </c>
      <c r="O585" s="124">
        <f>IF(ISNUMBER('Klisz-Verbräuche'!P75), 'Klisz-Verbräuche'!P75*Emissionsfaktoren!O75/1000, 0)</f>
        <v>0</v>
      </c>
      <c r="P585" s="124">
        <f>IF(ISNUMBER('Klisz-Verbräuche'!Q75), 'Klisz-Verbräuche'!Q75*Emissionsfaktoren!P75/1000, 0)</f>
        <v>0</v>
      </c>
      <c r="Q585" s="124">
        <f>IF(ISNUMBER('Klisz-Verbräuche'!R75), 'Klisz-Verbräuche'!R75*Emissionsfaktoren!Q75/1000, 0)</f>
        <v>0</v>
      </c>
      <c r="R585" s="124">
        <f>IF(ISNUMBER('Klisz-Verbräuche'!S75), 'Klisz-Verbräuche'!S75*Emissionsfaktoren!R75/1000, 0)</f>
        <v>0</v>
      </c>
      <c r="S585" s="124">
        <f>IF(ISNUMBER('Klisz-Verbräuche'!T75), 'Klisz-Verbräuche'!T75*Emissionsfaktoren!S75/1000, 0)</f>
        <v>0</v>
      </c>
      <c r="T585" s="124">
        <f>IF(ISNUMBER('Klisz-Verbräuche'!U75), 'Klisz-Verbräuche'!U75*Emissionsfaktoren!T75/1000, 0)</f>
        <v>0</v>
      </c>
      <c r="U585" s="124">
        <f>IF(ISNUMBER('Klisz-Verbräuche'!V75), 'Klisz-Verbräuche'!V75*Emissionsfaktoren!U75/1000, 0)</f>
        <v>0</v>
      </c>
      <c r="V585" s="124">
        <f>IF(ISNUMBER('Klisz-Verbräuche'!W75), 'Klisz-Verbräuche'!W75*Emissionsfaktoren!V75/1000, 0)</f>
        <v>0</v>
      </c>
      <c r="W585" s="124">
        <f>IF(ISNUMBER('Klisz-Verbräuche'!X75), 'Klisz-Verbräuche'!X75*Emissionsfaktoren!W75/1000, 0)</f>
        <v>0</v>
      </c>
      <c r="X585" s="124">
        <f>IF(ISNUMBER('Klisz-Verbräuche'!Y75), 'Klisz-Verbräuche'!Y75*Emissionsfaktoren!X75/1000, 0)</f>
        <v>0</v>
      </c>
    </row>
    <row r="586" spans="2:24" ht="16.5" hidden="1" x14ac:dyDescent="0.45">
      <c r="B586" s="15">
        <v>16</v>
      </c>
      <c r="C586" s="20" t="str">
        <f>'Refsz-Verbräuche'!C76</f>
        <v>Wärme (Holzhackschnitzel)</v>
      </c>
      <c r="D586" t="s">
        <v>208</v>
      </c>
      <c r="E586" s="124">
        <f>IF(ISNUMBER('Klisz-Verbräuche'!F76), 'Klisz-Verbräuche'!F76*Emissionsfaktoren!E76/1000, 0)</f>
        <v>0</v>
      </c>
      <c r="F586" s="124">
        <f>IF(ISNUMBER('Klisz-Verbräuche'!G76), 'Klisz-Verbräuche'!G76*Emissionsfaktoren!F76/1000, 0)</f>
        <v>0</v>
      </c>
      <c r="G586" s="124">
        <f>IF(ISNUMBER('Klisz-Verbräuche'!H76), 'Klisz-Verbräuche'!H76*Emissionsfaktoren!G76/1000, 0)</f>
        <v>0</v>
      </c>
      <c r="H586" s="124">
        <f>IF(ISNUMBER('Klisz-Verbräuche'!I76), 'Klisz-Verbräuche'!I76*Emissionsfaktoren!H76/1000, 0)</f>
        <v>0</v>
      </c>
      <c r="I586" s="124">
        <f>IF(ISNUMBER('Klisz-Verbräuche'!J76), 'Klisz-Verbräuche'!J76*Emissionsfaktoren!I76/1000, 0)</f>
        <v>0</v>
      </c>
      <c r="J586" s="124">
        <f>IF(ISNUMBER('Klisz-Verbräuche'!K76), 'Klisz-Verbräuche'!K76*Emissionsfaktoren!J76/1000, 0)</f>
        <v>0</v>
      </c>
      <c r="K586" s="124">
        <f>IF(ISNUMBER('Klisz-Verbräuche'!L76), 'Klisz-Verbräuche'!L76*Emissionsfaktoren!K76/1000, 0)</f>
        <v>0</v>
      </c>
      <c r="L586" s="124">
        <f>IF(ISNUMBER('Klisz-Verbräuche'!M76), 'Klisz-Verbräuche'!M76*Emissionsfaktoren!L76/1000, 0)</f>
        <v>0</v>
      </c>
      <c r="M586" s="124">
        <f>IF(ISNUMBER('Klisz-Verbräuche'!N76), 'Klisz-Verbräuche'!N76*Emissionsfaktoren!M76/1000, 0)</f>
        <v>0</v>
      </c>
      <c r="N586" s="124">
        <f>IF(ISNUMBER('Klisz-Verbräuche'!O76), 'Klisz-Verbräuche'!O76*Emissionsfaktoren!N76/1000, 0)</f>
        <v>0</v>
      </c>
      <c r="O586" s="124">
        <f>IF(ISNUMBER('Klisz-Verbräuche'!P76), 'Klisz-Verbräuche'!P76*Emissionsfaktoren!O76/1000, 0)</f>
        <v>0</v>
      </c>
      <c r="P586" s="124">
        <f>IF(ISNUMBER('Klisz-Verbräuche'!Q76), 'Klisz-Verbräuche'!Q76*Emissionsfaktoren!P76/1000, 0)</f>
        <v>0</v>
      </c>
      <c r="Q586" s="124">
        <f>IF(ISNUMBER('Klisz-Verbräuche'!R76), 'Klisz-Verbräuche'!R76*Emissionsfaktoren!Q76/1000, 0)</f>
        <v>0</v>
      </c>
      <c r="R586" s="124">
        <f>IF(ISNUMBER('Klisz-Verbräuche'!S76), 'Klisz-Verbräuche'!S76*Emissionsfaktoren!R76/1000, 0)</f>
        <v>0</v>
      </c>
      <c r="S586" s="124">
        <f>IF(ISNUMBER('Klisz-Verbräuche'!T76), 'Klisz-Verbräuche'!T76*Emissionsfaktoren!S76/1000, 0)</f>
        <v>0</v>
      </c>
      <c r="T586" s="124">
        <f>IF(ISNUMBER('Klisz-Verbräuche'!U76), 'Klisz-Verbräuche'!U76*Emissionsfaktoren!T76/1000, 0)</f>
        <v>0</v>
      </c>
      <c r="U586" s="124">
        <f>IF(ISNUMBER('Klisz-Verbräuche'!V76), 'Klisz-Verbräuche'!V76*Emissionsfaktoren!U76/1000, 0)</f>
        <v>0</v>
      </c>
      <c r="V586" s="124">
        <f>IF(ISNUMBER('Klisz-Verbräuche'!W76), 'Klisz-Verbräuche'!W76*Emissionsfaktoren!V76/1000, 0)</f>
        <v>0</v>
      </c>
      <c r="W586" s="124">
        <f>IF(ISNUMBER('Klisz-Verbräuche'!X76), 'Klisz-Verbräuche'!X76*Emissionsfaktoren!W76/1000, 0)</f>
        <v>0</v>
      </c>
      <c r="X586" s="124">
        <f>IF(ISNUMBER('Klisz-Verbräuche'!Y76), 'Klisz-Verbräuche'!Y76*Emissionsfaktoren!X76/1000, 0)</f>
        <v>0</v>
      </c>
    </row>
    <row r="587" spans="2:24" ht="16.5" hidden="1" x14ac:dyDescent="0.45">
      <c r="B587" s="15">
        <v>17</v>
      </c>
      <c r="C587" s="20" t="str">
        <f>'Refsz-Verbräuche'!C77</f>
        <v>Wärme (Holzpellets, 10kW/kleinere Zentralheizung)</v>
      </c>
      <c r="D587" t="s">
        <v>208</v>
      </c>
      <c r="E587" s="124">
        <f>IF(ISNUMBER('Klisz-Verbräuche'!F77), 'Klisz-Verbräuche'!F77*Emissionsfaktoren!E77/1000, 0)</f>
        <v>0</v>
      </c>
      <c r="F587" s="124">
        <f>IF(ISNUMBER('Klisz-Verbräuche'!G77), 'Klisz-Verbräuche'!G77*Emissionsfaktoren!F77/1000, 0)</f>
        <v>0</v>
      </c>
      <c r="G587" s="124">
        <f>IF(ISNUMBER('Klisz-Verbräuche'!H77), 'Klisz-Verbräuche'!H77*Emissionsfaktoren!G77/1000, 0)</f>
        <v>0</v>
      </c>
      <c r="H587" s="124">
        <f>IF(ISNUMBER('Klisz-Verbräuche'!I77), 'Klisz-Verbräuche'!I77*Emissionsfaktoren!H77/1000, 0)</f>
        <v>0</v>
      </c>
      <c r="I587" s="124">
        <f>IF(ISNUMBER('Klisz-Verbräuche'!J77), 'Klisz-Verbräuche'!J77*Emissionsfaktoren!I77/1000, 0)</f>
        <v>0</v>
      </c>
      <c r="J587" s="124">
        <f>IF(ISNUMBER('Klisz-Verbräuche'!K77), 'Klisz-Verbräuche'!K77*Emissionsfaktoren!J77/1000, 0)</f>
        <v>0</v>
      </c>
      <c r="K587" s="124">
        <f>IF(ISNUMBER('Klisz-Verbräuche'!L77), 'Klisz-Verbräuche'!L77*Emissionsfaktoren!K77/1000, 0)</f>
        <v>0</v>
      </c>
      <c r="L587" s="124">
        <f>IF(ISNUMBER('Klisz-Verbräuche'!M77), 'Klisz-Verbräuche'!M77*Emissionsfaktoren!L77/1000, 0)</f>
        <v>0</v>
      </c>
      <c r="M587" s="124">
        <f>IF(ISNUMBER('Klisz-Verbräuche'!N77), 'Klisz-Verbräuche'!N77*Emissionsfaktoren!M77/1000, 0)</f>
        <v>0</v>
      </c>
      <c r="N587" s="124">
        <f>IF(ISNUMBER('Klisz-Verbräuche'!O77), 'Klisz-Verbräuche'!O77*Emissionsfaktoren!N77/1000, 0)</f>
        <v>0</v>
      </c>
      <c r="O587" s="124">
        <f>IF(ISNUMBER('Klisz-Verbräuche'!P77), 'Klisz-Verbräuche'!P77*Emissionsfaktoren!O77/1000, 0)</f>
        <v>0</v>
      </c>
      <c r="P587" s="124">
        <f>IF(ISNUMBER('Klisz-Verbräuche'!Q77), 'Klisz-Verbräuche'!Q77*Emissionsfaktoren!P77/1000, 0)</f>
        <v>0</v>
      </c>
      <c r="Q587" s="124">
        <f>IF(ISNUMBER('Klisz-Verbräuche'!R77), 'Klisz-Verbräuche'!R77*Emissionsfaktoren!Q77/1000, 0)</f>
        <v>0</v>
      </c>
      <c r="R587" s="124">
        <f>IF(ISNUMBER('Klisz-Verbräuche'!S77), 'Klisz-Verbräuche'!S77*Emissionsfaktoren!R77/1000, 0)</f>
        <v>0</v>
      </c>
      <c r="S587" s="124">
        <f>IF(ISNUMBER('Klisz-Verbräuche'!T77), 'Klisz-Verbräuche'!T77*Emissionsfaktoren!S77/1000, 0)</f>
        <v>0</v>
      </c>
      <c r="T587" s="124">
        <f>IF(ISNUMBER('Klisz-Verbräuche'!U77), 'Klisz-Verbräuche'!U77*Emissionsfaktoren!T77/1000, 0)</f>
        <v>0</v>
      </c>
      <c r="U587" s="124">
        <f>IF(ISNUMBER('Klisz-Verbräuche'!V77), 'Klisz-Verbräuche'!V77*Emissionsfaktoren!U77/1000, 0)</f>
        <v>0</v>
      </c>
      <c r="V587" s="124">
        <f>IF(ISNUMBER('Klisz-Verbräuche'!W77), 'Klisz-Verbräuche'!W77*Emissionsfaktoren!V77/1000, 0)</f>
        <v>0</v>
      </c>
      <c r="W587" s="124">
        <f>IF(ISNUMBER('Klisz-Verbräuche'!X77), 'Klisz-Verbräuche'!X77*Emissionsfaktoren!W77/1000, 0)</f>
        <v>0</v>
      </c>
      <c r="X587" s="124">
        <f>IF(ISNUMBER('Klisz-Verbräuche'!Y77), 'Klisz-Verbräuche'!Y77*Emissionsfaktoren!X77/1000, 0)</f>
        <v>0</v>
      </c>
    </row>
    <row r="588" spans="2:24" ht="16.5" hidden="1" x14ac:dyDescent="0.45">
      <c r="B588" s="15">
        <v>18</v>
      </c>
      <c r="C588" s="20" t="str">
        <f>'Refsz-Verbräuche'!C78</f>
        <v>Wärme (Holzpellets, 50kW/größere Zentralheizung)</v>
      </c>
      <c r="D588" t="s">
        <v>208</v>
      </c>
      <c r="E588" s="124">
        <f>IF(ISNUMBER('Klisz-Verbräuche'!F78), 'Klisz-Verbräuche'!F78*Emissionsfaktoren!E78/1000, 0)</f>
        <v>0</v>
      </c>
      <c r="F588" s="124">
        <f>IF(ISNUMBER('Klisz-Verbräuche'!G78), 'Klisz-Verbräuche'!G78*Emissionsfaktoren!F78/1000, 0)</f>
        <v>0</v>
      </c>
      <c r="G588" s="124">
        <f>IF(ISNUMBER('Klisz-Verbräuche'!H78), 'Klisz-Verbräuche'!H78*Emissionsfaktoren!G78/1000, 0)</f>
        <v>0</v>
      </c>
      <c r="H588" s="124">
        <f>IF(ISNUMBER('Klisz-Verbräuche'!I78), 'Klisz-Verbräuche'!I78*Emissionsfaktoren!H78/1000, 0)</f>
        <v>0</v>
      </c>
      <c r="I588" s="124">
        <f>IF(ISNUMBER('Klisz-Verbräuche'!J78), 'Klisz-Verbräuche'!J78*Emissionsfaktoren!I78/1000, 0)</f>
        <v>0</v>
      </c>
      <c r="J588" s="124">
        <f>IF(ISNUMBER('Klisz-Verbräuche'!K78), 'Klisz-Verbräuche'!K78*Emissionsfaktoren!J78/1000, 0)</f>
        <v>0</v>
      </c>
      <c r="K588" s="124">
        <f>IF(ISNUMBER('Klisz-Verbräuche'!L78), 'Klisz-Verbräuche'!L78*Emissionsfaktoren!K78/1000, 0)</f>
        <v>0</v>
      </c>
      <c r="L588" s="124">
        <f>IF(ISNUMBER('Klisz-Verbräuche'!M78), 'Klisz-Verbräuche'!M78*Emissionsfaktoren!L78/1000, 0)</f>
        <v>0</v>
      </c>
      <c r="M588" s="124">
        <f>IF(ISNUMBER('Klisz-Verbräuche'!N78), 'Klisz-Verbräuche'!N78*Emissionsfaktoren!M78/1000, 0)</f>
        <v>0</v>
      </c>
      <c r="N588" s="124">
        <f>IF(ISNUMBER('Klisz-Verbräuche'!O78), 'Klisz-Verbräuche'!O78*Emissionsfaktoren!N78/1000, 0)</f>
        <v>0</v>
      </c>
      <c r="O588" s="124">
        <f>IF(ISNUMBER('Klisz-Verbräuche'!P78), 'Klisz-Verbräuche'!P78*Emissionsfaktoren!O78/1000, 0)</f>
        <v>0</v>
      </c>
      <c r="P588" s="124">
        <f>IF(ISNUMBER('Klisz-Verbräuche'!Q78), 'Klisz-Verbräuche'!Q78*Emissionsfaktoren!P78/1000, 0)</f>
        <v>0</v>
      </c>
      <c r="Q588" s="124">
        <f>IF(ISNUMBER('Klisz-Verbräuche'!R78), 'Klisz-Verbräuche'!R78*Emissionsfaktoren!Q78/1000, 0)</f>
        <v>0</v>
      </c>
      <c r="R588" s="124">
        <f>IF(ISNUMBER('Klisz-Verbräuche'!S78), 'Klisz-Verbräuche'!S78*Emissionsfaktoren!R78/1000, 0)</f>
        <v>0</v>
      </c>
      <c r="S588" s="124">
        <f>IF(ISNUMBER('Klisz-Verbräuche'!T78), 'Klisz-Verbräuche'!T78*Emissionsfaktoren!S78/1000, 0)</f>
        <v>0</v>
      </c>
      <c r="T588" s="124">
        <f>IF(ISNUMBER('Klisz-Verbräuche'!U78), 'Klisz-Verbräuche'!U78*Emissionsfaktoren!T78/1000, 0)</f>
        <v>0</v>
      </c>
      <c r="U588" s="124">
        <f>IF(ISNUMBER('Klisz-Verbräuche'!V78), 'Klisz-Verbräuche'!V78*Emissionsfaktoren!U78/1000, 0)</f>
        <v>0</v>
      </c>
      <c r="V588" s="124">
        <f>IF(ISNUMBER('Klisz-Verbräuche'!W78), 'Klisz-Verbräuche'!W78*Emissionsfaktoren!V78/1000, 0)</f>
        <v>0</v>
      </c>
      <c r="W588" s="124">
        <f>IF(ISNUMBER('Klisz-Verbräuche'!X78), 'Klisz-Verbräuche'!X78*Emissionsfaktoren!W78/1000, 0)</f>
        <v>0</v>
      </c>
      <c r="X588" s="124">
        <f>IF(ISNUMBER('Klisz-Verbräuche'!Y78), 'Klisz-Verbräuche'!Y78*Emissionsfaktoren!X78/1000, 0)</f>
        <v>0</v>
      </c>
    </row>
    <row r="589" spans="2:24" ht="16.5" hidden="1" x14ac:dyDescent="0.45">
      <c r="B589" s="15">
        <v>19</v>
      </c>
      <c r="C589" s="20" t="str">
        <f>'Refsz-Verbräuche'!C79</f>
        <v>Wärme (Fernwärme Mix)</v>
      </c>
      <c r="D589" t="s">
        <v>208</v>
      </c>
      <c r="E589" s="124">
        <f>IF(ISNUMBER('Klisz-Verbräuche'!F79), 'Klisz-Verbräuche'!F79*Emissionsfaktoren!E79/1000, 0)</f>
        <v>0</v>
      </c>
      <c r="F589" s="124">
        <f>IF(ISNUMBER('Klisz-Verbräuche'!G79), 'Klisz-Verbräuche'!G79*Emissionsfaktoren!F79/1000, 0)</f>
        <v>0</v>
      </c>
      <c r="G589" s="124">
        <f>IF(ISNUMBER('Klisz-Verbräuche'!H79), 'Klisz-Verbräuche'!H79*Emissionsfaktoren!G79/1000, 0)</f>
        <v>0</v>
      </c>
      <c r="H589" s="124">
        <f>IF(ISNUMBER('Klisz-Verbräuche'!I79), 'Klisz-Verbräuche'!I79*Emissionsfaktoren!H79/1000, 0)</f>
        <v>0</v>
      </c>
      <c r="I589" s="124">
        <f>IF(ISNUMBER('Klisz-Verbräuche'!J79), 'Klisz-Verbräuche'!J79*Emissionsfaktoren!I79/1000, 0)</f>
        <v>0</v>
      </c>
      <c r="J589" s="124">
        <f>IF(ISNUMBER('Klisz-Verbräuche'!K79), 'Klisz-Verbräuche'!K79*Emissionsfaktoren!J79/1000, 0)</f>
        <v>0</v>
      </c>
      <c r="K589" s="124">
        <f>IF(ISNUMBER('Klisz-Verbräuche'!L79), 'Klisz-Verbräuche'!L79*Emissionsfaktoren!K79/1000, 0)</f>
        <v>0</v>
      </c>
      <c r="L589" s="124">
        <f>IF(ISNUMBER('Klisz-Verbräuche'!M79), 'Klisz-Verbräuche'!M79*Emissionsfaktoren!L79/1000, 0)</f>
        <v>0</v>
      </c>
      <c r="M589" s="124">
        <f>IF(ISNUMBER('Klisz-Verbräuche'!N79), 'Klisz-Verbräuche'!N79*Emissionsfaktoren!M79/1000, 0)</f>
        <v>0</v>
      </c>
      <c r="N589" s="124">
        <f>IF(ISNUMBER('Klisz-Verbräuche'!O79), 'Klisz-Verbräuche'!O79*Emissionsfaktoren!N79/1000, 0)</f>
        <v>0</v>
      </c>
      <c r="O589" s="124">
        <f>IF(ISNUMBER('Klisz-Verbräuche'!P79), 'Klisz-Verbräuche'!P79*Emissionsfaktoren!O79/1000, 0)</f>
        <v>0</v>
      </c>
      <c r="P589" s="124">
        <f>IF(ISNUMBER('Klisz-Verbräuche'!Q79), 'Klisz-Verbräuche'!Q79*Emissionsfaktoren!P79/1000, 0)</f>
        <v>0</v>
      </c>
      <c r="Q589" s="124">
        <f>IF(ISNUMBER('Klisz-Verbräuche'!R79), 'Klisz-Verbräuche'!R79*Emissionsfaktoren!Q79/1000, 0)</f>
        <v>0</v>
      </c>
      <c r="R589" s="124">
        <f>IF(ISNUMBER('Klisz-Verbräuche'!S79), 'Klisz-Verbräuche'!S79*Emissionsfaktoren!R79/1000, 0)</f>
        <v>0</v>
      </c>
      <c r="S589" s="124">
        <f>IF(ISNUMBER('Klisz-Verbräuche'!T79), 'Klisz-Verbräuche'!T79*Emissionsfaktoren!S79/1000, 0)</f>
        <v>0</v>
      </c>
      <c r="T589" s="124">
        <f>IF(ISNUMBER('Klisz-Verbräuche'!U79), 'Klisz-Verbräuche'!U79*Emissionsfaktoren!T79/1000, 0)</f>
        <v>0</v>
      </c>
      <c r="U589" s="124">
        <f>IF(ISNUMBER('Klisz-Verbräuche'!V79), 'Klisz-Verbräuche'!V79*Emissionsfaktoren!U79/1000, 0)</f>
        <v>0</v>
      </c>
      <c r="V589" s="124">
        <f>IF(ISNUMBER('Klisz-Verbräuche'!W79), 'Klisz-Verbräuche'!W79*Emissionsfaktoren!V79/1000, 0)</f>
        <v>0</v>
      </c>
      <c r="W589" s="124">
        <f>IF(ISNUMBER('Klisz-Verbräuche'!X79), 'Klisz-Verbräuche'!X79*Emissionsfaktoren!W79/1000, 0)</f>
        <v>0</v>
      </c>
      <c r="X589" s="124">
        <f>IF(ISNUMBER('Klisz-Verbräuche'!Y79), 'Klisz-Verbräuche'!Y79*Emissionsfaktoren!X79/1000, 0)</f>
        <v>0</v>
      </c>
    </row>
    <row r="590" spans="2:24" ht="16.5" hidden="1" x14ac:dyDescent="0.45">
      <c r="B590" s="15">
        <v>20</v>
      </c>
      <c r="C590" s="20" t="str">
        <f>'Refsz-Verbräuche'!C80</f>
        <v>Wärme (Fernwärme Abfall)</v>
      </c>
      <c r="D590" t="s">
        <v>208</v>
      </c>
      <c r="E590" s="124">
        <f>IF(ISNUMBER('Klisz-Verbräuche'!F80), 'Klisz-Verbräuche'!F80*Emissionsfaktoren!E80/1000, 0)</f>
        <v>0</v>
      </c>
      <c r="F590" s="124">
        <f>IF(ISNUMBER('Klisz-Verbräuche'!G80), 'Klisz-Verbräuche'!G80*Emissionsfaktoren!F80/1000, 0)</f>
        <v>0</v>
      </c>
      <c r="G590" s="124">
        <f>IF(ISNUMBER('Klisz-Verbräuche'!H80), 'Klisz-Verbräuche'!H80*Emissionsfaktoren!G80/1000, 0)</f>
        <v>0</v>
      </c>
      <c r="H590" s="124">
        <f>IF(ISNUMBER('Klisz-Verbräuche'!I80), 'Klisz-Verbräuche'!I80*Emissionsfaktoren!H80/1000, 0)</f>
        <v>0</v>
      </c>
      <c r="I590" s="124">
        <f>IF(ISNUMBER('Klisz-Verbräuche'!J80), 'Klisz-Verbräuche'!J80*Emissionsfaktoren!I80/1000, 0)</f>
        <v>0</v>
      </c>
      <c r="J590" s="124">
        <f>IF(ISNUMBER('Klisz-Verbräuche'!K80), 'Klisz-Verbräuche'!K80*Emissionsfaktoren!J80/1000, 0)</f>
        <v>0</v>
      </c>
      <c r="K590" s="124">
        <f>IF(ISNUMBER('Klisz-Verbräuche'!L80), 'Klisz-Verbräuche'!L80*Emissionsfaktoren!K80/1000, 0)</f>
        <v>0</v>
      </c>
      <c r="L590" s="124">
        <f>IF(ISNUMBER('Klisz-Verbräuche'!M80), 'Klisz-Verbräuche'!M80*Emissionsfaktoren!L80/1000, 0)</f>
        <v>0</v>
      </c>
      <c r="M590" s="124">
        <f>IF(ISNUMBER('Klisz-Verbräuche'!N80), 'Klisz-Verbräuche'!N80*Emissionsfaktoren!M80/1000, 0)</f>
        <v>0</v>
      </c>
      <c r="N590" s="124">
        <f>IF(ISNUMBER('Klisz-Verbräuche'!O80), 'Klisz-Verbräuche'!O80*Emissionsfaktoren!N80/1000, 0)</f>
        <v>0</v>
      </c>
      <c r="O590" s="124">
        <f>IF(ISNUMBER('Klisz-Verbräuche'!P80), 'Klisz-Verbräuche'!P80*Emissionsfaktoren!O80/1000, 0)</f>
        <v>0</v>
      </c>
      <c r="P590" s="124">
        <f>IF(ISNUMBER('Klisz-Verbräuche'!Q80), 'Klisz-Verbräuche'!Q80*Emissionsfaktoren!P80/1000, 0)</f>
        <v>0</v>
      </c>
      <c r="Q590" s="124">
        <f>IF(ISNUMBER('Klisz-Verbräuche'!R80), 'Klisz-Verbräuche'!R80*Emissionsfaktoren!Q80/1000, 0)</f>
        <v>0</v>
      </c>
      <c r="R590" s="124">
        <f>IF(ISNUMBER('Klisz-Verbräuche'!S80), 'Klisz-Verbräuche'!S80*Emissionsfaktoren!R80/1000, 0)</f>
        <v>0</v>
      </c>
      <c r="S590" s="124">
        <f>IF(ISNUMBER('Klisz-Verbräuche'!T80), 'Klisz-Verbräuche'!T80*Emissionsfaktoren!S80/1000, 0)</f>
        <v>0</v>
      </c>
      <c r="T590" s="124">
        <f>IF(ISNUMBER('Klisz-Verbräuche'!U80), 'Klisz-Verbräuche'!U80*Emissionsfaktoren!T80/1000, 0)</f>
        <v>0</v>
      </c>
      <c r="U590" s="124">
        <f>IF(ISNUMBER('Klisz-Verbräuche'!V80), 'Klisz-Verbräuche'!V80*Emissionsfaktoren!U80/1000, 0)</f>
        <v>0</v>
      </c>
      <c r="V590" s="124">
        <f>IF(ISNUMBER('Klisz-Verbräuche'!W80), 'Klisz-Verbräuche'!W80*Emissionsfaktoren!V80/1000, 0)</f>
        <v>0</v>
      </c>
      <c r="W590" s="124">
        <f>IF(ISNUMBER('Klisz-Verbräuche'!X80), 'Klisz-Verbräuche'!X80*Emissionsfaktoren!W80/1000, 0)</f>
        <v>0</v>
      </c>
      <c r="X590" s="124">
        <f>IF(ISNUMBER('Klisz-Verbräuche'!Y80), 'Klisz-Verbräuche'!Y80*Emissionsfaktoren!X80/1000, 0)</f>
        <v>0</v>
      </c>
    </row>
    <row r="591" spans="2:24" ht="16.5" hidden="1" x14ac:dyDescent="0.45">
      <c r="B591" s="15">
        <v>21</v>
      </c>
      <c r="C591" s="20" t="str">
        <f>'Refsz-Verbräuche'!C81</f>
        <v>Wärme (Heizöl)</v>
      </c>
      <c r="D591" t="s">
        <v>208</v>
      </c>
      <c r="E591" s="124">
        <f>IF(ISNUMBER('Klisz-Verbräuche'!F81), 'Klisz-Verbräuche'!F81*Emissionsfaktoren!E81/1000, 0)</f>
        <v>0</v>
      </c>
      <c r="F591" s="124">
        <f>IF(ISNUMBER('Klisz-Verbräuche'!G81), 'Klisz-Verbräuche'!G81*Emissionsfaktoren!F81/1000, 0)</f>
        <v>0</v>
      </c>
      <c r="G591" s="124">
        <f>IF(ISNUMBER('Klisz-Verbräuche'!H81), 'Klisz-Verbräuche'!H81*Emissionsfaktoren!G81/1000, 0)</f>
        <v>0</v>
      </c>
      <c r="H591" s="124">
        <f>IF(ISNUMBER('Klisz-Verbräuche'!I81), 'Klisz-Verbräuche'!I81*Emissionsfaktoren!H81/1000, 0)</f>
        <v>0</v>
      </c>
      <c r="I591" s="124">
        <f>IF(ISNUMBER('Klisz-Verbräuche'!J81), 'Klisz-Verbräuche'!J81*Emissionsfaktoren!I81/1000, 0)</f>
        <v>0</v>
      </c>
      <c r="J591" s="124">
        <f>IF(ISNUMBER('Klisz-Verbräuche'!K81), 'Klisz-Verbräuche'!K81*Emissionsfaktoren!J81/1000, 0)</f>
        <v>0</v>
      </c>
      <c r="K591" s="124">
        <f>IF(ISNUMBER('Klisz-Verbräuche'!L81), 'Klisz-Verbräuche'!L81*Emissionsfaktoren!K81/1000, 0)</f>
        <v>0</v>
      </c>
      <c r="L591" s="124">
        <f>IF(ISNUMBER('Klisz-Verbräuche'!M81), 'Klisz-Verbräuche'!M81*Emissionsfaktoren!L81/1000, 0)</f>
        <v>0</v>
      </c>
      <c r="M591" s="124">
        <f>IF(ISNUMBER('Klisz-Verbräuche'!N81), 'Klisz-Verbräuche'!N81*Emissionsfaktoren!M81/1000, 0)</f>
        <v>0</v>
      </c>
      <c r="N591" s="124">
        <f>IF(ISNUMBER('Klisz-Verbräuche'!O81), 'Klisz-Verbräuche'!O81*Emissionsfaktoren!N81/1000, 0)</f>
        <v>0</v>
      </c>
      <c r="O591" s="124">
        <f>IF(ISNUMBER('Klisz-Verbräuche'!P81), 'Klisz-Verbräuche'!P81*Emissionsfaktoren!O81/1000, 0)</f>
        <v>0</v>
      </c>
      <c r="P591" s="124">
        <f>IF(ISNUMBER('Klisz-Verbräuche'!Q81), 'Klisz-Verbräuche'!Q81*Emissionsfaktoren!P81/1000, 0)</f>
        <v>0</v>
      </c>
      <c r="Q591" s="124">
        <f>IF(ISNUMBER('Klisz-Verbräuche'!R81), 'Klisz-Verbräuche'!R81*Emissionsfaktoren!Q81/1000, 0)</f>
        <v>0</v>
      </c>
      <c r="R591" s="124">
        <f>IF(ISNUMBER('Klisz-Verbräuche'!S81), 'Klisz-Verbräuche'!S81*Emissionsfaktoren!R81/1000, 0)</f>
        <v>0</v>
      </c>
      <c r="S591" s="124">
        <f>IF(ISNUMBER('Klisz-Verbräuche'!T81), 'Klisz-Verbräuche'!T81*Emissionsfaktoren!S81/1000, 0)</f>
        <v>0</v>
      </c>
      <c r="T591" s="124">
        <f>IF(ISNUMBER('Klisz-Verbräuche'!U81), 'Klisz-Verbräuche'!U81*Emissionsfaktoren!T81/1000, 0)</f>
        <v>0</v>
      </c>
      <c r="U591" s="124">
        <f>IF(ISNUMBER('Klisz-Verbräuche'!V81), 'Klisz-Verbräuche'!V81*Emissionsfaktoren!U81/1000, 0)</f>
        <v>0</v>
      </c>
      <c r="V591" s="124">
        <f>IF(ISNUMBER('Klisz-Verbräuche'!W81), 'Klisz-Verbräuche'!W81*Emissionsfaktoren!V81/1000, 0)</f>
        <v>0</v>
      </c>
      <c r="W591" s="124">
        <f>IF(ISNUMBER('Klisz-Verbräuche'!X81), 'Klisz-Verbräuche'!X81*Emissionsfaktoren!W81/1000, 0)</f>
        <v>0</v>
      </c>
      <c r="X591" s="124">
        <f>IF(ISNUMBER('Klisz-Verbräuche'!Y81), 'Klisz-Verbräuche'!Y81*Emissionsfaktoren!X81/1000, 0)</f>
        <v>0</v>
      </c>
    </row>
    <row r="592" spans="2:24" ht="16.5" hidden="1" x14ac:dyDescent="0.45">
      <c r="B592" s="15">
        <v>22</v>
      </c>
      <c r="C592" s="20" t="str">
        <f>'Refsz-Verbräuche'!C82</f>
        <v>Wärme (Solarthermie)</v>
      </c>
      <c r="D592" t="s">
        <v>208</v>
      </c>
      <c r="E592" s="124">
        <f>IF(ISNUMBER('Klisz-Verbräuche'!F82), 'Klisz-Verbräuche'!F82*Emissionsfaktoren!E82/1000, 0)</f>
        <v>0</v>
      </c>
      <c r="F592" s="124">
        <f>IF(ISNUMBER('Klisz-Verbräuche'!G82), 'Klisz-Verbräuche'!G82*Emissionsfaktoren!F82/1000, 0)</f>
        <v>0</v>
      </c>
      <c r="G592" s="124">
        <f>IF(ISNUMBER('Klisz-Verbräuche'!H82), 'Klisz-Verbräuche'!H82*Emissionsfaktoren!G82/1000, 0)</f>
        <v>0</v>
      </c>
      <c r="H592" s="124">
        <f>IF(ISNUMBER('Klisz-Verbräuche'!I82), 'Klisz-Verbräuche'!I82*Emissionsfaktoren!H82/1000, 0)</f>
        <v>0</v>
      </c>
      <c r="I592" s="124">
        <f>IF(ISNUMBER('Klisz-Verbräuche'!J82), 'Klisz-Verbräuche'!J82*Emissionsfaktoren!I82/1000, 0)</f>
        <v>0</v>
      </c>
      <c r="J592" s="124">
        <f>IF(ISNUMBER('Klisz-Verbräuche'!K82), 'Klisz-Verbräuche'!K82*Emissionsfaktoren!J82/1000, 0)</f>
        <v>0</v>
      </c>
      <c r="K592" s="124">
        <f>IF(ISNUMBER('Klisz-Verbräuche'!L82), 'Klisz-Verbräuche'!L82*Emissionsfaktoren!K82/1000, 0)</f>
        <v>0</v>
      </c>
      <c r="L592" s="124">
        <f>IF(ISNUMBER('Klisz-Verbräuche'!M82), 'Klisz-Verbräuche'!M82*Emissionsfaktoren!L82/1000, 0)</f>
        <v>0</v>
      </c>
      <c r="M592" s="124">
        <f>IF(ISNUMBER('Klisz-Verbräuche'!N82), 'Klisz-Verbräuche'!N82*Emissionsfaktoren!M82/1000, 0)</f>
        <v>0</v>
      </c>
      <c r="N592" s="124">
        <f>IF(ISNUMBER('Klisz-Verbräuche'!O82), 'Klisz-Verbräuche'!O82*Emissionsfaktoren!N82/1000, 0)</f>
        <v>0</v>
      </c>
      <c r="O592" s="124">
        <f>IF(ISNUMBER('Klisz-Verbräuche'!P82), 'Klisz-Verbräuche'!P82*Emissionsfaktoren!O82/1000, 0)</f>
        <v>0</v>
      </c>
      <c r="P592" s="124">
        <f>IF(ISNUMBER('Klisz-Verbräuche'!Q82), 'Klisz-Verbräuche'!Q82*Emissionsfaktoren!P82/1000, 0)</f>
        <v>0</v>
      </c>
      <c r="Q592" s="124">
        <f>IF(ISNUMBER('Klisz-Verbräuche'!R82), 'Klisz-Verbräuche'!R82*Emissionsfaktoren!Q82/1000, 0)</f>
        <v>0</v>
      </c>
      <c r="R592" s="124">
        <f>IF(ISNUMBER('Klisz-Verbräuche'!S82), 'Klisz-Verbräuche'!S82*Emissionsfaktoren!R82/1000, 0)</f>
        <v>0</v>
      </c>
      <c r="S592" s="124">
        <f>IF(ISNUMBER('Klisz-Verbräuche'!T82), 'Klisz-Verbräuche'!T82*Emissionsfaktoren!S82/1000, 0)</f>
        <v>0</v>
      </c>
      <c r="T592" s="124">
        <f>IF(ISNUMBER('Klisz-Verbräuche'!U82), 'Klisz-Verbräuche'!U82*Emissionsfaktoren!T82/1000, 0)</f>
        <v>0</v>
      </c>
      <c r="U592" s="124">
        <f>IF(ISNUMBER('Klisz-Verbräuche'!V82), 'Klisz-Verbräuche'!V82*Emissionsfaktoren!U82/1000, 0)</f>
        <v>0</v>
      </c>
      <c r="V592" s="124">
        <f>IF(ISNUMBER('Klisz-Verbräuche'!W82), 'Klisz-Verbräuche'!W82*Emissionsfaktoren!V82/1000, 0)</f>
        <v>0</v>
      </c>
      <c r="W592" s="124">
        <f>IF(ISNUMBER('Klisz-Verbräuche'!X82), 'Klisz-Verbräuche'!X82*Emissionsfaktoren!W82/1000, 0)</f>
        <v>0</v>
      </c>
      <c r="X592" s="124">
        <f>IF(ISNUMBER('Klisz-Verbräuche'!Y82), 'Klisz-Verbräuche'!Y82*Emissionsfaktoren!X82/1000, 0)</f>
        <v>0</v>
      </c>
    </row>
    <row r="593" spans="2:24" ht="16.5" hidden="1" x14ac:dyDescent="0.45">
      <c r="B593" s="15">
        <v>23</v>
      </c>
      <c r="C593" s="20" t="str">
        <f>'Refsz-Verbräuche'!C83</f>
        <v>Wärme (Sole-Wasser-Wärmepumpe; Bundesstrommix)</v>
      </c>
      <c r="D593" t="s">
        <v>208</v>
      </c>
      <c r="E593" s="124">
        <f>IF(ISNUMBER('Klisz-Verbräuche'!F83), 'Klisz-Verbräuche'!F83*Emissionsfaktoren!E83/1000, 0)</f>
        <v>0</v>
      </c>
      <c r="F593" s="124">
        <f>IF(ISNUMBER('Klisz-Verbräuche'!G83), 'Klisz-Verbräuche'!G83*Emissionsfaktoren!F83/1000, 0)</f>
        <v>0</v>
      </c>
      <c r="G593" s="124">
        <f>IF(ISNUMBER('Klisz-Verbräuche'!H83), 'Klisz-Verbräuche'!H83*Emissionsfaktoren!G83/1000, 0)</f>
        <v>0</v>
      </c>
      <c r="H593" s="124">
        <f>IF(ISNUMBER('Klisz-Verbräuche'!I83), 'Klisz-Verbräuche'!I83*Emissionsfaktoren!H83/1000, 0)</f>
        <v>0</v>
      </c>
      <c r="I593" s="124">
        <f>IF(ISNUMBER('Klisz-Verbräuche'!J83), 'Klisz-Verbräuche'!J83*Emissionsfaktoren!I83/1000, 0)</f>
        <v>0</v>
      </c>
      <c r="J593" s="124">
        <f>IF(ISNUMBER('Klisz-Verbräuche'!K83), 'Klisz-Verbräuche'!K83*Emissionsfaktoren!J83/1000, 0)</f>
        <v>0</v>
      </c>
      <c r="K593" s="124">
        <f>IF(ISNUMBER('Klisz-Verbräuche'!L83), 'Klisz-Verbräuche'!L83*Emissionsfaktoren!K83/1000, 0)</f>
        <v>0</v>
      </c>
      <c r="L593" s="124">
        <f>IF(ISNUMBER('Klisz-Verbräuche'!M83), 'Klisz-Verbräuche'!M83*Emissionsfaktoren!L83/1000, 0)</f>
        <v>0</v>
      </c>
      <c r="M593" s="124">
        <f>IF(ISNUMBER('Klisz-Verbräuche'!N83), 'Klisz-Verbräuche'!N83*Emissionsfaktoren!M83/1000, 0)</f>
        <v>0</v>
      </c>
      <c r="N593" s="124">
        <f>IF(ISNUMBER('Klisz-Verbräuche'!O83), 'Klisz-Verbräuche'!O83*Emissionsfaktoren!N83/1000, 0)</f>
        <v>0</v>
      </c>
      <c r="O593" s="124">
        <f>IF(ISNUMBER('Klisz-Verbräuche'!P83), 'Klisz-Verbräuche'!P83*Emissionsfaktoren!O83/1000, 0)</f>
        <v>0</v>
      </c>
      <c r="P593" s="124">
        <f>IF(ISNUMBER('Klisz-Verbräuche'!Q83), 'Klisz-Verbräuche'!Q83*Emissionsfaktoren!P83/1000, 0)</f>
        <v>0</v>
      </c>
      <c r="Q593" s="124">
        <f>IF(ISNUMBER('Klisz-Verbräuche'!R83), 'Klisz-Verbräuche'!R83*Emissionsfaktoren!Q83/1000, 0)</f>
        <v>0</v>
      </c>
      <c r="R593" s="124">
        <f>IF(ISNUMBER('Klisz-Verbräuche'!S83), 'Klisz-Verbräuche'!S83*Emissionsfaktoren!R83/1000, 0)</f>
        <v>0</v>
      </c>
      <c r="S593" s="124">
        <f>IF(ISNUMBER('Klisz-Verbräuche'!T83), 'Klisz-Verbräuche'!T83*Emissionsfaktoren!S83/1000, 0)</f>
        <v>0</v>
      </c>
      <c r="T593" s="124">
        <f>IF(ISNUMBER('Klisz-Verbräuche'!U83), 'Klisz-Verbräuche'!U83*Emissionsfaktoren!T83/1000, 0)</f>
        <v>0</v>
      </c>
      <c r="U593" s="124">
        <f>IF(ISNUMBER('Klisz-Verbräuche'!V83), 'Klisz-Verbräuche'!V83*Emissionsfaktoren!U83/1000, 0)</f>
        <v>0</v>
      </c>
      <c r="V593" s="124">
        <f>IF(ISNUMBER('Klisz-Verbräuche'!W83), 'Klisz-Verbräuche'!W83*Emissionsfaktoren!V83/1000, 0)</f>
        <v>0</v>
      </c>
      <c r="W593" s="124">
        <f>IF(ISNUMBER('Klisz-Verbräuche'!X83), 'Klisz-Verbräuche'!X83*Emissionsfaktoren!W83/1000, 0)</f>
        <v>0</v>
      </c>
      <c r="X593" s="124">
        <f>IF(ISNUMBER('Klisz-Verbräuche'!Y83), 'Klisz-Verbräuche'!Y83*Emissionsfaktoren!X83/1000, 0)</f>
        <v>0</v>
      </c>
    </row>
    <row r="594" spans="2:24" hidden="1" x14ac:dyDescent="0.35">
      <c r="B594" s="15">
        <v>24</v>
      </c>
      <c r="C594" s="20" t="str">
        <f>'Refsz-Verbräuche'!C84</f>
        <v>Wärme (Sole-Wasser-Wärmepumpe; Ökostrom)</v>
      </c>
      <c r="E594" s="124">
        <f>IF(ISNUMBER('Klisz-Verbräuche'!F84), 'Klisz-Verbräuche'!F84*Emissionsfaktoren!E84/1000, 0)</f>
        <v>0</v>
      </c>
      <c r="F594" s="124">
        <f>IF(ISNUMBER('Klisz-Verbräuche'!G84), 'Klisz-Verbräuche'!G84*Emissionsfaktoren!F84/1000, 0)</f>
        <v>0</v>
      </c>
      <c r="G594" s="124">
        <f>IF(ISNUMBER('Klisz-Verbräuche'!H84), 'Klisz-Verbräuche'!H84*Emissionsfaktoren!G84/1000, 0)</f>
        <v>0</v>
      </c>
      <c r="H594" s="124">
        <f>IF(ISNUMBER('Klisz-Verbräuche'!I84), 'Klisz-Verbräuche'!I84*Emissionsfaktoren!H84/1000, 0)</f>
        <v>0</v>
      </c>
      <c r="I594" s="124">
        <f>IF(ISNUMBER('Klisz-Verbräuche'!J84), 'Klisz-Verbräuche'!J84*Emissionsfaktoren!I84/1000, 0)</f>
        <v>0</v>
      </c>
      <c r="J594" s="124">
        <f>IF(ISNUMBER('Klisz-Verbräuche'!K84), 'Klisz-Verbräuche'!K84*Emissionsfaktoren!J84/1000, 0)</f>
        <v>0</v>
      </c>
      <c r="K594" s="124">
        <f>IF(ISNUMBER('Klisz-Verbräuche'!L84), 'Klisz-Verbräuche'!L84*Emissionsfaktoren!K84/1000, 0)</f>
        <v>0</v>
      </c>
      <c r="L594" s="124">
        <f>IF(ISNUMBER('Klisz-Verbräuche'!M84), 'Klisz-Verbräuche'!M84*Emissionsfaktoren!L84/1000, 0)</f>
        <v>0</v>
      </c>
      <c r="M594" s="124">
        <f>IF(ISNUMBER('Klisz-Verbräuche'!N84), 'Klisz-Verbräuche'!N84*Emissionsfaktoren!M84/1000, 0)</f>
        <v>0</v>
      </c>
      <c r="N594" s="124">
        <f>IF(ISNUMBER('Klisz-Verbräuche'!O84), 'Klisz-Verbräuche'!O84*Emissionsfaktoren!N84/1000, 0)</f>
        <v>0</v>
      </c>
      <c r="O594" s="124">
        <f>IF(ISNUMBER('Klisz-Verbräuche'!P84), 'Klisz-Verbräuche'!P84*Emissionsfaktoren!O84/1000, 0)</f>
        <v>0</v>
      </c>
      <c r="P594" s="124">
        <f>IF(ISNUMBER('Klisz-Verbräuche'!Q84), 'Klisz-Verbräuche'!Q84*Emissionsfaktoren!P84/1000, 0)</f>
        <v>0</v>
      </c>
      <c r="Q594" s="124">
        <f>IF(ISNUMBER('Klisz-Verbräuche'!R84), 'Klisz-Verbräuche'!R84*Emissionsfaktoren!Q84/1000, 0)</f>
        <v>0</v>
      </c>
      <c r="R594" s="124">
        <f>IF(ISNUMBER('Klisz-Verbräuche'!S84), 'Klisz-Verbräuche'!S84*Emissionsfaktoren!R84/1000, 0)</f>
        <v>0</v>
      </c>
      <c r="S594" s="124">
        <f>IF(ISNUMBER('Klisz-Verbräuche'!T84), 'Klisz-Verbräuche'!T84*Emissionsfaktoren!S84/1000, 0)</f>
        <v>0</v>
      </c>
      <c r="T594" s="124">
        <f>IF(ISNUMBER('Klisz-Verbräuche'!U84), 'Klisz-Verbräuche'!U84*Emissionsfaktoren!T84/1000, 0)</f>
        <v>0</v>
      </c>
      <c r="U594" s="124">
        <f>IF(ISNUMBER('Klisz-Verbräuche'!V84), 'Klisz-Verbräuche'!V84*Emissionsfaktoren!U84/1000, 0)</f>
        <v>0</v>
      </c>
      <c r="V594" s="124">
        <f>IF(ISNUMBER('Klisz-Verbräuche'!W84), 'Klisz-Verbräuche'!W84*Emissionsfaktoren!V84/1000, 0)</f>
        <v>0</v>
      </c>
      <c r="W594" s="124">
        <f>IF(ISNUMBER('Klisz-Verbräuche'!X84), 'Klisz-Verbräuche'!X84*Emissionsfaktoren!W84/1000, 0)</f>
        <v>0</v>
      </c>
      <c r="X594" s="124">
        <f>IF(ISNUMBER('Klisz-Verbräuche'!Y84), 'Klisz-Verbräuche'!Y84*Emissionsfaktoren!X84/1000, 0)</f>
        <v>0</v>
      </c>
    </row>
    <row r="595" spans="2:24" ht="16.5" hidden="1" x14ac:dyDescent="0.45">
      <c r="B595" s="15">
        <v>25</v>
      </c>
      <c r="C595" s="20" t="str">
        <f>'Refsz-Verbräuche'!C85</f>
        <v>Wärme (individuelle Wärmepumpe)</v>
      </c>
      <c r="D595" t="s">
        <v>208</v>
      </c>
      <c r="E595" s="124">
        <f>IF(ISNUMBER('Klisz-Verbräuche'!F85), 'Klisz-Verbräuche'!F85*Emissionsfaktoren!E85/1000, 0)</f>
        <v>0</v>
      </c>
      <c r="F595" s="124">
        <f>IF(ISNUMBER('Klisz-Verbräuche'!G83), 'Klisz-Verbräuche'!G83*Emissionsfaktoren!F85/1000, 0)</f>
        <v>0</v>
      </c>
      <c r="G595" s="124">
        <f>IF(ISNUMBER('Klisz-Verbräuche'!H83), 'Klisz-Verbräuche'!H83*Emissionsfaktoren!G85/1000, 0)</f>
        <v>0</v>
      </c>
      <c r="H595" s="124">
        <f>IF(ISNUMBER('Klisz-Verbräuche'!I83), 'Klisz-Verbräuche'!I83*Emissionsfaktoren!H85/1000, 0)</f>
        <v>0</v>
      </c>
      <c r="I595" s="124">
        <f>IF(ISNUMBER('Klisz-Verbräuche'!J83), 'Klisz-Verbräuche'!J83*Emissionsfaktoren!I85/1000, 0)</f>
        <v>0</v>
      </c>
      <c r="J595" s="124">
        <f>IF(ISNUMBER('Klisz-Verbräuche'!K83), 'Klisz-Verbräuche'!K83*Emissionsfaktoren!J85/1000, 0)</f>
        <v>0</v>
      </c>
      <c r="K595" s="124">
        <f>IF(ISNUMBER('Klisz-Verbräuche'!L83), 'Klisz-Verbräuche'!L83*Emissionsfaktoren!K85/1000, 0)</f>
        <v>0</v>
      </c>
      <c r="L595" s="124">
        <f>IF(ISNUMBER('Klisz-Verbräuche'!M83), 'Klisz-Verbräuche'!M83*Emissionsfaktoren!L85/1000, 0)</f>
        <v>0</v>
      </c>
      <c r="M595" s="124">
        <f>IF(ISNUMBER('Klisz-Verbräuche'!N83), 'Klisz-Verbräuche'!N83*Emissionsfaktoren!M85/1000, 0)</f>
        <v>0</v>
      </c>
      <c r="N595" s="124">
        <f>IF(ISNUMBER('Klisz-Verbräuche'!O83), 'Klisz-Verbräuche'!O83*Emissionsfaktoren!N85/1000, 0)</f>
        <v>0</v>
      </c>
      <c r="O595" s="124">
        <f>IF(ISNUMBER('Klisz-Verbräuche'!P83), 'Klisz-Verbräuche'!P83*Emissionsfaktoren!O85/1000, 0)</f>
        <v>0</v>
      </c>
      <c r="P595" s="124">
        <f>IF(ISNUMBER('Klisz-Verbräuche'!Q83), 'Klisz-Verbräuche'!Q83*Emissionsfaktoren!P85/1000, 0)</f>
        <v>0</v>
      </c>
      <c r="Q595" s="124">
        <f>IF(ISNUMBER('Klisz-Verbräuche'!R83), 'Klisz-Verbräuche'!R83*Emissionsfaktoren!Q85/1000, 0)</f>
        <v>0</v>
      </c>
      <c r="R595" s="124">
        <f>IF(ISNUMBER('Klisz-Verbräuche'!S83), 'Klisz-Verbräuche'!S83*Emissionsfaktoren!R85/1000, 0)</f>
        <v>0</v>
      </c>
      <c r="S595" s="124">
        <f>IF(ISNUMBER('Klisz-Verbräuche'!T83), 'Klisz-Verbräuche'!T83*Emissionsfaktoren!S85/1000, 0)</f>
        <v>0</v>
      </c>
      <c r="T595" s="124">
        <f>IF(ISNUMBER('Klisz-Verbräuche'!U83), 'Klisz-Verbräuche'!U83*Emissionsfaktoren!T85/1000, 0)</f>
        <v>0</v>
      </c>
      <c r="U595" s="124">
        <f>IF(ISNUMBER('Klisz-Verbräuche'!V83), 'Klisz-Verbräuche'!V83*Emissionsfaktoren!U85/1000, 0)</f>
        <v>0</v>
      </c>
      <c r="V595" s="124">
        <f>IF(ISNUMBER('Klisz-Verbräuche'!W83), 'Klisz-Verbräuche'!W83*Emissionsfaktoren!V85/1000, 0)</f>
        <v>0</v>
      </c>
      <c r="W595" s="124">
        <f>IF(ISNUMBER('Klisz-Verbräuche'!X83), 'Klisz-Verbräuche'!X83*Emissionsfaktoren!W85/1000, 0)</f>
        <v>0</v>
      </c>
      <c r="X595" s="124">
        <f>IF(ISNUMBER('Klisz-Verbräuche'!Y83), 'Klisz-Verbräuche'!Y83*Emissionsfaktoren!X85/1000, 0)</f>
        <v>0</v>
      </c>
    </row>
    <row r="596" spans="2:24" ht="16.5" hidden="1" x14ac:dyDescent="0.45">
      <c r="B596" s="15">
        <v>26</v>
      </c>
      <c r="C596" s="20" t="str">
        <f>'Refsz-Verbräuche'!C86</f>
        <v>Kältemittel (R22)</v>
      </c>
      <c r="D596" t="s">
        <v>208</v>
      </c>
      <c r="E596" s="124">
        <f>IF(ISNUMBER('Klisz-Verbräuche'!F86), 'Klisz-Verbräuche'!F86*Emissionsfaktoren!E86/1000, 0)</f>
        <v>0</v>
      </c>
      <c r="F596" s="124">
        <f>IF(ISNUMBER('Klisz-Verbräuche'!G86), 'Klisz-Verbräuche'!G86*Emissionsfaktoren!F86/1000, 0)</f>
        <v>0</v>
      </c>
      <c r="G596" s="124">
        <f>IF(ISNUMBER('Klisz-Verbräuche'!H86), 'Klisz-Verbräuche'!H86*Emissionsfaktoren!G86/1000, 0)</f>
        <v>0</v>
      </c>
      <c r="H596" s="124">
        <f>IF(ISNUMBER('Klisz-Verbräuche'!I86), 'Klisz-Verbräuche'!I86*Emissionsfaktoren!H86/1000, 0)</f>
        <v>0</v>
      </c>
      <c r="I596" s="124">
        <f>IF(ISNUMBER('Klisz-Verbräuche'!J86), 'Klisz-Verbräuche'!J86*Emissionsfaktoren!I86/1000, 0)</f>
        <v>0</v>
      </c>
      <c r="J596" s="124">
        <f>IF(ISNUMBER('Klisz-Verbräuche'!K86), 'Klisz-Verbräuche'!K86*Emissionsfaktoren!J86/1000, 0)</f>
        <v>0</v>
      </c>
      <c r="K596" s="124">
        <f>IF(ISNUMBER('Klisz-Verbräuche'!L86), 'Klisz-Verbräuche'!L86*Emissionsfaktoren!K86/1000, 0)</f>
        <v>0</v>
      </c>
      <c r="L596" s="124">
        <f>IF(ISNUMBER('Klisz-Verbräuche'!M86), 'Klisz-Verbräuche'!M86*Emissionsfaktoren!L86/1000, 0)</f>
        <v>0</v>
      </c>
      <c r="M596" s="124">
        <f>IF(ISNUMBER('Klisz-Verbräuche'!N86), 'Klisz-Verbräuche'!N86*Emissionsfaktoren!M86/1000, 0)</f>
        <v>0</v>
      </c>
      <c r="N596" s="124">
        <f>IF(ISNUMBER('Klisz-Verbräuche'!O86), 'Klisz-Verbräuche'!O86*Emissionsfaktoren!N86/1000, 0)</f>
        <v>0</v>
      </c>
      <c r="O596" s="124">
        <f>IF(ISNUMBER('Klisz-Verbräuche'!P86), 'Klisz-Verbräuche'!P86*Emissionsfaktoren!O86/1000, 0)</f>
        <v>0</v>
      </c>
      <c r="P596" s="124">
        <f>IF(ISNUMBER('Klisz-Verbräuche'!Q86), 'Klisz-Verbräuche'!Q86*Emissionsfaktoren!P86/1000, 0)</f>
        <v>0</v>
      </c>
      <c r="Q596" s="124">
        <f>IF(ISNUMBER('Klisz-Verbräuche'!R86), 'Klisz-Verbräuche'!R86*Emissionsfaktoren!Q86/1000, 0)</f>
        <v>0</v>
      </c>
      <c r="R596" s="124">
        <f>IF(ISNUMBER('Klisz-Verbräuche'!S86), 'Klisz-Verbräuche'!S86*Emissionsfaktoren!R86/1000, 0)</f>
        <v>0</v>
      </c>
      <c r="S596" s="124">
        <f>IF(ISNUMBER('Klisz-Verbräuche'!T86), 'Klisz-Verbräuche'!T86*Emissionsfaktoren!S86/1000, 0)</f>
        <v>0</v>
      </c>
      <c r="T596" s="124">
        <f>IF(ISNUMBER('Klisz-Verbräuche'!U86), 'Klisz-Verbräuche'!U86*Emissionsfaktoren!T86/1000, 0)</f>
        <v>0</v>
      </c>
      <c r="U596" s="124">
        <f>IF(ISNUMBER('Klisz-Verbräuche'!V86), 'Klisz-Verbräuche'!V86*Emissionsfaktoren!U86/1000, 0)</f>
        <v>0</v>
      </c>
      <c r="V596" s="124">
        <f>IF(ISNUMBER('Klisz-Verbräuche'!W86), 'Klisz-Verbräuche'!W86*Emissionsfaktoren!V86/1000, 0)</f>
        <v>0</v>
      </c>
      <c r="W596" s="124">
        <f>IF(ISNUMBER('Klisz-Verbräuche'!X86), 'Klisz-Verbräuche'!X86*Emissionsfaktoren!W86/1000, 0)</f>
        <v>0</v>
      </c>
      <c r="X596" s="124">
        <f>IF(ISNUMBER('Klisz-Verbräuche'!Y86), 'Klisz-Verbräuche'!Y86*Emissionsfaktoren!X86/1000, 0)</f>
        <v>0</v>
      </c>
    </row>
    <row r="597" spans="2:24" ht="16.5" hidden="1" x14ac:dyDescent="0.45">
      <c r="B597" s="15">
        <v>27</v>
      </c>
      <c r="C597" s="20" t="str">
        <f>'Refsz-Verbräuche'!C87</f>
        <v>Kältemittel (R134A)</v>
      </c>
      <c r="D597" t="s">
        <v>208</v>
      </c>
      <c r="E597" s="124">
        <f>IF(ISNUMBER('Klisz-Verbräuche'!F87), 'Klisz-Verbräuche'!F87*Emissionsfaktoren!E87/1000, 0)</f>
        <v>0</v>
      </c>
      <c r="F597" s="124">
        <f>IF(ISNUMBER('Klisz-Verbräuche'!G87), 'Klisz-Verbräuche'!G87*Emissionsfaktoren!F87/1000, 0)</f>
        <v>0</v>
      </c>
      <c r="G597" s="124">
        <f>IF(ISNUMBER('Klisz-Verbräuche'!H87), 'Klisz-Verbräuche'!H87*Emissionsfaktoren!G87/1000, 0)</f>
        <v>0</v>
      </c>
      <c r="H597" s="124">
        <f>IF(ISNUMBER('Klisz-Verbräuche'!I87), 'Klisz-Verbräuche'!I87*Emissionsfaktoren!H87/1000, 0)</f>
        <v>0</v>
      </c>
      <c r="I597" s="124">
        <f>IF(ISNUMBER('Klisz-Verbräuche'!J87), 'Klisz-Verbräuche'!J87*Emissionsfaktoren!I87/1000, 0)</f>
        <v>0</v>
      </c>
      <c r="J597" s="124">
        <f>IF(ISNUMBER('Klisz-Verbräuche'!K87), 'Klisz-Verbräuche'!K87*Emissionsfaktoren!J87/1000, 0)</f>
        <v>0</v>
      </c>
      <c r="K597" s="124">
        <f>IF(ISNUMBER('Klisz-Verbräuche'!L87), 'Klisz-Verbräuche'!L87*Emissionsfaktoren!K87/1000, 0)</f>
        <v>0</v>
      </c>
      <c r="L597" s="124">
        <f>IF(ISNUMBER('Klisz-Verbräuche'!M87), 'Klisz-Verbräuche'!M87*Emissionsfaktoren!L87/1000, 0)</f>
        <v>0</v>
      </c>
      <c r="M597" s="124">
        <f>IF(ISNUMBER('Klisz-Verbräuche'!N87), 'Klisz-Verbräuche'!N87*Emissionsfaktoren!M87/1000, 0)</f>
        <v>0</v>
      </c>
      <c r="N597" s="124">
        <f>IF(ISNUMBER('Klisz-Verbräuche'!O87), 'Klisz-Verbräuche'!O87*Emissionsfaktoren!N87/1000, 0)</f>
        <v>0</v>
      </c>
      <c r="O597" s="124">
        <f>IF(ISNUMBER('Klisz-Verbräuche'!P87), 'Klisz-Verbräuche'!P87*Emissionsfaktoren!O87/1000, 0)</f>
        <v>0</v>
      </c>
      <c r="P597" s="124">
        <f>IF(ISNUMBER('Klisz-Verbräuche'!Q87), 'Klisz-Verbräuche'!Q87*Emissionsfaktoren!P87/1000, 0)</f>
        <v>0</v>
      </c>
      <c r="Q597" s="124">
        <f>IF(ISNUMBER('Klisz-Verbräuche'!R87), 'Klisz-Verbräuche'!R87*Emissionsfaktoren!Q87/1000, 0)</f>
        <v>0</v>
      </c>
      <c r="R597" s="124">
        <f>IF(ISNUMBER('Klisz-Verbräuche'!S87), 'Klisz-Verbräuche'!S87*Emissionsfaktoren!R87/1000, 0)</f>
        <v>0</v>
      </c>
      <c r="S597" s="124">
        <f>IF(ISNUMBER('Klisz-Verbräuche'!T87), 'Klisz-Verbräuche'!T87*Emissionsfaktoren!S87/1000, 0)</f>
        <v>0</v>
      </c>
      <c r="T597" s="124">
        <f>IF(ISNUMBER('Klisz-Verbräuche'!U87), 'Klisz-Verbräuche'!U87*Emissionsfaktoren!T87/1000, 0)</f>
        <v>0</v>
      </c>
      <c r="U597" s="124">
        <f>IF(ISNUMBER('Klisz-Verbräuche'!V87), 'Klisz-Verbräuche'!V87*Emissionsfaktoren!U87/1000, 0)</f>
        <v>0</v>
      </c>
      <c r="V597" s="124">
        <f>IF(ISNUMBER('Klisz-Verbräuche'!W87), 'Klisz-Verbräuche'!W87*Emissionsfaktoren!V87/1000, 0)</f>
        <v>0</v>
      </c>
      <c r="W597" s="124">
        <f>IF(ISNUMBER('Klisz-Verbräuche'!X87), 'Klisz-Verbräuche'!X87*Emissionsfaktoren!W87/1000, 0)</f>
        <v>0</v>
      </c>
      <c r="X597" s="124">
        <f>IF(ISNUMBER('Klisz-Verbräuche'!Y87), 'Klisz-Verbräuche'!Y87*Emissionsfaktoren!X87/1000, 0)</f>
        <v>0</v>
      </c>
    </row>
    <row r="598" spans="2:24" ht="16.5" hidden="1" x14ac:dyDescent="0.45">
      <c r="B598" s="15">
        <v>28</v>
      </c>
      <c r="C598" s="20" t="str">
        <f>'Refsz-Verbräuche'!C88</f>
        <v>Kältemittel (R404A)</v>
      </c>
      <c r="D598" t="s">
        <v>208</v>
      </c>
      <c r="E598" s="124">
        <f>IF(ISNUMBER('Klisz-Verbräuche'!F88), 'Klisz-Verbräuche'!F88*Emissionsfaktoren!E88/1000, 0)</f>
        <v>0</v>
      </c>
      <c r="F598" s="124">
        <f>IF(ISNUMBER('Klisz-Verbräuche'!G88), 'Klisz-Verbräuche'!G88*Emissionsfaktoren!F88/1000, 0)</f>
        <v>0</v>
      </c>
      <c r="G598" s="124">
        <f>IF(ISNUMBER('Klisz-Verbräuche'!H88), 'Klisz-Verbräuche'!H88*Emissionsfaktoren!G88/1000, 0)</f>
        <v>0</v>
      </c>
      <c r="H598" s="124">
        <f>IF(ISNUMBER('Klisz-Verbräuche'!I88), 'Klisz-Verbräuche'!I88*Emissionsfaktoren!H88/1000, 0)</f>
        <v>0</v>
      </c>
      <c r="I598" s="124">
        <f>IF(ISNUMBER('Klisz-Verbräuche'!J88), 'Klisz-Verbräuche'!J88*Emissionsfaktoren!I88/1000, 0)</f>
        <v>0</v>
      </c>
      <c r="J598" s="124">
        <f>IF(ISNUMBER('Klisz-Verbräuche'!K88), 'Klisz-Verbräuche'!K88*Emissionsfaktoren!J88/1000, 0)</f>
        <v>0</v>
      </c>
      <c r="K598" s="124">
        <f>IF(ISNUMBER('Klisz-Verbräuche'!L88), 'Klisz-Verbräuche'!L88*Emissionsfaktoren!K88/1000, 0)</f>
        <v>0</v>
      </c>
      <c r="L598" s="124">
        <f>IF(ISNUMBER('Klisz-Verbräuche'!M88), 'Klisz-Verbräuche'!M88*Emissionsfaktoren!L88/1000, 0)</f>
        <v>0</v>
      </c>
      <c r="M598" s="124">
        <f>IF(ISNUMBER('Klisz-Verbräuche'!N88), 'Klisz-Verbräuche'!N88*Emissionsfaktoren!M88/1000, 0)</f>
        <v>0</v>
      </c>
      <c r="N598" s="124">
        <f>IF(ISNUMBER('Klisz-Verbräuche'!O88), 'Klisz-Verbräuche'!O88*Emissionsfaktoren!N88/1000, 0)</f>
        <v>0</v>
      </c>
      <c r="O598" s="124">
        <f>IF(ISNUMBER('Klisz-Verbräuche'!P88), 'Klisz-Verbräuche'!P88*Emissionsfaktoren!O88/1000, 0)</f>
        <v>0</v>
      </c>
      <c r="P598" s="124">
        <f>IF(ISNUMBER('Klisz-Verbräuche'!Q88), 'Klisz-Verbräuche'!Q88*Emissionsfaktoren!P88/1000, 0)</f>
        <v>0</v>
      </c>
      <c r="Q598" s="124">
        <f>IF(ISNUMBER('Klisz-Verbräuche'!R88), 'Klisz-Verbräuche'!R88*Emissionsfaktoren!Q88/1000, 0)</f>
        <v>0</v>
      </c>
      <c r="R598" s="124">
        <f>IF(ISNUMBER('Klisz-Verbräuche'!S88), 'Klisz-Verbräuche'!S88*Emissionsfaktoren!R88/1000, 0)</f>
        <v>0</v>
      </c>
      <c r="S598" s="124">
        <f>IF(ISNUMBER('Klisz-Verbräuche'!T88), 'Klisz-Verbräuche'!T88*Emissionsfaktoren!S88/1000, 0)</f>
        <v>0</v>
      </c>
      <c r="T598" s="124">
        <f>IF(ISNUMBER('Klisz-Verbräuche'!U88), 'Klisz-Verbräuche'!U88*Emissionsfaktoren!T88/1000, 0)</f>
        <v>0</v>
      </c>
      <c r="U598" s="124">
        <f>IF(ISNUMBER('Klisz-Verbräuche'!V88), 'Klisz-Verbräuche'!V88*Emissionsfaktoren!U88/1000, 0)</f>
        <v>0</v>
      </c>
      <c r="V598" s="124">
        <f>IF(ISNUMBER('Klisz-Verbräuche'!W88), 'Klisz-Verbräuche'!W88*Emissionsfaktoren!V88/1000, 0)</f>
        <v>0</v>
      </c>
      <c r="W598" s="124">
        <f>IF(ISNUMBER('Klisz-Verbräuche'!X88), 'Klisz-Verbräuche'!X88*Emissionsfaktoren!W88/1000, 0)</f>
        <v>0</v>
      </c>
      <c r="X598" s="124">
        <f>IF(ISNUMBER('Klisz-Verbräuche'!Y88), 'Klisz-Verbräuche'!Y88*Emissionsfaktoren!X88/1000, 0)</f>
        <v>0</v>
      </c>
    </row>
    <row r="599" spans="2:24" ht="16.5" hidden="1" x14ac:dyDescent="0.45">
      <c r="B599" s="15">
        <v>29</v>
      </c>
      <c r="C599" s="20" t="str">
        <f>'Refsz-Verbräuche'!C89</f>
        <v>Kältemittel (R410A)</v>
      </c>
      <c r="D599" t="s">
        <v>208</v>
      </c>
      <c r="E599" s="124">
        <f>IF(ISNUMBER('Klisz-Verbräuche'!F89), 'Klisz-Verbräuche'!F89*Emissionsfaktoren!E89/1000, 0)</f>
        <v>0</v>
      </c>
      <c r="F599" s="124">
        <f>IF(ISNUMBER('Klisz-Verbräuche'!G89), 'Klisz-Verbräuche'!G89*Emissionsfaktoren!F89/1000, 0)</f>
        <v>0</v>
      </c>
      <c r="G599" s="124">
        <f>IF(ISNUMBER('Klisz-Verbräuche'!H89), 'Klisz-Verbräuche'!H89*Emissionsfaktoren!G89/1000, 0)</f>
        <v>0</v>
      </c>
      <c r="H599" s="124">
        <f>IF(ISNUMBER('Klisz-Verbräuche'!I89), 'Klisz-Verbräuche'!I89*Emissionsfaktoren!H89/1000, 0)</f>
        <v>0</v>
      </c>
      <c r="I599" s="124">
        <f>IF(ISNUMBER('Klisz-Verbräuche'!J89), 'Klisz-Verbräuche'!J89*Emissionsfaktoren!I89/1000, 0)</f>
        <v>0</v>
      </c>
      <c r="J599" s="124">
        <f>IF(ISNUMBER('Klisz-Verbräuche'!K89), 'Klisz-Verbräuche'!K89*Emissionsfaktoren!J89/1000, 0)</f>
        <v>0</v>
      </c>
      <c r="K599" s="124">
        <f>IF(ISNUMBER('Klisz-Verbräuche'!L89), 'Klisz-Verbräuche'!L89*Emissionsfaktoren!K89/1000, 0)</f>
        <v>0</v>
      </c>
      <c r="L599" s="124">
        <f>IF(ISNUMBER('Klisz-Verbräuche'!M89), 'Klisz-Verbräuche'!M89*Emissionsfaktoren!L89/1000, 0)</f>
        <v>0</v>
      </c>
      <c r="M599" s="124">
        <f>IF(ISNUMBER('Klisz-Verbräuche'!N89), 'Klisz-Verbräuche'!N89*Emissionsfaktoren!M89/1000, 0)</f>
        <v>0</v>
      </c>
      <c r="N599" s="124">
        <f>IF(ISNUMBER('Klisz-Verbräuche'!O89), 'Klisz-Verbräuche'!O89*Emissionsfaktoren!N89/1000, 0)</f>
        <v>0</v>
      </c>
      <c r="O599" s="124">
        <f>IF(ISNUMBER('Klisz-Verbräuche'!P89), 'Klisz-Verbräuche'!P89*Emissionsfaktoren!O89/1000, 0)</f>
        <v>0</v>
      </c>
      <c r="P599" s="124">
        <f>IF(ISNUMBER('Klisz-Verbräuche'!Q89), 'Klisz-Verbräuche'!Q89*Emissionsfaktoren!P89/1000, 0)</f>
        <v>0</v>
      </c>
      <c r="Q599" s="124">
        <f>IF(ISNUMBER('Klisz-Verbräuche'!R89), 'Klisz-Verbräuche'!R89*Emissionsfaktoren!Q89/1000, 0)</f>
        <v>0</v>
      </c>
      <c r="R599" s="124">
        <f>IF(ISNUMBER('Klisz-Verbräuche'!S89), 'Klisz-Verbräuche'!S89*Emissionsfaktoren!R89/1000, 0)</f>
        <v>0</v>
      </c>
      <c r="S599" s="124">
        <f>IF(ISNUMBER('Klisz-Verbräuche'!T89), 'Klisz-Verbräuche'!T89*Emissionsfaktoren!S89/1000, 0)</f>
        <v>0</v>
      </c>
      <c r="T599" s="124">
        <f>IF(ISNUMBER('Klisz-Verbräuche'!U89), 'Klisz-Verbräuche'!U89*Emissionsfaktoren!T89/1000, 0)</f>
        <v>0</v>
      </c>
      <c r="U599" s="124">
        <f>IF(ISNUMBER('Klisz-Verbräuche'!V89), 'Klisz-Verbräuche'!V89*Emissionsfaktoren!U89/1000, 0)</f>
        <v>0</v>
      </c>
      <c r="V599" s="124">
        <f>IF(ISNUMBER('Klisz-Verbräuche'!W89), 'Klisz-Verbräuche'!W89*Emissionsfaktoren!V89/1000, 0)</f>
        <v>0</v>
      </c>
      <c r="W599" s="124">
        <f>IF(ISNUMBER('Klisz-Verbräuche'!X89), 'Klisz-Verbräuche'!X89*Emissionsfaktoren!W89/1000, 0)</f>
        <v>0</v>
      </c>
      <c r="X599" s="124">
        <f>IF(ISNUMBER('Klisz-Verbräuche'!Y89), 'Klisz-Verbräuche'!Y89*Emissionsfaktoren!X89/1000, 0)</f>
        <v>0</v>
      </c>
    </row>
    <row r="600" spans="2:24" ht="16.5" hidden="1" x14ac:dyDescent="0.45">
      <c r="B600" s="15">
        <v>30</v>
      </c>
      <c r="C600" s="20">
        <f>'Refsz-Verbräuche'!C90</f>
        <v>0</v>
      </c>
      <c r="D600" t="s">
        <v>208</v>
      </c>
      <c r="E600" s="124">
        <f>IF(ISNUMBER('Klisz-Verbräuche'!F90), 'Klisz-Verbräuche'!F90*Emissionsfaktoren!E90/1000, 0)</f>
        <v>0</v>
      </c>
      <c r="F600" s="124">
        <f>IF(ISNUMBER('Klisz-Verbräuche'!G90), 'Klisz-Verbräuche'!G90*Emissionsfaktoren!F90/1000, 0)</f>
        <v>0</v>
      </c>
      <c r="G600" s="124">
        <f>IF(ISNUMBER('Klisz-Verbräuche'!H90), 'Klisz-Verbräuche'!H90*Emissionsfaktoren!G90/1000, 0)</f>
        <v>0</v>
      </c>
      <c r="H600" s="124">
        <f>IF(ISNUMBER('Klisz-Verbräuche'!I90), 'Klisz-Verbräuche'!I90*Emissionsfaktoren!H90/1000, 0)</f>
        <v>0</v>
      </c>
      <c r="I600" s="124">
        <f>IF(ISNUMBER('Klisz-Verbräuche'!J90), 'Klisz-Verbräuche'!J90*Emissionsfaktoren!I90/1000, 0)</f>
        <v>0</v>
      </c>
      <c r="J600" s="124">
        <f>IF(ISNUMBER('Klisz-Verbräuche'!K90), 'Klisz-Verbräuche'!K90*Emissionsfaktoren!J90/1000, 0)</f>
        <v>0</v>
      </c>
      <c r="K600" s="124">
        <f>IF(ISNUMBER('Klisz-Verbräuche'!L90), 'Klisz-Verbräuche'!L90*Emissionsfaktoren!K90/1000, 0)</f>
        <v>0</v>
      </c>
      <c r="L600" s="124">
        <f>IF(ISNUMBER('Klisz-Verbräuche'!M90), 'Klisz-Verbräuche'!M90*Emissionsfaktoren!L90/1000, 0)</f>
        <v>0</v>
      </c>
      <c r="M600" s="124">
        <f>IF(ISNUMBER('Klisz-Verbräuche'!N90), 'Klisz-Verbräuche'!N90*Emissionsfaktoren!M90/1000, 0)</f>
        <v>0</v>
      </c>
      <c r="N600" s="124">
        <f>IF(ISNUMBER('Klisz-Verbräuche'!O90), 'Klisz-Verbräuche'!O90*Emissionsfaktoren!N90/1000, 0)</f>
        <v>0</v>
      </c>
      <c r="O600" s="124">
        <f>IF(ISNUMBER('Klisz-Verbräuche'!P90), 'Klisz-Verbräuche'!P90*Emissionsfaktoren!O90/1000, 0)</f>
        <v>0</v>
      </c>
      <c r="P600" s="124">
        <f>IF(ISNUMBER('Klisz-Verbräuche'!Q90), 'Klisz-Verbräuche'!Q90*Emissionsfaktoren!P90/1000, 0)</f>
        <v>0</v>
      </c>
      <c r="Q600" s="124">
        <f>IF(ISNUMBER('Klisz-Verbräuche'!R90), 'Klisz-Verbräuche'!R90*Emissionsfaktoren!Q90/1000, 0)</f>
        <v>0</v>
      </c>
      <c r="R600" s="124">
        <f>IF(ISNUMBER('Klisz-Verbräuche'!S90), 'Klisz-Verbräuche'!S90*Emissionsfaktoren!R90/1000, 0)</f>
        <v>0</v>
      </c>
      <c r="S600" s="124">
        <f>IF(ISNUMBER('Klisz-Verbräuche'!T90), 'Klisz-Verbräuche'!T90*Emissionsfaktoren!S90/1000, 0)</f>
        <v>0</v>
      </c>
      <c r="T600" s="124">
        <f>IF(ISNUMBER('Klisz-Verbräuche'!U90), 'Klisz-Verbräuche'!U90*Emissionsfaktoren!T90/1000, 0)</f>
        <v>0</v>
      </c>
      <c r="U600" s="124">
        <f>IF(ISNUMBER('Klisz-Verbräuche'!V90), 'Klisz-Verbräuche'!V90*Emissionsfaktoren!U90/1000, 0)</f>
        <v>0</v>
      </c>
      <c r="V600" s="124">
        <f>IF(ISNUMBER('Klisz-Verbräuche'!W90), 'Klisz-Verbräuche'!W90*Emissionsfaktoren!V90/1000, 0)</f>
        <v>0</v>
      </c>
      <c r="W600" s="124">
        <f>IF(ISNUMBER('Klisz-Verbräuche'!X90), 'Klisz-Verbräuche'!X90*Emissionsfaktoren!W90/1000, 0)</f>
        <v>0</v>
      </c>
      <c r="X600" s="124">
        <f>IF(ISNUMBER('Klisz-Verbräuche'!Y90), 'Klisz-Verbräuche'!Y90*Emissionsfaktoren!X90/1000, 0)</f>
        <v>0</v>
      </c>
    </row>
    <row r="601" spans="2:24" ht="16.5" hidden="1" x14ac:dyDescent="0.45">
      <c r="B601" s="15">
        <v>31</v>
      </c>
      <c r="C601" s="20" t="str">
        <f>'Refsz-Verbräuche'!C91</f>
        <v>Fuhrpark (Diesel)</v>
      </c>
      <c r="D601" t="s">
        <v>208</v>
      </c>
      <c r="E601" s="124">
        <f>IF(ISNUMBER('Klisz-Verbräuche'!F91), 'Klisz-Verbräuche'!F91*Emissionsfaktoren!E91/1000, 0)</f>
        <v>0</v>
      </c>
      <c r="F601" s="124">
        <f>IF(ISNUMBER('Klisz-Verbräuche'!G91), 'Klisz-Verbräuche'!G91*Emissionsfaktoren!F91/1000, 0)</f>
        <v>0</v>
      </c>
      <c r="G601" s="124">
        <f>IF(ISNUMBER('Klisz-Verbräuche'!H91), 'Klisz-Verbräuche'!H91*Emissionsfaktoren!G91/1000, 0)</f>
        <v>0</v>
      </c>
      <c r="H601" s="124">
        <f>IF(ISNUMBER('Klisz-Verbräuche'!I91), 'Klisz-Verbräuche'!I91*Emissionsfaktoren!H91/1000, 0)</f>
        <v>0</v>
      </c>
      <c r="I601" s="124">
        <f>IF(ISNUMBER('Klisz-Verbräuche'!J91), 'Klisz-Verbräuche'!J91*Emissionsfaktoren!I91/1000, 0)</f>
        <v>0</v>
      </c>
      <c r="J601" s="124">
        <f>IF(ISNUMBER('Klisz-Verbräuche'!K91), 'Klisz-Verbräuche'!K91*Emissionsfaktoren!J91/1000, 0)</f>
        <v>0</v>
      </c>
      <c r="K601" s="124">
        <f>IF(ISNUMBER('Klisz-Verbräuche'!L91), 'Klisz-Verbräuche'!L91*Emissionsfaktoren!K91/1000, 0)</f>
        <v>0</v>
      </c>
      <c r="L601" s="124">
        <f>IF(ISNUMBER('Klisz-Verbräuche'!M91), 'Klisz-Verbräuche'!M91*Emissionsfaktoren!L91/1000, 0)</f>
        <v>0</v>
      </c>
      <c r="M601" s="124">
        <f>IF(ISNUMBER('Klisz-Verbräuche'!N91), 'Klisz-Verbräuche'!N91*Emissionsfaktoren!M91/1000, 0)</f>
        <v>0</v>
      </c>
      <c r="N601" s="124">
        <f>IF(ISNUMBER('Klisz-Verbräuche'!O91), 'Klisz-Verbräuche'!O91*Emissionsfaktoren!N91/1000, 0)</f>
        <v>0</v>
      </c>
      <c r="O601" s="124">
        <f>IF(ISNUMBER('Klisz-Verbräuche'!P91), 'Klisz-Verbräuche'!P91*Emissionsfaktoren!O91/1000, 0)</f>
        <v>0</v>
      </c>
      <c r="P601" s="124">
        <f>IF(ISNUMBER('Klisz-Verbräuche'!Q91), 'Klisz-Verbräuche'!Q91*Emissionsfaktoren!P91/1000, 0)</f>
        <v>0</v>
      </c>
      <c r="Q601" s="124">
        <f>IF(ISNUMBER('Klisz-Verbräuche'!R91), 'Klisz-Verbräuche'!R91*Emissionsfaktoren!Q91/1000, 0)</f>
        <v>0</v>
      </c>
      <c r="R601" s="124">
        <f>IF(ISNUMBER('Klisz-Verbräuche'!S91), 'Klisz-Verbräuche'!S91*Emissionsfaktoren!R91/1000, 0)</f>
        <v>0</v>
      </c>
      <c r="S601" s="124">
        <f>IF(ISNUMBER('Klisz-Verbräuche'!T91), 'Klisz-Verbräuche'!T91*Emissionsfaktoren!S91/1000, 0)</f>
        <v>0</v>
      </c>
      <c r="T601" s="124">
        <f>IF(ISNUMBER('Klisz-Verbräuche'!U91), 'Klisz-Verbräuche'!U91*Emissionsfaktoren!T91/1000, 0)</f>
        <v>0</v>
      </c>
      <c r="U601" s="124">
        <f>IF(ISNUMBER('Klisz-Verbräuche'!V91), 'Klisz-Verbräuche'!V91*Emissionsfaktoren!U91/1000, 0)</f>
        <v>0</v>
      </c>
      <c r="V601" s="124">
        <f>IF(ISNUMBER('Klisz-Verbräuche'!W91), 'Klisz-Verbräuche'!W91*Emissionsfaktoren!V91/1000, 0)</f>
        <v>0</v>
      </c>
      <c r="W601" s="124">
        <f>IF(ISNUMBER('Klisz-Verbräuche'!X91), 'Klisz-Verbräuche'!X91*Emissionsfaktoren!W91/1000, 0)</f>
        <v>0</v>
      </c>
      <c r="X601" s="124">
        <f>IF(ISNUMBER('Klisz-Verbräuche'!Y91), 'Klisz-Verbräuche'!Y91*Emissionsfaktoren!X91/1000, 0)</f>
        <v>0</v>
      </c>
    </row>
    <row r="602" spans="2:24" ht="16.5" hidden="1" x14ac:dyDescent="0.45">
      <c r="B602" s="15">
        <v>32</v>
      </c>
      <c r="C602" s="20" t="str">
        <f>'Refsz-Verbräuche'!C92</f>
        <v>Fuhrpark (Benzin)</v>
      </c>
      <c r="D602" t="s">
        <v>208</v>
      </c>
      <c r="E602" s="124">
        <f>IF(ISNUMBER('Klisz-Verbräuche'!F92), 'Klisz-Verbräuche'!F92*Emissionsfaktoren!E92/1000, 0)</f>
        <v>0</v>
      </c>
      <c r="F602" s="124">
        <f>IF(ISNUMBER('Klisz-Verbräuche'!G92), 'Klisz-Verbräuche'!G92*Emissionsfaktoren!F92/1000, 0)</f>
        <v>0</v>
      </c>
      <c r="G602" s="124">
        <f>IF(ISNUMBER('Klisz-Verbräuche'!H92), 'Klisz-Verbräuche'!H92*Emissionsfaktoren!G92/1000, 0)</f>
        <v>0</v>
      </c>
      <c r="H602" s="124">
        <f>IF(ISNUMBER('Klisz-Verbräuche'!I92), 'Klisz-Verbräuche'!I92*Emissionsfaktoren!H92/1000, 0)</f>
        <v>0</v>
      </c>
      <c r="I602" s="124">
        <f>IF(ISNUMBER('Klisz-Verbräuche'!J92), 'Klisz-Verbräuche'!J92*Emissionsfaktoren!I92/1000, 0)</f>
        <v>0</v>
      </c>
      <c r="J602" s="124">
        <f>IF(ISNUMBER('Klisz-Verbräuche'!K92), 'Klisz-Verbräuche'!K92*Emissionsfaktoren!J92/1000, 0)</f>
        <v>0</v>
      </c>
      <c r="K602" s="124">
        <f>IF(ISNUMBER('Klisz-Verbräuche'!L92), 'Klisz-Verbräuche'!L92*Emissionsfaktoren!K92/1000, 0)</f>
        <v>0</v>
      </c>
      <c r="L602" s="124">
        <f>IF(ISNUMBER('Klisz-Verbräuche'!M92), 'Klisz-Verbräuche'!M92*Emissionsfaktoren!L92/1000, 0)</f>
        <v>0</v>
      </c>
      <c r="M602" s="124">
        <f>IF(ISNUMBER('Klisz-Verbräuche'!N92), 'Klisz-Verbräuche'!N92*Emissionsfaktoren!M92/1000, 0)</f>
        <v>0</v>
      </c>
      <c r="N602" s="124">
        <f>IF(ISNUMBER('Klisz-Verbräuche'!O92), 'Klisz-Verbräuche'!O92*Emissionsfaktoren!N92/1000, 0)</f>
        <v>0</v>
      </c>
      <c r="O602" s="124">
        <f>IF(ISNUMBER('Klisz-Verbräuche'!P92), 'Klisz-Verbräuche'!P92*Emissionsfaktoren!O92/1000, 0)</f>
        <v>0</v>
      </c>
      <c r="P602" s="124">
        <f>IF(ISNUMBER('Klisz-Verbräuche'!Q92), 'Klisz-Verbräuche'!Q92*Emissionsfaktoren!P92/1000, 0)</f>
        <v>0</v>
      </c>
      <c r="Q602" s="124">
        <f>IF(ISNUMBER('Klisz-Verbräuche'!R92), 'Klisz-Verbräuche'!R92*Emissionsfaktoren!Q92/1000, 0)</f>
        <v>0</v>
      </c>
      <c r="R602" s="124">
        <f>IF(ISNUMBER('Klisz-Verbräuche'!S92), 'Klisz-Verbräuche'!S92*Emissionsfaktoren!R92/1000, 0)</f>
        <v>0</v>
      </c>
      <c r="S602" s="124">
        <f>IF(ISNUMBER('Klisz-Verbräuche'!T92), 'Klisz-Verbräuche'!T92*Emissionsfaktoren!S92/1000, 0)</f>
        <v>0</v>
      </c>
      <c r="T602" s="124">
        <f>IF(ISNUMBER('Klisz-Verbräuche'!U92), 'Klisz-Verbräuche'!U92*Emissionsfaktoren!T92/1000, 0)</f>
        <v>0</v>
      </c>
      <c r="U602" s="124">
        <f>IF(ISNUMBER('Klisz-Verbräuche'!V92), 'Klisz-Verbräuche'!V92*Emissionsfaktoren!U92/1000, 0)</f>
        <v>0</v>
      </c>
      <c r="V602" s="124">
        <f>IF(ISNUMBER('Klisz-Verbräuche'!W92), 'Klisz-Verbräuche'!W92*Emissionsfaktoren!V92/1000, 0)</f>
        <v>0</v>
      </c>
      <c r="W602" s="124">
        <f>IF(ISNUMBER('Klisz-Verbräuche'!X92), 'Klisz-Verbräuche'!X92*Emissionsfaktoren!W92/1000, 0)</f>
        <v>0</v>
      </c>
      <c r="X602" s="124">
        <f>IF(ISNUMBER('Klisz-Verbräuche'!Y92), 'Klisz-Verbräuche'!Y92*Emissionsfaktoren!X92/1000, 0)</f>
        <v>0</v>
      </c>
    </row>
    <row r="603" spans="2:24" ht="16.5" hidden="1" x14ac:dyDescent="0.45">
      <c r="B603" s="15">
        <v>33</v>
      </c>
      <c r="C603" s="20" t="str">
        <f>'Refsz-Verbräuche'!C93</f>
        <v>Fuhrpark (E-Auto/ BEV)</v>
      </c>
      <c r="D603" t="s">
        <v>208</v>
      </c>
      <c r="E603" s="124">
        <f>IF(ISNUMBER('Klisz-Verbräuche'!F93), 'Klisz-Verbräuche'!F93*Emissionsfaktoren!E93/1000, 0)</f>
        <v>0</v>
      </c>
      <c r="F603" s="124">
        <f>IF(ISNUMBER('Klisz-Verbräuche'!G93), 'Klisz-Verbräuche'!G93*Emissionsfaktoren!F93/1000, 0)</f>
        <v>0</v>
      </c>
      <c r="G603" s="124">
        <f>IF(ISNUMBER('Klisz-Verbräuche'!H93), 'Klisz-Verbräuche'!H93*Emissionsfaktoren!G93/1000, 0)</f>
        <v>0</v>
      </c>
      <c r="H603" s="124">
        <f>IF(ISNUMBER('Klisz-Verbräuche'!I93), 'Klisz-Verbräuche'!I93*Emissionsfaktoren!H93/1000, 0)</f>
        <v>0</v>
      </c>
      <c r="I603" s="124">
        <f>IF(ISNUMBER('Klisz-Verbräuche'!J93), 'Klisz-Verbräuche'!J93*Emissionsfaktoren!I93/1000, 0)</f>
        <v>0</v>
      </c>
      <c r="J603" s="124">
        <f>IF(ISNUMBER('Klisz-Verbräuche'!K93), 'Klisz-Verbräuche'!K93*Emissionsfaktoren!J93/1000, 0)</f>
        <v>0</v>
      </c>
      <c r="K603" s="124">
        <f>IF(ISNUMBER('Klisz-Verbräuche'!L93), 'Klisz-Verbräuche'!L93*Emissionsfaktoren!K93/1000, 0)</f>
        <v>0</v>
      </c>
      <c r="L603" s="124">
        <f>IF(ISNUMBER('Klisz-Verbräuche'!M93), 'Klisz-Verbräuche'!M93*Emissionsfaktoren!L93/1000, 0)</f>
        <v>0</v>
      </c>
      <c r="M603" s="124">
        <f>IF(ISNUMBER('Klisz-Verbräuche'!N93), 'Klisz-Verbräuche'!N93*Emissionsfaktoren!M93/1000, 0)</f>
        <v>0</v>
      </c>
      <c r="N603" s="124">
        <f>IF(ISNUMBER('Klisz-Verbräuche'!O93), 'Klisz-Verbräuche'!O93*Emissionsfaktoren!N93/1000, 0)</f>
        <v>0</v>
      </c>
      <c r="O603" s="124">
        <f>IF(ISNUMBER('Klisz-Verbräuche'!P93), 'Klisz-Verbräuche'!P93*Emissionsfaktoren!O93/1000, 0)</f>
        <v>0</v>
      </c>
      <c r="P603" s="124">
        <f>IF(ISNUMBER('Klisz-Verbräuche'!Q93), 'Klisz-Verbräuche'!Q93*Emissionsfaktoren!P93/1000, 0)</f>
        <v>0</v>
      </c>
      <c r="Q603" s="124">
        <f>IF(ISNUMBER('Klisz-Verbräuche'!R93), 'Klisz-Verbräuche'!R93*Emissionsfaktoren!Q93/1000, 0)</f>
        <v>0</v>
      </c>
      <c r="R603" s="124">
        <f>IF(ISNUMBER('Klisz-Verbräuche'!S93), 'Klisz-Verbräuche'!S93*Emissionsfaktoren!R93/1000, 0)</f>
        <v>0</v>
      </c>
      <c r="S603" s="124">
        <f>IF(ISNUMBER('Klisz-Verbräuche'!T93), 'Klisz-Verbräuche'!T93*Emissionsfaktoren!S93/1000, 0)</f>
        <v>0</v>
      </c>
      <c r="T603" s="124">
        <f>IF(ISNUMBER('Klisz-Verbräuche'!U93), 'Klisz-Verbräuche'!U93*Emissionsfaktoren!T93/1000, 0)</f>
        <v>0</v>
      </c>
      <c r="U603" s="124">
        <f>IF(ISNUMBER('Klisz-Verbräuche'!V93), 'Klisz-Verbräuche'!V93*Emissionsfaktoren!U93/1000, 0)</f>
        <v>0</v>
      </c>
      <c r="V603" s="124">
        <f>IF(ISNUMBER('Klisz-Verbräuche'!W93), 'Klisz-Verbräuche'!W93*Emissionsfaktoren!V93/1000, 0)</f>
        <v>0</v>
      </c>
      <c r="W603" s="124">
        <f>IF(ISNUMBER('Klisz-Verbräuche'!X93), 'Klisz-Verbräuche'!X93*Emissionsfaktoren!W93/1000, 0)</f>
        <v>0</v>
      </c>
      <c r="X603" s="124">
        <f>IF(ISNUMBER('Klisz-Verbräuche'!Y93), 'Klisz-Verbräuche'!Y93*Emissionsfaktoren!X93/1000, 0)</f>
        <v>0</v>
      </c>
    </row>
    <row r="604" spans="2:24" ht="16.5" hidden="1" x14ac:dyDescent="0.45">
      <c r="B604" s="15">
        <v>34</v>
      </c>
      <c r="C604" s="20" t="str">
        <f>'Refsz-Verbräuche'!C94</f>
        <v>Fuhrpark (Wasserstoff/ FCEV)</v>
      </c>
      <c r="D604" t="s">
        <v>208</v>
      </c>
      <c r="E604" s="124">
        <f>IF(ISNUMBER('Klisz-Verbräuche'!F94), 'Klisz-Verbräuche'!F94*Emissionsfaktoren!E94/1000, 0)</f>
        <v>0</v>
      </c>
      <c r="F604" s="124">
        <f>IF(ISNUMBER('Klisz-Verbräuche'!G94), 'Klisz-Verbräuche'!G94*Emissionsfaktoren!F94/1000, 0)</f>
        <v>0</v>
      </c>
      <c r="G604" s="124">
        <f>IF(ISNUMBER('Klisz-Verbräuche'!H94), 'Klisz-Verbräuche'!H94*Emissionsfaktoren!G94/1000, 0)</f>
        <v>0</v>
      </c>
      <c r="H604" s="124">
        <f>IF(ISNUMBER('Klisz-Verbräuche'!I94), 'Klisz-Verbräuche'!I94*Emissionsfaktoren!H94/1000, 0)</f>
        <v>0</v>
      </c>
      <c r="I604" s="124">
        <f>IF(ISNUMBER('Klisz-Verbräuche'!J94), 'Klisz-Verbräuche'!J94*Emissionsfaktoren!I94/1000, 0)</f>
        <v>0</v>
      </c>
      <c r="J604" s="124">
        <f>IF(ISNUMBER('Klisz-Verbräuche'!K94), 'Klisz-Verbräuche'!K94*Emissionsfaktoren!J94/1000, 0)</f>
        <v>0</v>
      </c>
      <c r="K604" s="124">
        <f>IF(ISNUMBER('Klisz-Verbräuche'!L94), 'Klisz-Verbräuche'!L94*Emissionsfaktoren!K94/1000, 0)</f>
        <v>0</v>
      </c>
      <c r="L604" s="124">
        <f>IF(ISNUMBER('Klisz-Verbräuche'!M94), 'Klisz-Verbräuche'!M94*Emissionsfaktoren!L94/1000, 0)</f>
        <v>0</v>
      </c>
      <c r="M604" s="124">
        <f>IF(ISNUMBER('Klisz-Verbräuche'!N94), 'Klisz-Verbräuche'!N94*Emissionsfaktoren!M94/1000, 0)</f>
        <v>0</v>
      </c>
      <c r="N604" s="124">
        <f>IF(ISNUMBER('Klisz-Verbräuche'!O94), 'Klisz-Verbräuche'!O94*Emissionsfaktoren!N94/1000, 0)</f>
        <v>0</v>
      </c>
      <c r="O604" s="124">
        <f>IF(ISNUMBER('Klisz-Verbräuche'!P94), 'Klisz-Verbräuche'!P94*Emissionsfaktoren!O94/1000, 0)</f>
        <v>0</v>
      </c>
      <c r="P604" s="124">
        <f>IF(ISNUMBER('Klisz-Verbräuche'!Q94), 'Klisz-Verbräuche'!Q94*Emissionsfaktoren!P94/1000, 0)</f>
        <v>0</v>
      </c>
      <c r="Q604" s="124">
        <f>IF(ISNUMBER('Klisz-Verbräuche'!R94), 'Klisz-Verbräuche'!R94*Emissionsfaktoren!Q94/1000, 0)</f>
        <v>0</v>
      </c>
      <c r="R604" s="124">
        <f>IF(ISNUMBER('Klisz-Verbräuche'!S94), 'Klisz-Verbräuche'!S94*Emissionsfaktoren!R94/1000, 0)</f>
        <v>0</v>
      </c>
      <c r="S604" s="124">
        <f>IF(ISNUMBER('Klisz-Verbräuche'!T94), 'Klisz-Verbräuche'!T94*Emissionsfaktoren!S94/1000, 0)</f>
        <v>0</v>
      </c>
      <c r="T604" s="124">
        <f>IF(ISNUMBER('Klisz-Verbräuche'!U94), 'Klisz-Verbräuche'!U94*Emissionsfaktoren!T94/1000, 0)</f>
        <v>0</v>
      </c>
      <c r="U604" s="124">
        <f>IF(ISNUMBER('Klisz-Verbräuche'!V94), 'Klisz-Verbräuche'!V94*Emissionsfaktoren!U94/1000, 0)</f>
        <v>0</v>
      </c>
      <c r="V604" s="124">
        <f>IF(ISNUMBER('Klisz-Verbräuche'!W94), 'Klisz-Verbräuche'!W94*Emissionsfaktoren!V94/1000, 0)</f>
        <v>0</v>
      </c>
      <c r="W604" s="124">
        <f>IF(ISNUMBER('Klisz-Verbräuche'!X94), 'Klisz-Verbräuche'!X94*Emissionsfaktoren!W94/1000, 0)</f>
        <v>0</v>
      </c>
      <c r="X604" s="124">
        <f>IF(ISNUMBER('Klisz-Verbräuche'!Y94), 'Klisz-Verbräuche'!Y94*Emissionsfaktoren!X94/1000, 0)</f>
        <v>0</v>
      </c>
    </row>
    <row r="605" spans="2:24" ht="16.5" hidden="1" x14ac:dyDescent="0.45">
      <c r="B605" s="15">
        <v>35</v>
      </c>
      <c r="C605" s="20" t="str">
        <f>'Refsz-Verbräuche'!C95</f>
        <v>Fuhrpark (CNG)</v>
      </c>
      <c r="D605" t="s">
        <v>208</v>
      </c>
      <c r="E605" s="124">
        <f>IF(ISNUMBER('Klisz-Verbräuche'!F95), 'Klisz-Verbräuche'!F95*Emissionsfaktoren!E95/1000, 0)</f>
        <v>0</v>
      </c>
      <c r="F605" s="124">
        <f>IF(ISNUMBER('Klisz-Verbräuche'!G95), 'Klisz-Verbräuche'!G95*Emissionsfaktoren!F95/1000, 0)</f>
        <v>0</v>
      </c>
      <c r="G605" s="124">
        <f>IF(ISNUMBER('Klisz-Verbräuche'!H95), 'Klisz-Verbräuche'!H95*Emissionsfaktoren!G95/1000, 0)</f>
        <v>0</v>
      </c>
      <c r="H605" s="124">
        <f>IF(ISNUMBER('Klisz-Verbräuche'!I95), 'Klisz-Verbräuche'!I95*Emissionsfaktoren!H95/1000, 0)</f>
        <v>0</v>
      </c>
      <c r="I605" s="124">
        <f>IF(ISNUMBER('Klisz-Verbräuche'!J95), 'Klisz-Verbräuche'!J95*Emissionsfaktoren!I95/1000, 0)</f>
        <v>0</v>
      </c>
      <c r="J605" s="124">
        <f>IF(ISNUMBER('Klisz-Verbräuche'!K95), 'Klisz-Verbräuche'!K95*Emissionsfaktoren!J95/1000, 0)</f>
        <v>0</v>
      </c>
      <c r="K605" s="124">
        <f>IF(ISNUMBER('Klisz-Verbräuche'!L95), 'Klisz-Verbräuche'!L95*Emissionsfaktoren!K95/1000, 0)</f>
        <v>0</v>
      </c>
      <c r="L605" s="124">
        <f>IF(ISNUMBER('Klisz-Verbräuche'!M95), 'Klisz-Verbräuche'!M95*Emissionsfaktoren!L95/1000, 0)</f>
        <v>0</v>
      </c>
      <c r="M605" s="124">
        <f>IF(ISNUMBER('Klisz-Verbräuche'!N95), 'Klisz-Verbräuche'!N95*Emissionsfaktoren!M95/1000, 0)</f>
        <v>0</v>
      </c>
      <c r="N605" s="124">
        <f>IF(ISNUMBER('Klisz-Verbräuche'!O95), 'Klisz-Verbräuche'!O95*Emissionsfaktoren!N95/1000, 0)</f>
        <v>0</v>
      </c>
      <c r="O605" s="124">
        <f>IF(ISNUMBER('Klisz-Verbräuche'!P95), 'Klisz-Verbräuche'!P95*Emissionsfaktoren!O95/1000, 0)</f>
        <v>0</v>
      </c>
      <c r="P605" s="124">
        <f>IF(ISNUMBER('Klisz-Verbräuche'!Q95), 'Klisz-Verbräuche'!Q95*Emissionsfaktoren!P95/1000, 0)</f>
        <v>0</v>
      </c>
      <c r="Q605" s="124">
        <f>IF(ISNUMBER('Klisz-Verbräuche'!R95), 'Klisz-Verbräuche'!R95*Emissionsfaktoren!Q95/1000, 0)</f>
        <v>0</v>
      </c>
      <c r="R605" s="124">
        <f>IF(ISNUMBER('Klisz-Verbräuche'!S95), 'Klisz-Verbräuche'!S95*Emissionsfaktoren!R95/1000, 0)</f>
        <v>0</v>
      </c>
      <c r="S605" s="124">
        <f>IF(ISNUMBER('Klisz-Verbräuche'!T95), 'Klisz-Verbräuche'!T95*Emissionsfaktoren!S95/1000, 0)</f>
        <v>0</v>
      </c>
      <c r="T605" s="124">
        <f>IF(ISNUMBER('Klisz-Verbräuche'!U95), 'Klisz-Verbräuche'!U95*Emissionsfaktoren!T95/1000, 0)</f>
        <v>0</v>
      </c>
      <c r="U605" s="124">
        <f>IF(ISNUMBER('Klisz-Verbräuche'!V95), 'Klisz-Verbräuche'!V95*Emissionsfaktoren!U95/1000, 0)</f>
        <v>0</v>
      </c>
      <c r="V605" s="124">
        <f>IF(ISNUMBER('Klisz-Verbräuche'!W95), 'Klisz-Verbräuche'!W95*Emissionsfaktoren!V95/1000, 0)</f>
        <v>0</v>
      </c>
      <c r="W605" s="124">
        <f>IF(ISNUMBER('Klisz-Verbräuche'!X95), 'Klisz-Verbräuche'!X95*Emissionsfaktoren!W95/1000, 0)</f>
        <v>0</v>
      </c>
      <c r="X605" s="124">
        <f>IF(ISNUMBER('Klisz-Verbräuche'!Y95), 'Klisz-Verbräuche'!Y95*Emissionsfaktoren!X95/1000, 0)</f>
        <v>0</v>
      </c>
    </row>
    <row r="606" spans="2:24" ht="16.5" hidden="1" x14ac:dyDescent="0.45">
      <c r="B606" s="15">
        <v>36</v>
      </c>
      <c r="C606" s="20" t="str">
        <f>'Refsz-Verbräuche'!C96</f>
        <v>Fuhrpark (Plug-In-Hybrid, PHEV)</v>
      </c>
      <c r="D606" t="s">
        <v>208</v>
      </c>
      <c r="E606" s="124">
        <f>IF(ISNUMBER('Klisz-Verbräuche'!F96), 'Klisz-Verbräuche'!F96*Emissionsfaktoren!E96/1000, 0)</f>
        <v>0</v>
      </c>
      <c r="F606" s="124">
        <f>IF(ISNUMBER('Klisz-Verbräuche'!G96), 'Klisz-Verbräuche'!G96*Emissionsfaktoren!F96/1000, 0)</f>
        <v>0</v>
      </c>
      <c r="G606" s="124">
        <f>IF(ISNUMBER('Klisz-Verbräuche'!H96), 'Klisz-Verbräuche'!H96*Emissionsfaktoren!G96/1000, 0)</f>
        <v>0</v>
      </c>
      <c r="H606" s="124">
        <f>IF(ISNUMBER('Klisz-Verbräuche'!I96), 'Klisz-Verbräuche'!I96*Emissionsfaktoren!H96/1000, 0)</f>
        <v>0</v>
      </c>
      <c r="I606" s="124">
        <f>IF(ISNUMBER('Klisz-Verbräuche'!J96), 'Klisz-Verbräuche'!J96*Emissionsfaktoren!I96/1000, 0)</f>
        <v>0</v>
      </c>
      <c r="J606" s="124">
        <f>IF(ISNUMBER('Klisz-Verbräuche'!K96), 'Klisz-Verbräuche'!K96*Emissionsfaktoren!J96/1000, 0)</f>
        <v>0</v>
      </c>
      <c r="K606" s="124">
        <f>IF(ISNUMBER('Klisz-Verbräuche'!L96), 'Klisz-Verbräuche'!L96*Emissionsfaktoren!K96/1000, 0)</f>
        <v>0</v>
      </c>
      <c r="L606" s="124">
        <f>IF(ISNUMBER('Klisz-Verbräuche'!M96), 'Klisz-Verbräuche'!M96*Emissionsfaktoren!L96/1000, 0)</f>
        <v>0</v>
      </c>
      <c r="M606" s="124">
        <f>IF(ISNUMBER('Klisz-Verbräuche'!N96), 'Klisz-Verbräuche'!N96*Emissionsfaktoren!M96/1000, 0)</f>
        <v>0</v>
      </c>
      <c r="N606" s="124">
        <f>IF(ISNUMBER('Klisz-Verbräuche'!O96), 'Klisz-Verbräuche'!O96*Emissionsfaktoren!N96/1000, 0)</f>
        <v>0</v>
      </c>
      <c r="O606" s="124">
        <f>IF(ISNUMBER('Klisz-Verbräuche'!P96), 'Klisz-Verbräuche'!P96*Emissionsfaktoren!O96/1000, 0)</f>
        <v>0</v>
      </c>
      <c r="P606" s="124">
        <f>IF(ISNUMBER('Klisz-Verbräuche'!Q96), 'Klisz-Verbräuche'!Q96*Emissionsfaktoren!P96/1000, 0)</f>
        <v>0</v>
      </c>
      <c r="Q606" s="124">
        <f>IF(ISNUMBER('Klisz-Verbräuche'!R96), 'Klisz-Verbräuche'!R96*Emissionsfaktoren!Q96/1000, 0)</f>
        <v>0</v>
      </c>
      <c r="R606" s="124">
        <f>IF(ISNUMBER('Klisz-Verbräuche'!S96), 'Klisz-Verbräuche'!S96*Emissionsfaktoren!R96/1000, 0)</f>
        <v>0</v>
      </c>
      <c r="S606" s="124">
        <f>IF(ISNUMBER('Klisz-Verbräuche'!T96), 'Klisz-Verbräuche'!T96*Emissionsfaktoren!S96/1000, 0)</f>
        <v>0</v>
      </c>
      <c r="T606" s="124">
        <f>IF(ISNUMBER('Klisz-Verbräuche'!U96), 'Klisz-Verbräuche'!U96*Emissionsfaktoren!T96/1000, 0)</f>
        <v>0</v>
      </c>
      <c r="U606" s="124">
        <f>IF(ISNUMBER('Klisz-Verbräuche'!V96), 'Klisz-Verbräuche'!V96*Emissionsfaktoren!U96/1000, 0)</f>
        <v>0</v>
      </c>
      <c r="V606" s="124">
        <f>IF(ISNUMBER('Klisz-Verbräuche'!W96), 'Klisz-Verbräuche'!W96*Emissionsfaktoren!V96/1000, 0)</f>
        <v>0</v>
      </c>
      <c r="W606" s="124">
        <f>IF(ISNUMBER('Klisz-Verbräuche'!X96), 'Klisz-Verbräuche'!X96*Emissionsfaktoren!W96/1000, 0)</f>
        <v>0</v>
      </c>
      <c r="X606" s="124">
        <f>IF(ISNUMBER('Klisz-Verbräuche'!Y96), 'Klisz-Verbräuche'!Y96*Emissionsfaktoren!X96/1000, 0)</f>
        <v>0</v>
      </c>
    </row>
    <row r="607" spans="2:24" ht="16.5" hidden="1" x14ac:dyDescent="0.45">
      <c r="B607" s="15">
        <v>37</v>
      </c>
      <c r="C607" s="20">
        <f>'Refsz-Verbräuche'!C97</f>
        <v>0</v>
      </c>
      <c r="D607" t="s">
        <v>208</v>
      </c>
      <c r="E607" s="124">
        <f>IF(ISNUMBER('Klisz-Verbräuche'!F97), 'Klisz-Verbräuche'!F97*Emissionsfaktoren!E97/1000, 0)</f>
        <v>0</v>
      </c>
      <c r="F607" s="124">
        <f>IF(ISNUMBER('Klisz-Verbräuche'!G97), 'Klisz-Verbräuche'!G97*Emissionsfaktoren!F97/1000, 0)</f>
        <v>0</v>
      </c>
      <c r="G607" s="124">
        <f>IF(ISNUMBER('Klisz-Verbräuche'!H97), 'Klisz-Verbräuche'!H97*Emissionsfaktoren!G97/1000, 0)</f>
        <v>0</v>
      </c>
      <c r="H607" s="124">
        <f>IF(ISNUMBER('Klisz-Verbräuche'!I97), 'Klisz-Verbräuche'!I97*Emissionsfaktoren!H97/1000, 0)</f>
        <v>0</v>
      </c>
      <c r="I607" s="124">
        <f>IF(ISNUMBER('Klisz-Verbräuche'!J97), 'Klisz-Verbräuche'!J97*Emissionsfaktoren!I97/1000, 0)</f>
        <v>0</v>
      </c>
      <c r="J607" s="124">
        <f>IF(ISNUMBER('Klisz-Verbräuche'!K97), 'Klisz-Verbräuche'!K97*Emissionsfaktoren!J97/1000, 0)</f>
        <v>0</v>
      </c>
      <c r="K607" s="124">
        <f>IF(ISNUMBER('Klisz-Verbräuche'!L97), 'Klisz-Verbräuche'!L97*Emissionsfaktoren!K97/1000, 0)</f>
        <v>0</v>
      </c>
      <c r="L607" s="124">
        <f>IF(ISNUMBER('Klisz-Verbräuche'!M97), 'Klisz-Verbräuche'!M97*Emissionsfaktoren!L97/1000, 0)</f>
        <v>0</v>
      </c>
      <c r="M607" s="124">
        <f>IF(ISNUMBER('Klisz-Verbräuche'!N97), 'Klisz-Verbräuche'!N97*Emissionsfaktoren!M97/1000, 0)</f>
        <v>0</v>
      </c>
      <c r="N607" s="124">
        <f>IF(ISNUMBER('Klisz-Verbräuche'!O97), 'Klisz-Verbräuche'!O97*Emissionsfaktoren!N97/1000, 0)</f>
        <v>0</v>
      </c>
      <c r="O607" s="124">
        <f>IF(ISNUMBER('Klisz-Verbräuche'!P97), 'Klisz-Verbräuche'!P97*Emissionsfaktoren!O97/1000, 0)</f>
        <v>0</v>
      </c>
      <c r="P607" s="124">
        <f>IF(ISNUMBER('Klisz-Verbräuche'!Q97), 'Klisz-Verbräuche'!Q97*Emissionsfaktoren!P97/1000, 0)</f>
        <v>0</v>
      </c>
      <c r="Q607" s="124">
        <f>IF(ISNUMBER('Klisz-Verbräuche'!R97), 'Klisz-Verbräuche'!R97*Emissionsfaktoren!Q97/1000, 0)</f>
        <v>0</v>
      </c>
      <c r="R607" s="124">
        <f>IF(ISNUMBER('Klisz-Verbräuche'!S97), 'Klisz-Verbräuche'!S97*Emissionsfaktoren!R97/1000, 0)</f>
        <v>0</v>
      </c>
      <c r="S607" s="124">
        <f>IF(ISNUMBER('Klisz-Verbräuche'!T97), 'Klisz-Verbräuche'!T97*Emissionsfaktoren!S97/1000, 0)</f>
        <v>0</v>
      </c>
      <c r="T607" s="124">
        <f>IF(ISNUMBER('Klisz-Verbräuche'!U97), 'Klisz-Verbräuche'!U97*Emissionsfaktoren!T97/1000, 0)</f>
        <v>0</v>
      </c>
      <c r="U607" s="124">
        <f>IF(ISNUMBER('Klisz-Verbräuche'!V97), 'Klisz-Verbräuche'!V97*Emissionsfaktoren!U97/1000, 0)</f>
        <v>0</v>
      </c>
      <c r="V607" s="124">
        <f>IF(ISNUMBER('Klisz-Verbräuche'!W97), 'Klisz-Verbräuche'!W97*Emissionsfaktoren!V97/1000, 0)</f>
        <v>0</v>
      </c>
      <c r="W607" s="124">
        <f>IF(ISNUMBER('Klisz-Verbräuche'!X97), 'Klisz-Verbräuche'!X97*Emissionsfaktoren!W97/1000, 0)</f>
        <v>0</v>
      </c>
      <c r="X607" s="124">
        <f>IF(ISNUMBER('Klisz-Verbräuche'!Y97), 'Klisz-Verbräuche'!Y97*Emissionsfaktoren!X97/1000, 0)</f>
        <v>0</v>
      </c>
    </row>
    <row r="608" spans="2:24" ht="16.5" hidden="1" x14ac:dyDescent="0.45">
      <c r="B608" s="15">
        <v>38</v>
      </c>
      <c r="C608" s="20" t="str">
        <f>'Refsz-Verbräuche'!C98</f>
        <v>DR - Flugreisen</v>
      </c>
      <c r="D608" t="s">
        <v>208</v>
      </c>
      <c r="E608" s="124">
        <f>IF(ISNUMBER('Klisz-Verbräuche'!F98), 'Klisz-Verbräuche'!F98*Emissionsfaktoren!E98/1000, 0)</f>
        <v>0</v>
      </c>
      <c r="F608" s="124">
        <f>IF(ISNUMBER('Klisz-Verbräuche'!G98), 'Klisz-Verbräuche'!G98*Emissionsfaktoren!F98/1000, 0)</f>
        <v>0</v>
      </c>
      <c r="G608" s="124">
        <f>IF(ISNUMBER('Klisz-Verbräuche'!H98), 'Klisz-Verbräuche'!H98*Emissionsfaktoren!G98/1000, 0)</f>
        <v>0</v>
      </c>
      <c r="H608" s="124">
        <f>IF(ISNUMBER('Klisz-Verbräuche'!I98), 'Klisz-Verbräuche'!I98*Emissionsfaktoren!H98/1000, 0)</f>
        <v>0</v>
      </c>
      <c r="I608" s="124">
        <f>IF(ISNUMBER('Klisz-Verbräuche'!J98), 'Klisz-Verbräuche'!J98*Emissionsfaktoren!I98/1000, 0)</f>
        <v>0</v>
      </c>
      <c r="J608" s="124">
        <f>IF(ISNUMBER('Klisz-Verbräuche'!K98), 'Klisz-Verbräuche'!K98*Emissionsfaktoren!J98/1000, 0)</f>
        <v>0</v>
      </c>
      <c r="K608" s="124">
        <f>IF(ISNUMBER('Klisz-Verbräuche'!L98), 'Klisz-Verbräuche'!L98*Emissionsfaktoren!K98/1000, 0)</f>
        <v>0</v>
      </c>
      <c r="L608" s="124">
        <f>IF(ISNUMBER('Klisz-Verbräuche'!M98), 'Klisz-Verbräuche'!M98*Emissionsfaktoren!L98/1000, 0)</f>
        <v>0</v>
      </c>
      <c r="M608" s="124">
        <f>IF(ISNUMBER('Klisz-Verbräuche'!N98), 'Klisz-Verbräuche'!N98*Emissionsfaktoren!M98/1000, 0)</f>
        <v>0</v>
      </c>
      <c r="N608" s="124">
        <f>IF(ISNUMBER('Klisz-Verbräuche'!O98), 'Klisz-Verbräuche'!O98*Emissionsfaktoren!N98/1000, 0)</f>
        <v>0</v>
      </c>
      <c r="O608" s="124">
        <f>IF(ISNUMBER('Klisz-Verbräuche'!P98), 'Klisz-Verbräuche'!P98*Emissionsfaktoren!O98/1000, 0)</f>
        <v>0</v>
      </c>
      <c r="P608" s="124">
        <f>IF(ISNUMBER('Klisz-Verbräuche'!Q98), 'Klisz-Verbräuche'!Q98*Emissionsfaktoren!P98/1000, 0)</f>
        <v>0</v>
      </c>
      <c r="Q608" s="124">
        <f>IF(ISNUMBER('Klisz-Verbräuche'!R98), 'Klisz-Verbräuche'!R98*Emissionsfaktoren!Q98/1000, 0)</f>
        <v>0</v>
      </c>
      <c r="R608" s="124">
        <f>IF(ISNUMBER('Klisz-Verbräuche'!S98), 'Klisz-Verbräuche'!S98*Emissionsfaktoren!R98/1000, 0)</f>
        <v>0</v>
      </c>
      <c r="S608" s="124">
        <f>IF(ISNUMBER('Klisz-Verbräuche'!T98), 'Klisz-Verbräuche'!T98*Emissionsfaktoren!S98/1000, 0)</f>
        <v>0</v>
      </c>
      <c r="T608" s="124">
        <f>IF(ISNUMBER('Klisz-Verbräuche'!U98), 'Klisz-Verbräuche'!U98*Emissionsfaktoren!T98/1000, 0)</f>
        <v>0</v>
      </c>
      <c r="U608" s="124">
        <f>IF(ISNUMBER('Klisz-Verbräuche'!V98), 'Klisz-Verbräuche'!V98*Emissionsfaktoren!U98/1000, 0)</f>
        <v>0</v>
      </c>
      <c r="V608" s="124">
        <f>IF(ISNUMBER('Klisz-Verbräuche'!W98), 'Klisz-Verbräuche'!W98*Emissionsfaktoren!V98/1000, 0)</f>
        <v>0</v>
      </c>
      <c r="W608" s="124">
        <f>IF(ISNUMBER('Klisz-Verbräuche'!X98), 'Klisz-Verbräuche'!X98*Emissionsfaktoren!W98/1000, 0)</f>
        <v>0</v>
      </c>
      <c r="X608" s="124">
        <f>IF(ISNUMBER('Klisz-Verbräuche'!Y98), 'Klisz-Verbräuche'!Y98*Emissionsfaktoren!X98/1000, 0)</f>
        <v>0</v>
      </c>
    </row>
    <row r="609" spans="2:24" ht="16.5" hidden="1" x14ac:dyDescent="0.45">
      <c r="B609" s="15">
        <v>39</v>
      </c>
      <c r="C609" s="20" t="str">
        <f>'Refsz-Verbräuche'!C99</f>
        <v>DR - Eisenbahn (Fernverkehr)</v>
      </c>
      <c r="D609" t="s">
        <v>208</v>
      </c>
      <c r="E609" s="124">
        <f>IF(ISNUMBER('Klisz-Verbräuche'!F99), 'Klisz-Verbräuche'!F99*Emissionsfaktoren!E99/1000, 0)</f>
        <v>0</v>
      </c>
      <c r="F609" s="124">
        <f>IF(ISNUMBER('Klisz-Verbräuche'!G99), 'Klisz-Verbräuche'!G99*Emissionsfaktoren!F99/1000, 0)</f>
        <v>0</v>
      </c>
      <c r="G609" s="124">
        <f>IF(ISNUMBER('Klisz-Verbräuche'!H99), 'Klisz-Verbräuche'!H99*Emissionsfaktoren!G99/1000, 0)</f>
        <v>0</v>
      </c>
      <c r="H609" s="124">
        <f>IF(ISNUMBER('Klisz-Verbräuche'!I99), 'Klisz-Verbräuche'!I99*Emissionsfaktoren!H99/1000, 0)</f>
        <v>0</v>
      </c>
      <c r="I609" s="124">
        <f>IF(ISNUMBER('Klisz-Verbräuche'!J99), 'Klisz-Verbräuche'!J99*Emissionsfaktoren!I99/1000, 0)</f>
        <v>0</v>
      </c>
      <c r="J609" s="124">
        <f>IF(ISNUMBER('Klisz-Verbräuche'!K99), 'Klisz-Verbräuche'!K99*Emissionsfaktoren!J99/1000, 0)</f>
        <v>0</v>
      </c>
      <c r="K609" s="124">
        <f>IF(ISNUMBER('Klisz-Verbräuche'!L99), 'Klisz-Verbräuche'!L99*Emissionsfaktoren!K99/1000, 0)</f>
        <v>0</v>
      </c>
      <c r="L609" s="124">
        <f>IF(ISNUMBER('Klisz-Verbräuche'!M99), 'Klisz-Verbräuche'!M99*Emissionsfaktoren!L99/1000, 0)</f>
        <v>0</v>
      </c>
      <c r="M609" s="124">
        <f>IF(ISNUMBER('Klisz-Verbräuche'!N99), 'Klisz-Verbräuche'!N99*Emissionsfaktoren!M99/1000, 0)</f>
        <v>0</v>
      </c>
      <c r="N609" s="124">
        <f>IF(ISNUMBER('Klisz-Verbräuche'!O99), 'Klisz-Verbräuche'!O99*Emissionsfaktoren!N99/1000, 0)</f>
        <v>0</v>
      </c>
      <c r="O609" s="124">
        <f>IF(ISNUMBER('Klisz-Verbräuche'!P99), 'Klisz-Verbräuche'!P99*Emissionsfaktoren!O99/1000, 0)</f>
        <v>0</v>
      </c>
      <c r="P609" s="124">
        <f>IF(ISNUMBER('Klisz-Verbräuche'!Q99), 'Klisz-Verbräuche'!Q99*Emissionsfaktoren!P99/1000, 0)</f>
        <v>0</v>
      </c>
      <c r="Q609" s="124">
        <f>IF(ISNUMBER('Klisz-Verbräuche'!R99), 'Klisz-Verbräuche'!R99*Emissionsfaktoren!Q99/1000, 0)</f>
        <v>0</v>
      </c>
      <c r="R609" s="124">
        <f>IF(ISNUMBER('Klisz-Verbräuche'!S99), 'Klisz-Verbräuche'!S99*Emissionsfaktoren!R99/1000, 0)</f>
        <v>0</v>
      </c>
      <c r="S609" s="124">
        <f>IF(ISNUMBER('Klisz-Verbräuche'!T99), 'Klisz-Verbräuche'!T99*Emissionsfaktoren!S99/1000, 0)</f>
        <v>0</v>
      </c>
      <c r="T609" s="124">
        <f>IF(ISNUMBER('Klisz-Verbräuche'!U99), 'Klisz-Verbräuche'!U99*Emissionsfaktoren!T99/1000, 0)</f>
        <v>0</v>
      </c>
      <c r="U609" s="124">
        <f>IF(ISNUMBER('Klisz-Verbräuche'!V99), 'Klisz-Verbräuche'!V99*Emissionsfaktoren!U99/1000, 0)</f>
        <v>0</v>
      </c>
      <c r="V609" s="124">
        <f>IF(ISNUMBER('Klisz-Verbräuche'!W99), 'Klisz-Verbräuche'!W99*Emissionsfaktoren!V99/1000, 0)</f>
        <v>0</v>
      </c>
      <c r="W609" s="124">
        <f>IF(ISNUMBER('Klisz-Verbräuche'!X99), 'Klisz-Verbräuche'!X99*Emissionsfaktoren!W99/1000, 0)</f>
        <v>0</v>
      </c>
      <c r="X609" s="124">
        <f>IF(ISNUMBER('Klisz-Verbräuche'!Y99), 'Klisz-Verbräuche'!Y99*Emissionsfaktoren!X99/1000, 0)</f>
        <v>0</v>
      </c>
    </row>
    <row r="610" spans="2:24" ht="16.5" hidden="1" x14ac:dyDescent="0.45">
      <c r="B610" s="15">
        <v>40</v>
      </c>
      <c r="C610" s="20" t="str">
        <f>'Refsz-Verbräuche'!C100</f>
        <v>DR - Eisenbahn (Nahverkehr)</v>
      </c>
      <c r="D610" t="s">
        <v>208</v>
      </c>
      <c r="E610" s="124">
        <f>IF(ISNUMBER('Klisz-Verbräuche'!F100), 'Klisz-Verbräuche'!F100*Emissionsfaktoren!E100/1000, 0)</f>
        <v>0</v>
      </c>
      <c r="F610" s="124">
        <f>IF(ISNUMBER('Klisz-Verbräuche'!G100), 'Klisz-Verbräuche'!G100*Emissionsfaktoren!F100/1000, 0)</f>
        <v>0</v>
      </c>
      <c r="G610" s="124">
        <f>IF(ISNUMBER('Klisz-Verbräuche'!H100), 'Klisz-Verbräuche'!H100*Emissionsfaktoren!G100/1000, 0)</f>
        <v>0</v>
      </c>
      <c r="H610" s="124">
        <f>IF(ISNUMBER('Klisz-Verbräuche'!I100), 'Klisz-Verbräuche'!I100*Emissionsfaktoren!H100/1000, 0)</f>
        <v>0</v>
      </c>
      <c r="I610" s="124">
        <f>IF(ISNUMBER('Klisz-Verbräuche'!J100), 'Klisz-Verbräuche'!J100*Emissionsfaktoren!I100/1000, 0)</f>
        <v>0</v>
      </c>
      <c r="J610" s="124">
        <f>IF(ISNUMBER('Klisz-Verbräuche'!K100), 'Klisz-Verbräuche'!K100*Emissionsfaktoren!J100/1000, 0)</f>
        <v>0</v>
      </c>
      <c r="K610" s="124">
        <f>IF(ISNUMBER('Klisz-Verbräuche'!L100), 'Klisz-Verbräuche'!L100*Emissionsfaktoren!K100/1000, 0)</f>
        <v>0</v>
      </c>
      <c r="L610" s="124">
        <f>IF(ISNUMBER('Klisz-Verbräuche'!M100), 'Klisz-Verbräuche'!M100*Emissionsfaktoren!L100/1000, 0)</f>
        <v>0</v>
      </c>
      <c r="M610" s="124">
        <f>IF(ISNUMBER('Klisz-Verbräuche'!N100), 'Klisz-Verbräuche'!N100*Emissionsfaktoren!M100/1000, 0)</f>
        <v>0</v>
      </c>
      <c r="N610" s="124">
        <f>IF(ISNUMBER('Klisz-Verbräuche'!O100), 'Klisz-Verbräuche'!O100*Emissionsfaktoren!N100/1000, 0)</f>
        <v>0</v>
      </c>
      <c r="O610" s="124">
        <f>IF(ISNUMBER('Klisz-Verbräuche'!P100), 'Klisz-Verbräuche'!P100*Emissionsfaktoren!O100/1000, 0)</f>
        <v>0</v>
      </c>
      <c r="P610" s="124">
        <f>IF(ISNUMBER('Klisz-Verbräuche'!Q100), 'Klisz-Verbräuche'!Q100*Emissionsfaktoren!P100/1000, 0)</f>
        <v>0</v>
      </c>
      <c r="Q610" s="124">
        <f>IF(ISNUMBER('Klisz-Verbräuche'!R100), 'Klisz-Verbräuche'!R100*Emissionsfaktoren!Q100/1000, 0)</f>
        <v>0</v>
      </c>
      <c r="R610" s="124">
        <f>IF(ISNUMBER('Klisz-Verbräuche'!S100), 'Klisz-Verbräuche'!S100*Emissionsfaktoren!R100/1000, 0)</f>
        <v>0</v>
      </c>
      <c r="S610" s="124">
        <f>IF(ISNUMBER('Klisz-Verbräuche'!T100), 'Klisz-Verbräuche'!T100*Emissionsfaktoren!S100/1000, 0)</f>
        <v>0</v>
      </c>
      <c r="T610" s="124">
        <f>IF(ISNUMBER('Klisz-Verbräuche'!U100), 'Klisz-Verbräuche'!U100*Emissionsfaktoren!T100/1000, 0)</f>
        <v>0</v>
      </c>
      <c r="U610" s="124">
        <f>IF(ISNUMBER('Klisz-Verbräuche'!V100), 'Klisz-Verbräuche'!V100*Emissionsfaktoren!U100/1000, 0)</f>
        <v>0</v>
      </c>
      <c r="V610" s="124">
        <f>IF(ISNUMBER('Klisz-Verbräuche'!W100), 'Klisz-Verbräuche'!W100*Emissionsfaktoren!V100/1000, 0)</f>
        <v>0</v>
      </c>
      <c r="W610" s="124">
        <f>IF(ISNUMBER('Klisz-Verbräuche'!X100), 'Klisz-Verbräuche'!X100*Emissionsfaktoren!W100/1000, 0)</f>
        <v>0</v>
      </c>
      <c r="X610" s="124">
        <f>IF(ISNUMBER('Klisz-Verbräuche'!Y100), 'Klisz-Verbräuche'!Y100*Emissionsfaktoren!X100/1000, 0)</f>
        <v>0</v>
      </c>
    </row>
    <row r="611" spans="2:24" ht="16.5" hidden="1" x14ac:dyDescent="0.45">
      <c r="B611" s="15">
        <v>41</v>
      </c>
      <c r="C611" s="20" t="str">
        <f>'Refsz-Verbräuche'!C101</f>
        <v>DR - Reisebus, Linienbus (Fernverkehr)</v>
      </c>
      <c r="D611" t="s">
        <v>208</v>
      </c>
      <c r="E611" s="124">
        <f>IF(ISNUMBER('Klisz-Verbräuche'!F101), 'Klisz-Verbräuche'!F101*Emissionsfaktoren!E101/1000, 0)</f>
        <v>0</v>
      </c>
      <c r="F611" s="124">
        <f>IF(ISNUMBER('Klisz-Verbräuche'!G101), 'Klisz-Verbräuche'!G101*Emissionsfaktoren!F101/1000, 0)</f>
        <v>0</v>
      </c>
      <c r="G611" s="124">
        <f>IF(ISNUMBER('Klisz-Verbräuche'!H101), 'Klisz-Verbräuche'!H101*Emissionsfaktoren!G101/1000, 0)</f>
        <v>0</v>
      </c>
      <c r="H611" s="124">
        <f>IF(ISNUMBER('Klisz-Verbräuche'!I101), 'Klisz-Verbräuche'!I101*Emissionsfaktoren!H101/1000, 0)</f>
        <v>0</v>
      </c>
      <c r="I611" s="124">
        <f>IF(ISNUMBER('Klisz-Verbräuche'!J101), 'Klisz-Verbräuche'!J101*Emissionsfaktoren!I101/1000, 0)</f>
        <v>0</v>
      </c>
      <c r="J611" s="124">
        <f>IF(ISNUMBER('Klisz-Verbräuche'!K101), 'Klisz-Verbräuche'!K101*Emissionsfaktoren!J101/1000, 0)</f>
        <v>0</v>
      </c>
      <c r="K611" s="124">
        <f>IF(ISNUMBER('Klisz-Verbräuche'!L101), 'Klisz-Verbräuche'!L101*Emissionsfaktoren!K101/1000, 0)</f>
        <v>0</v>
      </c>
      <c r="L611" s="124">
        <f>IF(ISNUMBER('Klisz-Verbräuche'!M101), 'Klisz-Verbräuche'!M101*Emissionsfaktoren!L101/1000, 0)</f>
        <v>0</v>
      </c>
      <c r="M611" s="124">
        <f>IF(ISNUMBER('Klisz-Verbräuche'!N101), 'Klisz-Verbräuche'!N101*Emissionsfaktoren!M101/1000, 0)</f>
        <v>0</v>
      </c>
      <c r="N611" s="124">
        <f>IF(ISNUMBER('Klisz-Verbräuche'!O101), 'Klisz-Verbräuche'!O101*Emissionsfaktoren!N101/1000, 0)</f>
        <v>0</v>
      </c>
      <c r="O611" s="124">
        <f>IF(ISNUMBER('Klisz-Verbräuche'!P101), 'Klisz-Verbräuche'!P101*Emissionsfaktoren!O101/1000, 0)</f>
        <v>0</v>
      </c>
      <c r="P611" s="124">
        <f>IF(ISNUMBER('Klisz-Verbräuche'!Q101), 'Klisz-Verbräuche'!Q101*Emissionsfaktoren!P101/1000, 0)</f>
        <v>0</v>
      </c>
      <c r="Q611" s="124">
        <f>IF(ISNUMBER('Klisz-Verbräuche'!R101), 'Klisz-Verbräuche'!R101*Emissionsfaktoren!Q101/1000, 0)</f>
        <v>0</v>
      </c>
      <c r="R611" s="124">
        <f>IF(ISNUMBER('Klisz-Verbräuche'!S101), 'Klisz-Verbräuche'!S101*Emissionsfaktoren!R101/1000, 0)</f>
        <v>0</v>
      </c>
      <c r="S611" s="124">
        <f>IF(ISNUMBER('Klisz-Verbräuche'!T101), 'Klisz-Verbräuche'!T101*Emissionsfaktoren!S101/1000, 0)</f>
        <v>0</v>
      </c>
      <c r="T611" s="124">
        <f>IF(ISNUMBER('Klisz-Verbräuche'!U101), 'Klisz-Verbräuche'!U101*Emissionsfaktoren!T101/1000, 0)</f>
        <v>0</v>
      </c>
      <c r="U611" s="124">
        <f>IF(ISNUMBER('Klisz-Verbräuche'!V101), 'Klisz-Verbräuche'!V101*Emissionsfaktoren!U101/1000, 0)</f>
        <v>0</v>
      </c>
      <c r="V611" s="124">
        <f>IF(ISNUMBER('Klisz-Verbräuche'!W101), 'Klisz-Verbräuche'!W101*Emissionsfaktoren!V101/1000, 0)</f>
        <v>0</v>
      </c>
      <c r="W611" s="124">
        <f>IF(ISNUMBER('Klisz-Verbräuche'!X101), 'Klisz-Verbräuche'!X101*Emissionsfaktoren!W101/1000, 0)</f>
        <v>0</v>
      </c>
      <c r="X611" s="124">
        <f>IF(ISNUMBER('Klisz-Verbräuche'!Y101), 'Klisz-Verbräuche'!Y101*Emissionsfaktoren!X101/1000, 0)</f>
        <v>0</v>
      </c>
    </row>
    <row r="612" spans="2:24" ht="16.5" hidden="1" x14ac:dyDescent="0.45">
      <c r="B612" s="15">
        <v>42</v>
      </c>
      <c r="C612" s="20" t="str">
        <f>'Refsz-Verbräuche'!C102</f>
        <v>DR - Linienbus (Nahverkehr)</v>
      </c>
      <c r="D612" t="s">
        <v>208</v>
      </c>
      <c r="E612" s="124">
        <f>IF(ISNUMBER('Klisz-Verbräuche'!F102), 'Klisz-Verbräuche'!F102*Emissionsfaktoren!E102/1000, 0)</f>
        <v>0</v>
      </c>
      <c r="F612" s="124">
        <f>IF(ISNUMBER('Klisz-Verbräuche'!G102), 'Klisz-Verbräuche'!G102*Emissionsfaktoren!F102/1000, 0)</f>
        <v>0</v>
      </c>
      <c r="G612" s="124">
        <f>IF(ISNUMBER('Klisz-Verbräuche'!H102), 'Klisz-Verbräuche'!H102*Emissionsfaktoren!G102/1000, 0)</f>
        <v>0</v>
      </c>
      <c r="H612" s="124">
        <f>IF(ISNUMBER('Klisz-Verbräuche'!I102), 'Klisz-Verbräuche'!I102*Emissionsfaktoren!H102/1000, 0)</f>
        <v>0</v>
      </c>
      <c r="I612" s="124">
        <f>IF(ISNUMBER('Klisz-Verbräuche'!J102), 'Klisz-Verbräuche'!J102*Emissionsfaktoren!I102/1000, 0)</f>
        <v>0</v>
      </c>
      <c r="J612" s="124">
        <f>IF(ISNUMBER('Klisz-Verbräuche'!K102), 'Klisz-Verbräuche'!K102*Emissionsfaktoren!J102/1000, 0)</f>
        <v>0</v>
      </c>
      <c r="K612" s="124">
        <f>IF(ISNUMBER('Klisz-Verbräuche'!L102), 'Klisz-Verbräuche'!L102*Emissionsfaktoren!K102/1000, 0)</f>
        <v>0</v>
      </c>
      <c r="L612" s="124">
        <f>IF(ISNUMBER('Klisz-Verbräuche'!M102), 'Klisz-Verbräuche'!M102*Emissionsfaktoren!L102/1000, 0)</f>
        <v>0</v>
      </c>
      <c r="M612" s="124">
        <f>IF(ISNUMBER('Klisz-Verbräuche'!N102), 'Klisz-Verbräuche'!N102*Emissionsfaktoren!M102/1000, 0)</f>
        <v>0</v>
      </c>
      <c r="N612" s="124">
        <f>IF(ISNUMBER('Klisz-Verbräuche'!O102), 'Klisz-Verbräuche'!O102*Emissionsfaktoren!N102/1000, 0)</f>
        <v>0</v>
      </c>
      <c r="O612" s="124">
        <f>IF(ISNUMBER('Klisz-Verbräuche'!P102), 'Klisz-Verbräuche'!P102*Emissionsfaktoren!O102/1000, 0)</f>
        <v>0</v>
      </c>
      <c r="P612" s="124">
        <f>IF(ISNUMBER('Klisz-Verbräuche'!Q102), 'Klisz-Verbräuche'!Q102*Emissionsfaktoren!P102/1000, 0)</f>
        <v>0</v>
      </c>
      <c r="Q612" s="124">
        <f>IF(ISNUMBER('Klisz-Verbräuche'!R102), 'Klisz-Verbräuche'!R102*Emissionsfaktoren!Q102/1000, 0)</f>
        <v>0</v>
      </c>
      <c r="R612" s="124">
        <f>IF(ISNUMBER('Klisz-Verbräuche'!S102), 'Klisz-Verbräuche'!S102*Emissionsfaktoren!R102/1000, 0)</f>
        <v>0</v>
      </c>
      <c r="S612" s="124">
        <f>IF(ISNUMBER('Klisz-Verbräuche'!T102), 'Klisz-Verbräuche'!T102*Emissionsfaktoren!S102/1000, 0)</f>
        <v>0</v>
      </c>
      <c r="T612" s="124">
        <f>IF(ISNUMBER('Klisz-Verbräuche'!U102), 'Klisz-Verbräuche'!U102*Emissionsfaktoren!T102/1000, 0)</f>
        <v>0</v>
      </c>
      <c r="U612" s="124">
        <f>IF(ISNUMBER('Klisz-Verbräuche'!V102), 'Klisz-Verbräuche'!V102*Emissionsfaktoren!U102/1000, 0)</f>
        <v>0</v>
      </c>
      <c r="V612" s="124">
        <f>IF(ISNUMBER('Klisz-Verbräuche'!W102), 'Klisz-Verbräuche'!W102*Emissionsfaktoren!V102/1000, 0)</f>
        <v>0</v>
      </c>
      <c r="W612" s="124">
        <f>IF(ISNUMBER('Klisz-Verbräuche'!X102), 'Klisz-Verbräuche'!X102*Emissionsfaktoren!W102/1000, 0)</f>
        <v>0</v>
      </c>
      <c r="X612" s="124">
        <f>IF(ISNUMBER('Klisz-Verbräuche'!Y102), 'Klisz-Verbräuche'!Y102*Emissionsfaktoren!X102/1000, 0)</f>
        <v>0</v>
      </c>
    </row>
    <row r="613" spans="2:24" ht="16.5" hidden="1" x14ac:dyDescent="0.45">
      <c r="B613" s="15">
        <v>43</v>
      </c>
      <c r="C613" s="20" t="str">
        <f>'Refsz-Verbräuche'!C103</f>
        <v>DR - Privater PKW (alle Antriebsarten)</v>
      </c>
      <c r="D613" t="s">
        <v>208</v>
      </c>
      <c r="E613" s="124">
        <f>IF(ISNUMBER('Klisz-Verbräuche'!F103), 'Klisz-Verbräuche'!F103*Emissionsfaktoren!E103/1000, 0)</f>
        <v>0</v>
      </c>
      <c r="F613" s="124">
        <f>IF(ISNUMBER('Klisz-Verbräuche'!G103), 'Klisz-Verbräuche'!G103*Emissionsfaktoren!F103/1000, 0)</f>
        <v>0</v>
      </c>
      <c r="G613" s="124">
        <f>IF(ISNUMBER('Klisz-Verbräuche'!H103), 'Klisz-Verbräuche'!H103*Emissionsfaktoren!G103/1000, 0)</f>
        <v>0</v>
      </c>
      <c r="H613" s="124">
        <f>IF(ISNUMBER('Klisz-Verbräuche'!I103), 'Klisz-Verbräuche'!I103*Emissionsfaktoren!H103/1000, 0)</f>
        <v>0</v>
      </c>
      <c r="I613" s="124">
        <f>IF(ISNUMBER('Klisz-Verbräuche'!J103), 'Klisz-Verbräuche'!J103*Emissionsfaktoren!I103/1000, 0)</f>
        <v>0</v>
      </c>
      <c r="J613" s="124">
        <f>IF(ISNUMBER('Klisz-Verbräuche'!K103), 'Klisz-Verbräuche'!K103*Emissionsfaktoren!J103/1000, 0)</f>
        <v>0</v>
      </c>
      <c r="K613" s="124">
        <f>IF(ISNUMBER('Klisz-Verbräuche'!L103), 'Klisz-Verbräuche'!L103*Emissionsfaktoren!K103/1000, 0)</f>
        <v>0</v>
      </c>
      <c r="L613" s="124">
        <f>IF(ISNUMBER('Klisz-Verbräuche'!M103), 'Klisz-Verbräuche'!M103*Emissionsfaktoren!L103/1000, 0)</f>
        <v>0</v>
      </c>
      <c r="M613" s="124">
        <f>IF(ISNUMBER('Klisz-Verbräuche'!N103), 'Klisz-Verbräuche'!N103*Emissionsfaktoren!M103/1000, 0)</f>
        <v>0</v>
      </c>
      <c r="N613" s="124">
        <f>IF(ISNUMBER('Klisz-Verbräuche'!O103), 'Klisz-Verbräuche'!O103*Emissionsfaktoren!N103/1000, 0)</f>
        <v>0</v>
      </c>
      <c r="O613" s="124">
        <f>IF(ISNUMBER('Klisz-Verbräuche'!P103), 'Klisz-Verbräuche'!P103*Emissionsfaktoren!O103/1000, 0)</f>
        <v>0</v>
      </c>
      <c r="P613" s="124">
        <f>IF(ISNUMBER('Klisz-Verbräuche'!Q103), 'Klisz-Verbräuche'!Q103*Emissionsfaktoren!P103/1000, 0)</f>
        <v>0</v>
      </c>
      <c r="Q613" s="124">
        <f>IF(ISNUMBER('Klisz-Verbräuche'!R103), 'Klisz-Verbräuche'!R103*Emissionsfaktoren!Q103/1000, 0)</f>
        <v>0</v>
      </c>
      <c r="R613" s="124">
        <f>IF(ISNUMBER('Klisz-Verbräuche'!S103), 'Klisz-Verbräuche'!S103*Emissionsfaktoren!R103/1000, 0)</f>
        <v>0</v>
      </c>
      <c r="S613" s="124">
        <f>IF(ISNUMBER('Klisz-Verbräuche'!T103), 'Klisz-Verbräuche'!T103*Emissionsfaktoren!S103/1000, 0)</f>
        <v>0</v>
      </c>
      <c r="T613" s="124">
        <f>IF(ISNUMBER('Klisz-Verbräuche'!U103), 'Klisz-Verbräuche'!U103*Emissionsfaktoren!T103/1000, 0)</f>
        <v>0</v>
      </c>
      <c r="U613" s="124">
        <f>IF(ISNUMBER('Klisz-Verbräuche'!V103), 'Klisz-Verbräuche'!V103*Emissionsfaktoren!U103/1000, 0)</f>
        <v>0</v>
      </c>
      <c r="V613" s="124">
        <f>IF(ISNUMBER('Klisz-Verbräuche'!W103), 'Klisz-Verbräuche'!W103*Emissionsfaktoren!V103/1000, 0)</f>
        <v>0</v>
      </c>
      <c r="W613" s="124">
        <f>IF(ISNUMBER('Klisz-Verbräuche'!X103), 'Klisz-Verbräuche'!X103*Emissionsfaktoren!W103/1000, 0)</f>
        <v>0</v>
      </c>
      <c r="X613" s="124">
        <f>IF(ISNUMBER('Klisz-Verbräuche'!Y103), 'Klisz-Verbräuche'!Y103*Emissionsfaktoren!X103/1000, 0)</f>
        <v>0</v>
      </c>
    </row>
    <row r="614" spans="2:24" ht="16.5" hidden="1" x14ac:dyDescent="0.45">
      <c r="B614" s="15">
        <v>44</v>
      </c>
      <c r="C614" s="20" t="str">
        <f>'Refsz-Verbräuche'!C104</f>
        <v>DR - Privater PKW (Diesel)</v>
      </c>
      <c r="D614" t="s">
        <v>208</v>
      </c>
      <c r="E614" s="124">
        <f>IF(ISNUMBER('Klisz-Verbräuche'!F104), 'Klisz-Verbräuche'!F104*Emissionsfaktoren!E104/1000, 0)</f>
        <v>0</v>
      </c>
      <c r="F614" s="124">
        <f>IF(ISNUMBER('Klisz-Verbräuche'!G104), 'Klisz-Verbräuche'!G104*Emissionsfaktoren!F104/1000, 0)</f>
        <v>0</v>
      </c>
      <c r="G614" s="124">
        <f>IF(ISNUMBER('Klisz-Verbräuche'!H104), 'Klisz-Verbräuche'!H104*Emissionsfaktoren!G104/1000, 0)</f>
        <v>0</v>
      </c>
      <c r="H614" s="124">
        <f>IF(ISNUMBER('Klisz-Verbräuche'!I104), 'Klisz-Verbräuche'!I104*Emissionsfaktoren!H104/1000, 0)</f>
        <v>0</v>
      </c>
      <c r="I614" s="124">
        <f>IF(ISNUMBER('Klisz-Verbräuche'!J104), 'Klisz-Verbräuche'!J104*Emissionsfaktoren!I104/1000, 0)</f>
        <v>0</v>
      </c>
      <c r="J614" s="124">
        <f>IF(ISNUMBER('Klisz-Verbräuche'!K104), 'Klisz-Verbräuche'!K104*Emissionsfaktoren!J104/1000, 0)</f>
        <v>0</v>
      </c>
      <c r="K614" s="124">
        <f>IF(ISNUMBER('Klisz-Verbräuche'!L104), 'Klisz-Verbräuche'!L104*Emissionsfaktoren!K104/1000, 0)</f>
        <v>0</v>
      </c>
      <c r="L614" s="124">
        <f>IF(ISNUMBER('Klisz-Verbräuche'!M104), 'Klisz-Verbräuche'!M104*Emissionsfaktoren!L104/1000, 0)</f>
        <v>0</v>
      </c>
      <c r="M614" s="124">
        <f>IF(ISNUMBER('Klisz-Verbräuche'!N104), 'Klisz-Verbräuche'!N104*Emissionsfaktoren!M104/1000, 0)</f>
        <v>0</v>
      </c>
      <c r="N614" s="124">
        <f>IF(ISNUMBER('Klisz-Verbräuche'!O104), 'Klisz-Verbräuche'!O104*Emissionsfaktoren!N104/1000, 0)</f>
        <v>0</v>
      </c>
      <c r="O614" s="124">
        <f>IF(ISNUMBER('Klisz-Verbräuche'!P104), 'Klisz-Verbräuche'!P104*Emissionsfaktoren!O104/1000, 0)</f>
        <v>0</v>
      </c>
      <c r="P614" s="124">
        <f>IF(ISNUMBER('Klisz-Verbräuche'!Q104), 'Klisz-Verbräuche'!Q104*Emissionsfaktoren!P104/1000, 0)</f>
        <v>0</v>
      </c>
      <c r="Q614" s="124">
        <f>IF(ISNUMBER('Klisz-Verbräuche'!R104), 'Klisz-Verbräuche'!R104*Emissionsfaktoren!Q104/1000, 0)</f>
        <v>0</v>
      </c>
      <c r="R614" s="124">
        <f>IF(ISNUMBER('Klisz-Verbräuche'!S104), 'Klisz-Verbräuche'!S104*Emissionsfaktoren!R104/1000, 0)</f>
        <v>0</v>
      </c>
      <c r="S614" s="124">
        <f>IF(ISNUMBER('Klisz-Verbräuche'!T104), 'Klisz-Verbräuche'!T104*Emissionsfaktoren!S104/1000, 0)</f>
        <v>0</v>
      </c>
      <c r="T614" s="124">
        <f>IF(ISNUMBER('Klisz-Verbräuche'!U104), 'Klisz-Verbräuche'!U104*Emissionsfaktoren!T104/1000, 0)</f>
        <v>0</v>
      </c>
      <c r="U614" s="124">
        <f>IF(ISNUMBER('Klisz-Verbräuche'!V104), 'Klisz-Verbräuche'!V104*Emissionsfaktoren!U104/1000, 0)</f>
        <v>0</v>
      </c>
      <c r="V614" s="124">
        <f>IF(ISNUMBER('Klisz-Verbräuche'!W104), 'Klisz-Verbräuche'!W104*Emissionsfaktoren!V104/1000, 0)</f>
        <v>0</v>
      </c>
      <c r="W614" s="124">
        <f>IF(ISNUMBER('Klisz-Verbräuche'!X104), 'Klisz-Verbräuche'!X104*Emissionsfaktoren!W104/1000, 0)</f>
        <v>0</v>
      </c>
      <c r="X614" s="124">
        <f>IF(ISNUMBER('Klisz-Verbräuche'!Y104), 'Klisz-Verbräuche'!Y104*Emissionsfaktoren!X104/1000, 0)</f>
        <v>0</v>
      </c>
    </row>
    <row r="615" spans="2:24" ht="16.5" hidden="1" x14ac:dyDescent="0.45">
      <c r="B615" s="15">
        <v>45</v>
      </c>
      <c r="C615" s="20" t="str">
        <f>'Refsz-Verbräuche'!C105</f>
        <v>DR - Privater PKW (Benzin)</v>
      </c>
      <c r="D615" t="s">
        <v>208</v>
      </c>
      <c r="E615" s="124">
        <f>IF(ISNUMBER('Klisz-Verbräuche'!F105), 'Klisz-Verbräuche'!F105*Emissionsfaktoren!E105/1000, 0)</f>
        <v>0</v>
      </c>
      <c r="F615" s="124">
        <f>IF(ISNUMBER('Klisz-Verbräuche'!G105), 'Klisz-Verbräuche'!G105*Emissionsfaktoren!F105/1000, 0)</f>
        <v>0</v>
      </c>
      <c r="G615" s="124">
        <f>IF(ISNUMBER('Klisz-Verbräuche'!H105), 'Klisz-Verbräuche'!H105*Emissionsfaktoren!G105/1000, 0)</f>
        <v>0</v>
      </c>
      <c r="H615" s="124">
        <f>IF(ISNUMBER('Klisz-Verbräuche'!I105), 'Klisz-Verbräuche'!I105*Emissionsfaktoren!H105/1000, 0)</f>
        <v>0</v>
      </c>
      <c r="I615" s="124">
        <f>IF(ISNUMBER('Klisz-Verbräuche'!J105), 'Klisz-Verbräuche'!J105*Emissionsfaktoren!I105/1000, 0)</f>
        <v>0</v>
      </c>
      <c r="J615" s="124">
        <f>IF(ISNUMBER('Klisz-Verbräuche'!K105), 'Klisz-Verbräuche'!K105*Emissionsfaktoren!J105/1000, 0)</f>
        <v>0</v>
      </c>
      <c r="K615" s="124">
        <f>IF(ISNUMBER('Klisz-Verbräuche'!L105), 'Klisz-Verbräuche'!L105*Emissionsfaktoren!K105/1000, 0)</f>
        <v>0</v>
      </c>
      <c r="L615" s="124">
        <f>IF(ISNUMBER('Klisz-Verbräuche'!M105), 'Klisz-Verbräuche'!M105*Emissionsfaktoren!L105/1000, 0)</f>
        <v>0</v>
      </c>
      <c r="M615" s="124">
        <f>IF(ISNUMBER('Klisz-Verbräuche'!N105), 'Klisz-Verbräuche'!N105*Emissionsfaktoren!M105/1000, 0)</f>
        <v>0</v>
      </c>
      <c r="N615" s="124">
        <f>IF(ISNUMBER('Klisz-Verbräuche'!O105), 'Klisz-Verbräuche'!O105*Emissionsfaktoren!N105/1000, 0)</f>
        <v>0</v>
      </c>
      <c r="O615" s="124">
        <f>IF(ISNUMBER('Klisz-Verbräuche'!P105), 'Klisz-Verbräuche'!P105*Emissionsfaktoren!O105/1000, 0)</f>
        <v>0</v>
      </c>
      <c r="P615" s="124">
        <f>IF(ISNUMBER('Klisz-Verbräuche'!Q105), 'Klisz-Verbräuche'!Q105*Emissionsfaktoren!P105/1000, 0)</f>
        <v>0</v>
      </c>
      <c r="Q615" s="124">
        <f>IF(ISNUMBER('Klisz-Verbräuche'!R105), 'Klisz-Verbräuche'!R105*Emissionsfaktoren!Q105/1000, 0)</f>
        <v>0</v>
      </c>
      <c r="R615" s="124">
        <f>IF(ISNUMBER('Klisz-Verbräuche'!S105), 'Klisz-Verbräuche'!S105*Emissionsfaktoren!R105/1000, 0)</f>
        <v>0</v>
      </c>
      <c r="S615" s="124">
        <f>IF(ISNUMBER('Klisz-Verbräuche'!T105), 'Klisz-Verbräuche'!T105*Emissionsfaktoren!S105/1000, 0)</f>
        <v>0</v>
      </c>
      <c r="T615" s="124">
        <f>IF(ISNUMBER('Klisz-Verbräuche'!U105), 'Klisz-Verbräuche'!U105*Emissionsfaktoren!T105/1000, 0)</f>
        <v>0</v>
      </c>
      <c r="U615" s="124">
        <f>IF(ISNUMBER('Klisz-Verbräuche'!V105), 'Klisz-Verbräuche'!V105*Emissionsfaktoren!U105/1000, 0)</f>
        <v>0</v>
      </c>
      <c r="V615" s="124">
        <f>IF(ISNUMBER('Klisz-Verbräuche'!W105), 'Klisz-Verbräuche'!W105*Emissionsfaktoren!V105/1000, 0)</f>
        <v>0</v>
      </c>
      <c r="W615" s="124">
        <f>IF(ISNUMBER('Klisz-Verbräuche'!X105), 'Klisz-Verbräuche'!X105*Emissionsfaktoren!W105/1000, 0)</f>
        <v>0</v>
      </c>
      <c r="X615" s="124">
        <f>IF(ISNUMBER('Klisz-Verbräuche'!Y105), 'Klisz-Verbräuche'!Y105*Emissionsfaktoren!X105/1000, 0)</f>
        <v>0</v>
      </c>
    </row>
    <row r="616" spans="2:24" ht="16.5" hidden="1" x14ac:dyDescent="0.45">
      <c r="B616" s="15">
        <v>46</v>
      </c>
      <c r="C616" s="20" t="str">
        <f>'Refsz-Verbräuche'!C106</f>
        <v>DR - Mietwägen (Diesel)</v>
      </c>
      <c r="D616" t="s">
        <v>208</v>
      </c>
      <c r="E616" s="124">
        <f>IF(ISNUMBER('Klisz-Verbräuche'!F106), 'Klisz-Verbräuche'!F106*Emissionsfaktoren!E106/1000, 0)</f>
        <v>0</v>
      </c>
      <c r="F616" s="124">
        <f>IF(ISNUMBER('Klisz-Verbräuche'!G106), 'Klisz-Verbräuche'!G106*Emissionsfaktoren!F106/1000, 0)</f>
        <v>0</v>
      </c>
      <c r="G616" s="124">
        <f>IF(ISNUMBER('Klisz-Verbräuche'!H106), 'Klisz-Verbräuche'!H106*Emissionsfaktoren!G106/1000, 0)</f>
        <v>0</v>
      </c>
      <c r="H616" s="124">
        <f>IF(ISNUMBER('Klisz-Verbräuche'!I106), 'Klisz-Verbräuche'!I106*Emissionsfaktoren!H106/1000, 0)</f>
        <v>0</v>
      </c>
      <c r="I616" s="124">
        <f>IF(ISNUMBER('Klisz-Verbräuche'!J106), 'Klisz-Verbräuche'!J106*Emissionsfaktoren!I106/1000, 0)</f>
        <v>0</v>
      </c>
      <c r="J616" s="124">
        <f>IF(ISNUMBER('Klisz-Verbräuche'!K106), 'Klisz-Verbräuche'!K106*Emissionsfaktoren!J106/1000, 0)</f>
        <v>0</v>
      </c>
      <c r="K616" s="124">
        <f>IF(ISNUMBER('Klisz-Verbräuche'!L106), 'Klisz-Verbräuche'!L106*Emissionsfaktoren!K106/1000, 0)</f>
        <v>0</v>
      </c>
      <c r="L616" s="124">
        <f>IF(ISNUMBER('Klisz-Verbräuche'!M106), 'Klisz-Verbräuche'!M106*Emissionsfaktoren!L106/1000, 0)</f>
        <v>0</v>
      </c>
      <c r="M616" s="124">
        <f>IF(ISNUMBER('Klisz-Verbräuche'!N106), 'Klisz-Verbräuche'!N106*Emissionsfaktoren!M106/1000, 0)</f>
        <v>0</v>
      </c>
      <c r="N616" s="124">
        <f>IF(ISNUMBER('Klisz-Verbräuche'!O106), 'Klisz-Verbräuche'!O106*Emissionsfaktoren!N106/1000, 0)</f>
        <v>0</v>
      </c>
      <c r="O616" s="124">
        <f>IF(ISNUMBER('Klisz-Verbräuche'!P106), 'Klisz-Verbräuche'!P106*Emissionsfaktoren!O106/1000, 0)</f>
        <v>0</v>
      </c>
      <c r="P616" s="124">
        <f>IF(ISNUMBER('Klisz-Verbräuche'!Q106), 'Klisz-Verbräuche'!Q106*Emissionsfaktoren!P106/1000, 0)</f>
        <v>0</v>
      </c>
      <c r="Q616" s="124">
        <f>IF(ISNUMBER('Klisz-Verbräuche'!R106), 'Klisz-Verbräuche'!R106*Emissionsfaktoren!Q106/1000, 0)</f>
        <v>0</v>
      </c>
      <c r="R616" s="124">
        <f>IF(ISNUMBER('Klisz-Verbräuche'!S106), 'Klisz-Verbräuche'!S106*Emissionsfaktoren!R106/1000, 0)</f>
        <v>0</v>
      </c>
      <c r="S616" s="124">
        <f>IF(ISNUMBER('Klisz-Verbräuche'!T106), 'Klisz-Verbräuche'!T106*Emissionsfaktoren!S106/1000, 0)</f>
        <v>0</v>
      </c>
      <c r="T616" s="124">
        <f>IF(ISNUMBER('Klisz-Verbräuche'!U106), 'Klisz-Verbräuche'!U106*Emissionsfaktoren!T106/1000, 0)</f>
        <v>0</v>
      </c>
      <c r="U616" s="124">
        <f>IF(ISNUMBER('Klisz-Verbräuche'!V106), 'Klisz-Verbräuche'!V106*Emissionsfaktoren!U106/1000, 0)</f>
        <v>0</v>
      </c>
      <c r="V616" s="124">
        <f>IF(ISNUMBER('Klisz-Verbräuche'!W106), 'Klisz-Verbräuche'!W106*Emissionsfaktoren!V106/1000, 0)</f>
        <v>0</v>
      </c>
      <c r="W616" s="124">
        <f>IF(ISNUMBER('Klisz-Verbräuche'!X106), 'Klisz-Verbräuche'!X106*Emissionsfaktoren!W106/1000, 0)</f>
        <v>0</v>
      </c>
      <c r="X616" s="124">
        <f>IF(ISNUMBER('Klisz-Verbräuche'!Y106), 'Klisz-Verbräuche'!Y106*Emissionsfaktoren!X106/1000, 0)</f>
        <v>0</v>
      </c>
    </row>
    <row r="617" spans="2:24" ht="16.5" hidden="1" x14ac:dyDescent="0.45">
      <c r="B617" s="15">
        <v>47</v>
      </c>
      <c r="C617" s="20" t="str">
        <f>'Refsz-Verbräuche'!C107</f>
        <v>DR - Mietwägen (Benzin)</v>
      </c>
      <c r="D617" t="s">
        <v>208</v>
      </c>
      <c r="E617" s="124">
        <f>IF(ISNUMBER('Klisz-Verbräuche'!F107), 'Klisz-Verbräuche'!F107*Emissionsfaktoren!E107/1000, 0)</f>
        <v>0</v>
      </c>
      <c r="F617" s="124">
        <f>IF(ISNUMBER('Klisz-Verbräuche'!G107), 'Klisz-Verbräuche'!G107*Emissionsfaktoren!F107/1000, 0)</f>
        <v>0</v>
      </c>
      <c r="G617" s="124">
        <f>IF(ISNUMBER('Klisz-Verbräuche'!H107), 'Klisz-Verbräuche'!H107*Emissionsfaktoren!G107/1000, 0)</f>
        <v>0</v>
      </c>
      <c r="H617" s="124">
        <f>IF(ISNUMBER('Klisz-Verbräuche'!I107), 'Klisz-Verbräuche'!I107*Emissionsfaktoren!H107/1000, 0)</f>
        <v>0</v>
      </c>
      <c r="I617" s="124">
        <f>IF(ISNUMBER('Klisz-Verbräuche'!J107), 'Klisz-Verbräuche'!J107*Emissionsfaktoren!I107/1000, 0)</f>
        <v>0</v>
      </c>
      <c r="J617" s="124">
        <f>IF(ISNUMBER('Klisz-Verbräuche'!K107), 'Klisz-Verbräuche'!K107*Emissionsfaktoren!J107/1000, 0)</f>
        <v>0</v>
      </c>
      <c r="K617" s="124">
        <f>IF(ISNUMBER('Klisz-Verbräuche'!L107), 'Klisz-Verbräuche'!L107*Emissionsfaktoren!K107/1000, 0)</f>
        <v>0</v>
      </c>
      <c r="L617" s="124">
        <f>IF(ISNUMBER('Klisz-Verbräuche'!M107), 'Klisz-Verbräuche'!M107*Emissionsfaktoren!L107/1000, 0)</f>
        <v>0</v>
      </c>
      <c r="M617" s="124">
        <f>IF(ISNUMBER('Klisz-Verbräuche'!N107), 'Klisz-Verbräuche'!N107*Emissionsfaktoren!M107/1000, 0)</f>
        <v>0</v>
      </c>
      <c r="N617" s="124">
        <f>IF(ISNUMBER('Klisz-Verbräuche'!O107), 'Klisz-Verbräuche'!O107*Emissionsfaktoren!N107/1000, 0)</f>
        <v>0</v>
      </c>
      <c r="O617" s="124">
        <f>IF(ISNUMBER('Klisz-Verbräuche'!P107), 'Klisz-Verbräuche'!P107*Emissionsfaktoren!O107/1000, 0)</f>
        <v>0</v>
      </c>
      <c r="P617" s="124">
        <f>IF(ISNUMBER('Klisz-Verbräuche'!Q107), 'Klisz-Verbräuche'!Q107*Emissionsfaktoren!P107/1000, 0)</f>
        <v>0</v>
      </c>
      <c r="Q617" s="124">
        <f>IF(ISNUMBER('Klisz-Verbräuche'!R107), 'Klisz-Verbräuche'!R107*Emissionsfaktoren!Q107/1000, 0)</f>
        <v>0</v>
      </c>
      <c r="R617" s="124">
        <f>IF(ISNUMBER('Klisz-Verbräuche'!S107), 'Klisz-Verbräuche'!S107*Emissionsfaktoren!R107/1000, 0)</f>
        <v>0</v>
      </c>
      <c r="S617" s="124">
        <f>IF(ISNUMBER('Klisz-Verbräuche'!T107), 'Klisz-Verbräuche'!T107*Emissionsfaktoren!S107/1000, 0)</f>
        <v>0</v>
      </c>
      <c r="T617" s="124">
        <f>IF(ISNUMBER('Klisz-Verbräuche'!U107), 'Klisz-Verbräuche'!U107*Emissionsfaktoren!T107/1000, 0)</f>
        <v>0</v>
      </c>
      <c r="U617" s="124">
        <f>IF(ISNUMBER('Klisz-Verbräuche'!V107), 'Klisz-Verbräuche'!V107*Emissionsfaktoren!U107/1000, 0)</f>
        <v>0</v>
      </c>
      <c r="V617" s="124">
        <f>IF(ISNUMBER('Klisz-Verbräuche'!W107), 'Klisz-Verbräuche'!W107*Emissionsfaktoren!V107/1000, 0)</f>
        <v>0</v>
      </c>
      <c r="W617" s="124">
        <f>IF(ISNUMBER('Klisz-Verbräuche'!X107), 'Klisz-Verbräuche'!X107*Emissionsfaktoren!W107/1000, 0)</f>
        <v>0</v>
      </c>
      <c r="X617" s="124">
        <f>IF(ISNUMBER('Klisz-Verbräuche'!Y107), 'Klisz-Verbräuche'!Y107*Emissionsfaktoren!X107/1000, 0)</f>
        <v>0</v>
      </c>
    </row>
    <row r="618" spans="2:24" ht="16.5" hidden="1" x14ac:dyDescent="0.45">
      <c r="B618" s="15">
        <v>48</v>
      </c>
      <c r="C618" s="20" t="str">
        <f>'Refsz-Verbräuche'!C108</f>
        <v>DR - Mietwägen (E-Auto/ BEV)</v>
      </c>
      <c r="D618" t="s">
        <v>208</v>
      </c>
      <c r="E618" s="124">
        <f>IF(ISNUMBER('Klisz-Verbräuche'!F108), 'Klisz-Verbräuche'!F108*Emissionsfaktoren!E108/1000, 0)</f>
        <v>0</v>
      </c>
      <c r="F618" s="124">
        <f>IF(ISNUMBER('Klisz-Verbräuche'!G108), 'Klisz-Verbräuche'!G108*Emissionsfaktoren!F108/1000, 0)</f>
        <v>0</v>
      </c>
      <c r="G618" s="124">
        <f>IF(ISNUMBER('Klisz-Verbräuche'!H108), 'Klisz-Verbräuche'!H108*Emissionsfaktoren!G108/1000, 0)</f>
        <v>0</v>
      </c>
      <c r="H618" s="124">
        <f>IF(ISNUMBER('Klisz-Verbräuche'!I108), 'Klisz-Verbräuche'!I108*Emissionsfaktoren!H108/1000, 0)</f>
        <v>0</v>
      </c>
      <c r="I618" s="124">
        <f>IF(ISNUMBER('Klisz-Verbräuche'!J108), 'Klisz-Verbräuche'!J108*Emissionsfaktoren!I108/1000, 0)</f>
        <v>0</v>
      </c>
      <c r="J618" s="124">
        <f>IF(ISNUMBER('Klisz-Verbräuche'!K108), 'Klisz-Verbräuche'!K108*Emissionsfaktoren!J108/1000, 0)</f>
        <v>0</v>
      </c>
      <c r="K618" s="124">
        <f>IF(ISNUMBER('Klisz-Verbräuche'!L108), 'Klisz-Verbräuche'!L108*Emissionsfaktoren!K108/1000, 0)</f>
        <v>0</v>
      </c>
      <c r="L618" s="124">
        <f>IF(ISNUMBER('Klisz-Verbräuche'!M108), 'Klisz-Verbräuche'!M108*Emissionsfaktoren!L108/1000, 0)</f>
        <v>0</v>
      </c>
      <c r="M618" s="124">
        <f>IF(ISNUMBER('Klisz-Verbräuche'!N108), 'Klisz-Verbräuche'!N108*Emissionsfaktoren!M108/1000, 0)</f>
        <v>0</v>
      </c>
      <c r="N618" s="124">
        <f>IF(ISNUMBER('Klisz-Verbräuche'!O108), 'Klisz-Verbräuche'!O108*Emissionsfaktoren!N108/1000, 0)</f>
        <v>0</v>
      </c>
      <c r="O618" s="124">
        <f>IF(ISNUMBER('Klisz-Verbräuche'!P108), 'Klisz-Verbräuche'!P108*Emissionsfaktoren!O108/1000, 0)</f>
        <v>0</v>
      </c>
      <c r="P618" s="124">
        <f>IF(ISNUMBER('Klisz-Verbräuche'!Q108), 'Klisz-Verbräuche'!Q108*Emissionsfaktoren!P108/1000, 0)</f>
        <v>0</v>
      </c>
      <c r="Q618" s="124">
        <f>IF(ISNUMBER('Klisz-Verbräuche'!R108), 'Klisz-Verbräuche'!R108*Emissionsfaktoren!Q108/1000, 0)</f>
        <v>0</v>
      </c>
      <c r="R618" s="124">
        <f>IF(ISNUMBER('Klisz-Verbräuche'!S108), 'Klisz-Verbräuche'!S108*Emissionsfaktoren!R108/1000, 0)</f>
        <v>0</v>
      </c>
      <c r="S618" s="124">
        <f>IF(ISNUMBER('Klisz-Verbräuche'!T108), 'Klisz-Verbräuche'!T108*Emissionsfaktoren!S108/1000, 0)</f>
        <v>0</v>
      </c>
      <c r="T618" s="124">
        <f>IF(ISNUMBER('Klisz-Verbräuche'!U108), 'Klisz-Verbräuche'!U108*Emissionsfaktoren!T108/1000, 0)</f>
        <v>0</v>
      </c>
      <c r="U618" s="124">
        <f>IF(ISNUMBER('Klisz-Verbräuche'!V108), 'Klisz-Verbräuche'!V108*Emissionsfaktoren!U108/1000, 0)</f>
        <v>0</v>
      </c>
      <c r="V618" s="124">
        <f>IF(ISNUMBER('Klisz-Verbräuche'!W108), 'Klisz-Verbräuche'!W108*Emissionsfaktoren!V108/1000, 0)</f>
        <v>0</v>
      </c>
      <c r="W618" s="124">
        <f>IF(ISNUMBER('Klisz-Verbräuche'!X108), 'Klisz-Verbräuche'!X108*Emissionsfaktoren!W108/1000, 0)</f>
        <v>0</v>
      </c>
      <c r="X618" s="124">
        <f>IF(ISNUMBER('Klisz-Verbräuche'!Y108), 'Klisz-Verbräuche'!Y108*Emissionsfaktoren!X108/1000, 0)</f>
        <v>0</v>
      </c>
    </row>
    <row r="619" spans="2:24" ht="16.5" hidden="1" x14ac:dyDescent="0.45">
      <c r="B619" s="15">
        <v>49</v>
      </c>
      <c r="C619" s="20" t="str">
        <f>'Refsz-Verbräuche'!C109</f>
        <v>DR - Mietwägen (Wasserstoff/ FCEV)</v>
      </c>
      <c r="D619" t="s">
        <v>208</v>
      </c>
      <c r="E619" s="124">
        <f>IF(ISNUMBER('Klisz-Verbräuche'!F109), 'Klisz-Verbräuche'!F109*Emissionsfaktoren!E109/1000, 0)</f>
        <v>0</v>
      </c>
      <c r="F619" s="124">
        <f>IF(ISNUMBER('Klisz-Verbräuche'!G109), 'Klisz-Verbräuche'!G109*Emissionsfaktoren!F109/1000, 0)</f>
        <v>0</v>
      </c>
      <c r="G619" s="124">
        <f>IF(ISNUMBER('Klisz-Verbräuche'!H109), 'Klisz-Verbräuche'!H109*Emissionsfaktoren!G109/1000, 0)</f>
        <v>0</v>
      </c>
      <c r="H619" s="124">
        <f>IF(ISNUMBER('Klisz-Verbräuche'!I109), 'Klisz-Verbräuche'!I109*Emissionsfaktoren!H109/1000, 0)</f>
        <v>0</v>
      </c>
      <c r="I619" s="124">
        <f>IF(ISNUMBER('Klisz-Verbräuche'!J109), 'Klisz-Verbräuche'!J109*Emissionsfaktoren!I109/1000, 0)</f>
        <v>0</v>
      </c>
      <c r="J619" s="124">
        <f>IF(ISNUMBER('Klisz-Verbräuche'!K109), 'Klisz-Verbräuche'!K109*Emissionsfaktoren!J109/1000, 0)</f>
        <v>0</v>
      </c>
      <c r="K619" s="124">
        <f>IF(ISNUMBER('Klisz-Verbräuche'!L109), 'Klisz-Verbräuche'!L109*Emissionsfaktoren!K109/1000, 0)</f>
        <v>0</v>
      </c>
      <c r="L619" s="124">
        <f>IF(ISNUMBER('Klisz-Verbräuche'!M109), 'Klisz-Verbräuche'!M109*Emissionsfaktoren!L109/1000, 0)</f>
        <v>0</v>
      </c>
      <c r="M619" s="124">
        <f>IF(ISNUMBER('Klisz-Verbräuche'!N109), 'Klisz-Verbräuche'!N109*Emissionsfaktoren!M109/1000, 0)</f>
        <v>0</v>
      </c>
      <c r="N619" s="124">
        <f>IF(ISNUMBER('Klisz-Verbräuche'!O109), 'Klisz-Verbräuche'!O109*Emissionsfaktoren!N109/1000, 0)</f>
        <v>0</v>
      </c>
      <c r="O619" s="124">
        <f>IF(ISNUMBER('Klisz-Verbräuche'!P109), 'Klisz-Verbräuche'!P109*Emissionsfaktoren!O109/1000, 0)</f>
        <v>0</v>
      </c>
      <c r="P619" s="124">
        <f>IF(ISNUMBER('Klisz-Verbräuche'!Q109), 'Klisz-Verbräuche'!Q109*Emissionsfaktoren!P109/1000, 0)</f>
        <v>0</v>
      </c>
      <c r="Q619" s="124">
        <f>IF(ISNUMBER('Klisz-Verbräuche'!R109), 'Klisz-Verbräuche'!R109*Emissionsfaktoren!Q109/1000, 0)</f>
        <v>0</v>
      </c>
      <c r="R619" s="124">
        <f>IF(ISNUMBER('Klisz-Verbräuche'!S109), 'Klisz-Verbräuche'!S109*Emissionsfaktoren!R109/1000, 0)</f>
        <v>0</v>
      </c>
      <c r="S619" s="124">
        <f>IF(ISNUMBER('Klisz-Verbräuche'!T109), 'Klisz-Verbräuche'!T109*Emissionsfaktoren!S109/1000, 0)</f>
        <v>0</v>
      </c>
      <c r="T619" s="124">
        <f>IF(ISNUMBER('Klisz-Verbräuche'!U109), 'Klisz-Verbräuche'!U109*Emissionsfaktoren!T109/1000, 0)</f>
        <v>0</v>
      </c>
      <c r="U619" s="124">
        <f>IF(ISNUMBER('Klisz-Verbräuche'!V109), 'Klisz-Verbräuche'!V109*Emissionsfaktoren!U109/1000, 0)</f>
        <v>0</v>
      </c>
      <c r="V619" s="124">
        <f>IF(ISNUMBER('Klisz-Verbräuche'!W109), 'Klisz-Verbräuche'!W109*Emissionsfaktoren!V109/1000, 0)</f>
        <v>0</v>
      </c>
      <c r="W619" s="124">
        <f>IF(ISNUMBER('Klisz-Verbräuche'!X109), 'Klisz-Verbräuche'!X109*Emissionsfaktoren!W109/1000, 0)</f>
        <v>0</v>
      </c>
      <c r="X619" s="124">
        <f>IF(ISNUMBER('Klisz-Verbräuche'!Y109), 'Klisz-Verbräuche'!Y109*Emissionsfaktoren!X109/1000, 0)</f>
        <v>0</v>
      </c>
    </row>
    <row r="620" spans="2:24" ht="16.5" hidden="1" x14ac:dyDescent="0.45">
      <c r="B620" s="15">
        <v>50</v>
      </c>
      <c r="C620" s="20" t="str">
        <f>'Refsz-Verbräuche'!C110</f>
        <v>DR - Mietwägen (CNG)</v>
      </c>
      <c r="D620" t="s">
        <v>208</v>
      </c>
      <c r="E620" s="124">
        <f>IF(ISNUMBER('Klisz-Verbräuche'!F110), 'Klisz-Verbräuche'!F110*Emissionsfaktoren!E110/1000, 0)</f>
        <v>0</v>
      </c>
      <c r="F620" s="124">
        <f>IF(ISNUMBER('Klisz-Verbräuche'!G110), 'Klisz-Verbräuche'!G110*Emissionsfaktoren!F110/1000, 0)</f>
        <v>0</v>
      </c>
      <c r="G620" s="124">
        <f>IF(ISNUMBER('Klisz-Verbräuche'!H110), 'Klisz-Verbräuche'!H110*Emissionsfaktoren!G110/1000, 0)</f>
        <v>0</v>
      </c>
      <c r="H620" s="124">
        <f>IF(ISNUMBER('Klisz-Verbräuche'!I110), 'Klisz-Verbräuche'!I110*Emissionsfaktoren!H110/1000, 0)</f>
        <v>0</v>
      </c>
      <c r="I620" s="124">
        <f>IF(ISNUMBER('Klisz-Verbräuche'!J110), 'Klisz-Verbräuche'!J110*Emissionsfaktoren!I110/1000, 0)</f>
        <v>0</v>
      </c>
      <c r="J620" s="124">
        <f>IF(ISNUMBER('Klisz-Verbräuche'!K110), 'Klisz-Verbräuche'!K110*Emissionsfaktoren!J110/1000, 0)</f>
        <v>0</v>
      </c>
      <c r="K620" s="124">
        <f>IF(ISNUMBER('Klisz-Verbräuche'!L110), 'Klisz-Verbräuche'!L110*Emissionsfaktoren!K110/1000, 0)</f>
        <v>0</v>
      </c>
      <c r="L620" s="124">
        <f>IF(ISNUMBER('Klisz-Verbräuche'!M110), 'Klisz-Verbräuche'!M110*Emissionsfaktoren!L110/1000, 0)</f>
        <v>0</v>
      </c>
      <c r="M620" s="124">
        <f>IF(ISNUMBER('Klisz-Verbräuche'!N110), 'Klisz-Verbräuche'!N110*Emissionsfaktoren!M110/1000, 0)</f>
        <v>0</v>
      </c>
      <c r="N620" s="124">
        <f>IF(ISNUMBER('Klisz-Verbräuche'!O110), 'Klisz-Verbräuche'!O110*Emissionsfaktoren!N110/1000, 0)</f>
        <v>0</v>
      </c>
      <c r="O620" s="124">
        <f>IF(ISNUMBER('Klisz-Verbräuche'!P110), 'Klisz-Verbräuche'!P110*Emissionsfaktoren!O110/1000, 0)</f>
        <v>0</v>
      </c>
      <c r="P620" s="124">
        <f>IF(ISNUMBER('Klisz-Verbräuche'!Q110), 'Klisz-Verbräuche'!Q110*Emissionsfaktoren!P110/1000, 0)</f>
        <v>0</v>
      </c>
      <c r="Q620" s="124">
        <f>IF(ISNUMBER('Klisz-Verbräuche'!R110), 'Klisz-Verbräuche'!R110*Emissionsfaktoren!Q110/1000, 0)</f>
        <v>0</v>
      </c>
      <c r="R620" s="124">
        <f>IF(ISNUMBER('Klisz-Verbräuche'!S110), 'Klisz-Verbräuche'!S110*Emissionsfaktoren!R110/1000, 0)</f>
        <v>0</v>
      </c>
      <c r="S620" s="124">
        <f>IF(ISNUMBER('Klisz-Verbräuche'!T110), 'Klisz-Verbräuche'!T110*Emissionsfaktoren!S110/1000, 0)</f>
        <v>0</v>
      </c>
      <c r="T620" s="124">
        <f>IF(ISNUMBER('Klisz-Verbräuche'!U110), 'Klisz-Verbräuche'!U110*Emissionsfaktoren!T110/1000, 0)</f>
        <v>0</v>
      </c>
      <c r="U620" s="124">
        <f>IF(ISNUMBER('Klisz-Verbräuche'!V110), 'Klisz-Verbräuche'!V110*Emissionsfaktoren!U110/1000, 0)</f>
        <v>0</v>
      </c>
      <c r="V620" s="124">
        <f>IF(ISNUMBER('Klisz-Verbräuche'!W110), 'Klisz-Verbräuche'!W110*Emissionsfaktoren!V110/1000, 0)</f>
        <v>0</v>
      </c>
      <c r="W620" s="124">
        <f>IF(ISNUMBER('Klisz-Verbräuche'!X110), 'Klisz-Verbräuche'!X110*Emissionsfaktoren!W110/1000, 0)</f>
        <v>0</v>
      </c>
      <c r="X620" s="124">
        <f>IF(ISNUMBER('Klisz-Verbräuche'!Y110), 'Klisz-Verbräuche'!Y110*Emissionsfaktoren!X110/1000, 0)</f>
        <v>0</v>
      </c>
    </row>
    <row r="621" spans="2:24" ht="16.5" hidden="1" x14ac:dyDescent="0.45">
      <c r="B621" s="15">
        <v>51</v>
      </c>
      <c r="C621" s="20" t="str">
        <f>'Refsz-Verbräuche'!C111</f>
        <v>DR - Mietwägen (Plug-In-Hybrid/ PHEV)</v>
      </c>
      <c r="D621" t="s">
        <v>208</v>
      </c>
      <c r="E621" s="124">
        <f>IF(ISNUMBER('Klisz-Verbräuche'!F111), 'Klisz-Verbräuche'!F111*Emissionsfaktoren!E111/1000, 0)</f>
        <v>0</v>
      </c>
      <c r="F621" s="124">
        <f>IF(ISNUMBER('Klisz-Verbräuche'!G111), 'Klisz-Verbräuche'!G111*Emissionsfaktoren!F111/1000, 0)</f>
        <v>0</v>
      </c>
      <c r="G621" s="124">
        <f>IF(ISNUMBER('Klisz-Verbräuche'!H111), 'Klisz-Verbräuche'!H111*Emissionsfaktoren!G111/1000, 0)</f>
        <v>0</v>
      </c>
      <c r="H621" s="124">
        <f>IF(ISNUMBER('Klisz-Verbräuche'!I111), 'Klisz-Verbräuche'!I111*Emissionsfaktoren!H111/1000, 0)</f>
        <v>0</v>
      </c>
      <c r="I621" s="124">
        <f>IF(ISNUMBER('Klisz-Verbräuche'!J111), 'Klisz-Verbräuche'!J111*Emissionsfaktoren!I111/1000, 0)</f>
        <v>0</v>
      </c>
      <c r="J621" s="124">
        <f>IF(ISNUMBER('Klisz-Verbräuche'!K111), 'Klisz-Verbräuche'!K111*Emissionsfaktoren!J111/1000, 0)</f>
        <v>0</v>
      </c>
      <c r="K621" s="124">
        <f>IF(ISNUMBER('Klisz-Verbräuche'!L111), 'Klisz-Verbräuche'!L111*Emissionsfaktoren!K111/1000, 0)</f>
        <v>0</v>
      </c>
      <c r="L621" s="124">
        <f>IF(ISNUMBER('Klisz-Verbräuche'!M111), 'Klisz-Verbräuche'!M111*Emissionsfaktoren!L111/1000, 0)</f>
        <v>0</v>
      </c>
      <c r="M621" s="124">
        <f>IF(ISNUMBER('Klisz-Verbräuche'!N111), 'Klisz-Verbräuche'!N111*Emissionsfaktoren!M111/1000, 0)</f>
        <v>0</v>
      </c>
      <c r="N621" s="124">
        <f>IF(ISNUMBER('Klisz-Verbräuche'!O111), 'Klisz-Verbräuche'!O111*Emissionsfaktoren!N111/1000, 0)</f>
        <v>0</v>
      </c>
      <c r="O621" s="124">
        <f>IF(ISNUMBER('Klisz-Verbräuche'!P111), 'Klisz-Verbräuche'!P111*Emissionsfaktoren!O111/1000, 0)</f>
        <v>0</v>
      </c>
      <c r="P621" s="124">
        <f>IF(ISNUMBER('Klisz-Verbräuche'!Q111), 'Klisz-Verbräuche'!Q111*Emissionsfaktoren!P111/1000, 0)</f>
        <v>0</v>
      </c>
      <c r="Q621" s="124">
        <f>IF(ISNUMBER('Klisz-Verbräuche'!R111), 'Klisz-Verbräuche'!R111*Emissionsfaktoren!Q111/1000, 0)</f>
        <v>0</v>
      </c>
      <c r="R621" s="124">
        <f>IF(ISNUMBER('Klisz-Verbräuche'!S111), 'Klisz-Verbräuche'!S111*Emissionsfaktoren!R111/1000, 0)</f>
        <v>0</v>
      </c>
      <c r="S621" s="124">
        <f>IF(ISNUMBER('Klisz-Verbräuche'!T111), 'Klisz-Verbräuche'!T111*Emissionsfaktoren!S111/1000, 0)</f>
        <v>0</v>
      </c>
      <c r="T621" s="124">
        <f>IF(ISNUMBER('Klisz-Verbräuche'!U111), 'Klisz-Verbräuche'!U111*Emissionsfaktoren!T111/1000, 0)</f>
        <v>0</v>
      </c>
      <c r="U621" s="124">
        <f>IF(ISNUMBER('Klisz-Verbräuche'!V111), 'Klisz-Verbräuche'!V111*Emissionsfaktoren!U111/1000, 0)</f>
        <v>0</v>
      </c>
      <c r="V621" s="124">
        <f>IF(ISNUMBER('Klisz-Verbräuche'!W111), 'Klisz-Verbräuche'!W111*Emissionsfaktoren!V111/1000, 0)</f>
        <v>0</v>
      </c>
      <c r="W621" s="124">
        <f>IF(ISNUMBER('Klisz-Verbräuche'!X111), 'Klisz-Verbräuche'!X111*Emissionsfaktoren!W111/1000, 0)</f>
        <v>0</v>
      </c>
      <c r="X621" s="124">
        <f>IF(ISNUMBER('Klisz-Verbräuche'!Y111), 'Klisz-Verbräuche'!Y111*Emissionsfaktoren!X111/1000, 0)</f>
        <v>0</v>
      </c>
    </row>
    <row r="622" spans="2:24" ht="16.5" hidden="1" x14ac:dyDescent="0.45">
      <c r="B622" s="15">
        <v>52</v>
      </c>
      <c r="C622" s="20" t="str">
        <f>'Refsz-Verbräuche'!C112</f>
        <v>DR - E-Bike</v>
      </c>
      <c r="D622" t="s">
        <v>208</v>
      </c>
      <c r="E622" s="124">
        <f>IF(ISNUMBER('Klisz-Verbräuche'!F112), 'Klisz-Verbräuche'!F112*Emissionsfaktoren!E112/1000, 0)</f>
        <v>0</v>
      </c>
      <c r="F622" s="124">
        <f>IF(ISNUMBER('Klisz-Verbräuche'!G112), 'Klisz-Verbräuche'!G112*Emissionsfaktoren!F112/1000, 0)</f>
        <v>0</v>
      </c>
      <c r="G622" s="124">
        <f>IF(ISNUMBER('Klisz-Verbräuche'!H112), 'Klisz-Verbräuche'!H112*Emissionsfaktoren!G112/1000, 0)</f>
        <v>0</v>
      </c>
      <c r="H622" s="124">
        <f>IF(ISNUMBER('Klisz-Verbräuche'!I112), 'Klisz-Verbräuche'!I112*Emissionsfaktoren!H112/1000, 0)</f>
        <v>0</v>
      </c>
      <c r="I622" s="124">
        <f>IF(ISNUMBER('Klisz-Verbräuche'!J112), 'Klisz-Verbräuche'!J112*Emissionsfaktoren!I112/1000, 0)</f>
        <v>0</v>
      </c>
      <c r="J622" s="124">
        <f>IF(ISNUMBER('Klisz-Verbräuche'!K112), 'Klisz-Verbräuche'!K112*Emissionsfaktoren!J112/1000, 0)</f>
        <v>0</v>
      </c>
      <c r="K622" s="124">
        <f>IF(ISNUMBER('Klisz-Verbräuche'!L112), 'Klisz-Verbräuche'!L112*Emissionsfaktoren!K112/1000, 0)</f>
        <v>0</v>
      </c>
      <c r="L622" s="124">
        <f>IF(ISNUMBER('Klisz-Verbräuche'!M112), 'Klisz-Verbräuche'!M112*Emissionsfaktoren!L112/1000, 0)</f>
        <v>0</v>
      </c>
      <c r="M622" s="124">
        <f>IF(ISNUMBER('Klisz-Verbräuche'!N112), 'Klisz-Verbräuche'!N112*Emissionsfaktoren!M112/1000, 0)</f>
        <v>0</v>
      </c>
      <c r="N622" s="124">
        <f>IF(ISNUMBER('Klisz-Verbräuche'!O112), 'Klisz-Verbräuche'!O112*Emissionsfaktoren!N112/1000, 0)</f>
        <v>0</v>
      </c>
      <c r="O622" s="124">
        <f>IF(ISNUMBER('Klisz-Verbräuche'!P112), 'Klisz-Verbräuche'!P112*Emissionsfaktoren!O112/1000, 0)</f>
        <v>0</v>
      </c>
      <c r="P622" s="124">
        <f>IF(ISNUMBER('Klisz-Verbräuche'!Q112), 'Klisz-Verbräuche'!Q112*Emissionsfaktoren!P112/1000, 0)</f>
        <v>0</v>
      </c>
      <c r="Q622" s="124">
        <f>IF(ISNUMBER('Klisz-Verbräuche'!R112), 'Klisz-Verbräuche'!R112*Emissionsfaktoren!Q112/1000, 0)</f>
        <v>0</v>
      </c>
      <c r="R622" s="124">
        <f>IF(ISNUMBER('Klisz-Verbräuche'!S112), 'Klisz-Verbräuche'!S112*Emissionsfaktoren!R112/1000, 0)</f>
        <v>0</v>
      </c>
      <c r="S622" s="124">
        <f>IF(ISNUMBER('Klisz-Verbräuche'!T112), 'Klisz-Verbräuche'!T112*Emissionsfaktoren!S112/1000, 0)</f>
        <v>0</v>
      </c>
      <c r="T622" s="124">
        <f>IF(ISNUMBER('Klisz-Verbräuche'!U112), 'Klisz-Verbräuche'!U112*Emissionsfaktoren!T112/1000, 0)</f>
        <v>0</v>
      </c>
      <c r="U622" s="124">
        <f>IF(ISNUMBER('Klisz-Verbräuche'!V112), 'Klisz-Verbräuche'!V112*Emissionsfaktoren!U112/1000, 0)</f>
        <v>0</v>
      </c>
      <c r="V622" s="124">
        <f>IF(ISNUMBER('Klisz-Verbräuche'!W112), 'Klisz-Verbräuche'!W112*Emissionsfaktoren!V112/1000, 0)</f>
        <v>0</v>
      </c>
      <c r="W622" s="124">
        <f>IF(ISNUMBER('Klisz-Verbräuche'!X112), 'Klisz-Verbräuche'!X112*Emissionsfaktoren!W112/1000, 0)</f>
        <v>0</v>
      </c>
      <c r="X622" s="124">
        <f>IF(ISNUMBER('Klisz-Verbräuche'!Y112), 'Klisz-Verbräuche'!Y112*Emissionsfaktoren!X112/1000, 0)</f>
        <v>0</v>
      </c>
    </row>
    <row r="623" spans="2:24" ht="16.5" hidden="1" x14ac:dyDescent="0.45">
      <c r="B623" s="15">
        <v>53</v>
      </c>
      <c r="C623" s="20" t="str">
        <f>'Refsz-Verbräuche'!C113</f>
        <v>DR - Fahrrad</v>
      </c>
      <c r="D623" t="s">
        <v>208</v>
      </c>
      <c r="E623" s="124">
        <f>IF(ISNUMBER('Klisz-Verbräuche'!F113), 'Klisz-Verbräuche'!F113*Emissionsfaktoren!E113/1000, 0)</f>
        <v>0</v>
      </c>
      <c r="F623" s="124">
        <f>IF(ISNUMBER('Klisz-Verbräuche'!G113), 'Klisz-Verbräuche'!G113*Emissionsfaktoren!F113/1000, 0)</f>
        <v>0</v>
      </c>
      <c r="G623" s="124">
        <f>IF(ISNUMBER('Klisz-Verbräuche'!H113), 'Klisz-Verbräuche'!H113*Emissionsfaktoren!G113/1000, 0)</f>
        <v>0</v>
      </c>
      <c r="H623" s="124">
        <f>IF(ISNUMBER('Klisz-Verbräuche'!I113), 'Klisz-Verbräuche'!I113*Emissionsfaktoren!H113/1000, 0)</f>
        <v>0</v>
      </c>
      <c r="I623" s="124">
        <f>IF(ISNUMBER('Klisz-Verbräuche'!J113), 'Klisz-Verbräuche'!J113*Emissionsfaktoren!I113/1000, 0)</f>
        <v>0</v>
      </c>
      <c r="J623" s="124">
        <f>IF(ISNUMBER('Klisz-Verbräuche'!K113), 'Klisz-Verbräuche'!K113*Emissionsfaktoren!J113/1000, 0)</f>
        <v>0</v>
      </c>
      <c r="K623" s="124">
        <f>IF(ISNUMBER('Klisz-Verbräuche'!L113), 'Klisz-Verbräuche'!L113*Emissionsfaktoren!K113/1000, 0)</f>
        <v>0</v>
      </c>
      <c r="L623" s="124">
        <f>IF(ISNUMBER('Klisz-Verbräuche'!M113), 'Klisz-Verbräuche'!M113*Emissionsfaktoren!L113/1000, 0)</f>
        <v>0</v>
      </c>
      <c r="M623" s="124">
        <f>IF(ISNUMBER('Klisz-Verbräuche'!N113), 'Klisz-Verbräuche'!N113*Emissionsfaktoren!M113/1000, 0)</f>
        <v>0</v>
      </c>
      <c r="N623" s="124">
        <f>IF(ISNUMBER('Klisz-Verbräuche'!O113), 'Klisz-Verbräuche'!O113*Emissionsfaktoren!N113/1000, 0)</f>
        <v>0</v>
      </c>
      <c r="O623" s="124">
        <f>IF(ISNUMBER('Klisz-Verbräuche'!P113), 'Klisz-Verbräuche'!P113*Emissionsfaktoren!O113/1000, 0)</f>
        <v>0</v>
      </c>
      <c r="P623" s="124">
        <f>IF(ISNUMBER('Klisz-Verbräuche'!Q113), 'Klisz-Verbräuche'!Q113*Emissionsfaktoren!P113/1000, 0)</f>
        <v>0</v>
      </c>
      <c r="Q623" s="124">
        <f>IF(ISNUMBER('Klisz-Verbräuche'!R113), 'Klisz-Verbräuche'!R113*Emissionsfaktoren!Q113/1000, 0)</f>
        <v>0</v>
      </c>
      <c r="R623" s="124">
        <f>IF(ISNUMBER('Klisz-Verbräuche'!S113), 'Klisz-Verbräuche'!S113*Emissionsfaktoren!R113/1000, 0)</f>
        <v>0</v>
      </c>
      <c r="S623" s="124">
        <f>IF(ISNUMBER('Klisz-Verbräuche'!T113), 'Klisz-Verbräuche'!T113*Emissionsfaktoren!S113/1000, 0)</f>
        <v>0</v>
      </c>
      <c r="T623" s="124">
        <f>IF(ISNUMBER('Klisz-Verbräuche'!U113), 'Klisz-Verbräuche'!U113*Emissionsfaktoren!T113/1000, 0)</f>
        <v>0</v>
      </c>
      <c r="U623" s="124">
        <f>IF(ISNUMBER('Klisz-Verbräuche'!V113), 'Klisz-Verbräuche'!V113*Emissionsfaktoren!U113/1000, 0)</f>
        <v>0</v>
      </c>
      <c r="V623" s="124">
        <f>IF(ISNUMBER('Klisz-Verbräuche'!W113), 'Klisz-Verbräuche'!W113*Emissionsfaktoren!V113/1000, 0)</f>
        <v>0</v>
      </c>
      <c r="W623" s="124">
        <f>IF(ISNUMBER('Klisz-Verbräuche'!X113), 'Klisz-Verbräuche'!X113*Emissionsfaktoren!W113/1000, 0)</f>
        <v>0</v>
      </c>
      <c r="X623" s="124">
        <f>IF(ISNUMBER('Klisz-Verbräuche'!Y113), 'Klisz-Verbräuche'!Y113*Emissionsfaktoren!X113/1000, 0)</f>
        <v>0</v>
      </c>
    </row>
    <row r="624" spans="2:24" ht="16.5" hidden="1" x14ac:dyDescent="0.45">
      <c r="B624" s="15">
        <v>54</v>
      </c>
      <c r="C624" s="20">
        <f>'Refsz-Verbräuche'!C114</f>
        <v>0</v>
      </c>
      <c r="D624" t="s">
        <v>208</v>
      </c>
      <c r="E624" s="124">
        <f>IF(ISNUMBER('Klisz-Verbräuche'!F114), 'Klisz-Verbräuche'!F114*Emissionsfaktoren!E114/1000, 0)</f>
        <v>0</v>
      </c>
      <c r="F624" s="124">
        <f>IF(ISNUMBER('Klisz-Verbräuche'!G114), 'Klisz-Verbräuche'!G114*Emissionsfaktoren!F114/1000, 0)</f>
        <v>0</v>
      </c>
      <c r="G624" s="124">
        <f>IF(ISNUMBER('Klisz-Verbräuche'!H114), 'Klisz-Verbräuche'!H114*Emissionsfaktoren!G114/1000, 0)</f>
        <v>0</v>
      </c>
      <c r="H624" s="124">
        <f>IF(ISNUMBER('Klisz-Verbräuche'!I114), 'Klisz-Verbräuche'!I114*Emissionsfaktoren!H114/1000, 0)</f>
        <v>0</v>
      </c>
      <c r="I624" s="124">
        <f>IF(ISNUMBER('Klisz-Verbräuche'!J114), 'Klisz-Verbräuche'!J114*Emissionsfaktoren!I114/1000, 0)</f>
        <v>0</v>
      </c>
      <c r="J624" s="124">
        <f>IF(ISNUMBER('Klisz-Verbräuche'!K114), 'Klisz-Verbräuche'!K114*Emissionsfaktoren!J114/1000, 0)</f>
        <v>0</v>
      </c>
      <c r="K624" s="124">
        <f>IF(ISNUMBER('Klisz-Verbräuche'!L114), 'Klisz-Verbräuche'!L114*Emissionsfaktoren!K114/1000, 0)</f>
        <v>0</v>
      </c>
      <c r="L624" s="124">
        <f>IF(ISNUMBER('Klisz-Verbräuche'!M114), 'Klisz-Verbräuche'!M114*Emissionsfaktoren!L114/1000, 0)</f>
        <v>0</v>
      </c>
      <c r="M624" s="124">
        <f>IF(ISNUMBER('Klisz-Verbräuche'!N114), 'Klisz-Verbräuche'!N114*Emissionsfaktoren!M114/1000, 0)</f>
        <v>0</v>
      </c>
      <c r="N624" s="124">
        <f>IF(ISNUMBER('Klisz-Verbräuche'!O114), 'Klisz-Verbräuche'!O114*Emissionsfaktoren!N114/1000, 0)</f>
        <v>0</v>
      </c>
      <c r="O624" s="124">
        <f>IF(ISNUMBER('Klisz-Verbräuche'!P114), 'Klisz-Verbräuche'!P114*Emissionsfaktoren!O114/1000, 0)</f>
        <v>0</v>
      </c>
      <c r="P624" s="124">
        <f>IF(ISNUMBER('Klisz-Verbräuche'!Q114), 'Klisz-Verbräuche'!Q114*Emissionsfaktoren!P114/1000, 0)</f>
        <v>0</v>
      </c>
      <c r="Q624" s="124">
        <f>IF(ISNUMBER('Klisz-Verbräuche'!R114), 'Klisz-Verbräuche'!R114*Emissionsfaktoren!Q114/1000, 0)</f>
        <v>0</v>
      </c>
      <c r="R624" s="124">
        <f>IF(ISNUMBER('Klisz-Verbräuche'!S114), 'Klisz-Verbräuche'!S114*Emissionsfaktoren!R114/1000, 0)</f>
        <v>0</v>
      </c>
      <c r="S624" s="124">
        <f>IF(ISNUMBER('Klisz-Verbräuche'!T114), 'Klisz-Verbräuche'!T114*Emissionsfaktoren!S114/1000, 0)</f>
        <v>0</v>
      </c>
      <c r="T624" s="124">
        <f>IF(ISNUMBER('Klisz-Verbräuche'!U114), 'Klisz-Verbräuche'!U114*Emissionsfaktoren!T114/1000, 0)</f>
        <v>0</v>
      </c>
      <c r="U624" s="124">
        <f>IF(ISNUMBER('Klisz-Verbräuche'!V114), 'Klisz-Verbräuche'!V114*Emissionsfaktoren!U114/1000, 0)</f>
        <v>0</v>
      </c>
      <c r="V624" s="124">
        <f>IF(ISNUMBER('Klisz-Verbräuche'!W114), 'Klisz-Verbräuche'!W114*Emissionsfaktoren!V114/1000, 0)</f>
        <v>0</v>
      </c>
      <c r="W624" s="124">
        <f>IF(ISNUMBER('Klisz-Verbräuche'!X114), 'Klisz-Verbräuche'!X114*Emissionsfaktoren!W114/1000, 0)</f>
        <v>0</v>
      </c>
      <c r="X624" s="124">
        <f>IF(ISNUMBER('Klisz-Verbräuche'!Y114), 'Klisz-Verbräuche'!Y114*Emissionsfaktoren!X114/1000, 0)</f>
        <v>0</v>
      </c>
    </row>
    <row r="625" spans="2:24" ht="16.5" hidden="1" x14ac:dyDescent="0.45">
      <c r="B625" s="15">
        <v>55</v>
      </c>
      <c r="C625" s="20" t="str">
        <f>'Refsz-Verbräuche'!C115</f>
        <v>Studierendenreisen (Outgoing) - Flugreisen</v>
      </c>
      <c r="D625" t="s">
        <v>208</v>
      </c>
      <c r="E625" s="124">
        <f>IF(ISNUMBER('Klisz-Verbräuche'!F115), 'Klisz-Verbräuche'!F115*Emissionsfaktoren!E115/1000, 0)</f>
        <v>0</v>
      </c>
      <c r="F625" s="124">
        <f>IF(ISNUMBER('Klisz-Verbräuche'!G115), 'Klisz-Verbräuche'!G115*Emissionsfaktoren!F115/1000, 0)</f>
        <v>0</v>
      </c>
      <c r="G625" s="124">
        <f>IF(ISNUMBER('Klisz-Verbräuche'!H115), 'Klisz-Verbräuche'!H115*Emissionsfaktoren!G115/1000, 0)</f>
        <v>0</v>
      </c>
      <c r="H625" s="124">
        <f>IF(ISNUMBER('Klisz-Verbräuche'!I115), 'Klisz-Verbräuche'!I115*Emissionsfaktoren!H115/1000, 0)</f>
        <v>0</v>
      </c>
      <c r="I625" s="124">
        <f>IF(ISNUMBER('Klisz-Verbräuche'!J115), 'Klisz-Verbräuche'!J115*Emissionsfaktoren!I115/1000, 0)</f>
        <v>0</v>
      </c>
      <c r="J625" s="124">
        <f>IF(ISNUMBER('Klisz-Verbräuche'!K115), 'Klisz-Verbräuche'!K115*Emissionsfaktoren!J115/1000, 0)</f>
        <v>0</v>
      </c>
      <c r="K625" s="124">
        <f>IF(ISNUMBER('Klisz-Verbräuche'!L115), 'Klisz-Verbräuche'!L115*Emissionsfaktoren!K115/1000, 0)</f>
        <v>0</v>
      </c>
      <c r="L625" s="124">
        <f>IF(ISNUMBER('Klisz-Verbräuche'!M115), 'Klisz-Verbräuche'!M115*Emissionsfaktoren!L115/1000, 0)</f>
        <v>0</v>
      </c>
      <c r="M625" s="124">
        <f>IF(ISNUMBER('Klisz-Verbräuche'!N115), 'Klisz-Verbräuche'!N115*Emissionsfaktoren!M115/1000, 0)</f>
        <v>0</v>
      </c>
      <c r="N625" s="124">
        <f>IF(ISNUMBER('Klisz-Verbräuche'!O115), 'Klisz-Verbräuche'!O115*Emissionsfaktoren!N115/1000, 0)</f>
        <v>0</v>
      </c>
      <c r="O625" s="124">
        <f>IF(ISNUMBER('Klisz-Verbräuche'!P115), 'Klisz-Verbräuche'!P115*Emissionsfaktoren!O115/1000, 0)</f>
        <v>0</v>
      </c>
      <c r="P625" s="124">
        <f>IF(ISNUMBER('Klisz-Verbräuche'!Q115), 'Klisz-Verbräuche'!Q115*Emissionsfaktoren!P115/1000, 0)</f>
        <v>0</v>
      </c>
      <c r="Q625" s="124">
        <f>IF(ISNUMBER('Klisz-Verbräuche'!R115), 'Klisz-Verbräuche'!R115*Emissionsfaktoren!Q115/1000, 0)</f>
        <v>0</v>
      </c>
      <c r="R625" s="124">
        <f>IF(ISNUMBER('Klisz-Verbräuche'!S115), 'Klisz-Verbräuche'!S115*Emissionsfaktoren!R115/1000, 0)</f>
        <v>0</v>
      </c>
      <c r="S625" s="124">
        <f>IF(ISNUMBER('Klisz-Verbräuche'!T115), 'Klisz-Verbräuche'!T115*Emissionsfaktoren!S115/1000, 0)</f>
        <v>0</v>
      </c>
      <c r="T625" s="124">
        <f>IF(ISNUMBER('Klisz-Verbräuche'!U115), 'Klisz-Verbräuche'!U115*Emissionsfaktoren!T115/1000, 0)</f>
        <v>0</v>
      </c>
      <c r="U625" s="124">
        <f>IF(ISNUMBER('Klisz-Verbräuche'!V115), 'Klisz-Verbräuche'!V115*Emissionsfaktoren!U115/1000, 0)</f>
        <v>0</v>
      </c>
      <c r="V625" s="124">
        <f>IF(ISNUMBER('Klisz-Verbräuche'!W115), 'Klisz-Verbräuche'!W115*Emissionsfaktoren!V115/1000, 0)</f>
        <v>0</v>
      </c>
      <c r="W625" s="124">
        <f>IF(ISNUMBER('Klisz-Verbräuche'!X115), 'Klisz-Verbräuche'!X115*Emissionsfaktoren!W115/1000, 0)</f>
        <v>0</v>
      </c>
      <c r="X625" s="124">
        <f>IF(ISNUMBER('Klisz-Verbräuche'!Y115), 'Klisz-Verbräuche'!Y115*Emissionsfaktoren!X115/1000, 0)</f>
        <v>0</v>
      </c>
    </row>
    <row r="626" spans="2:24" ht="16.5" hidden="1" x14ac:dyDescent="0.45">
      <c r="B626" s="15">
        <v>56</v>
      </c>
      <c r="C626" s="20" t="str">
        <f>'Refsz-Verbräuche'!C116</f>
        <v>Studierendenreisen (Outgoing) - Eisenbahn (Nahverkehr)</v>
      </c>
      <c r="D626" t="s">
        <v>208</v>
      </c>
      <c r="E626" s="124">
        <f>IF(ISNUMBER('Klisz-Verbräuche'!F116), 'Klisz-Verbräuche'!F116*Emissionsfaktoren!E116/1000, 0)</f>
        <v>0</v>
      </c>
      <c r="F626" s="124">
        <f>IF(ISNUMBER('Klisz-Verbräuche'!G116), 'Klisz-Verbräuche'!G116*Emissionsfaktoren!F116/1000, 0)</f>
        <v>0</v>
      </c>
      <c r="G626" s="124">
        <f>IF(ISNUMBER('Klisz-Verbräuche'!H116), 'Klisz-Verbräuche'!H116*Emissionsfaktoren!G116/1000, 0)</f>
        <v>0</v>
      </c>
      <c r="H626" s="124">
        <f>IF(ISNUMBER('Klisz-Verbräuche'!I116), 'Klisz-Verbräuche'!I116*Emissionsfaktoren!H116/1000, 0)</f>
        <v>0</v>
      </c>
      <c r="I626" s="124">
        <f>IF(ISNUMBER('Klisz-Verbräuche'!J116), 'Klisz-Verbräuche'!J116*Emissionsfaktoren!I116/1000, 0)</f>
        <v>0</v>
      </c>
      <c r="J626" s="124">
        <f>IF(ISNUMBER('Klisz-Verbräuche'!K116), 'Klisz-Verbräuche'!K116*Emissionsfaktoren!J116/1000, 0)</f>
        <v>0</v>
      </c>
      <c r="K626" s="124">
        <f>IF(ISNUMBER('Klisz-Verbräuche'!L116), 'Klisz-Verbräuche'!L116*Emissionsfaktoren!K116/1000, 0)</f>
        <v>0</v>
      </c>
      <c r="L626" s="124">
        <f>IF(ISNUMBER('Klisz-Verbräuche'!M116), 'Klisz-Verbräuche'!M116*Emissionsfaktoren!L116/1000, 0)</f>
        <v>0</v>
      </c>
      <c r="M626" s="124">
        <f>IF(ISNUMBER('Klisz-Verbräuche'!N116), 'Klisz-Verbräuche'!N116*Emissionsfaktoren!M116/1000, 0)</f>
        <v>0</v>
      </c>
      <c r="N626" s="124">
        <f>IF(ISNUMBER('Klisz-Verbräuche'!O116), 'Klisz-Verbräuche'!O116*Emissionsfaktoren!N116/1000, 0)</f>
        <v>0</v>
      </c>
      <c r="O626" s="124">
        <f>IF(ISNUMBER('Klisz-Verbräuche'!P116), 'Klisz-Verbräuche'!P116*Emissionsfaktoren!O116/1000, 0)</f>
        <v>0</v>
      </c>
      <c r="P626" s="124">
        <f>IF(ISNUMBER('Klisz-Verbräuche'!Q116), 'Klisz-Verbräuche'!Q116*Emissionsfaktoren!P116/1000, 0)</f>
        <v>0</v>
      </c>
      <c r="Q626" s="124">
        <f>IF(ISNUMBER('Klisz-Verbräuche'!R116), 'Klisz-Verbräuche'!R116*Emissionsfaktoren!Q116/1000, 0)</f>
        <v>0</v>
      </c>
      <c r="R626" s="124">
        <f>IF(ISNUMBER('Klisz-Verbräuche'!S116), 'Klisz-Verbräuche'!S116*Emissionsfaktoren!R116/1000, 0)</f>
        <v>0</v>
      </c>
      <c r="S626" s="124">
        <f>IF(ISNUMBER('Klisz-Verbräuche'!T116), 'Klisz-Verbräuche'!T116*Emissionsfaktoren!S116/1000, 0)</f>
        <v>0</v>
      </c>
      <c r="T626" s="124">
        <f>IF(ISNUMBER('Klisz-Verbräuche'!U116), 'Klisz-Verbräuche'!U116*Emissionsfaktoren!T116/1000, 0)</f>
        <v>0</v>
      </c>
      <c r="U626" s="124">
        <f>IF(ISNUMBER('Klisz-Verbräuche'!V116), 'Klisz-Verbräuche'!V116*Emissionsfaktoren!U116/1000, 0)</f>
        <v>0</v>
      </c>
      <c r="V626" s="124">
        <f>IF(ISNUMBER('Klisz-Verbräuche'!W116), 'Klisz-Verbräuche'!W116*Emissionsfaktoren!V116/1000, 0)</f>
        <v>0</v>
      </c>
      <c r="W626" s="124">
        <f>IF(ISNUMBER('Klisz-Verbräuche'!X116), 'Klisz-Verbräuche'!X116*Emissionsfaktoren!W116/1000, 0)</f>
        <v>0</v>
      </c>
      <c r="X626" s="124">
        <f>IF(ISNUMBER('Klisz-Verbräuche'!Y116), 'Klisz-Verbräuche'!Y116*Emissionsfaktoren!X116/1000, 0)</f>
        <v>0</v>
      </c>
    </row>
    <row r="627" spans="2:24" ht="16.5" hidden="1" x14ac:dyDescent="0.45">
      <c r="B627" s="15">
        <v>57</v>
      </c>
      <c r="C627" s="20" t="str">
        <f>'Refsz-Verbräuche'!C117</f>
        <v>Studierendenreisen (Outgoing) - Privater PKW (alle Antriebsarten)</v>
      </c>
      <c r="D627" t="s">
        <v>208</v>
      </c>
      <c r="E627" s="124">
        <f>IF(ISNUMBER('Klisz-Verbräuche'!F117), 'Klisz-Verbräuche'!F117*Emissionsfaktoren!E117/1000, 0)</f>
        <v>0</v>
      </c>
      <c r="F627" s="124">
        <f>IF(ISNUMBER('Klisz-Verbräuche'!G117), 'Klisz-Verbräuche'!G117*Emissionsfaktoren!F117/1000, 0)</f>
        <v>0</v>
      </c>
      <c r="G627" s="124">
        <f>IF(ISNUMBER('Klisz-Verbräuche'!H117), 'Klisz-Verbräuche'!H117*Emissionsfaktoren!G117/1000, 0)</f>
        <v>0</v>
      </c>
      <c r="H627" s="124">
        <f>IF(ISNUMBER('Klisz-Verbräuche'!I117), 'Klisz-Verbräuche'!I117*Emissionsfaktoren!H117/1000, 0)</f>
        <v>0</v>
      </c>
      <c r="I627" s="124">
        <f>IF(ISNUMBER('Klisz-Verbräuche'!J117), 'Klisz-Verbräuche'!J117*Emissionsfaktoren!I117/1000, 0)</f>
        <v>0</v>
      </c>
      <c r="J627" s="124">
        <f>IF(ISNUMBER('Klisz-Verbräuche'!K117), 'Klisz-Verbräuche'!K117*Emissionsfaktoren!J117/1000, 0)</f>
        <v>0</v>
      </c>
      <c r="K627" s="124">
        <f>IF(ISNUMBER('Klisz-Verbräuche'!L117), 'Klisz-Verbräuche'!L117*Emissionsfaktoren!K117/1000, 0)</f>
        <v>0</v>
      </c>
      <c r="L627" s="124">
        <f>IF(ISNUMBER('Klisz-Verbräuche'!M117), 'Klisz-Verbräuche'!M117*Emissionsfaktoren!L117/1000, 0)</f>
        <v>0</v>
      </c>
      <c r="M627" s="124">
        <f>IF(ISNUMBER('Klisz-Verbräuche'!N117), 'Klisz-Verbräuche'!N117*Emissionsfaktoren!M117/1000, 0)</f>
        <v>0</v>
      </c>
      <c r="N627" s="124">
        <f>IF(ISNUMBER('Klisz-Verbräuche'!O117), 'Klisz-Verbräuche'!O117*Emissionsfaktoren!N117/1000, 0)</f>
        <v>0</v>
      </c>
      <c r="O627" s="124">
        <f>IF(ISNUMBER('Klisz-Verbräuche'!P117), 'Klisz-Verbräuche'!P117*Emissionsfaktoren!O117/1000, 0)</f>
        <v>0</v>
      </c>
      <c r="P627" s="124">
        <f>IF(ISNUMBER('Klisz-Verbräuche'!Q117), 'Klisz-Verbräuche'!Q117*Emissionsfaktoren!P117/1000, 0)</f>
        <v>0</v>
      </c>
      <c r="Q627" s="124">
        <f>IF(ISNUMBER('Klisz-Verbräuche'!R117), 'Klisz-Verbräuche'!R117*Emissionsfaktoren!Q117/1000, 0)</f>
        <v>0</v>
      </c>
      <c r="R627" s="124">
        <f>IF(ISNUMBER('Klisz-Verbräuche'!S117), 'Klisz-Verbräuche'!S117*Emissionsfaktoren!R117/1000, 0)</f>
        <v>0</v>
      </c>
      <c r="S627" s="124">
        <f>IF(ISNUMBER('Klisz-Verbräuche'!T117), 'Klisz-Verbräuche'!T117*Emissionsfaktoren!S117/1000, 0)</f>
        <v>0</v>
      </c>
      <c r="T627" s="124">
        <f>IF(ISNUMBER('Klisz-Verbräuche'!U117), 'Klisz-Verbräuche'!U117*Emissionsfaktoren!T117/1000, 0)</f>
        <v>0</v>
      </c>
      <c r="U627" s="124">
        <f>IF(ISNUMBER('Klisz-Verbräuche'!V117), 'Klisz-Verbräuche'!V117*Emissionsfaktoren!U117/1000, 0)</f>
        <v>0</v>
      </c>
      <c r="V627" s="124">
        <f>IF(ISNUMBER('Klisz-Verbräuche'!W117), 'Klisz-Verbräuche'!W117*Emissionsfaktoren!V117/1000, 0)</f>
        <v>0</v>
      </c>
      <c r="W627" s="124">
        <f>IF(ISNUMBER('Klisz-Verbräuche'!X117), 'Klisz-Verbräuche'!X117*Emissionsfaktoren!W117/1000, 0)</f>
        <v>0</v>
      </c>
      <c r="X627" s="124">
        <f>IF(ISNUMBER('Klisz-Verbräuche'!Y117), 'Klisz-Verbräuche'!Y117*Emissionsfaktoren!X117/1000, 0)</f>
        <v>0</v>
      </c>
    </row>
    <row r="628" spans="2:24" ht="16.5" hidden="1" x14ac:dyDescent="0.45">
      <c r="B628" s="15">
        <v>58</v>
      </c>
      <c r="C628" s="20">
        <f>'Refsz-Verbräuche'!C118</f>
        <v>0</v>
      </c>
      <c r="D628" t="s">
        <v>208</v>
      </c>
      <c r="E628" s="124">
        <f>IF(ISNUMBER('Klisz-Verbräuche'!F118), 'Klisz-Verbräuche'!F118*Emissionsfaktoren!E118/1000, 0)</f>
        <v>0</v>
      </c>
      <c r="F628" s="124">
        <f>IF(ISNUMBER('Klisz-Verbräuche'!G118), 'Klisz-Verbräuche'!G118*Emissionsfaktoren!F118/1000, 0)</f>
        <v>0</v>
      </c>
      <c r="G628" s="124">
        <f>IF(ISNUMBER('Klisz-Verbräuche'!H118), 'Klisz-Verbräuche'!H118*Emissionsfaktoren!G118/1000, 0)</f>
        <v>0</v>
      </c>
      <c r="H628" s="124">
        <f>IF(ISNUMBER('Klisz-Verbräuche'!I118), 'Klisz-Verbräuche'!I118*Emissionsfaktoren!H118/1000, 0)</f>
        <v>0</v>
      </c>
      <c r="I628" s="124">
        <f>IF(ISNUMBER('Klisz-Verbräuche'!J118), 'Klisz-Verbräuche'!J118*Emissionsfaktoren!I118/1000, 0)</f>
        <v>0</v>
      </c>
      <c r="J628" s="124">
        <f>IF(ISNUMBER('Klisz-Verbräuche'!K118), 'Klisz-Verbräuche'!K118*Emissionsfaktoren!J118/1000, 0)</f>
        <v>0</v>
      </c>
      <c r="K628" s="124">
        <f>IF(ISNUMBER('Klisz-Verbräuche'!L118), 'Klisz-Verbräuche'!L118*Emissionsfaktoren!K118/1000, 0)</f>
        <v>0</v>
      </c>
      <c r="L628" s="124">
        <f>IF(ISNUMBER('Klisz-Verbräuche'!M118), 'Klisz-Verbräuche'!M118*Emissionsfaktoren!L118/1000, 0)</f>
        <v>0</v>
      </c>
      <c r="M628" s="124">
        <f>IF(ISNUMBER('Klisz-Verbräuche'!N118), 'Klisz-Verbräuche'!N118*Emissionsfaktoren!M118/1000, 0)</f>
        <v>0</v>
      </c>
      <c r="N628" s="124">
        <f>IF(ISNUMBER('Klisz-Verbräuche'!O118), 'Klisz-Verbräuche'!O118*Emissionsfaktoren!N118/1000, 0)</f>
        <v>0</v>
      </c>
      <c r="O628" s="124">
        <f>IF(ISNUMBER('Klisz-Verbräuche'!P118), 'Klisz-Verbräuche'!P118*Emissionsfaktoren!O118/1000, 0)</f>
        <v>0</v>
      </c>
      <c r="P628" s="124">
        <f>IF(ISNUMBER('Klisz-Verbräuche'!Q118), 'Klisz-Verbräuche'!Q118*Emissionsfaktoren!P118/1000, 0)</f>
        <v>0</v>
      </c>
      <c r="Q628" s="124">
        <f>IF(ISNUMBER('Klisz-Verbräuche'!R118), 'Klisz-Verbräuche'!R118*Emissionsfaktoren!Q118/1000, 0)</f>
        <v>0</v>
      </c>
      <c r="R628" s="124">
        <f>IF(ISNUMBER('Klisz-Verbräuche'!S118), 'Klisz-Verbräuche'!S118*Emissionsfaktoren!R118/1000, 0)</f>
        <v>0</v>
      </c>
      <c r="S628" s="124">
        <f>IF(ISNUMBER('Klisz-Verbräuche'!T118), 'Klisz-Verbräuche'!T118*Emissionsfaktoren!S118/1000, 0)</f>
        <v>0</v>
      </c>
      <c r="T628" s="124">
        <f>IF(ISNUMBER('Klisz-Verbräuche'!U118), 'Klisz-Verbräuche'!U118*Emissionsfaktoren!T118/1000, 0)</f>
        <v>0</v>
      </c>
      <c r="U628" s="124">
        <f>IF(ISNUMBER('Klisz-Verbräuche'!V118), 'Klisz-Verbräuche'!V118*Emissionsfaktoren!U118/1000, 0)</f>
        <v>0</v>
      </c>
      <c r="V628" s="124">
        <f>IF(ISNUMBER('Klisz-Verbräuche'!W118), 'Klisz-Verbräuche'!W118*Emissionsfaktoren!V118/1000, 0)</f>
        <v>0</v>
      </c>
      <c r="W628" s="124">
        <f>IF(ISNUMBER('Klisz-Verbräuche'!X118), 'Klisz-Verbräuche'!X118*Emissionsfaktoren!W118/1000, 0)</f>
        <v>0</v>
      </c>
      <c r="X628" s="124">
        <f>IF(ISNUMBER('Klisz-Verbräuche'!Y118), 'Klisz-Verbräuche'!Y118*Emissionsfaktoren!X118/1000, 0)</f>
        <v>0</v>
      </c>
    </row>
    <row r="629" spans="2:24" ht="16.5" hidden="1" x14ac:dyDescent="0.45">
      <c r="B629" s="15">
        <v>59</v>
      </c>
      <c r="C629" s="20" t="str">
        <f>'Refsz-Verbräuche'!C119</f>
        <v>Exkursionen - Flugreisen</v>
      </c>
      <c r="D629" t="s">
        <v>208</v>
      </c>
      <c r="E629" s="124">
        <f>IF(ISNUMBER('Klisz-Verbräuche'!F119), 'Klisz-Verbräuche'!F119*Emissionsfaktoren!E119/1000, 0)</f>
        <v>0</v>
      </c>
      <c r="F629" s="124">
        <f>IF(ISNUMBER('Klisz-Verbräuche'!G119), 'Klisz-Verbräuche'!G119*Emissionsfaktoren!F119/1000, 0)</f>
        <v>0</v>
      </c>
      <c r="G629" s="124">
        <f>IF(ISNUMBER('Klisz-Verbräuche'!H119), 'Klisz-Verbräuche'!H119*Emissionsfaktoren!G119/1000, 0)</f>
        <v>0</v>
      </c>
      <c r="H629" s="124">
        <f>IF(ISNUMBER('Klisz-Verbräuche'!I119), 'Klisz-Verbräuche'!I119*Emissionsfaktoren!H119/1000, 0)</f>
        <v>0</v>
      </c>
      <c r="I629" s="124">
        <f>IF(ISNUMBER('Klisz-Verbräuche'!J119), 'Klisz-Verbräuche'!J119*Emissionsfaktoren!I119/1000, 0)</f>
        <v>0</v>
      </c>
      <c r="J629" s="124">
        <f>IF(ISNUMBER('Klisz-Verbräuche'!K119), 'Klisz-Verbräuche'!K119*Emissionsfaktoren!J119/1000, 0)</f>
        <v>0</v>
      </c>
      <c r="K629" s="124">
        <f>IF(ISNUMBER('Klisz-Verbräuche'!L119), 'Klisz-Verbräuche'!L119*Emissionsfaktoren!K119/1000, 0)</f>
        <v>0</v>
      </c>
      <c r="L629" s="124">
        <f>IF(ISNUMBER('Klisz-Verbräuche'!M119), 'Klisz-Verbräuche'!M119*Emissionsfaktoren!L119/1000, 0)</f>
        <v>0</v>
      </c>
      <c r="M629" s="124">
        <f>IF(ISNUMBER('Klisz-Verbräuche'!N119), 'Klisz-Verbräuche'!N119*Emissionsfaktoren!M119/1000, 0)</f>
        <v>0</v>
      </c>
      <c r="N629" s="124">
        <f>IF(ISNUMBER('Klisz-Verbräuche'!O119), 'Klisz-Verbräuche'!O119*Emissionsfaktoren!N119/1000, 0)</f>
        <v>0</v>
      </c>
      <c r="O629" s="124">
        <f>IF(ISNUMBER('Klisz-Verbräuche'!P119), 'Klisz-Verbräuche'!P119*Emissionsfaktoren!O119/1000, 0)</f>
        <v>0</v>
      </c>
      <c r="P629" s="124">
        <f>IF(ISNUMBER('Klisz-Verbräuche'!Q119), 'Klisz-Verbräuche'!Q119*Emissionsfaktoren!P119/1000, 0)</f>
        <v>0</v>
      </c>
      <c r="Q629" s="124">
        <f>IF(ISNUMBER('Klisz-Verbräuche'!R119), 'Klisz-Verbräuche'!R119*Emissionsfaktoren!Q119/1000, 0)</f>
        <v>0</v>
      </c>
      <c r="R629" s="124">
        <f>IF(ISNUMBER('Klisz-Verbräuche'!S119), 'Klisz-Verbräuche'!S119*Emissionsfaktoren!R119/1000, 0)</f>
        <v>0</v>
      </c>
      <c r="S629" s="124">
        <f>IF(ISNUMBER('Klisz-Verbräuche'!T119), 'Klisz-Verbräuche'!T119*Emissionsfaktoren!S119/1000, 0)</f>
        <v>0</v>
      </c>
      <c r="T629" s="124">
        <f>IF(ISNUMBER('Klisz-Verbräuche'!U119), 'Klisz-Verbräuche'!U119*Emissionsfaktoren!T119/1000, 0)</f>
        <v>0</v>
      </c>
      <c r="U629" s="124">
        <f>IF(ISNUMBER('Klisz-Verbräuche'!V119), 'Klisz-Verbräuche'!V119*Emissionsfaktoren!U119/1000, 0)</f>
        <v>0</v>
      </c>
      <c r="V629" s="124">
        <f>IF(ISNUMBER('Klisz-Verbräuche'!W119), 'Klisz-Verbräuche'!W119*Emissionsfaktoren!V119/1000, 0)</f>
        <v>0</v>
      </c>
      <c r="W629" s="124">
        <f>IF(ISNUMBER('Klisz-Verbräuche'!X119), 'Klisz-Verbräuche'!X119*Emissionsfaktoren!W119/1000, 0)</f>
        <v>0</v>
      </c>
      <c r="X629" s="124">
        <f>IF(ISNUMBER('Klisz-Verbräuche'!Y119), 'Klisz-Verbräuche'!Y119*Emissionsfaktoren!X119/1000, 0)</f>
        <v>0</v>
      </c>
    </row>
    <row r="630" spans="2:24" ht="16.5" hidden="1" x14ac:dyDescent="0.45">
      <c r="B630" s="15">
        <v>60</v>
      </c>
      <c r="C630" s="20" t="str">
        <f>'Refsz-Verbräuche'!C120</f>
        <v>Exkursionen - Eisenbahn (Nahverkehr)</v>
      </c>
      <c r="D630" t="s">
        <v>208</v>
      </c>
      <c r="E630" s="124">
        <f>IF(ISNUMBER('Klisz-Verbräuche'!F120), 'Klisz-Verbräuche'!F120*Emissionsfaktoren!E120/1000, 0)</f>
        <v>0</v>
      </c>
      <c r="F630" s="124">
        <f>IF(ISNUMBER('Klisz-Verbräuche'!G120), 'Klisz-Verbräuche'!G120*Emissionsfaktoren!F120/1000, 0)</f>
        <v>0</v>
      </c>
      <c r="G630" s="124">
        <f>IF(ISNUMBER('Klisz-Verbräuche'!H120), 'Klisz-Verbräuche'!H120*Emissionsfaktoren!G120/1000, 0)</f>
        <v>0</v>
      </c>
      <c r="H630" s="124">
        <f>IF(ISNUMBER('Klisz-Verbräuche'!I120), 'Klisz-Verbräuche'!I120*Emissionsfaktoren!H120/1000, 0)</f>
        <v>0</v>
      </c>
      <c r="I630" s="124">
        <f>IF(ISNUMBER('Klisz-Verbräuche'!J120), 'Klisz-Verbräuche'!J120*Emissionsfaktoren!I120/1000, 0)</f>
        <v>0</v>
      </c>
      <c r="J630" s="124">
        <f>IF(ISNUMBER('Klisz-Verbräuche'!K120), 'Klisz-Verbräuche'!K120*Emissionsfaktoren!J120/1000, 0)</f>
        <v>0</v>
      </c>
      <c r="K630" s="124">
        <f>IF(ISNUMBER('Klisz-Verbräuche'!L120), 'Klisz-Verbräuche'!L120*Emissionsfaktoren!K120/1000, 0)</f>
        <v>0</v>
      </c>
      <c r="L630" s="124">
        <f>IF(ISNUMBER('Klisz-Verbräuche'!M120), 'Klisz-Verbräuche'!M120*Emissionsfaktoren!L120/1000, 0)</f>
        <v>0</v>
      </c>
      <c r="M630" s="124">
        <f>IF(ISNUMBER('Klisz-Verbräuche'!N120), 'Klisz-Verbräuche'!N120*Emissionsfaktoren!M120/1000, 0)</f>
        <v>0</v>
      </c>
      <c r="N630" s="124">
        <f>IF(ISNUMBER('Klisz-Verbräuche'!O120), 'Klisz-Verbräuche'!O120*Emissionsfaktoren!N120/1000, 0)</f>
        <v>0</v>
      </c>
      <c r="O630" s="124">
        <f>IF(ISNUMBER('Klisz-Verbräuche'!P120), 'Klisz-Verbräuche'!P120*Emissionsfaktoren!O120/1000, 0)</f>
        <v>0</v>
      </c>
      <c r="P630" s="124">
        <f>IF(ISNUMBER('Klisz-Verbräuche'!Q120), 'Klisz-Verbräuche'!Q120*Emissionsfaktoren!P120/1000, 0)</f>
        <v>0</v>
      </c>
      <c r="Q630" s="124">
        <f>IF(ISNUMBER('Klisz-Verbräuche'!R120), 'Klisz-Verbräuche'!R120*Emissionsfaktoren!Q120/1000, 0)</f>
        <v>0</v>
      </c>
      <c r="R630" s="124">
        <f>IF(ISNUMBER('Klisz-Verbräuche'!S120), 'Klisz-Verbräuche'!S120*Emissionsfaktoren!R120/1000, 0)</f>
        <v>0</v>
      </c>
      <c r="S630" s="124">
        <f>IF(ISNUMBER('Klisz-Verbräuche'!T120), 'Klisz-Verbräuche'!T120*Emissionsfaktoren!S120/1000, 0)</f>
        <v>0</v>
      </c>
      <c r="T630" s="124">
        <f>IF(ISNUMBER('Klisz-Verbräuche'!U120), 'Klisz-Verbräuche'!U120*Emissionsfaktoren!T120/1000, 0)</f>
        <v>0</v>
      </c>
      <c r="U630" s="124">
        <f>IF(ISNUMBER('Klisz-Verbräuche'!V120), 'Klisz-Verbräuche'!V120*Emissionsfaktoren!U120/1000, 0)</f>
        <v>0</v>
      </c>
      <c r="V630" s="124">
        <f>IF(ISNUMBER('Klisz-Verbräuche'!W120), 'Klisz-Verbräuche'!W120*Emissionsfaktoren!V120/1000, 0)</f>
        <v>0</v>
      </c>
      <c r="W630" s="124">
        <f>IF(ISNUMBER('Klisz-Verbräuche'!X120), 'Klisz-Verbräuche'!X120*Emissionsfaktoren!W120/1000, 0)</f>
        <v>0</v>
      </c>
      <c r="X630" s="124">
        <f>IF(ISNUMBER('Klisz-Verbräuche'!Y120), 'Klisz-Verbräuche'!Y120*Emissionsfaktoren!X120/1000, 0)</f>
        <v>0</v>
      </c>
    </row>
    <row r="631" spans="2:24" ht="16.5" hidden="1" x14ac:dyDescent="0.45">
      <c r="B631" s="15">
        <v>61</v>
      </c>
      <c r="C631" s="20" t="str">
        <f>'Refsz-Verbräuche'!C121</f>
        <v>Exkursionen - Privater PKW (alle Antriebsarten)</v>
      </c>
      <c r="D631" t="s">
        <v>208</v>
      </c>
      <c r="E631" s="124">
        <f>IF(ISNUMBER('Klisz-Verbräuche'!F121), 'Klisz-Verbräuche'!F121*Emissionsfaktoren!E121/1000, 0)</f>
        <v>0</v>
      </c>
      <c r="F631" s="124">
        <f>IF(ISNUMBER('Klisz-Verbräuche'!G121), 'Klisz-Verbräuche'!G121*Emissionsfaktoren!F121/1000, 0)</f>
        <v>0</v>
      </c>
      <c r="G631" s="124">
        <f>IF(ISNUMBER('Klisz-Verbräuche'!H121), 'Klisz-Verbräuche'!H121*Emissionsfaktoren!G121/1000, 0)</f>
        <v>0</v>
      </c>
      <c r="H631" s="124">
        <f>IF(ISNUMBER('Klisz-Verbräuche'!I121), 'Klisz-Verbräuche'!I121*Emissionsfaktoren!H121/1000, 0)</f>
        <v>0</v>
      </c>
      <c r="I631" s="124">
        <f>IF(ISNUMBER('Klisz-Verbräuche'!J121), 'Klisz-Verbräuche'!J121*Emissionsfaktoren!I121/1000, 0)</f>
        <v>0</v>
      </c>
      <c r="J631" s="124">
        <f>IF(ISNUMBER('Klisz-Verbräuche'!K121), 'Klisz-Verbräuche'!K121*Emissionsfaktoren!J121/1000, 0)</f>
        <v>0</v>
      </c>
      <c r="K631" s="124">
        <f>IF(ISNUMBER('Klisz-Verbräuche'!L121), 'Klisz-Verbräuche'!L121*Emissionsfaktoren!K121/1000, 0)</f>
        <v>0</v>
      </c>
      <c r="L631" s="124">
        <f>IF(ISNUMBER('Klisz-Verbräuche'!M121), 'Klisz-Verbräuche'!M121*Emissionsfaktoren!L121/1000, 0)</f>
        <v>0</v>
      </c>
      <c r="M631" s="124">
        <f>IF(ISNUMBER('Klisz-Verbräuche'!N121), 'Klisz-Verbräuche'!N121*Emissionsfaktoren!M121/1000, 0)</f>
        <v>0</v>
      </c>
      <c r="N631" s="124">
        <f>IF(ISNUMBER('Klisz-Verbräuche'!O121), 'Klisz-Verbräuche'!O121*Emissionsfaktoren!N121/1000, 0)</f>
        <v>0</v>
      </c>
      <c r="O631" s="124">
        <f>IF(ISNUMBER('Klisz-Verbräuche'!P121), 'Klisz-Verbräuche'!P121*Emissionsfaktoren!O121/1000, 0)</f>
        <v>0</v>
      </c>
      <c r="P631" s="124">
        <f>IF(ISNUMBER('Klisz-Verbräuche'!Q121), 'Klisz-Verbräuche'!Q121*Emissionsfaktoren!P121/1000, 0)</f>
        <v>0</v>
      </c>
      <c r="Q631" s="124">
        <f>IF(ISNUMBER('Klisz-Verbräuche'!R121), 'Klisz-Verbräuche'!R121*Emissionsfaktoren!Q121/1000, 0)</f>
        <v>0</v>
      </c>
      <c r="R631" s="124">
        <f>IF(ISNUMBER('Klisz-Verbräuche'!S121), 'Klisz-Verbräuche'!S121*Emissionsfaktoren!R121/1000, 0)</f>
        <v>0</v>
      </c>
      <c r="S631" s="124">
        <f>IF(ISNUMBER('Klisz-Verbräuche'!T121), 'Klisz-Verbräuche'!T121*Emissionsfaktoren!S121/1000, 0)</f>
        <v>0</v>
      </c>
      <c r="T631" s="124">
        <f>IF(ISNUMBER('Klisz-Verbräuche'!U121), 'Klisz-Verbräuche'!U121*Emissionsfaktoren!T121/1000, 0)</f>
        <v>0</v>
      </c>
      <c r="U631" s="124">
        <f>IF(ISNUMBER('Klisz-Verbräuche'!V121), 'Klisz-Verbräuche'!V121*Emissionsfaktoren!U121/1000, 0)</f>
        <v>0</v>
      </c>
      <c r="V631" s="124">
        <f>IF(ISNUMBER('Klisz-Verbräuche'!W121), 'Klisz-Verbräuche'!W121*Emissionsfaktoren!V121/1000, 0)</f>
        <v>0</v>
      </c>
      <c r="W631" s="124">
        <f>IF(ISNUMBER('Klisz-Verbräuche'!X121), 'Klisz-Verbräuche'!X121*Emissionsfaktoren!W121/1000, 0)</f>
        <v>0</v>
      </c>
      <c r="X631" s="124">
        <f>IF(ISNUMBER('Klisz-Verbräuche'!Y121), 'Klisz-Verbräuche'!Y121*Emissionsfaktoren!X121/1000, 0)</f>
        <v>0</v>
      </c>
    </row>
    <row r="632" spans="2:24" ht="16.5" hidden="1" x14ac:dyDescent="0.45">
      <c r="B632" s="15">
        <v>62</v>
      </c>
      <c r="C632" s="20">
        <f>'Refsz-Verbräuche'!C122</f>
        <v>0</v>
      </c>
      <c r="D632" t="s">
        <v>208</v>
      </c>
      <c r="E632" s="124">
        <f>IF(ISNUMBER('Klisz-Verbräuche'!F122), 'Klisz-Verbräuche'!F122*Emissionsfaktoren!E122/1000, 0)</f>
        <v>0</v>
      </c>
      <c r="F632" s="124">
        <f>IF(ISNUMBER('Klisz-Verbräuche'!G122), 'Klisz-Verbräuche'!G122*Emissionsfaktoren!F122/1000, 0)</f>
        <v>0</v>
      </c>
      <c r="G632" s="124">
        <f>IF(ISNUMBER('Klisz-Verbräuche'!H122), 'Klisz-Verbräuche'!H122*Emissionsfaktoren!G122/1000, 0)</f>
        <v>0</v>
      </c>
      <c r="H632" s="124">
        <f>IF(ISNUMBER('Klisz-Verbräuche'!I122), 'Klisz-Verbräuche'!I122*Emissionsfaktoren!H122/1000, 0)</f>
        <v>0</v>
      </c>
      <c r="I632" s="124">
        <f>IF(ISNUMBER('Klisz-Verbräuche'!J122), 'Klisz-Verbräuche'!J122*Emissionsfaktoren!I122/1000, 0)</f>
        <v>0</v>
      </c>
      <c r="J632" s="124">
        <f>IF(ISNUMBER('Klisz-Verbräuche'!K122), 'Klisz-Verbräuche'!K122*Emissionsfaktoren!J122/1000, 0)</f>
        <v>0</v>
      </c>
      <c r="K632" s="124">
        <f>IF(ISNUMBER('Klisz-Verbräuche'!L122), 'Klisz-Verbräuche'!L122*Emissionsfaktoren!K122/1000, 0)</f>
        <v>0</v>
      </c>
      <c r="L632" s="124">
        <f>IF(ISNUMBER('Klisz-Verbräuche'!M122), 'Klisz-Verbräuche'!M122*Emissionsfaktoren!L122/1000, 0)</f>
        <v>0</v>
      </c>
      <c r="M632" s="124">
        <f>IF(ISNUMBER('Klisz-Verbräuche'!N122), 'Klisz-Verbräuche'!N122*Emissionsfaktoren!M122/1000, 0)</f>
        <v>0</v>
      </c>
      <c r="N632" s="124">
        <f>IF(ISNUMBER('Klisz-Verbräuche'!O122), 'Klisz-Verbräuche'!O122*Emissionsfaktoren!N122/1000, 0)</f>
        <v>0</v>
      </c>
      <c r="O632" s="124">
        <f>IF(ISNUMBER('Klisz-Verbräuche'!P122), 'Klisz-Verbräuche'!P122*Emissionsfaktoren!O122/1000, 0)</f>
        <v>0</v>
      </c>
      <c r="P632" s="124">
        <f>IF(ISNUMBER('Klisz-Verbräuche'!Q122), 'Klisz-Verbräuche'!Q122*Emissionsfaktoren!P122/1000, 0)</f>
        <v>0</v>
      </c>
      <c r="Q632" s="124">
        <f>IF(ISNUMBER('Klisz-Verbräuche'!R122), 'Klisz-Verbräuche'!R122*Emissionsfaktoren!Q122/1000, 0)</f>
        <v>0</v>
      </c>
      <c r="R632" s="124">
        <f>IF(ISNUMBER('Klisz-Verbräuche'!S122), 'Klisz-Verbräuche'!S122*Emissionsfaktoren!R122/1000, 0)</f>
        <v>0</v>
      </c>
      <c r="S632" s="124">
        <f>IF(ISNUMBER('Klisz-Verbräuche'!T122), 'Klisz-Verbräuche'!T122*Emissionsfaktoren!S122/1000, 0)</f>
        <v>0</v>
      </c>
      <c r="T632" s="124">
        <f>IF(ISNUMBER('Klisz-Verbräuche'!U122), 'Klisz-Verbräuche'!U122*Emissionsfaktoren!T122/1000, 0)</f>
        <v>0</v>
      </c>
      <c r="U632" s="124">
        <f>IF(ISNUMBER('Klisz-Verbräuche'!V122), 'Klisz-Verbräuche'!V122*Emissionsfaktoren!U122/1000, 0)</f>
        <v>0</v>
      </c>
      <c r="V632" s="124">
        <f>IF(ISNUMBER('Klisz-Verbräuche'!W122), 'Klisz-Verbräuche'!W122*Emissionsfaktoren!V122/1000, 0)</f>
        <v>0</v>
      </c>
      <c r="W632" s="124">
        <f>IF(ISNUMBER('Klisz-Verbräuche'!X122), 'Klisz-Verbräuche'!X122*Emissionsfaktoren!W122/1000, 0)</f>
        <v>0</v>
      </c>
      <c r="X632" s="124">
        <f>IF(ISNUMBER('Klisz-Verbräuche'!Y122), 'Klisz-Verbräuche'!Y122*Emissionsfaktoren!X122/1000, 0)</f>
        <v>0</v>
      </c>
    </row>
    <row r="633" spans="2:24" ht="16.5" hidden="1" x14ac:dyDescent="0.45">
      <c r="B633" s="15">
        <v>63</v>
      </c>
      <c r="C633" s="20" t="str">
        <f>'Refsz-Verbräuche'!C123</f>
        <v>Pendeln - Eisenbahn (Fernverkehr)</v>
      </c>
      <c r="D633" t="s">
        <v>208</v>
      </c>
      <c r="E633" s="124">
        <f>IF(ISNUMBER('Klisz-Verbräuche'!F123), 'Klisz-Verbräuche'!F123*Emissionsfaktoren!E123/1000, 0)</f>
        <v>0</v>
      </c>
      <c r="F633" s="124">
        <f>IF(ISNUMBER('Klisz-Verbräuche'!G123), 'Klisz-Verbräuche'!G123*Emissionsfaktoren!F123/1000, 0)</f>
        <v>0</v>
      </c>
      <c r="G633" s="124">
        <f>IF(ISNUMBER('Klisz-Verbräuche'!H123), 'Klisz-Verbräuche'!H123*Emissionsfaktoren!G123/1000, 0)</f>
        <v>0</v>
      </c>
      <c r="H633" s="124">
        <f>IF(ISNUMBER('Klisz-Verbräuche'!I123), 'Klisz-Verbräuche'!I123*Emissionsfaktoren!H123/1000, 0)</f>
        <v>0</v>
      </c>
      <c r="I633" s="124">
        <f>IF(ISNUMBER('Klisz-Verbräuche'!J123), 'Klisz-Verbräuche'!J123*Emissionsfaktoren!I123/1000, 0)</f>
        <v>0</v>
      </c>
      <c r="J633" s="124">
        <f>IF(ISNUMBER('Klisz-Verbräuche'!K123), 'Klisz-Verbräuche'!K123*Emissionsfaktoren!J123/1000, 0)</f>
        <v>0</v>
      </c>
      <c r="K633" s="124">
        <f>IF(ISNUMBER('Klisz-Verbräuche'!L123), 'Klisz-Verbräuche'!L123*Emissionsfaktoren!K123/1000, 0)</f>
        <v>0</v>
      </c>
      <c r="L633" s="124">
        <f>IF(ISNUMBER('Klisz-Verbräuche'!M123), 'Klisz-Verbräuche'!M123*Emissionsfaktoren!L123/1000, 0)</f>
        <v>0</v>
      </c>
      <c r="M633" s="124">
        <f>IF(ISNUMBER('Klisz-Verbräuche'!N123), 'Klisz-Verbräuche'!N123*Emissionsfaktoren!M123/1000, 0)</f>
        <v>0</v>
      </c>
      <c r="N633" s="124">
        <f>IF(ISNUMBER('Klisz-Verbräuche'!O123), 'Klisz-Verbräuche'!O123*Emissionsfaktoren!N123/1000, 0)</f>
        <v>0</v>
      </c>
      <c r="O633" s="124">
        <f>IF(ISNUMBER('Klisz-Verbräuche'!P123), 'Klisz-Verbräuche'!P123*Emissionsfaktoren!O123/1000, 0)</f>
        <v>0</v>
      </c>
      <c r="P633" s="124">
        <f>IF(ISNUMBER('Klisz-Verbräuche'!Q123), 'Klisz-Verbräuche'!Q123*Emissionsfaktoren!P123/1000, 0)</f>
        <v>0</v>
      </c>
      <c r="Q633" s="124">
        <f>IF(ISNUMBER('Klisz-Verbräuche'!R123), 'Klisz-Verbräuche'!R123*Emissionsfaktoren!Q123/1000, 0)</f>
        <v>0</v>
      </c>
      <c r="R633" s="124">
        <f>IF(ISNUMBER('Klisz-Verbräuche'!S123), 'Klisz-Verbräuche'!S123*Emissionsfaktoren!R123/1000, 0)</f>
        <v>0</v>
      </c>
      <c r="S633" s="124">
        <f>IF(ISNUMBER('Klisz-Verbräuche'!T123), 'Klisz-Verbräuche'!T123*Emissionsfaktoren!S123/1000, 0)</f>
        <v>0</v>
      </c>
      <c r="T633" s="124">
        <f>IF(ISNUMBER('Klisz-Verbräuche'!U123), 'Klisz-Verbräuche'!U123*Emissionsfaktoren!T123/1000, 0)</f>
        <v>0</v>
      </c>
      <c r="U633" s="124">
        <f>IF(ISNUMBER('Klisz-Verbräuche'!V123), 'Klisz-Verbräuche'!V123*Emissionsfaktoren!U123/1000, 0)</f>
        <v>0</v>
      </c>
      <c r="V633" s="124">
        <f>IF(ISNUMBER('Klisz-Verbräuche'!W123), 'Klisz-Verbräuche'!W123*Emissionsfaktoren!V123/1000, 0)</f>
        <v>0</v>
      </c>
      <c r="W633" s="124">
        <f>IF(ISNUMBER('Klisz-Verbräuche'!X123), 'Klisz-Verbräuche'!X123*Emissionsfaktoren!W123/1000, 0)</f>
        <v>0</v>
      </c>
      <c r="X633" s="124">
        <f>IF(ISNUMBER('Klisz-Verbräuche'!Y123), 'Klisz-Verbräuche'!Y123*Emissionsfaktoren!X123/1000, 0)</f>
        <v>0</v>
      </c>
    </row>
    <row r="634" spans="2:24" ht="16.5" hidden="1" x14ac:dyDescent="0.45">
      <c r="B634" s="15">
        <v>64</v>
      </c>
      <c r="C634" s="20" t="str">
        <f>'Refsz-Verbräuche'!C124</f>
        <v>Pendeln - Eisenbahn (Nahverkehr)</v>
      </c>
      <c r="D634" t="s">
        <v>208</v>
      </c>
      <c r="E634" s="124">
        <f>IF(ISNUMBER('Klisz-Verbräuche'!F124), 'Klisz-Verbräuche'!F124*Emissionsfaktoren!E124/1000, 0)</f>
        <v>0</v>
      </c>
      <c r="F634" s="124">
        <f>IF(ISNUMBER('Klisz-Verbräuche'!G124), 'Klisz-Verbräuche'!G124*Emissionsfaktoren!F124/1000, 0)</f>
        <v>0</v>
      </c>
      <c r="G634" s="124">
        <f>IF(ISNUMBER('Klisz-Verbräuche'!H124), 'Klisz-Verbräuche'!H124*Emissionsfaktoren!G124/1000, 0)</f>
        <v>0</v>
      </c>
      <c r="H634" s="124">
        <f>IF(ISNUMBER('Klisz-Verbräuche'!I124), 'Klisz-Verbräuche'!I124*Emissionsfaktoren!H124/1000, 0)</f>
        <v>0</v>
      </c>
      <c r="I634" s="124">
        <f>IF(ISNUMBER('Klisz-Verbräuche'!J124), 'Klisz-Verbräuche'!J124*Emissionsfaktoren!I124/1000, 0)</f>
        <v>0</v>
      </c>
      <c r="J634" s="124">
        <f>IF(ISNUMBER('Klisz-Verbräuche'!K124), 'Klisz-Verbräuche'!K124*Emissionsfaktoren!J124/1000, 0)</f>
        <v>0</v>
      </c>
      <c r="K634" s="124">
        <f>IF(ISNUMBER('Klisz-Verbräuche'!L124), 'Klisz-Verbräuche'!L124*Emissionsfaktoren!K124/1000, 0)</f>
        <v>0</v>
      </c>
      <c r="L634" s="124">
        <f>IF(ISNUMBER('Klisz-Verbräuche'!M124), 'Klisz-Verbräuche'!M124*Emissionsfaktoren!L124/1000, 0)</f>
        <v>0</v>
      </c>
      <c r="M634" s="124">
        <f>IF(ISNUMBER('Klisz-Verbräuche'!N124), 'Klisz-Verbräuche'!N124*Emissionsfaktoren!M124/1000, 0)</f>
        <v>0</v>
      </c>
      <c r="N634" s="124">
        <f>IF(ISNUMBER('Klisz-Verbräuche'!O124), 'Klisz-Verbräuche'!O124*Emissionsfaktoren!N124/1000, 0)</f>
        <v>0</v>
      </c>
      <c r="O634" s="124">
        <f>IF(ISNUMBER('Klisz-Verbräuche'!P124), 'Klisz-Verbräuche'!P124*Emissionsfaktoren!O124/1000, 0)</f>
        <v>0</v>
      </c>
      <c r="P634" s="124">
        <f>IF(ISNUMBER('Klisz-Verbräuche'!Q124), 'Klisz-Verbräuche'!Q124*Emissionsfaktoren!P124/1000, 0)</f>
        <v>0</v>
      </c>
      <c r="Q634" s="124">
        <f>IF(ISNUMBER('Klisz-Verbräuche'!R124), 'Klisz-Verbräuche'!R124*Emissionsfaktoren!Q124/1000, 0)</f>
        <v>0</v>
      </c>
      <c r="R634" s="124">
        <f>IF(ISNUMBER('Klisz-Verbräuche'!S124), 'Klisz-Verbräuche'!S124*Emissionsfaktoren!R124/1000, 0)</f>
        <v>0</v>
      </c>
      <c r="S634" s="124">
        <f>IF(ISNUMBER('Klisz-Verbräuche'!T124), 'Klisz-Verbräuche'!T124*Emissionsfaktoren!S124/1000, 0)</f>
        <v>0</v>
      </c>
      <c r="T634" s="124">
        <f>IF(ISNUMBER('Klisz-Verbräuche'!U124), 'Klisz-Verbräuche'!U124*Emissionsfaktoren!T124/1000, 0)</f>
        <v>0</v>
      </c>
      <c r="U634" s="124">
        <f>IF(ISNUMBER('Klisz-Verbräuche'!V124), 'Klisz-Verbräuche'!V124*Emissionsfaktoren!U124/1000, 0)</f>
        <v>0</v>
      </c>
      <c r="V634" s="124">
        <f>IF(ISNUMBER('Klisz-Verbräuche'!W124), 'Klisz-Verbräuche'!W124*Emissionsfaktoren!V124/1000, 0)</f>
        <v>0</v>
      </c>
      <c r="W634" s="124">
        <f>IF(ISNUMBER('Klisz-Verbräuche'!X124), 'Klisz-Verbräuche'!X124*Emissionsfaktoren!W124/1000, 0)</f>
        <v>0</v>
      </c>
      <c r="X634" s="124">
        <f>IF(ISNUMBER('Klisz-Verbräuche'!Y124), 'Klisz-Verbräuche'!Y124*Emissionsfaktoren!X124/1000, 0)</f>
        <v>0</v>
      </c>
    </row>
    <row r="635" spans="2:24" ht="16.5" hidden="1" x14ac:dyDescent="0.45">
      <c r="B635" s="15">
        <v>65</v>
      </c>
      <c r="C635" s="20" t="str">
        <f>'Refsz-Verbräuche'!C125</f>
        <v>Pendeln - Linienbus (Nahverkehr)</v>
      </c>
      <c r="D635" t="s">
        <v>208</v>
      </c>
      <c r="E635" s="124">
        <f>IF(ISNUMBER('Klisz-Verbräuche'!F125), 'Klisz-Verbräuche'!F125*Emissionsfaktoren!E125/1000, 0)</f>
        <v>0</v>
      </c>
      <c r="F635" s="124">
        <f>IF(ISNUMBER('Klisz-Verbräuche'!G125), 'Klisz-Verbräuche'!G125*Emissionsfaktoren!F125/1000, 0)</f>
        <v>0</v>
      </c>
      <c r="G635" s="124">
        <f>IF(ISNUMBER('Klisz-Verbräuche'!H125), 'Klisz-Verbräuche'!H125*Emissionsfaktoren!G125/1000, 0)</f>
        <v>0</v>
      </c>
      <c r="H635" s="124">
        <f>IF(ISNUMBER('Klisz-Verbräuche'!I125), 'Klisz-Verbräuche'!I125*Emissionsfaktoren!H125/1000, 0)</f>
        <v>0</v>
      </c>
      <c r="I635" s="124">
        <f>IF(ISNUMBER('Klisz-Verbräuche'!J125), 'Klisz-Verbräuche'!J125*Emissionsfaktoren!I125/1000, 0)</f>
        <v>0</v>
      </c>
      <c r="J635" s="124">
        <f>IF(ISNUMBER('Klisz-Verbräuche'!K125), 'Klisz-Verbräuche'!K125*Emissionsfaktoren!J125/1000, 0)</f>
        <v>0</v>
      </c>
      <c r="K635" s="124">
        <f>IF(ISNUMBER('Klisz-Verbräuche'!L125), 'Klisz-Verbräuche'!L125*Emissionsfaktoren!K125/1000, 0)</f>
        <v>0</v>
      </c>
      <c r="L635" s="124">
        <f>IF(ISNUMBER('Klisz-Verbräuche'!M125), 'Klisz-Verbräuche'!M125*Emissionsfaktoren!L125/1000, 0)</f>
        <v>0</v>
      </c>
      <c r="M635" s="124">
        <f>IF(ISNUMBER('Klisz-Verbräuche'!N125), 'Klisz-Verbräuche'!N125*Emissionsfaktoren!M125/1000, 0)</f>
        <v>0</v>
      </c>
      <c r="N635" s="124">
        <f>IF(ISNUMBER('Klisz-Verbräuche'!O125), 'Klisz-Verbräuche'!O125*Emissionsfaktoren!N125/1000, 0)</f>
        <v>0</v>
      </c>
      <c r="O635" s="124">
        <f>IF(ISNUMBER('Klisz-Verbräuche'!P125), 'Klisz-Verbräuche'!P125*Emissionsfaktoren!O125/1000, 0)</f>
        <v>0</v>
      </c>
      <c r="P635" s="124">
        <f>IF(ISNUMBER('Klisz-Verbräuche'!Q125), 'Klisz-Verbräuche'!Q125*Emissionsfaktoren!P125/1000, 0)</f>
        <v>0</v>
      </c>
      <c r="Q635" s="124">
        <f>IF(ISNUMBER('Klisz-Verbräuche'!R125), 'Klisz-Verbräuche'!R125*Emissionsfaktoren!Q125/1000, 0)</f>
        <v>0</v>
      </c>
      <c r="R635" s="124">
        <f>IF(ISNUMBER('Klisz-Verbräuche'!S125), 'Klisz-Verbräuche'!S125*Emissionsfaktoren!R125/1000, 0)</f>
        <v>0</v>
      </c>
      <c r="S635" s="124">
        <f>IF(ISNUMBER('Klisz-Verbräuche'!T125), 'Klisz-Verbräuche'!T125*Emissionsfaktoren!S125/1000, 0)</f>
        <v>0</v>
      </c>
      <c r="T635" s="124">
        <f>IF(ISNUMBER('Klisz-Verbräuche'!U125), 'Klisz-Verbräuche'!U125*Emissionsfaktoren!T125/1000, 0)</f>
        <v>0</v>
      </c>
      <c r="U635" s="124">
        <f>IF(ISNUMBER('Klisz-Verbräuche'!V125), 'Klisz-Verbräuche'!V125*Emissionsfaktoren!U125/1000, 0)</f>
        <v>0</v>
      </c>
      <c r="V635" s="124">
        <f>IF(ISNUMBER('Klisz-Verbräuche'!W125), 'Klisz-Verbräuche'!W125*Emissionsfaktoren!V125/1000, 0)</f>
        <v>0</v>
      </c>
      <c r="W635" s="124">
        <f>IF(ISNUMBER('Klisz-Verbräuche'!X125), 'Klisz-Verbräuche'!X125*Emissionsfaktoren!W125/1000, 0)</f>
        <v>0</v>
      </c>
      <c r="X635" s="124">
        <f>IF(ISNUMBER('Klisz-Verbräuche'!Y125), 'Klisz-Verbräuche'!Y125*Emissionsfaktoren!X125/1000, 0)</f>
        <v>0</v>
      </c>
    </row>
    <row r="636" spans="2:24" ht="16.5" hidden="1" x14ac:dyDescent="0.45">
      <c r="B636" s="15">
        <v>66</v>
      </c>
      <c r="C636" s="20" t="str">
        <f>'Refsz-Verbräuche'!C126</f>
        <v>Pendeln - PKW (alle Antriebsarten)</v>
      </c>
      <c r="D636" t="s">
        <v>208</v>
      </c>
      <c r="E636" s="124">
        <f>IF(ISNUMBER('Klisz-Verbräuche'!F126), 'Klisz-Verbräuche'!F126*Emissionsfaktoren!E126/1000, 0)</f>
        <v>0</v>
      </c>
      <c r="F636" s="124">
        <f>IF(ISNUMBER('Klisz-Verbräuche'!G126), 'Klisz-Verbräuche'!G126*Emissionsfaktoren!F126/1000, 0)</f>
        <v>0</v>
      </c>
      <c r="G636" s="124">
        <f>IF(ISNUMBER('Klisz-Verbräuche'!H126), 'Klisz-Verbräuche'!H126*Emissionsfaktoren!G126/1000, 0)</f>
        <v>0</v>
      </c>
      <c r="H636" s="124">
        <f>IF(ISNUMBER('Klisz-Verbräuche'!I126), 'Klisz-Verbräuche'!I126*Emissionsfaktoren!H126/1000, 0)</f>
        <v>0</v>
      </c>
      <c r="I636" s="124">
        <f>IF(ISNUMBER('Klisz-Verbräuche'!J126), 'Klisz-Verbräuche'!J126*Emissionsfaktoren!I126/1000, 0)</f>
        <v>0</v>
      </c>
      <c r="J636" s="124">
        <f>IF(ISNUMBER('Klisz-Verbräuche'!K126), 'Klisz-Verbräuche'!K126*Emissionsfaktoren!J126/1000, 0)</f>
        <v>0</v>
      </c>
      <c r="K636" s="124">
        <f>IF(ISNUMBER('Klisz-Verbräuche'!L126), 'Klisz-Verbräuche'!L126*Emissionsfaktoren!K126/1000, 0)</f>
        <v>0</v>
      </c>
      <c r="L636" s="124">
        <f>IF(ISNUMBER('Klisz-Verbräuche'!M126), 'Klisz-Verbräuche'!M126*Emissionsfaktoren!L126/1000, 0)</f>
        <v>0</v>
      </c>
      <c r="M636" s="124">
        <f>IF(ISNUMBER('Klisz-Verbräuche'!N126), 'Klisz-Verbräuche'!N126*Emissionsfaktoren!M126/1000, 0)</f>
        <v>0</v>
      </c>
      <c r="N636" s="124">
        <f>IF(ISNUMBER('Klisz-Verbräuche'!O126), 'Klisz-Verbräuche'!O126*Emissionsfaktoren!N126/1000, 0)</f>
        <v>0</v>
      </c>
      <c r="O636" s="124">
        <f>IF(ISNUMBER('Klisz-Verbräuche'!P126), 'Klisz-Verbräuche'!P126*Emissionsfaktoren!O126/1000, 0)</f>
        <v>0</v>
      </c>
      <c r="P636" s="124">
        <f>IF(ISNUMBER('Klisz-Verbräuche'!Q126), 'Klisz-Verbräuche'!Q126*Emissionsfaktoren!P126/1000, 0)</f>
        <v>0</v>
      </c>
      <c r="Q636" s="124">
        <f>IF(ISNUMBER('Klisz-Verbräuche'!R126), 'Klisz-Verbräuche'!R126*Emissionsfaktoren!Q126/1000, 0)</f>
        <v>0</v>
      </c>
      <c r="R636" s="124">
        <f>IF(ISNUMBER('Klisz-Verbräuche'!S126), 'Klisz-Verbräuche'!S126*Emissionsfaktoren!R126/1000, 0)</f>
        <v>0</v>
      </c>
      <c r="S636" s="124">
        <f>IF(ISNUMBER('Klisz-Verbräuche'!T126), 'Klisz-Verbräuche'!T126*Emissionsfaktoren!S126/1000, 0)</f>
        <v>0</v>
      </c>
      <c r="T636" s="124">
        <f>IF(ISNUMBER('Klisz-Verbräuche'!U126), 'Klisz-Verbräuche'!U126*Emissionsfaktoren!T126/1000, 0)</f>
        <v>0</v>
      </c>
      <c r="U636" s="124">
        <f>IF(ISNUMBER('Klisz-Verbräuche'!V126), 'Klisz-Verbräuche'!V126*Emissionsfaktoren!U126/1000, 0)</f>
        <v>0</v>
      </c>
      <c r="V636" s="124">
        <f>IF(ISNUMBER('Klisz-Verbräuche'!W126), 'Klisz-Verbräuche'!W126*Emissionsfaktoren!V126/1000, 0)</f>
        <v>0</v>
      </c>
      <c r="W636" s="124">
        <f>IF(ISNUMBER('Klisz-Verbräuche'!X126), 'Klisz-Verbräuche'!X126*Emissionsfaktoren!W126/1000, 0)</f>
        <v>0</v>
      </c>
      <c r="X636" s="124">
        <f>IF(ISNUMBER('Klisz-Verbräuche'!Y126), 'Klisz-Verbräuche'!Y126*Emissionsfaktoren!X126/1000, 0)</f>
        <v>0</v>
      </c>
    </row>
    <row r="637" spans="2:24" ht="16.5" hidden="1" x14ac:dyDescent="0.45">
      <c r="B637" s="15">
        <v>67</v>
      </c>
      <c r="C637" s="20" t="str">
        <f>'Refsz-Verbräuche'!C127</f>
        <v>Pendeln - PKW (Diesel)</v>
      </c>
      <c r="D637" t="s">
        <v>208</v>
      </c>
      <c r="E637" s="124">
        <f>IF(ISNUMBER('Klisz-Verbräuche'!F127), 'Klisz-Verbräuche'!F127*Emissionsfaktoren!E127/1000, 0)</f>
        <v>0</v>
      </c>
      <c r="F637" s="124">
        <f>IF(ISNUMBER('Klisz-Verbräuche'!G127), 'Klisz-Verbräuche'!G127*Emissionsfaktoren!F127/1000, 0)</f>
        <v>0</v>
      </c>
      <c r="G637" s="124">
        <f>IF(ISNUMBER('Klisz-Verbräuche'!H127), 'Klisz-Verbräuche'!H127*Emissionsfaktoren!G127/1000, 0)</f>
        <v>0</v>
      </c>
      <c r="H637" s="124">
        <f>IF(ISNUMBER('Klisz-Verbräuche'!I127), 'Klisz-Verbräuche'!I127*Emissionsfaktoren!H127/1000, 0)</f>
        <v>0</v>
      </c>
      <c r="I637" s="124">
        <f>IF(ISNUMBER('Klisz-Verbräuche'!J127), 'Klisz-Verbräuche'!J127*Emissionsfaktoren!I127/1000, 0)</f>
        <v>0</v>
      </c>
      <c r="J637" s="124">
        <f>IF(ISNUMBER('Klisz-Verbräuche'!K127), 'Klisz-Verbräuche'!K127*Emissionsfaktoren!J127/1000, 0)</f>
        <v>0</v>
      </c>
      <c r="K637" s="124">
        <f>IF(ISNUMBER('Klisz-Verbräuche'!L127), 'Klisz-Verbräuche'!L127*Emissionsfaktoren!K127/1000, 0)</f>
        <v>0</v>
      </c>
      <c r="L637" s="124">
        <f>IF(ISNUMBER('Klisz-Verbräuche'!M127), 'Klisz-Verbräuche'!M127*Emissionsfaktoren!L127/1000, 0)</f>
        <v>0</v>
      </c>
      <c r="M637" s="124">
        <f>IF(ISNUMBER('Klisz-Verbräuche'!N127), 'Klisz-Verbräuche'!N127*Emissionsfaktoren!M127/1000, 0)</f>
        <v>0</v>
      </c>
      <c r="N637" s="124">
        <f>IF(ISNUMBER('Klisz-Verbräuche'!O127), 'Klisz-Verbräuche'!O127*Emissionsfaktoren!N127/1000, 0)</f>
        <v>0</v>
      </c>
      <c r="O637" s="124">
        <f>IF(ISNUMBER('Klisz-Verbräuche'!P127), 'Klisz-Verbräuche'!P127*Emissionsfaktoren!O127/1000, 0)</f>
        <v>0</v>
      </c>
      <c r="P637" s="124">
        <f>IF(ISNUMBER('Klisz-Verbräuche'!Q127), 'Klisz-Verbräuche'!Q127*Emissionsfaktoren!P127/1000, 0)</f>
        <v>0</v>
      </c>
      <c r="Q637" s="124">
        <f>IF(ISNUMBER('Klisz-Verbräuche'!R127), 'Klisz-Verbräuche'!R127*Emissionsfaktoren!Q127/1000, 0)</f>
        <v>0</v>
      </c>
      <c r="R637" s="124">
        <f>IF(ISNUMBER('Klisz-Verbräuche'!S127), 'Klisz-Verbräuche'!S127*Emissionsfaktoren!R127/1000, 0)</f>
        <v>0</v>
      </c>
      <c r="S637" s="124">
        <f>IF(ISNUMBER('Klisz-Verbräuche'!T127), 'Klisz-Verbräuche'!T127*Emissionsfaktoren!S127/1000, 0)</f>
        <v>0</v>
      </c>
      <c r="T637" s="124">
        <f>IF(ISNUMBER('Klisz-Verbräuche'!U127), 'Klisz-Verbräuche'!U127*Emissionsfaktoren!T127/1000, 0)</f>
        <v>0</v>
      </c>
      <c r="U637" s="124">
        <f>IF(ISNUMBER('Klisz-Verbräuche'!V127), 'Klisz-Verbräuche'!V127*Emissionsfaktoren!U127/1000, 0)</f>
        <v>0</v>
      </c>
      <c r="V637" s="124">
        <f>IF(ISNUMBER('Klisz-Verbräuche'!W127), 'Klisz-Verbräuche'!W127*Emissionsfaktoren!V127/1000, 0)</f>
        <v>0</v>
      </c>
      <c r="W637" s="124">
        <f>IF(ISNUMBER('Klisz-Verbräuche'!X127), 'Klisz-Verbräuche'!X127*Emissionsfaktoren!W127/1000, 0)</f>
        <v>0</v>
      </c>
      <c r="X637" s="124">
        <f>IF(ISNUMBER('Klisz-Verbräuche'!Y127), 'Klisz-Verbräuche'!Y127*Emissionsfaktoren!X127/1000, 0)</f>
        <v>0</v>
      </c>
    </row>
    <row r="638" spans="2:24" ht="16.5" hidden="1" x14ac:dyDescent="0.45">
      <c r="B638" s="15">
        <v>68</v>
      </c>
      <c r="C638" s="20" t="str">
        <f>'Refsz-Verbräuche'!C128</f>
        <v>Pendeln - PKW (Benzin)</v>
      </c>
      <c r="D638" t="s">
        <v>208</v>
      </c>
      <c r="E638" s="124">
        <f>IF(ISNUMBER('Klisz-Verbräuche'!F128), 'Klisz-Verbräuche'!F128*Emissionsfaktoren!E128/1000, 0)</f>
        <v>0</v>
      </c>
      <c r="F638" s="124">
        <f>IF(ISNUMBER('Klisz-Verbräuche'!G128), 'Klisz-Verbräuche'!G128*Emissionsfaktoren!F128/1000, 0)</f>
        <v>0</v>
      </c>
      <c r="G638" s="124">
        <f>IF(ISNUMBER('Klisz-Verbräuche'!H128), 'Klisz-Verbräuche'!H128*Emissionsfaktoren!G128/1000, 0)</f>
        <v>0</v>
      </c>
      <c r="H638" s="124">
        <f>IF(ISNUMBER('Klisz-Verbräuche'!I128), 'Klisz-Verbräuche'!I128*Emissionsfaktoren!H128/1000, 0)</f>
        <v>0</v>
      </c>
      <c r="I638" s="124">
        <f>IF(ISNUMBER('Klisz-Verbräuche'!J128), 'Klisz-Verbräuche'!J128*Emissionsfaktoren!I128/1000, 0)</f>
        <v>0</v>
      </c>
      <c r="J638" s="124">
        <f>IF(ISNUMBER('Klisz-Verbräuche'!K128), 'Klisz-Verbräuche'!K128*Emissionsfaktoren!J128/1000, 0)</f>
        <v>0</v>
      </c>
      <c r="K638" s="124">
        <f>IF(ISNUMBER('Klisz-Verbräuche'!L128), 'Klisz-Verbräuche'!L128*Emissionsfaktoren!K128/1000, 0)</f>
        <v>0</v>
      </c>
      <c r="L638" s="124">
        <f>IF(ISNUMBER('Klisz-Verbräuche'!M128), 'Klisz-Verbräuche'!M128*Emissionsfaktoren!L128/1000, 0)</f>
        <v>0</v>
      </c>
      <c r="M638" s="124">
        <f>IF(ISNUMBER('Klisz-Verbräuche'!N128), 'Klisz-Verbräuche'!N128*Emissionsfaktoren!M128/1000, 0)</f>
        <v>0</v>
      </c>
      <c r="N638" s="124">
        <f>IF(ISNUMBER('Klisz-Verbräuche'!O128), 'Klisz-Verbräuche'!O128*Emissionsfaktoren!N128/1000, 0)</f>
        <v>0</v>
      </c>
      <c r="O638" s="124">
        <f>IF(ISNUMBER('Klisz-Verbräuche'!P128), 'Klisz-Verbräuche'!P128*Emissionsfaktoren!O128/1000, 0)</f>
        <v>0</v>
      </c>
      <c r="P638" s="124">
        <f>IF(ISNUMBER('Klisz-Verbräuche'!Q128), 'Klisz-Verbräuche'!Q128*Emissionsfaktoren!P128/1000, 0)</f>
        <v>0</v>
      </c>
      <c r="Q638" s="124">
        <f>IF(ISNUMBER('Klisz-Verbräuche'!R128), 'Klisz-Verbräuche'!R128*Emissionsfaktoren!Q128/1000, 0)</f>
        <v>0</v>
      </c>
      <c r="R638" s="124">
        <f>IF(ISNUMBER('Klisz-Verbräuche'!S128), 'Klisz-Verbräuche'!S128*Emissionsfaktoren!R128/1000, 0)</f>
        <v>0</v>
      </c>
      <c r="S638" s="124">
        <f>IF(ISNUMBER('Klisz-Verbräuche'!T128), 'Klisz-Verbräuche'!T128*Emissionsfaktoren!S128/1000, 0)</f>
        <v>0</v>
      </c>
      <c r="T638" s="124">
        <f>IF(ISNUMBER('Klisz-Verbräuche'!U128), 'Klisz-Verbräuche'!U128*Emissionsfaktoren!T128/1000, 0)</f>
        <v>0</v>
      </c>
      <c r="U638" s="124">
        <f>IF(ISNUMBER('Klisz-Verbräuche'!V128), 'Klisz-Verbräuche'!V128*Emissionsfaktoren!U128/1000, 0)</f>
        <v>0</v>
      </c>
      <c r="V638" s="124">
        <f>IF(ISNUMBER('Klisz-Verbräuche'!W128), 'Klisz-Verbräuche'!W128*Emissionsfaktoren!V128/1000, 0)</f>
        <v>0</v>
      </c>
      <c r="W638" s="124">
        <f>IF(ISNUMBER('Klisz-Verbräuche'!X128), 'Klisz-Verbräuche'!X128*Emissionsfaktoren!W128/1000, 0)</f>
        <v>0</v>
      </c>
      <c r="X638" s="124">
        <f>IF(ISNUMBER('Klisz-Verbräuche'!Y128), 'Klisz-Verbräuche'!Y128*Emissionsfaktoren!X128/1000, 0)</f>
        <v>0</v>
      </c>
    </row>
    <row r="639" spans="2:24" ht="16.5" hidden="1" x14ac:dyDescent="0.45">
      <c r="B639" s="15">
        <v>69</v>
      </c>
      <c r="C639" s="20" t="str">
        <f>'Refsz-Verbräuche'!C129</f>
        <v>Pendeln - PKW (E-Auto/ BEV)</v>
      </c>
      <c r="D639" t="s">
        <v>208</v>
      </c>
      <c r="E639" s="124">
        <f>IF(ISNUMBER('Klisz-Verbräuche'!F129), 'Klisz-Verbräuche'!F129*Emissionsfaktoren!E129/1000, 0)</f>
        <v>0</v>
      </c>
      <c r="F639" s="124">
        <f>IF(ISNUMBER('Klisz-Verbräuche'!G129), 'Klisz-Verbräuche'!G129*Emissionsfaktoren!F129/1000, 0)</f>
        <v>0</v>
      </c>
      <c r="G639" s="124">
        <f>IF(ISNUMBER('Klisz-Verbräuche'!H129), 'Klisz-Verbräuche'!H129*Emissionsfaktoren!G129/1000, 0)</f>
        <v>0</v>
      </c>
      <c r="H639" s="124">
        <f>IF(ISNUMBER('Klisz-Verbräuche'!I129), 'Klisz-Verbräuche'!I129*Emissionsfaktoren!H129/1000, 0)</f>
        <v>0</v>
      </c>
      <c r="I639" s="124">
        <f>IF(ISNUMBER('Klisz-Verbräuche'!J129), 'Klisz-Verbräuche'!J129*Emissionsfaktoren!I129/1000, 0)</f>
        <v>0</v>
      </c>
      <c r="J639" s="124">
        <f>IF(ISNUMBER('Klisz-Verbräuche'!K129), 'Klisz-Verbräuche'!K129*Emissionsfaktoren!J129/1000, 0)</f>
        <v>0</v>
      </c>
      <c r="K639" s="124">
        <f>IF(ISNUMBER('Klisz-Verbräuche'!L129), 'Klisz-Verbräuche'!L129*Emissionsfaktoren!K129/1000, 0)</f>
        <v>0</v>
      </c>
      <c r="L639" s="124">
        <f>IF(ISNUMBER('Klisz-Verbräuche'!M129), 'Klisz-Verbräuche'!M129*Emissionsfaktoren!L129/1000, 0)</f>
        <v>0</v>
      </c>
      <c r="M639" s="124">
        <f>IF(ISNUMBER('Klisz-Verbräuche'!N129), 'Klisz-Verbräuche'!N129*Emissionsfaktoren!M129/1000, 0)</f>
        <v>0</v>
      </c>
      <c r="N639" s="124">
        <f>IF(ISNUMBER('Klisz-Verbräuche'!O129), 'Klisz-Verbräuche'!O129*Emissionsfaktoren!N129/1000, 0)</f>
        <v>0</v>
      </c>
      <c r="O639" s="124">
        <f>IF(ISNUMBER('Klisz-Verbräuche'!P129), 'Klisz-Verbräuche'!P129*Emissionsfaktoren!O129/1000, 0)</f>
        <v>0</v>
      </c>
      <c r="P639" s="124">
        <f>IF(ISNUMBER('Klisz-Verbräuche'!Q129), 'Klisz-Verbräuche'!Q129*Emissionsfaktoren!P129/1000, 0)</f>
        <v>0</v>
      </c>
      <c r="Q639" s="124">
        <f>IF(ISNUMBER('Klisz-Verbräuche'!R129), 'Klisz-Verbräuche'!R129*Emissionsfaktoren!Q129/1000, 0)</f>
        <v>0</v>
      </c>
      <c r="R639" s="124">
        <f>IF(ISNUMBER('Klisz-Verbräuche'!S129), 'Klisz-Verbräuche'!S129*Emissionsfaktoren!R129/1000, 0)</f>
        <v>0</v>
      </c>
      <c r="S639" s="124">
        <f>IF(ISNUMBER('Klisz-Verbräuche'!T129), 'Klisz-Verbräuche'!T129*Emissionsfaktoren!S129/1000, 0)</f>
        <v>0</v>
      </c>
      <c r="T639" s="124">
        <f>IF(ISNUMBER('Klisz-Verbräuche'!U129), 'Klisz-Verbräuche'!U129*Emissionsfaktoren!T129/1000, 0)</f>
        <v>0</v>
      </c>
      <c r="U639" s="124">
        <f>IF(ISNUMBER('Klisz-Verbräuche'!V129), 'Klisz-Verbräuche'!V129*Emissionsfaktoren!U129/1000, 0)</f>
        <v>0</v>
      </c>
      <c r="V639" s="124">
        <f>IF(ISNUMBER('Klisz-Verbräuche'!W129), 'Klisz-Verbräuche'!W129*Emissionsfaktoren!V129/1000, 0)</f>
        <v>0</v>
      </c>
      <c r="W639" s="124">
        <f>IF(ISNUMBER('Klisz-Verbräuche'!X129), 'Klisz-Verbräuche'!X129*Emissionsfaktoren!W129/1000, 0)</f>
        <v>0</v>
      </c>
      <c r="X639" s="124">
        <f>IF(ISNUMBER('Klisz-Verbräuche'!Y129), 'Klisz-Verbräuche'!Y129*Emissionsfaktoren!X129/1000, 0)</f>
        <v>0</v>
      </c>
    </row>
    <row r="640" spans="2:24" ht="16.5" hidden="1" x14ac:dyDescent="0.45">
      <c r="B640" s="15">
        <v>70</v>
      </c>
      <c r="C640" s="20" t="str">
        <f>'Refsz-Verbräuche'!C130</f>
        <v>Pendeln - PKW (Wasserstoff/ FCEV)</v>
      </c>
      <c r="D640" t="s">
        <v>208</v>
      </c>
      <c r="E640" s="124">
        <f>IF(ISNUMBER('Klisz-Verbräuche'!F130), 'Klisz-Verbräuche'!F130*Emissionsfaktoren!E130/1000, 0)</f>
        <v>0</v>
      </c>
      <c r="F640" s="124">
        <f>IF(ISNUMBER('Klisz-Verbräuche'!G130), 'Klisz-Verbräuche'!G130*Emissionsfaktoren!F130/1000, 0)</f>
        <v>0</v>
      </c>
      <c r="G640" s="124">
        <f>IF(ISNUMBER('Klisz-Verbräuche'!H130), 'Klisz-Verbräuche'!H130*Emissionsfaktoren!G130/1000, 0)</f>
        <v>0</v>
      </c>
      <c r="H640" s="124">
        <f>IF(ISNUMBER('Klisz-Verbräuche'!I130), 'Klisz-Verbräuche'!I130*Emissionsfaktoren!H130/1000, 0)</f>
        <v>0</v>
      </c>
      <c r="I640" s="124">
        <f>IF(ISNUMBER('Klisz-Verbräuche'!J130), 'Klisz-Verbräuche'!J130*Emissionsfaktoren!I130/1000, 0)</f>
        <v>0</v>
      </c>
      <c r="J640" s="124">
        <f>IF(ISNUMBER('Klisz-Verbräuche'!K130), 'Klisz-Verbräuche'!K130*Emissionsfaktoren!J130/1000, 0)</f>
        <v>0</v>
      </c>
      <c r="K640" s="124">
        <f>IF(ISNUMBER('Klisz-Verbräuche'!L130), 'Klisz-Verbräuche'!L130*Emissionsfaktoren!K130/1000, 0)</f>
        <v>0</v>
      </c>
      <c r="L640" s="124">
        <f>IF(ISNUMBER('Klisz-Verbräuche'!M130), 'Klisz-Verbräuche'!M130*Emissionsfaktoren!L130/1000, 0)</f>
        <v>0</v>
      </c>
      <c r="M640" s="124">
        <f>IF(ISNUMBER('Klisz-Verbräuche'!N130), 'Klisz-Verbräuche'!N130*Emissionsfaktoren!M130/1000, 0)</f>
        <v>0</v>
      </c>
      <c r="N640" s="124">
        <f>IF(ISNUMBER('Klisz-Verbräuche'!O130), 'Klisz-Verbräuche'!O130*Emissionsfaktoren!N130/1000, 0)</f>
        <v>0</v>
      </c>
      <c r="O640" s="124">
        <f>IF(ISNUMBER('Klisz-Verbräuche'!P130), 'Klisz-Verbräuche'!P130*Emissionsfaktoren!O130/1000, 0)</f>
        <v>0</v>
      </c>
      <c r="P640" s="124">
        <f>IF(ISNUMBER('Klisz-Verbräuche'!Q130), 'Klisz-Verbräuche'!Q130*Emissionsfaktoren!P130/1000, 0)</f>
        <v>0</v>
      </c>
      <c r="Q640" s="124">
        <f>IF(ISNUMBER('Klisz-Verbräuche'!R130), 'Klisz-Verbräuche'!R130*Emissionsfaktoren!Q130/1000, 0)</f>
        <v>0</v>
      </c>
      <c r="R640" s="124">
        <f>IF(ISNUMBER('Klisz-Verbräuche'!S130), 'Klisz-Verbräuche'!S130*Emissionsfaktoren!R130/1000, 0)</f>
        <v>0</v>
      </c>
      <c r="S640" s="124">
        <f>IF(ISNUMBER('Klisz-Verbräuche'!T130), 'Klisz-Verbräuche'!T130*Emissionsfaktoren!S130/1000, 0)</f>
        <v>0</v>
      </c>
      <c r="T640" s="124">
        <f>IF(ISNUMBER('Klisz-Verbräuche'!U130), 'Klisz-Verbräuche'!U130*Emissionsfaktoren!T130/1000, 0)</f>
        <v>0</v>
      </c>
      <c r="U640" s="124">
        <f>IF(ISNUMBER('Klisz-Verbräuche'!V130), 'Klisz-Verbräuche'!V130*Emissionsfaktoren!U130/1000, 0)</f>
        <v>0</v>
      </c>
      <c r="V640" s="124">
        <f>IF(ISNUMBER('Klisz-Verbräuche'!W130), 'Klisz-Verbräuche'!W130*Emissionsfaktoren!V130/1000, 0)</f>
        <v>0</v>
      </c>
      <c r="W640" s="124">
        <f>IF(ISNUMBER('Klisz-Verbräuche'!X130), 'Klisz-Verbräuche'!X130*Emissionsfaktoren!W130/1000, 0)</f>
        <v>0</v>
      </c>
      <c r="X640" s="124">
        <f>IF(ISNUMBER('Klisz-Verbräuche'!Y130), 'Klisz-Verbräuche'!Y130*Emissionsfaktoren!X130/1000, 0)</f>
        <v>0</v>
      </c>
    </row>
    <row r="641" spans="2:24" ht="16.5" hidden="1" x14ac:dyDescent="0.45">
      <c r="B641" s="15">
        <v>71</v>
      </c>
      <c r="C641" s="20" t="str">
        <f>'Refsz-Verbräuche'!C131</f>
        <v>Pendeln - PKW (CNG)</v>
      </c>
      <c r="D641" t="s">
        <v>208</v>
      </c>
      <c r="E641" s="124">
        <f>IF(ISNUMBER('Klisz-Verbräuche'!F131), 'Klisz-Verbräuche'!F131*Emissionsfaktoren!E131/1000, 0)</f>
        <v>0</v>
      </c>
      <c r="F641" s="124">
        <f>IF(ISNUMBER('Klisz-Verbräuche'!G131), 'Klisz-Verbräuche'!G131*Emissionsfaktoren!F131/1000, 0)</f>
        <v>0</v>
      </c>
      <c r="G641" s="124">
        <f>IF(ISNUMBER('Klisz-Verbräuche'!H131), 'Klisz-Verbräuche'!H131*Emissionsfaktoren!G131/1000, 0)</f>
        <v>0</v>
      </c>
      <c r="H641" s="124">
        <f>IF(ISNUMBER('Klisz-Verbräuche'!I131), 'Klisz-Verbräuche'!I131*Emissionsfaktoren!H131/1000, 0)</f>
        <v>0</v>
      </c>
      <c r="I641" s="124">
        <f>IF(ISNUMBER('Klisz-Verbräuche'!J131), 'Klisz-Verbräuche'!J131*Emissionsfaktoren!I131/1000, 0)</f>
        <v>0</v>
      </c>
      <c r="J641" s="124">
        <f>IF(ISNUMBER('Klisz-Verbräuche'!K131), 'Klisz-Verbräuche'!K131*Emissionsfaktoren!J131/1000, 0)</f>
        <v>0</v>
      </c>
      <c r="K641" s="124">
        <f>IF(ISNUMBER('Klisz-Verbräuche'!L131), 'Klisz-Verbräuche'!L131*Emissionsfaktoren!K131/1000, 0)</f>
        <v>0</v>
      </c>
      <c r="L641" s="124">
        <f>IF(ISNUMBER('Klisz-Verbräuche'!M131), 'Klisz-Verbräuche'!M131*Emissionsfaktoren!L131/1000, 0)</f>
        <v>0</v>
      </c>
      <c r="M641" s="124">
        <f>IF(ISNUMBER('Klisz-Verbräuche'!N131), 'Klisz-Verbräuche'!N131*Emissionsfaktoren!M131/1000, 0)</f>
        <v>0</v>
      </c>
      <c r="N641" s="124">
        <f>IF(ISNUMBER('Klisz-Verbräuche'!O131), 'Klisz-Verbräuche'!O131*Emissionsfaktoren!N131/1000, 0)</f>
        <v>0</v>
      </c>
      <c r="O641" s="124">
        <f>IF(ISNUMBER('Klisz-Verbräuche'!P131), 'Klisz-Verbräuche'!P131*Emissionsfaktoren!O131/1000, 0)</f>
        <v>0</v>
      </c>
      <c r="P641" s="124">
        <f>IF(ISNUMBER('Klisz-Verbräuche'!Q131), 'Klisz-Verbräuche'!Q131*Emissionsfaktoren!P131/1000, 0)</f>
        <v>0</v>
      </c>
      <c r="Q641" s="124">
        <f>IF(ISNUMBER('Klisz-Verbräuche'!R131), 'Klisz-Verbräuche'!R131*Emissionsfaktoren!Q131/1000, 0)</f>
        <v>0</v>
      </c>
      <c r="R641" s="124">
        <f>IF(ISNUMBER('Klisz-Verbräuche'!S131), 'Klisz-Verbräuche'!S131*Emissionsfaktoren!R131/1000, 0)</f>
        <v>0</v>
      </c>
      <c r="S641" s="124">
        <f>IF(ISNUMBER('Klisz-Verbräuche'!T131), 'Klisz-Verbräuche'!T131*Emissionsfaktoren!S131/1000, 0)</f>
        <v>0</v>
      </c>
      <c r="T641" s="124">
        <f>IF(ISNUMBER('Klisz-Verbräuche'!U131), 'Klisz-Verbräuche'!U131*Emissionsfaktoren!T131/1000, 0)</f>
        <v>0</v>
      </c>
      <c r="U641" s="124">
        <f>IF(ISNUMBER('Klisz-Verbräuche'!V131), 'Klisz-Verbräuche'!V131*Emissionsfaktoren!U131/1000, 0)</f>
        <v>0</v>
      </c>
      <c r="V641" s="124">
        <f>IF(ISNUMBER('Klisz-Verbräuche'!W131), 'Klisz-Verbräuche'!W131*Emissionsfaktoren!V131/1000, 0)</f>
        <v>0</v>
      </c>
      <c r="W641" s="124">
        <f>IF(ISNUMBER('Klisz-Verbräuche'!X131), 'Klisz-Verbräuche'!X131*Emissionsfaktoren!W131/1000, 0)</f>
        <v>0</v>
      </c>
      <c r="X641" s="124">
        <f>IF(ISNUMBER('Klisz-Verbräuche'!Y131), 'Klisz-Verbräuche'!Y131*Emissionsfaktoren!X131/1000, 0)</f>
        <v>0</v>
      </c>
    </row>
    <row r="642" spans="2:24" ht="16.5" hidden="1" x14ac:dyDescent="0.45">
      <c r="B642" s="15">
        <v>72</v>
      </c>
      <c r="C642" s="20" t="str">
        <f>'Refsz-Verbräuche'!C132</f>
        <v>Pendeln - PKW (Plug-In-Hybrid/PHEV)</v>
      </c>
      <c r="D642" t="s">
        <v>208</v>
      </c>
      <c r="E642" s="124">
        <f>IF(ISNUMBER('Klisz-Verbräuche'!F132), 'Klisz-Verbräuche'!F132*Emissionsfaktoren!E132/1000, 0)</f>
        <v>0</v>
      </c>
      <c r="F642" s="124">
        <f>IF(ISNUMBER('Klisz-Verbräuche'!G132), 'Klisz-Verbräuche'!G132*Emissionsfaktoren!F132/1000, 0)</f>
        <v>0</v>
      </c>
      <c r="G642" s="124">
        <f>IF(ISNUMBER('Klisz-Verbräuche'!H132), 'Klisz-Verbräuche'!H132*Emissionsfaktoren!G132/1000, 0)</f>
        <v>0</v>
      </c>
      <c r="H642" s="124">
        <f>IF(ISNUMBER('Klisz-Verbräuche'!I132), 'Klisz-Verbräuche'!I132*Emissionsfaktoren!H132/1000, 0)</f>
        <v>0</v>
      </c>
      <c r="I642" s="124">
        <f>IF(ISNUMBER('Klisz-Verbräuche'!J132), 'Klisz-Verbräuche'!J132*Emissionsfaktoren!I132/1000, 0)</f>
        <v>0</v>
      </c>
      <c r="J642" s="124">
        <f>IF(ISNUMBER('Klisz-Verbräuche'!K132), 'Klisz-Verbräuche'!K132*Emissionsfaktoren!J132/1000, 0)</f>
        <v>0</v>
      </c>
      <c r="K642" s="124">
        <f>IF(ISNUMBER('Klisz-Verbräuche'!L132), 'Klisz-Verbräuche'!L132*Emissionsfaktoren!K132/1000, 0)</f>
        <v>0</v>
      </c>
      <c r="L642" s="124">
        <f>IF(ISNUMBER('Klisz-Verbräuche'!M132), 'Klisz-Verbräuche'!M132*Emissionsfaktoren!L132/1000, 0)</f>
        <v>0</v>
      </c>
      <c r="M642" s="124">
        <f>IF(ISNUMBER('Klisz-Verbräuche'!N132), 'Klisz-Verbräuche'!N132*Emissionsfaktoren!M132/1000, 0)</f>
        <v>0</v>
      </c>
      <c r="N642" s="124">
        <f>IF(ISNUMBER('Klisz-Verbräuche'!O132), 'Klisz-Verbräuche'!O132*Emissionsfaktoren!N132/1000, 0)</f>
        <v>0</v>
      </c>
      <c r="O642" s="124">
        <f>IF(ISNUMBER('Klisz-Verbräuche'!P132), 'Klisz-Verbräuche'!P132*Emissionsfaktoren!O132/1000, 0)</f>
        <v>0</v>
      </c>
      <c r="P642" s="124">
        <f>IF(ISNUMBER('Klisz-Verbräuche'!Q132), 'Klisz-Verbräuche'!Q132*Emissionsfaktoren!P132/1000, 0)</f>
        <v>0</v>
      </c>
      <c r="Q642" s="124">
        <f>IF(ISNUMBER('Klisz-Verbräuche'!R132), 'Klisz-Verbräuche'!R132*Emissionsfaktoren!Q132/1000, 0)</f>
        <v>0</v>
      </c>
      <c r="R642" s="124">
        <f>IF(ISNUMBER('Klisz-Verbräuche'!S132), 'Klisz-Verbräuche'!S132*Emissionsfaktoren!R132/1000, 0)</f>
        <v>0</v>
      </c>
      <c r="S642" s="124">
        <f>IF(ISNUMBER('Klisz-Verbräuche'!T132), 'Klisz-Verbräuche'!T132*Emissionsfaktoren!S132/1000, 0)</f>
        <v>0</v>
      </c>
      <c r="T642" s="124">
        <f>IF(ISNUMBER('Klisz-Verbräuche'!U132), 'Klisz-Verbräuche'!U132*Emissionsfaktoren!T132/1000, 0)</f>
        <v>0</v>
      </c>
      <c r="U642" s="124">
        <f>IF(ISNUMBER('Klisz-Verbräuche'!V132), 'Klisz-Verbräuche'!V132*Emissionsfaktoren!U132/1000, 0)</f>
        <v>0</v>
      </c>
      <c r="V642" s="124">
        <f>IF(ISNUMBER('Klisz-Verbräuche'!W132), 'Klisz-Verbräuche'!W132*Emissionsfaktoren!V132/1000, 0)</f>
        <v>0</v>
      </c>
      <c r="W642" s="124">
        <f>IF(ISNUMBER('Klisz-Verbräuche'!X132), 'Klisz-Verbräuche'!X132*Emissionsfaktoren!W132/1000, 0)</f>
        <v>0</v>
      </c>
      <c r="X642" s="124">
        <f>IF(ISNUMBER('Klisz-Verbräuche'!Y132), 'Klisz-Verbräuche'!Y132*Emissionsfaktoren!X132/1000, 0)</f>
        <v>0</v>
      </c>
    </row>
    <row r="643" spans="2:24" ht="16.5" hidden="1" x14ac:dyDescent="0.45">
      <c r="B643" s="15">
        <v>73</v>
      </c>
      <c r="C643" s="20" t="str">
        <f>'Refsz-Verbräuche'!C133</f>
        <v>Pendeln - Motorisierte Zweiräder</v>
      </c>
      <c r="D643" t="s">
        <v>208</v>
      </c>
      <c r="E643" s="124">
        <f>IF(ISNUMBER('Klisz-Verbräuche'!F133), 'Klisz-Verbräuche'!F133*Emissionsfaktoren!E133/1000, 0)</f>
        <v>0</v>
      </c>
      <c r="F643" s="124">
        <f>IF(ISNUMBER('Klisz-Verbräuche'!G133), 'Klisz-Verbräuche'!G133*Emissionsfaktoren!F133/1000, 0)</f>
        <v>0</v>
      </c>
      <c r="G643" s="124">
        <f>IF(ISNUMBER('Klisz-Verbräuche'!H133), 'Klisz-Verbräuche'!H133*Emissionsfaktoren!G133/1000, 0)</f>
        <v>0</v>
      </c>
      <c r="H643" s="124">
        <f>IF(ISNUMBER('Klisz-Verbräuche'!I133), 'Klisz-Verbräuche'!I133*Emissionsfaktoren!H133/1000, 0)</f>
        <v>0</v>
      </c>
      <c r="I643" s="124">
        <f>IF(ISNUMBER('Klisz-Verbräuche'!J133), 'Klisz-Verbräuche'!J133*Emissionsfaktoren!I133/1000, 0)</f>
        <v>0</v>
      </c>
      <c r="J643" s="124">
        <f>IF(ISNUMBER('Klisz-Verbräuche'!K133), 'Klisz-Verbräuche'!K133*Emissionsfaktoren!J133/1000, 0)</f>
        <v>0</v>
      </c>
      <c r="K643" s="124">
        <f>IF(ISNUMBER('Klisz-Verbräuche'!L133), 'Klisz-Verbräuche'!L133*Emissionsfaktoren!K133/1000, 0)</f>
        <v>0</v>
      </c>
      <c r="L643" s="124">
        <f>IF(ISNUMBER('Klisz-Verbräuche'!M133), 'Klisz-Verbräuche'!M133*Emissionsfaktoren!L133/1000, 0)</f>
        <v>0</v>
      </c>
      <c r="M643" s="124">
        <f>IF(ISNUMBER('Klisz-Verbräuche'!N133), 'Klisz-Verbräuche'!N133*Emissionsfaktoren!M133/1000, 0)</f>
        <v>0</v>
      </c>
      <c r="N643" s="124">
        <f>IF(ISNUMBER('Klisz-Verbräuche'!O133), 'Klisz-Verbräuche'!O133*Emissionsfaktoren!N133/1000, 0)</f>
        <v>0</v>
      </c>
      <c r="O643" s="124">
        <f>IF(ISNUMBER('Klisz-Verbräuche'!P133), 'Klisz-Verbräuche'!P133*Emissionsfaktoren!O133/1000, 0)</f>
        <v>0</v>
      </c>
      <c r="P643" s="124">
        <f>IF(ISNUMBER('Klisz-Verbräuche'!Q133), 'Klisz-Verbräuche'!Q133*Emissionsfaktoren!P133/1000, 0)</f>
        <v>0</v>
      </c>
      <c r="Q643" s="124">
        <f>IF(ISNUMBER('Klisz-Verbräuche'!R133), 'Klisz-Verbräuche'!R133*Emissionsfaktoren!Q133/1000, 0)</f>
        <v>0</v>
      </c>
      <c r="R643" s="124">
        <f>IF(ISNUMBER('Klisz-Verbräuche'!S133), 'Klisz-Verbräuche'!S133*Emissionsfaktoren!R133/1000, 0)</f>
        <v>0</v>
      </c>
      <c r="S643" s="124">
        <f>IF(ISNUMBER('Klisz-Verbräuche'!T133), 'Klisz-Verbräuche'!T133*Emissionsfaktoren!S133/1000, 0)</f>
        <v>0</v>
      </c>
      <c r="T643" s="124">
        <f>IF(ISNUMBER('Klisz-Verbräuche'!U133), 'Klisz-Verbräuche'!U133*Emissionsfaktoren!T133/1000, 0)</f>
        <v>0</v>
      </c>
      <c r="U643" s="124">
        <f>IF(ISNUMBER('Klisz-Verbräuche'!V133), 'Klisz-Verbräuche'!V133*Emissionsfaktoren!U133/1000, 0)</f>
        <v>0</v>
      </c>
      <c r="V643" s="124">
        <f>IF(ISNUMBER('Klisz-Verbräuche'!W133), 'Klisz-Verbräuche'!W133*Emissionsfaktoren!V133/1000, 0)</f>
        <v>0</v>
      </c>
      <c r="W643" s="124">
        <f>IF(ISNUMBER('Klisz-Verbräuche'!X133), 'Klisz-Verbräuche'!X133*Emissionsfaktoren!W133/1000, 0)</f>
        <v>0</v>
      </c>
      <c r="X643" s="124">
        <f>IF(ISNUMBER('Klisz-Verbräuche'!Y133), 'Klisz-Verbräuche'!Y133*Emissionsfaktoren!X133/1000, 0)</f>
        <v>0</v>
      </c>
    </row>
    <row r="644" spans="2:24" ht="16.5" hidden="1" x14ac:dyDescent="0.45">
      <c r="B644" s="15">
        <v>74</v>
      </c>
      <c r="C644" s="20" t="str">
        <f>'Refsz-Verbräuche'!C134</f>
        <v>Pendeln - Fahrrad</v>
      </c>
      <c r="D644" t="s">
        <v>208</v>
      </c>
      <c r="E644" s="124">
        <f>IF(ISNUMBER('Klisz-Verbräuche'!F134), 'Klisz-Verbräuche'!F134*Emissionsfaktoren!E134/1000, 0)</f>
        <v>0</v>
      </c>
      <c r="F644" s="124">
        <f>IF(ISNUMBER('Klisz-Verbräuche'!G134), 'Klisz-Verbräuche'!G134*Emissionsfaktoren!F134/1000, 0)</f>
        <v>0</v>
      </c>
      <c r="G644" s="124">
        <f>IF(ISNUMBER('Klisz-Verbräuche'!H134), 'Klisz-Verbräuche'!H134*Emissionsfaktoren!G134/1000, 0)</f>
        <v>0</v>
      </c>
      <c r="H644" s="124">
        <f>IF(ISNUMBER('Klisz-Verbräuche'!I134), 'Klisz-Verbräuche'!I134*Emissionsfaktoren!H134/1000, 0)</f>
        <v>0</v>
      </c>
      <c r="I644" s="124">
        <f>IF(ISNUMBER('Klisz-Verbräuche'!J134), 'Klisz-Verbräuche'!J134*Emissionsfaktoren!I134/1000, 0)</f>
        <v>0</v>
      </c>
      <c r="J644" s="124">
        <f>IF(ISNUMBER('Klisz-Verbräuche'!K134), 'Klisz-Verbräuche'!K134*Emissionsfaktoren!J134/1000, 0)</f>
        <v>0</v>
      </c>
      <c r="K644" s="124">
        <f>IF(ISNUMBER('Klisz-Verbräuche'!L134), 'Klisz-Verbräuche'!L134*Emissionsfaktoren!K134/1000, 0)</f>
        <v>0</v>
      </c>
      <c r="L644" s="124">
        <f>IF(ISNUMBER('Klisz-Verbräuche'!M134), 'Klisz-Verbräuche'!M134*Emissionsfaktoren!L134/1000, 0)</f>
        <v>0</v>
      </c>
      <c r="M644" s="124">
        <f>IF(ISNUMBER('Klisz-Verbräuche'!N134), 'Klisz-Verbräuche'!N134*Emissionsfaktoren!M134/1000, 0)</f>
        <v>0</v>
      </c>
      <c r="N644" s="124">
        <f>IF(ISNUMBER('Klisz-Verbräuche'!O134), 'Klisz-Verbräuche'!O134*Emissionsfaktoren!N134/1000, 0)</f>
        <v>0</v>
      </c>
      <c r="O644" s="124">
        <f>IF(ISNUMBER('Klisz-Verbräuche'!P134), 'Klisz-Verbräuche'!P134*Emissionsfaktoren!O134/1000, 0)</f>
        <v>0</v>
      </c>
      <c r="P644" s="124">
        <f>IF(ISNUMBER('Klisz-Verbräuche'!Q134), 'Klisz-Verbräuche'!Q134*Emissionsfaktoren!P134/1000, 0)</f>
        <v>0</v>
      </c>
      <c r="Q644" s="124">
        <f>IF(ISNUMBER('Klisz-Verbräuche'!R134), 'Klisz-Verbräuche'!R134*Emissionsfaktoren!Q134/1000, 0)</f>
        <v>0</v>
      </c>
      <c r="R644" s="124">
        <f>IF(ISNUMBER('Klisz-Verbräuche'!S134), 'Klisz-Verbräuche'!S134*Emissionsfaktoren!R134/1000, 0)</f>
        <v>0</v>
      </c>
      <c r="S644" s="124">
        <f>IF(ISNUMBER('Klisz-Verbräuche'!T134), 'Klisz-Verbräuche'!T134*Emissionsfaktoren!S134/1000, 0)</f>
        <v>0</v>
      </c>
      <c r="T644" s="124">
        <f>IF(ISNUMBER('Klisz-Verbräuche'!U134), 'Klisz-Verbräuche'!U134*Emissionsfaktoren!T134/1000, 0)</f>
        <v>0</v>
      </c>
      <c r="U644" s="124">
        <f>IF(ISNUMBER('Klisz-Verbräuche'!V134), 'Klisz-Verbräuche'!V134*Emissionsfaktoren!U134/1000, 0)</f>
        <v>0</v>
      </c>
      <c r="V644" s="124">
        <f>IF(ISNUMBER('Klisz-Verbräuche'!W134), 'Klisz-Verbräuche'!W134*Emissionsfaktoren!V134/1000, 0)</f>
        <v>0</v>
      </c>
      <c r="W644" s="124">
        <f>IF(ISNUMBER('Klisz-Verbräuche'!X134), 'Klisz-Verbräuche'!X134*Emissionsfaktoren!W134/1000, 0)</f>
        <v>0</v>
      </c>
      <c r="X644" s="124">
        <f>IF(ISNUMBER('Klisz-Verbräuche'!Y134), 'Klisz-Verbräuche'!Y134*Emissionsfaktoren!X134/1000, 0)</f>
        <v>0</v>
      </c>
    </row>
    <row r="645" spans="2:24" ht="16.5" hidden="1" x14ac:dyDescent="0.45">
      <c r="B645" s="15">
        <v>75</v>
      </c>
      <c r="C645" s="20" t="str">
        <f>'Refsz-Verbräuche'!C135</f>
        <v>Pendeln - E-Bike</v>
      </c>
      <c r="D645" t="s">
        <v>208</v>
      </c>
      <c r="E645" s="124">
        <f>IF(ISNUMBER('Klisz-Verbräuche'!F135), 'Klisz-Verbräuche'!F135*Emissionsfaktoren!E136/1000, 0)</f>
        <v>0</v>
      </c>
      <c r="F645" s="124">
        <f>IF(ISNUMBER('Klisz-Verbräuche'!G135), 'Klisz-Verbräuche'!G135*Emissionsfaktoren!F136/1000, 0)</f>
        <v>0</v>
      </c>
      <c r="G645" s="124">
        <f>IF(ISNUMBER('Klisz-Verbräuche'!H135), 'Klisz-Verbräuche'!H135*Emissionsfaktoren!G136/1000, 0)</f>
        <v>0</v>
      </c>
      <c r="H645" s="124">
        <f>IF(ISNUMBER('Klisz-Verbräuche'!I135), 'Klisz-Verbräuche'!I135*Emissionsfaktoren!H136/1000, 0)</f>
        <v>0</v>
      </c>
      <c r="I645" s="124">
        <f>IF(ISNUMBER('Klisz-Verbräuche'!J135), 'Klisz-Verbräuche'!J135*Emissionsfaktoren!I136/1000, 0)</f>
        <v>0</v>
      </c>
      <c r="J645" s="124">
        <f>IF(ISNUMBER('Klisz-Verbräuche'!K135), 'Klisz-Verbräuche'!K135*Emissionsfaktoren!J136/1000, 0)</f>
        <v>0</v>
      </c>
      <c r="K645" s="124">
        <f>IF(ISNUMBER('Klisz-Verbräuche'!L135), 'Klisz-Verbräuche'!L135*Emissionsfaktoren!K136/1000, 0)</f>
        <v>0</v>
      </c>
      <c r="L645" s="124">
        <f>IF(ISNUMBER('Klisz-Verbräuche'!M135), 'Klisz-Verbräuche'!M135*Emissionsfaktoren!L136/1000, 0)</f>
        <v>0</v>
      </c>
      <c r="M645" s="124">
        <f>IF(ISNUMBER('Klisz-Verbräuche'!N135), 'Klisz-Verbräuche'!N135*Emissionsfaktoren!M136/1000, 0)</f>
        <v>0</v>
      </c>
      <c r="N645" s="124">
        <f>IF(ISNUMBER('Klisz-Verbräuche'!O135), 'Klisz-Verbräuche'!O135*Emissionsfaktoren!N136/1000, 0)</f>
        <v>0</v>
      </c>
      <c r="O645" s="124">
        <f>IF(ISNUMBER('Klisz-Verbräuche'!P135), 'Klisz-Verbräuche'!P135*Emissionsfaktoren!O136/1000, 0)</f>
        <v>0</v>
      </c>
      <c r="P645" s="124">
        <f>IF(ISNUMBER('Klisz-Verbräuche'!Q135), 'Klisz-Verbräuche'!Q135*Emissionsfaktoren!P136/1000, 0)</f>
        <v>0</v>
      </c>
      <c r="Q645" s="124">
        <f>IF(ISNUMBER('Klisz-Verbräuche'!R135), 'Klisz-Verbräuche'!R135*Emissionsfaktoren!Q136/1000, 0)</f>
        <v>0</v>
      </c>
      <c r="R645" s="124">
        <f>IF(ISNUMBER('Klisz-Verbräuche'!S135), 'Klisz-Verbräuche'!S135*Emissionsfaktoren!R136/1000, 0)</f>
        <v>0</v>
      </c>
      <c r="S645" s="124">
        <f>IF(ISNUMBER('Klisz-Verbräuche'!T135), 'Klisz-Verbräuche'!T135*Emissionsfaktoren!S136/1000, 0)</f>
        <v>0</v>
      </c>
      <c r="T645" s="124">
        <f>IF(ISNUMBER('Klisz-Verbräuche'!U135), 'Klisz-Verbräuche'!U135*Emissionsfaktoren!T136/1000, 0)</f>
        <v>0</v>
      </c>
      <c r="U645" s="124">
        <f>IF(ISNUMBER('Klisz-Verbräuche'!V135), 'Klisz-Verbräuche'!V135*Emissionsfaktoren!U136/1000, 0)</f>
        <v>0</v>
      </c>
      <c r="V645" s="124">
        <f>IF(ISNUMBER('Klisz-Verbräuche'!W135), 'Klisz-Verbräuche'!W135*Emissionsfaktoren!V136/1000, 0)</f>
        <v>0</v>
      </c>
      <c r="W645" s="124">
        <f>IF(ISNUMBER('Klisz-Verbräuche'!X135), 'Klisz-Verbräuche'!X135*Emissionsfaktoren!W136/1000, 0)</f>
        <v>0</v>
      </c>
      <c r="X645" s="124">
        <f>IF(ISNUMBER('Klisz-Verbräuche'!Y135), 'Klisz-Verbräuche'!Y135*Emissionsfaktoren!X136/1000, 0)</f>
        <v>0</v>
      </c>
    </row>
    <row r="646" spans="2:24" ht="16.5" hidden="1" x14ac:dyDescent="0.45">
      <c r="B646" s="15">
        <v>76</v>
      </c>
      <c r="C646" s="20" t="str">
        <f>'Refsz-Verbräuche'!C136</f>
        <v>Pendeln - zu Fuß</v>
      </c>
      <c r="D646" t="s">
        <v>208</v>
      </c>
      <c r="E646" s="124">
        <f>IF(ISNUMBER('Klisz-Verbräuche'!F136), 'Klisz-Verbräuche'!F136*Emissionsfaktoren!E136/1000, 0)</f>
        <v>0</v>
      </c>
      <c r="F646" s="124">
        <f>IF(ISNUMBER('Klisz-Verbräuche'!G136), 'Klisz-Verbräuche'!G136*Emissionsfaktoren!F136/1000, 0)</f>
        <v>0</v>
      </c>
      <c r="G646" s="124">
        <f>IF(ISNUMBER('Klisz-Verbräuche'!H136), 'Klisz-Verbräuche'!H136*Emissionsfaktoren!G136/1000, 0)</f>
        <v>0</v>
      </c>
      <c r="H646" s="124">
        <f>IF(ISNUMBER('Klisz-Verbräuche'!I136), 'Klisz-Verbräuche'!I136*Emissionsfaktoren!H136/1000, 0)</f>
        <v>0</v>
      </c>
      <c r="I646" s="124">
        <f>IF(ISNUMBER('Klisz-Verbräuche'!J136), 'Klisz-Verbräuche'!J136*Emissionsfaktoren!I136/1000, 0)</f>
        <v>0</v>
      </c>
      <c r="J646" s="124">
        <f>IF(ISNUMBER('Klisz-Verbräuche'!K136), 'Klisz-Verbräuche'!K136*Emissionsfaktoren!J136/1000, 0)</f>
        <v>0</v>
      </c>
      <c r="K646" s="124">
        <f>IF(ISNUMBER('Klisz-Verbräuche'!L136), 'Klisz-Verbräuche'!L136*Emissionsfaktoren!K136/1000, 0)</f>
        <v>0</v>
      </c>
      <c r="L646" s="124">
        <f>IF(ISNUMBER('Klisz-Verbräuche'!M136), 'Klisz-Verbräuche'!M136*Emissionsfaktoren!L136/1000, 0)</f>
        <v>0</v>
      </c>
      <c r="M646" s="124">
        <f>IF(ISNUMBER('Klisz-Verbräuche'!N136), 'Klisz-Verbräuche'!N136*Emissionsfaktoren!M136/1000, 0)</f>
        <v>0</v>
      </c>
      <c r="N646" s="124">
        <f>IF(ISNUMBER('Klisz-Verbräuche'!O136), 'Klisz-Verbräuche'!O136*Emissionsfaktoren!N136/1000, 0)</f>
        <v>0</v>
      </c>
      <c r="O646" s="124">
        <f>IF(ISNUMBER('Klisz-Verbräuche'!P136), 'Klisz-Verbräuche'!P136*Emissionsfaktoren!O136/1000, 0)</f>
        <v>0</v>
      </c>
      <c r="P646" s="124">
        <f>IF(ISNUMBER('Klisz-Verbräuche'!Q136), 'Klisz-Verbräuche'!Q136*Emissionsfaktoren!P136/1000, 0)</f>
        <v>0</v>
      </c>
      <c r="Q646" s="124">
        <f>IF(ISNUMBER('Klisz-Verbräuche'!R136), 'Klisz-Verbräuche'!R136*Emissionsfaktoren!Q136/1000, 0)</f>
        <v>0</v>
      </c>
      <c r="R646" s="124">
        <f>IF(ISNUMBER('Klisz-Verbräuche'!S136), 'Klisz-Verbräuche'!S136*Emissionsfaktoren!R136/1000, 0)</f>
        <v>0</v>
      </c>
      <c r="S646" s="124">
        <f>IF(ISNUMBER('Klisz-Verbräuche'!T136), 'Klisz-Verbräuche'!T136*Emissionsfaktoren!S136/1000, 0)</f>
        <v>0</v>
      </c>
      <c r="T646" s="124">
        <f>IF(ISNUMBER('Klisz-Verbräuche'!U136), 'Klisz-Verbräuche'!U136*Emissionsfaktoren!T136/1000, 0)</f>
        <v>0</v>
      </c>
      <c r="U646" s="124">
        <f>IF(ISNUMBER('Klisz-Verbräuche'!V136), 'Klisz-Verbräuche'!V136*Emissionsfaktoren!U136/1000, 0)</f>
        <v>0</v>
      </c>
      <c r="V646" s="124">
        <f>IF(ISNUMBER('Klisz-Verbräuche'!W136), 'Klisz-Verbräuche'!W136*Emissionsfaktoren!V136/1000, 0)</f>
        <v>0</v>
      </c>
      <c r="W646" s="124">
        <f>IF(ISNUMBER('Klisz-Verbräuche'!X136), 'Klisz-Verbräuche'!X136*Emissionsfaktoren!W136/1000, 0)</f>
        <v>0</v>
      </c>
      <c r="X646" s="124">
        <f>IF(ISNUMBER('Klisz-Verbräuche'!Y136), 'Klisz-Verbräuche'!Y136*Emissionsfaktoren!X136/1000, 0)</f>
        <v>0</v>
      </c>
    </row>
    <row r="647" spans="2:24" ht="16.5" hidden="1" x14ac:dyDescent="0.45">
      <c r="B647" s="15">
        <v>77</v>
      </c>
      <c r="C647" s="20">
        <f>'Refsz-Verbräuche'!C137</f>
        <v>0</v>
      </c>
      <c r="D647" t="s">
        <v>208</v>
      </c>
      <c r="E647" s="124">
        <f>IF(ISNUMBER('Klisz-Verbräuche'!F137), 'Klisz-Verbräuche'!F137*Emissionsfaktoren!E137/1000, 0)</f>
        <v>0</v>
      </c>
      <c r="F647" s="124">
        <f>IF(ISNUMBER('Klisz-Verbräuche'!G137), 'Klisz-Verbräuche'!G137*Emissionsfaktoren!F137/1000, 0)</f>
        <v>0</v>
      </c>
      <c r="G647" s="124">
        <f>IF(ISNUMBER('Klisz-Verbräuche'!H137), 'Klisz-Verbräuche'!H137*Emissionsfaktoren!G137/1000, 0)</f>
        <v>0</v>
      </c>
      <c r="H647" s="124">
        <f>IF(ISNUMBER('Klisz-Verbräuche'!I137), 'Klisz-Verbräuche'!I137*Emissionsfaktoren!H137/1000, 0)</f>
        <v>0</v>
      </c>
      <c r="I647" s="124">
        <f>IF(ISNUMBER('Klisz-Verbräuche'!J137), 'Klisz-Verbräuche'!J137*Emissionsfaktoren!I137/1000, 0)</f>
        <v>0</v>
      </c>
      <c r="J647" s="124">
        <f>IF(ISNUMBER('Klisz-Verbräuche'!K137), 'Klisz-Verbräuche'!K137*Emissionsfaktoren!J137/1000, 0)</f>
        <v>0</v>
      </c>
      <c r="K647" s="124">
        <f>IF(ISNUMBER('Klisz-Verbräuche'!L137), 'Klisz-Verbräuche'!L137*Emissionsfaktoren!K137/1000, 0)</f>
        <v>0</v>
      </c>
      <c r="L647" s="124">
        <f>IF(ISNUMBER('Klisz-Verbräuche'!M137), 'Klisz-Verbräuche'!M137*Emissionsfaktoren!L137/1000, 0)</f>
        <v>0</v>
      </c>
      <c r="M647" s="124">
        <f>IF(ISNUMBER('Klisz-Verbräuche'!N137), 'Klisz-Verbräuche'!N137*Emissionsfaktoren!M137/1000, 0)</f>
        <v>0</v>
      </c>
      <c r="N647" s="124">
        <f>IF(ISNUMBER('Klisz-Verbräuche'!O137), 'Klisz-Verbräuche'!O137*Emissionsfaktoren!N137/1000, 0)</f>
        <v>0</v>
      </c>
      <c r="O647" s="124">
        <f>IF(ISNUMBER('Klisz-Verbräuche'!P137), 'Klisz-Verbräuche'!P137*Emissionsfaktoren!O137/1000, 0)</f>
        <v>0</v>
      </c>
      <c r="P647" s="124">
        <f>IF(ISNUMBER('Klisz-Verbräuche'!Q137), 'Klisz-Verbräuche'!Q137*Emissionsfaktoren!P137/1000, 0)</f>
        <v>0</v>
      </c>
      <c r="Q647" s="124">
        <f>IF(ISNUMBER('Klisz-Verbräuche'!R137), 'Klisz-Verbräuche'!R137*Emissionsfaktoren!Q137/1000, 0)</f>
        <v>0</v>
      </c>
      <c r="R647" s="124">
        <f>IF(ISNUMBER('Klisz-Verbräuche'!S137), 'Klisz-Verbräuche'!S137*Emissionsfaktoren!R137/1000, 0)</f>
        <v>0</v>
      </c>
      <c r="S647" s="124">
        <f>IF(ISNUMBER('Klisz-Verbräuche'!T137), 'Klisz-Verbräuche'!T137*Emissionsfaktoren!S137/1000, 0)</f>
        <v>0</v>
      </c>
      <c r="T647" s="124">
        <f>IF(ISNUMBER('Klisz-Verbräuche'!U137), 'Klisz-Verbräuche'!U137*Emissionsfaktoren!T137/1000, 0)</f>
        <v>0</v>
      </c>
      <c r="U647" s="124">
        <f>IF(ISNUMBER('Klisz-Verbräuche'!V137), 'Klisz-Verbräuche'!V137*Emissionsfaktoren!U137/1000, 0)</f>
        <v>0</v>
      </c>
      <c r="V647" s="124">
        <f>IF(ISNUMBER('Klisz-Verbräuche'!W137), 'Klisz-Verbräuche'!W137*Emissionsfaktoren!V137/1000, 0)</f>
        <v>0</v>
      </c>
      <c r="W647" s="124">
        <f>IF(ISNUMBER('Klisz-Verbräuche'!X137), 'Klisz-Verbräuche'!X137*Emissionsfaktoren!W137/1000, 0)</f>
        <v>0</v>
      </c>
      <c r="X647" s="124">
        <f>IF(ISNUMBER('Klisz-Verbräuche'!Y137), 'Klisz-Verbräuche'!Y137*Emissionsfaktoren!X137/1000, 0)</f>
        <v>0</v>
      </c>
    </row>
    <row r="648" spans="2:24" ht="16.5" hidden="1" x14ac:dyDescent="0.45">
      <c r="B648" s="15">
        <v>78</v>
      </c>
      <c r="C648" s="20" t="str">
        <f>'Refsz-Verbräuche'!C138</f>
        <v>Studierendenreisen (Incoming) - Flugreisen</v>
      </c>
      <c r="D648" t="s">
        <v>208</v>
      </c>
      <c r="E648" s="124">
        <f>IF(ISNUMBER('Klisz-Verbräuche'!F138), 'Klisz-Verbräuche'!F138*Emissionsfaktoren!E138/1000, 0)</f>
        <v>0</v>
      </c>
      <c r="F648" s="124">
        <f>IF(ISNUMBER('Klisz-Verbräuche'!G138), 'Klisz-Verbräuche'!G138*Emissionsfaktoren!F138/1000, 0)</f>
        <v>0</v>
      </c>
      <c r="G648" s="124">
        <f>IF(ISNUMBER('Klisz-Verbräuche'!H138), 'Klisz-Verbräuche'!H138*Emissionsfaktoren!G138/1000, 0)</f>
        <v>0</v>
      </c>
      <c r="H648" s="124">
        <f>IF(ISNUMBER('Klisz-Verbräuche'!I138), 'Klisz-Verbräuche'!I138*Emissionsfaktoren!H138/1000, 0)</f>
        <v>0</v>
      </c>
      <c r="I648" s="124">
        <f>IF(ISNUMBER('Klisz-Verbräuche'!J138), 'Klisz-Verbräuche'!J138*Emissionsfaktoren!I138/1000, 0)</f>
        <v>0</v>
      </c>
      <c r="J648" s="124">
        <f>IF(ISNUMBER('Klisz-Verbräuche'!K138), 'Klisz-Verbräuche'!K138*Emissionsfaktoren!J138/1000, 0)</f>
        <v>0</v>
      </c>
      <c r="K648" s="124">
        <f>IF(ISNUMBER('Klisz-Verbräuche'!L138), 'Klisz-Verbräuche'!L138*Emissionsfaktoren!K138/1000, 0)</f>
        <v>0</v>
      </c>
      <c r="L648" s="124">
        <f>IF(ISNUMBER('Klisz-Verbräuche'!M138), 'Klisz-Verbräuche'!M138*Emissionsfaktoren!L138/1000, 0)</f>
        <v>0</v>
      </c>
      <c r="M648" s="124">
        <f>IF(ISNUMBER('Klisz-Verbräuche'!N138), 'Klisz-Verbräuche'!N138*Emissionsfaktoren!M138/1000, 0)</f>
        <v>0</v>
      </c>
      <c r="N648" s="124">
        <f>IF(ISNUMBER('Klisz-Verbräuche'!O138), 'Klisz-Verbräuche'!O138*Emissionsfaktoren!N138/1000, 0)</f>
        <v>0</v>
      </c>
      <c r="O648" s="124">
        <f>IF(ISNUMBER('Klisz-Verbräuche'!P138), 'Klisz-Verbräuche'!P138*Emissionsfaktoren!O138/1000, 0)</f>
        <v>0</v>
      </c>
      <c r="P648" s="124">
        <f>IF(ISNUMBER('Klisz-Verbräuche'!Q138), 'Klisz-Verbräuche'!Q138*Emissionsfaktoren!P138/1000, 0)</f>
        <v>0</v>
      </c>
      <c r="Q648" s="124">
        <f>IF(ISNUMBER('Klisz-Verbräuche'!R138), 'Klisz-Verbräuche'!R138*Emissionsfaktoren!Q138/1000, 0)</f>
        <v>0</v>
      </c>
      <c r="R648" s="124">
        <f>IF(ISNUMBER('Klisz-Verbräuche'!S138), 'Klisz-Verbräuche'!S138*Emissionsfaktoren!R138/1000, 0)</f>
        <v>0</v>
      </c>
      <c r="S648" s="124">
        <f>IF(ISNUMBER('Klisz-Verbräuche'!T138), 'Klisz-Verbräuche'!T138*Emissionsfaktoren!S138/1000, 0)</f>
        <v>0</v>
      </c>
      <c r="T648" s="124">
        <f>IF(ISNUMBER('Klisz-Verbräuche'!U138), 'Klisz-Verbräuche'!U138*Emissionsfaktoren!T138/1000, 0)</f>
        <v>0</v>
      </c>
      <c r="U648" s="124">
        <f>IF(ISNUMBER('Klisz-Verbräuche'!V138), 'Klisz-Verbräuche'!V138*Emissionsfaktoren!U138/1000, 0)</f>
        <v>0</v>
      </c>
      <c r="V648" s="124">
        <f>IF(ISNUMBER('Klisz-Verbräuche'!W138), 'Klisz-Verbräuche'!W138*Emissionsfaktoren!V138/1000, 0)</f>
        <v>0</v>
      </c>
      <c r="W648" s="124">
        <f>IF(ISNUMBER('Klisz-Verbräuche'!X138), 'Klisz-Verbräuche'!X138*Emissionsfaktoren!W138/1000, 0)</f>
        <v>0</v>
      </c>
      <c r="X648" s="124">
        <f>IF(ISNUMBER('Klisz-Verbräuche'!Y138), 'Klisz-Verbräuche'!Y138*Emissionsfaktoren!X138/1000, 0)</f>
        <v>0</v>
      </c>
    </row>
    <row r="649" spans="2:24" ht="16.5" hidden="1" x14ac:dyDescent="0.45">
      <c r="B649" s="15">
        <v>79</v>
      </c>
      <c r="C649" s="20" t="str">
        <f>'Refsz-Verbräuche'!C139</f>
        <v>Studierendenreisen (Incoming) - Eisenbahn (Nahverkehr)</v>
      </c>
      <c r="D649" t="s">
        <v>208</v>
      </c>
      <c r="E649" s="124">
        <f>IF(ISNUMBER('Klisz-Verbräuche'!F139), 'Klisz-Verbräuche'!F139*Emissionsfaktoren!E139/1000, 0)</f>
        <v>0</v>
      </c>
      <c r="F649" s="124">
        <f>IF(ISNUMBER('Klisz-Verbräuche'!G139), 'Klisz-Verbräuche'!G139*Emissionsfaktoren!F139/1000, 0)</f>
        <v>0</v>
      </c>
      <c r="G649" s="124">
        <f>IF(ISNUMBER('Klisz-Verbräuche'!H139), 'Klisz-Verbräuche'!H139*Emissionsfaktoren!G139/1000, 0)</f>
        <v>0</v>
      </c>
      <c r="H649" s="124">
        <f>IF(ISNUMBER('Klisz-Verbräuche'!I139), 'Klisz-Verbräuche'!I139*Emissionsfaktoren!H139/1000, 0)</f>
        <v>0</v>
      </c>
      <c r="I649" s="124">
        <f>IF(ISNUMBER('Klisz-Verbräuche'!J139), 'Klisz-Verbräuche'!J139*Emissionsfaktoren!I139/1000, 0)</f>
        <v>0</v>
      </c>
      <c r="J649" s="124">
        <f>IF(ISNUMBER('Klisz-Verbräuche'!K139), 'Klisz-Verbräuche'!K139*Emissionsfaktoren!J139/1000, 0)</f>
        <v>0</v>
      </c>
      <c r="K649" s="124">
        <f>IF(ISNUMBER('Klisz-Verbräuche'!L139), 'Klisz-Verbräuche'!L139*Emissionsfaktoren!K139/1000, 0)</f>
        <v>0</v>
      </c>
      <c r="L649" s="124">
        <f>IF(ISNUMBER('Klisz-Verbräuche'!M139), 'Klisz-Verbräuche'!M139*Emissionsfaktoren!L139/1000, 0)</f>
        <v>0</v>
      </c>
      <c r="M649" s="124">
        <f>IF(ISNUMBER('Klisz-Verbräuche'!N139), 'Klisz-Verbräuche'!N139*Emissionsfaktoren!M139/1000, 0)</f>
        <v>0</v>
      </c>
      <c r="N649" s="124">
        <f>IF(ISNUMBER('Klisz-Verbräuche'!O139), 'Klisz-Verbräuche'!O139*Emissionsfaktoren!N139/1000, 0)</f>
        <v>0</v>
      </c>
      <c r="O649" s="124">
        <f>IF(ISNUMBER('Klisz-Verbräuche'!P139), 'Klisz-Verbräuche'!P139*Emissionsfaktoren!O139/1000, 0)</f>
        <v>0</v>
      </c>
      <c r="P649" s="124">
        <f>IF(ISNUMBER('Klisz-Verbräuche'!Q139), 'Klisz-Verbräuche'!Q139*Emissionsfaktoren!P139/1000, 0)</f>
        <v>0</v>
      </c>
      <c r="Q649" s="124">
        <f>IF(ISNUMBER('Klisz-Verbräuche'!R139), 'Klisz-Verbräuche'!R139*Emissionsfaktoren!Q139/1000, 0)</f>
        <v>0</v>
      </c>
      <c r="R649" s="124">
        <f>IF(ISNUMBER('Klisz-Verbräuche'!S139), 'Klisz-Verbräuche'!S139*Emissionsfaktoren!R139/1000, 0)</f>
        <v>0</v>
      </c>
      <c r="S649" s="124">
        <f>IF(ISNUMBER('Klisz-Verbräuche'!T139), 'Klisz-Verbräuche'!T139*Emissionsfaktoren!S139/1000, 0)</f>
        <v>0</v>
      </c>
      <c r="T649" s="124">
        <f>IF(ISNUMBER('Klisz-Verbräuche'!U139), 'Klisz-Verbräuche'!U139*Emissionsfaktoren!T139/1000, 0)</f>
        <v>0</v>
      </c>
      <c r="U649" s="124">
        <f>IF(ISNUMBER('Klisz-Verbräuche'!V139), 'Klisz-Verbräuche'!V139*Emissionsfaktoren!U139/1000, 0)</f>
        <v>0</v>
      </c>
      <c r="V649" s="124">
        <f>IF(ISNUMBER('Klisz-Verbräuche'!W139), 'Klisz-Verbräuche'!W139*Emissionsfaktoren!V139/1000, 0)</f>
        <v>0</v>
      </c>
      <c r="W649" s="124">
        <f>IF(ISNUMBER('Klisz-Verbräuche'!X139), 'Klisz-Verbräuche'!X139*Emissionsfaktoren!W139/1000, 0)</f>
        <v>0</v>
      </c>
      <c r="X649" s="124">
        <f>IF(ISNUMBER('Klisz-Verbräuche'!Y139), 'Klisz-Verbräuche'!Y139*Emissionsfaktoren!X139/1000, 0)</f>
        <v>0</v>
      </c>
    </row>
    <row r="650" spans="2:24" ht="16.5" hidden="1" x14ac:dyDescent="0.45">
      <c r="B650" s="15">
        <v>80</v>
      </c>
      <c r="C650" s="20" t="str">
        <f>'Refsz-Verbräuche'!C140</f>
        <v>Studierendenreisen (Incoming) - Privater PKW (alle Antriebsarten)</v>
      </c>
      <c r="D650" t="s">
        <v>208</v>
      </c>
      <c r="E650" s="124">
        <f>IF(ISNUMBER('Klisz-Verbräuche'!F140), 'Klisz-Verbräuche'!F140*Emissionsfaktoren!E140/1000, 0)</f>
        <v>0</v>
      </c>
      <c r="F650" s="124">
        <f>IF(ISNUMBER('Klisz-Verbräuche'!G140), 'Klisz-Verbräuche'!G140*Emissionsfaktoren!F140/1000, 0)</f>
        <v>0</v>
      </c>
      <c r="G650" s="124">
        <f>IF(ISNUMBER('Klisz-Verbräuche'!H140), 'Klisz-Verbräuche'!H140*Emissionsfaktoren!G140/1000, 0)</f>
        <v>0</v>
      </c>
      <c r="H650" s="124">
        <f>IF(ISNUMBER('Klisz-Verbräuche'!I140), 'Klisz-Verbräuche'!I140*Emissionsfaktoren!H140/1000, 0)</f>
        <v>0</v>
      </c>
      <c r="I650" s="124">
        <f>IF(ISNUMBER('Klisz-Verbräuche'!J140), 'Klisz-Verbräuche'!J140*Emissionsfaktoren!I140/1000, 0)</f>
        <v>0</v>
      </c>
      <c r="J650" s="124">
        <f>IF(ISNUMBER('Klisz-Verbräuche'!K140), 'Klisz-Verbräuche'!K140*Emissionsfaktoren!J140/1000, 0)</f>
        <v>0</v>
      </c>
      <c r="K650" s="124">
        <f>IF(ISNUMBER('Klisz-Verbräuche'!L140), 'Klisz-Verbräuche'!L140*Emissionsfaktoren!K140/1000, 0)</f>
        <v>0</v>
      </c>
      <c r="L650" s="124">
        <f>IF(ISNUMBER('Klisz-Verbräuche'!M140), 'Klisz-Verbräuche'!M140*Emissionsfaktoren!L140/1000, 0)</f>
        <v>0</v>
      </c>
      <c r="M650" s="124">
        <f>IF(ISNUMBER('Klisz-Verbräuche'!N140), 'Klisz-Verbräuche'!N140*Emissionsfaktoren!M140/1000, 0)</f>
        <v>0</v>
      </c>
      <c r="N650" s="124">
        <f>IF(ISNUMBER('Klisz-Verbräuche'!O140), 'Klisz-Verbräuche'!O140*Emissionsfaktoren!N140/1000, 0)</f>
        <v>0</v>
      </c>
      <c r="O650" s="124">
        <f>IF(ISNUMBER('Klisz-Verbräuche'!P140), 'Klisz-Verbräuche'!P140*Emissionsfaktoren!O140/1000, 0)</f>
        <v>0</v>
      </c>
      <c r="P650" s="124">
        <f>IF(ISNUMBER('Klisz-Verbräuche'!Q140), 'Klisz-Verbräuche'!Q140*Emissionsfaktoren!P140/1000, 0)</f>
        <v>0</v>
      </c>
      <c r="Q650" s="124">
        <f>IF(ISNUMBER('Klisz-Verbräuche'!R140), 'Klisz-Verbräuche'!R140*Emissionsfaktoren!Q140/1000, 0)</f>
        <v>0</v>
      </c>
      <c r="R650" s="124">
        <f>IF(ISNUMBER('Klisz-Verbräuche'!S140), 'Klisz-Verbräuche'!S140*Emissionsfaktoren!R140/1000, 0)</f>
        <v>0</v>
      </c>
      <c r="S650" s="124">
        <f>IF(ISNUMBER('Klisz-Verbräuche'!T140), 'Klisz-Verbräuche'!T140*Emissionsfaktoren!S140/1000, 0)</f>
        <v>0</v>
      </c>
      <c r="T650" s="124">
        <f>IF(ISNUMBER('Klisz-Verbräuche'!U140), 'Klisz-Verbräuche'!U140*Emissionsfaktoren!T140/1000, 0)</f>
        <v>0</v>
      </c>
      <c r="U650" s="124">
        <f>IF(ISNUMBER('Klisz-Verbräuche'!V140), 'Klisz-Verbräuche'!V140*Emissionsfaktoren!U140/1000, 0)</f>
        <v>0</v>
      </c>
      <c r="V650" s="124">
        <f>IF(ISNUMBER('Klisz-Verbräuche'!W140), 'Klisz-Verbräuche'!W140*Emissionsfaktoren!V140/1000, 0)</f>
        <v>0</v>
      </c>
      <c r="W650" s="124">
        <f>IF(ISNUMBER('Klisz-Verbräuche'!X140), 'Klisz-Verbräuche'!X140*Emissionsfaktoren!W140/1000, 0)</f>
        <v>0</v>
      </c>
      <c r="X650" s="124">
        <f>IF(ISNUMBER('Klisz-Verbräuche'!Y140), 'Klisz-Verbräuche'!Y140*Emissionsfaktoren!X140/1000, 0)</f>
        <v>0</v>
      </c>
    </row>
    <row r="651" spans="2:24" ht="16.5" hidden="1" x14ac:dyDescent="0.45">
      <c r="B651" s="15">
        <v>81</v>
      </c>
      <c r="C651" s="20">
        <f>'Refsz-Verbräuche'!C141</f>
        <v>0</v>
      </c>
      <c r="D651" t="s">
        <v>208</v>
      </c>
      <c r="E651" s="124">
        <f>IF(ISNUMBER('Klisz-Verbräuche'!F141), 'Klisz-Verbräuche'!F141*Emissionsfaktoren!E141/1000, 0)</f>
        <v>0</v>
      </c>
      <c r="F651" s="124">
        <f>IF(ISNUMBER('Klisz-Verbräuche'!G141), 'Klisz-Verbräuche'!G141*Emissionsfaktoren!F141/1000, 0)</f>
        <v>0</v>
      </c>
      <c r="G651" s="124">
        <f>IF(ISNUMBER('Klisz-Verbräuche'!H141), 'Klisz-Verbräuche'!H141*Emissionsfaktoren!G141/1000, 0)</f>
        <v>0</v>
      </c>
      <c r="H651" s="124">
        <f>IF(ISNUMBER('Klisz-Verbräuche'!I141), 'Klisz-Verbräuche'!I141*Emissionsfaktoren!H141/1000, 0)</f>
        <v>0</v>
      </c>
      <c r="I651" s="124">
        <f>IF(ISNUMBER('Klisz-Verbräuche'!J141), 'Klisz-Verbräuche'!J141*Emissionsfaktoren!I141/1000, 0)</f>
        <v>0</v>
      </c>
      <c r="J651" s="124">
        <f>IF(ISNUMBER('Klisz-Verbräuche'!K141), 'Klisz-Verbräuche'!K141*Emissionsfaktoren!J141/1000, 0)</f>
        <v>0</v>
      </c>
      <c r="K651" s="124">
        <f>IF(ISNUMBER('Klisz-Verbräuche'!L141), 'Klisz-Verbräuche'!L141*Emissionsfaktoren!K141/1000, 0)</f>
        <v>0</v>
      </c>
      <c r="L651" s="124">
        <f>IF(ISNUMBER('Klisz-Verbräuche'!M141), 'Klisz-Verbräuche'!M141*Emissionsfaktoren!L141/1000, 0)</f>
        <v>0</v>
      </c>
      <c r="M651" s="124">
        <f>IF(ISNUMBER('Klisz-Verbräuche'!N141), 'Klisz-Verbräuche'!N141*Emissionsfaktoren!M141/1000, 0)</f>
        <v>0</v>
      </c>
      <c r="N651" s="124">
        <f>IF(ISNUMBER('Klisz-Verbräuche'!O141), 'Klisz-Verbräuche'!O141*Emissionsfaktoren!N141/1000, 0)</f>
        <v>0</v>
      </c>
      <c r="O651" s="124">
        <f>IF(ISNUMBER('Klisz-Verbräuche'!P141), 'Klisz-Verbräuche'!P141*Emissionsfaktoren!O141/1000, 0)</f>
        <v>0</v>
      </c>
      <c r="P651" s="124">
        <f>IF(ISNUMBER('Klisz-Verbräuche'!Q141), 'Klisz-Verbräuche'!Q141*Emissionsfaktoren!P141/1000, 0)</f>
        <v>0</v>
      </c>
      <c r="Q651" s="124">
        <f>IF(ISNUMBER('Klisz-Verbräuche'!R141), 'Klisz-Verbräuche'!R141*Emissionsfaktoren!Q141/1000, 0)</f>
        <v>0</v>
      </c>
      <c r="R651" s="124">
        <f>IF(ISNUMBER('Klisz-Verbräuche'!S141), 'Klisz-Verbräuche'!S141*Emissionsfaktoren!R141/1000, 0)</f>
        <v>0</v>
      </c>
      <c r="S651" s="124">
        <f>IF(ISNUMBER('Klisz-Verbräuche'!T141), 'Klisz-Verbräuche'!T141*Emissionsfaktoren!S141/1000, 0)</f>
        <v>0</v>
      </c>
      <c r="T651" s="124">
        <f>IF(ISNUMBER('Klisz-Verbräuche'!U141), 'Klisz-Verbräuche'!U141*Emissionsfaktoren!T141/1000, 0)</f>
        <v>0</v>
      </c>
      <c r="U651" s="124">
        <f>IF(ISNUMBER('Klisz-Verbräuche'!V141), 'Klisz-Verbräuche'!V141*Emissionsfaktoren!U141/1000, 0)</f>
        <v>0</v>
      </c>
      <c r="V651" s="124">
        <f>IF(ISNUMBER('Klisz-Verbräuche'!W141), 'Klisz-Verbräuche'!W141*Emissionsfaktoren!V141/1000, 0)</f>
        <v>0</v>
      </c>
      <c r="W651" s="124">
        <f>IF(ISNUMBER('Klisz-Verbräuche'!X141), 'Klisz-Verbräuche'!X141*Emissionsfaktoren!W141/1000, 0)</f>
        <v>0</v>
      </c>
      <c r="X651" s="124">
        <f>IF(ISNUMBER('Klisz-Verbräuche'!Y141), 'Klisz-Verbräuche'!Y141*Emissionsfaktoren!X141/1000, 0)</f>
        <v>0</v>
      </c>
    </row>
    <row r="652" spans="2:24" ht="16.5" hidden="1" x14ac:dyDescent="0.45">
      <c r="B652" s="15">
        <v>82</v>
      </c>
      <c r="C652" s="20" t="str">
        <f>'Refsz-Verbräuche'!C142</f>
        <v>An- und Abreise von Gästen - Flugreisen</v>
      </c>
      <c r="D652" t="s">
        <v>208</v>
      </c>
      <c r="E652" s="124">
        <f>IF(ISNUMBER('Klisz-Verbräuche'!F142), 'Klisz-Verbräuche'!F142*Emissionsfaktoren!E142/1000, 0)</f>
        <v>0</v>
      </c>
      <c r="F652" s="124">
        <f>IF(ISNUMBER('Klisz-Verbräuche'!G142), 'Klisz-Verbräuche'!G142*Emissionsfaktoren!F142/1000, 0)</f>
        <v>0</v>
      </c>
      <c r="G652" s="124">
        <f>IF(ISNUMBER('Klisz-Verbräuche'!H142), 'Klisz-Verbräuche'!H142*Emissionsfaktoren!G142/1000, 0)</f>
        <v>0</v>
      </c>
      <c r="H652" s="124">
        <f>IF(ISNUMBER('Klisz-Verbräuche'!I142), 'Klisz-Verbräuche'!I142*Emissionsfaktoren!H142/1000, 0)</f>
        <v>0</v>
      </c>
      <c r="I652" s="124">
        <f>IF(ISNUMBER('Klisz-Verbräuche'!J142), 'Klisz-Verbräuche'!J142*Emissionsfaktoren!I142/1000, 0)</f>
        <v>0</v>
      </c>
      <c r="J652" s="124">
        <f>IF(ISNUMBER('Klisz-Verbräuche'!K142), 'Klisz-Verbräuche'!K142*Emissionsfaktoren!J142/1000, 0)</f>
        <v>0</v>
      </c>
      <c r="K652" s="124">
        <f>IF(ISNUMBER('Klisz-Verbräuche'!L142), 'Klisz-Verbräuche'!L142*Emissionsfaktoren!K142/1000, 0)</f>
        <v>0</v>
      </c>
      <c r="L652" s="124">
        <f>IF(ISNUMBER('Klisz-Verbräuche'!M142), 'Klisz-Verbräuche'!M142*Emissionsfaktoren!L142/1000, 0)</f>
        <v>0</v>
      </c>
      <c r="M652" s="124">
        <f>IF(ISNUMBER('Klisz-Verbräuche'!N142), 'Klisz-Verbräuche'!N142*Emissionsfaktoren!M142/1000, 0)</f>
        <v>0</v>
      </c>
      <c r="N652" s="124">
        <f>IF(ISNUMBER('Klisz-Verbräuche'!O142), 'Klisz-Verbräuche'!O142*Emissionsfaktoren!N142/1000, 0)</f>
        <v>0</v>
      </c>
      <c r="O652" s="124">
        <f>IF(ISNUMBER('Klisz-Verbräuche'!P142), 'Klisz-Verbräuche'!P142*Emissionsfaktoren!O142/1000, 0)</f>
        <v>0</v>
      </c>
      <c r="P652" s="124">
        <f>IF(ISNUMBER('Klisz-Verbräuche'!Q142), 'Klisz-Verbräuche'!Q142*Emissionsfaktoren!P142/1000, 0)</f>
        <v>0</v>
      </c>
      <c r="Q652" s="124">
        <f>IF(ISNUMBER('Klisz-Verbräuche'!R142), 'Klisz-Verbräuche'!R142*Emissionsfaktoren!Q142/1000, 0)</f>
        <v>0</v>
      </c>
      <c r="R652" s="124">
        <f>IF(ISNUMBER('Klisz-Verbräuche'!S142), 'Klisz-Verbräuche'!S142*Emissionsfaktoren!R142/1000, 0)</f>
        <v>0</v>
      </c>
      <c r="S652" s="124">
        <f>IF(ISNUMBER('Klisz-Verbräuche'!T142), 'Klisz-Verbräuche'!T142*Emissionsfaktoren!S142/1000, 0)</f>
        <v>0</v>
      </c>
      <c r="T652" s="124">
        <f>IF(ISNUMBER('Klisz-Verbräuche'!U142), 'Klisz-Verbräuche'!U142*Emissionsfaktoren!T142/1000, 0)</f>
        <v>0</v>
      </c>
      <c r="U652" s="124">
        <f>IF(ISNUMBER('Klisz-Verbräuche'!V142), 'Klisz-Verbräuche'!V142*Emissionsfaktoren!U142/1000, 0)</f>
        <v>0</v>
      </c>
      <c r="V652" s="124">
        <f>IF(ISNUMBER('Klisz-Verbräuche'!W142), 'Klisz-Verbräuche'!W142*Emissionsfaktoren!V142/1000, 0)</f>
        <v>0</v>
      </c>
      <c r="W652" s="124">
        <f>IF(ISNUMBER('Klisz-Verbräuche'!X142), 'Klisz-Verbräuche'!X142*Emissionsfaktoren!W142/1000, 0)</f>
        <v>0</v>
      </c>
      <c r="X652" s="124">
        <f>IF(ISNUMBER('Klisz-Verbräuche'!Y142), 'Klisz-Verbräuche'!Y142*Emissionsfaktoren!X142/1000, 0)</f>
        <v>0</v>
      </c>
    </row>
    <row r="653" spans="2:24" ht="16.5" hidden="1" x14ac:dyDescent="0.45">
      <c r="B653" s="15">
        <v>83</v>
      </c>
      <c r="C653" s="20" t="str">
        <f>'Refsz-Verbräuche'!C143</f>
        <v>An- und Abreise von Gästen - Eisenbahn (Nahverkehr)</v>
      </c>
      <c r="D653" t="s">
        <v>208</v>
      </c>
      <c r="E653" s="124">
        <f>IF(ISNUMBER('Klisz-Verbräuche'!F143), 'Klisz-Verbräuche'!F143*Emissionsfaktoren!E143/1000, 0)</f>
        <v>0</v>
      </c>
      <c r="F653" s="124">
        <f>IF(ISNUMBER('Klisz-Verbräuche'!G143), 'Klisz-Verbräuche'!G143*Emissionsfaktoren!F143/1000, 0)</f>
        <v>0</v>
      </c>
      <c r="G653" s="124">
        <f>IF(ISNUMBER('Klisz-Verbräuche'!H143), 'Klisz-Verbräuche'!H143*Emissionsfaktoren!G143/1000, 0)</f>
        <v>0</v>
      </c>
      <c r="H653" s="124">
        <f>IF(ISNUMBER('Klisz-Verbräuche'!I143), 'Klisz-Verbräuche'!I143*Emissionsfaktoren!H143/1000, 0)</f>
        <v>0</v>
      </c>
      <c r="I653" s="124">
        <f>IF(ISNUMBER('Klisz-Verbräuche'!J143), 'Klisz-Verbräuche'!J143*Emissionsfaktoren!I143/1000, 0)</f>
        <v>0</v>
      </c>
      <c r="J653" s="124">
        <f>IF(ISNUMBER('Klisz-Verbräuche'!K143), 'Klisz-Verbräuche'!K143*Emissionsfaktoren!J143/1000, 0)</f>
        <v>0</v>
      </c>
      <c r="K653" s="124">
        <f>IF(ISNUMBER('Klisz-Verbräuche'!L143), 'Klisz-Verbräuche'!L143*Emissionsfaktoren!K143/1000, 0)</f>
        <v>0</v>
      </c>
      <c r="L653" s="124">
        <f>IF(ISNUMBER('Klisz-Verbräuche'!M143), 'Klisz-Verbräuche'!M143*Emissionsfaktoren!L143/1000, 0)</f>
        <v>0</v>
      </c>
      <c r="M653" s="124">
        <f>IF(ISNUMBER('Klisz-Verbräuche'!N143), 'Klisz-Verbräuche'!N143*Emissionsfaktoren!M143/1000, 0)</f>
        <v>0</v>
      </c>
      <c r="N653" s="124">
        <f>IF(ISNUMBER('Klisz-Verbräuche'!O143), 'Klisz-Verbräuche'!O143*Emissionsfaktoren!N143/1000, 0)</f>
        <v>0</v>
      </c>
      <c r="O653" s="124">
        <f>IF(ISNUMBER('Klisz-Verbräuche'!P143), 'Klisz-Verbräuche'!P143*Emissionsfaktoren!O143/1000, 0)</f>
        <v>0</v>
      </c>
      <c r="P653" s="124">
        <f>IF(ISNUMBER('Klisz-Verbräuche'!Q143), 'Klisz-Verbräuche'!Q143*Emissionsfaktoren!P143/1000, 0)</f>
        <v>0</v>
      </c>
      <c r="Q653" s="124">
        <f>IF(ISNUMBER('Klisz-Verbräuche'!R143), 'Klisz-Verbräuche'!R143*Emissionsfaktoren!Q143/1000, 0)</f>
        <v>0</v>
      </c>
      <c r="R653" s="124">
        <f>IF(ISNUMBER('Klisz-Verbräuche'!S143), 'Klisz-Verbräuche'!S143*Emissionsfaktoren!R143/1000, 0)</f>
        <v>0</v>
      </c>
      <c r="S653" s="124">
        <f>IF(ISNUMBER('Klisz-Verbräuche'!T143), 'Klisz-Verbräuche'!T143*Emissionsfaktoren!S143/1000, 0)</f>
        <v>0</v>
      </c>
      <c r="T653" s="124">
        <f>IF(ISNUMBER('Klisz-Verbräuche'!U143), 'Klisz-Verbräuche'!U143*Emissionsfaktoren!T143/1000, 0)</f>
        <v>0</v>
      </c>
      <c r="U653" s="124">
        <f>IF(ISNUMBER('Klisz-Verbräuche'!V143), 'Klisz-Verbräuche'!V143*Emissionsfaktoren!U143/1000, 0)</f>
        <v>0</v>
      </c>
      <c r="V653" s="124">
        <f>IF(ISNUMBER('Klisz-Verbräuche'!W143), 'Klisz-Verbräuche'!W143*Emissionsfaktoren!V143/1000, 0)</f>
        <v>0</v>
      </c>
      <c r="W653" s="124">
        <f>IF(ISNUMBER('Klisz-Verbräuche'!X143), 'Klisz-Verbräuche'!X143*Emissionsfaktoren!W143/1000, 0)</f>
        <v>0</v>
      </c>
      <c r="X653" s="124">
        <f>IF(ISNUMBER('Klisz-Verbräuche'!Y143), 'Klisz-Verbräuche'!Y143*Emissionsfaktoren!X143/1000, 0)</f>
        <v>0</v>
      </c>
    </row>
    <row r="654" spans="2:24" ht="16.5" hidden="1" x14ac:dyDescent="0.45">
      <c r="B654" s="15">
        <v>84</v>
      </c>
      <c r="C654" s="20" t="str">
        <f>'Refsz-Verbräuche'!C144</f>
        <v>An- und Abreise von Gästen - Privater PKW (alle Antriebsarten)</v>
      </c>
      <c r="D654" t="s">
        <v>208</v>
      </c>
      <c r="E654" s="124">
        <f>IF(ISNUMBER('Klisz-Verbräuche'!F144), 'Klisz-Verbräuche'!F144*Emissionsfaktoren!E144/1000, 0)</f>
        <v>0</v>
      </c>
      <c r="F654" s="124">
        <f>IF(ISNUMBER('Klisz-Verbräuche'!G144), 'Klisz-Verbräuche'!G144*Emissionsfaktoren!F144/1000, 0)</f>
        <v>0</v>
      </c>
      <c r="G654" s="124">
        <f>IF(ISNUMBER('Klisz-Verbräuche'!H144), 'Klisz-Verbräuche'!H144*Emissionsfaktoren!G144/1000, 0)</f>
        <v>0</v>
      </c>
      <c r="H654" s="124">
        <f>IF(ISNUMBER('Klisz-Verbräuche'!I144), 'Klisz-Verbräuche'!I144*Emissionsfaktoren!H144/1000, 0)</f>
        <v>0</v>
      </c>
      <c r="I654" s="124">
        <f>IF(ISNUMBER('Klisz-Verbräuche'!J144), 'Klisz-Verbräuche'!J144*Emissionsfaktoren!I144/1000, 0)</f>
        <v>0</v>
      </c>
      <c r="J654" s="124">
        <f>IF(ISNUMBER('Klisz-Verbräuche'!K144), 'Klisz-Verbräuche'!K144*Emissionsfaktoren!J144/1000, 0)</f>
        <v>0</v>
      </c>
      <c r="K654" s="124">
        <f>IF(ISNUMBER('Klisz-Verbräuche'!L144), 'Klisz-Verbräuche'!L144*Emissionsfaktoren!K144/1000, 0)</f>
        <v>0</v>
      </c>
      <c r="L654" s="124">
        <f>IF(ISNUMBER('Klisz-Verbräuche'!M144), 'Klisz-Verbräuche'!M144*Emissionsfaktoren!L144/1000, 0)</f>
        <v>0</v>
      </c>
      <c r="M654" s="124">
        <f>IF(ISNUMBER('Klisz-Verbräuche'!N144), 'Klisz-Verbräuche'!N144*Emissionsfaktoren!M144/1000, 0)</f>
        <v>0</v>
      </c>
      <c r="N654" s="124">
        <f>IF(ISNUMBER('Klisz-Verbräuche'!O144), 'Klisz-Verbräuche'!O144*Emissionsfaktoren!N144/1000, 0)</f>
        <v>0</v>
      </c>
      <c r="O654" s="124">
        <f>IF(ISNUMBER('Klisz-Verbräuche'!P144), 'Klisz-Verbräuche'!P144*Emissionsfaktoren!O144/1000, 0)</f>
        <v>0</v>
      </c>
      <c r="P654" s="124">
        <f>IF(ISNUMBER('Klisz-Verbräuche'!Q144), 'Klisz-Verbräuche'!Q144*Emissionsfaktoren!P144/1000, 0)</f>
        <v>0</v>
      </c>
      <c r="Q654" s="124">
        <f>IF(ISNUMBER('Klisz-Verbräuche'!R144), 'Klisz-Verbräuche'!R144*Emissionsfaktoren!Q144/1000, 0)</f>
        <v>0</v>
      </c>
      <c r="R654" s="124">
        <f>IF(ISNUMBER('Klisz-Verbräuche'!S144), 'Klisz-Verbräuche'!S144*Emissionsfaktoren!R144/1000, 0)</f>
        <v>0</v>
      </c>
      <c r="S654" s="124">
        <f>IF(ISNUMBER('Klisz-Verbräuche'!T144), 'Klisz-Verbräuche'!T144*Emissionsfaktoren!S144/1000, 0)</f>
        <v>0</v>
      </c>
      <c r="T654" s="124">
        <f>IF(ISNUMBER('Klisz-Verbräuche'!U144), 'Klisz-Verbräuche'!U144*Emissionsfaktoren!T144/1000, 0)</f>
        <v>0</v>
      </c>
      <c r="U654" s="124">
        <f>IF(ISNUMBER('Klisz-Verbräuche'!V144), 'Klisz-Verbräuche'!V144*Emissionsfaktoren!U144/1000, 0)</f>
        <v>0</v>
      </c>
      <c r="V654" s="124">
        <f>IF(ISNUMBER('Klisz-Verbräuche'!W144), 'Klisz-Verbräuche'!W144*Emissionsfaktoren!V144/1000, 0)</f>
        <v>0</v>
      </c>
      <c r="W654" s="124">
        <f>IF(ISNUMBER('Klisz-Verbräuche'!X144), 'Klisz-Verbräuche'!X144*Emissionsfaktoren!W144/1000, 0)</f>
        <v>0</v>
      </c>
      <c r="X654" s="124">
        <f>IF(ISNUMBER('Klisz-Verbräuche'!Y144), 'Klisz-Verbräuche'!Y144*Emissionsfaktoren!X144/1000, 0)</f>
        <v>0</v>
      </c>
    </row>
    <row r="655" spans="2:24" ht="16.5" hidden="1" x14ac:dyDescent="0.45">
      <c r="B655" s="15">
        <v>85</v>
      </c>
      <c r="C655" s="20">
        <f>'Refsz-Verbräuche'!C145</f>
        <v>0</v>
      </c>
      <c r="D655" t="s">
        <v>208</v>
      </c>
      <c r="E655" s="124">
        <f>IF(ISNUMBER('Klisz-Verbräuche'!F145), 'Klisz-Verbräuche'!F145*Emissionsfaktoren!E145/1000, 0)</f>
        <v>0</v>
      </c>
      <c r="F655" s="124">
        <f>IF(ISNUMBER('Klisz-Verbräuche'!G145), 'Klisz-Verbräuche'!G145*Emissionsfaktoren!F145/1000, 0)</f>
        <v>0</v>
      </c>
      <c r="G655" s="124">
        <f>IF(ISNUMBER('Klisz-Verbräuche'!H145), 'Klisz-Verbräuche'!H145*Emissionsfaktoren!G145/1000, 0)</f>
        <v>0</v>
      </c>
      <c r="H655" s="124">
        <f>IF(ISNUMBER('Klisz-Verbräuche'!I145), 'Klisz-Verbräuche'!I145*Emissionsfaktoren!H145/1000, 0)</f>
        <v>0</v>
      </c>
      <c r="I655" s="124">
        <f>IF(ISNUMBER('Klisz-Verbräuche'!J145), 'Klisz-Verbräuche'!J145*Emissionsfaktoren!I145/1000, 0)</f>
        <v>0</v>
      </c>
      <c r="J655" s="124">
        <f>IF(ISNUMBER('Klisz-Verbräuche'!K145), 'Klisz-Verbräuche'!K145*Emissionsfaktoren!J145/1000, 0)</f>
        <v>0</v>
      </c>
      <c r="K655" s="124">
        <f>IF(ISNUMBER('Klisz-Verbräuche'!L145), 'Klisz-Verbräuche'!L145*Emissionsfaktoren!K145/1000, 0)</f>
        <v>0</v>
      </c>
      <c r="L655" s="124">
        <f>IF(ISNUMBER('Klisz-Verbräuche'!M145), 'Klisz-Verbräuche'!M145*Emissionsfaktoren!L145/1000, 0)</f>
        <v>0</v>
      </c>
      <c r="M655" s="124">
        <f>IF(ISNUMBER('Klisz-Verbräuche'!N145), 'Klisz-Verbräuche'!N145*Emissionsfaktoren!M145/1000, 0)</f>
        <v>0</v>
      </c>
      <c r="N655" s="124">
        <f>IF(ISNUMBER('Klisz-Verbräuche'!O145), 'Klisz-Verbräuche'!O145*Emissionsfaktoren!N145/1000, 0)</f>
        <v>0</v>
      </c>
      <c r="O655" s="124">
        <f>IF(ISNUMBER('Klisz-Verbräuche'!P145), 'Klisz-Verbräuche'!P145*Emissionsfaktoren!O145/1000, 0)</f>
        <v>0</v>
      </c>
      <c r="P655" s="124">
        <f>IF(ISNUMBER('Klisz-Verbräuche'!Q145), 'Klisz-Verbräuche'!Q145*Emissionsfaktoren!P145/1000, 0)</f>
        <v>0</v>
      </c>
      <c r="Q655" s="124">
        <f>IF(ISNUMBER('Klisz-Verbräuche'!R145), 'Klisz-Verbräuche'!R145*Emissionsfaktoren!Q145/1000, 0)</f>
        <v>0</v>
      </c>
      <c r="R655" s="124">
        <f>IF(ISNUMBER('Klisz-Verbräuche'!S145), 'Klisz-Verbräuche'!S145*Emissionsfaktoren!R145/1000, 0)</f>
        <v>0</v>
      </c>
      <c r="S655" s="124">
        <f>IF(ISNUMBER('Klisz-Verbräuche'!T145), 'Klisz-Verbräuche'!T145*Emissionsfaktoren!S145/1000, 0)</f>
        <v>0</v>
      </c>
      <c r="T655" s="124">
        <f>IF(ISNUMBER('Klisz-Verbräuche'!U145), 'Klisz-Verbräuche'!U145*Emissionsfaktoren!T145/1000, 0)</f>
        <v>0</v>
      </c>
      <c r="U655" s="124">
        <f>IF(ISNUMBER('Klisz-Verbräuche'!V145), 'Klisz-Verbräuche'!V145*Emissionsfaktoren!U145/1000, 0)</f>
        <v>0</v>
      </c>
      <c r="V655" s="124">
        <f>IF(ISNUMBER('Klisz-Verbräuche'!W145), 'Klisz-Verbräuche'!W145*Emissionsfaktoren!V145/1000, 0)</f>
        <v>0</v>
      </c>
      <c r="W655" s="124">
        <f>IF(ISNUMBER('Klisz-Verbräuche'!X145), 'Klisz-Verbräuche'!X145*Emissionsfaktoren!W145/1000, 0)</f>
        <v>0</v>
      </c>
      <c r="X655" s="124">
        <f>IF(ISNUMBER('Klisz-Verbräuche'!Y145), 'Klisz-Verbräuche'!Y145*Emissionsfaktoren!X145/1000, 0)</f>
        <v>0</v>
      </c>
    </row>
    <row r="656" spans="2:24" ht="16.5" hidden="1" x14ac:dyDescent="0.45">
      <c r="B656" s="15">
        <v>86</v>
      </c>
      <c r="C656" s="20" t="str">
        <f>'Refsz-Verbräuche'!C146</f>
        <v>Abwasser</v>
      </c>
      <c r="D656" t="s">
        <v>208</v>
      </c>
      <c r="E656" s="124">
        <f>IF(ISNUMBER('Klisz-Verbräuche'!F146), 'Klisz-Verbräuche'!F146*Emissionsfaktoren!E146/1000, 0)</f>
        <v>0</v>
      </c>
      <c r="F656" s="124">
        <f>IF(ISNUMBER('Klisz-Verbräuche'!G146), 'Klisz-Verbräuche'!G146*Emissionsfaktoren!F146/1000, 0)</f>
        <v>0</v>
      </c>
      <c r="G656" s="124">
        <f>IF(ISNUMBER('Klisz-Verbräuche'!H146), 'Klisz-Verbräuche'!H146*Emissionsfaktoren!G146/1000, 0)</f>
        <v>0</v>
      </c>
      <c r="H656" s="124">
        <f>IF(ISNUMBER('Klisz-Verbräuche'!I146), 'Klisz-Verbräuche'!I146*Emissionsfaktoren!H146/1000, 0)</f>
        <v>0</v>
      </c>
      <c r="I656" s="124">
        <f>IF(ISNUMBER('Klisz-Verbräuche'!J146), 'Klisz-Verbräuche'!J146*Emissionsfaktoren!I146/1000, 0)</f>
        <v>0</v>
      </c>
      <c r="J656" s="124">
        <f>IF(ISNUMBER('Klisz-Verbräuche'!K146), 'Klisz-Verbräuche'!K146*Emissionsfaktoren!J146/1000, 0)</f>
        <v>0</v>
      </c>
      <c r="K656" s="124">
        <f>IF(ISNUMBER('Klisz-Verbräuche'!L146), 'Klisz-Verbräuche'!L146*Emissionsfaktoren!K146/1000, 0)</f>
        <v>0</v>
      </c>
      <c r="L656" s="124">
        <f>IF(ISNUMBER('Klisz-Verbräuche'!M146), 'Klisz-Verbräuche'!M146*Emissionsfaktoren!L146/1000, 0)</f>
        <v>0</v>
      </c>
      <c r="M656" s="124">
        <f>IF(ISNUMBER('Klisz-Verbräuche'!N146), 'Klisz-Verbräuche'!N146*Emissionsfaktoren!M146/1000, 0)</f>
        <v>0</v>
      </c>
      <c r="N656" s="124">
        <f>IF(ISNUMBER('Klisz-Verbräuche'!O146), 'Klisz-Verbräuche'!O146*Emissionsfaktoren!N146/1000, 0)</f>
        <v>0</v>
      </c>
      <c r="O656" s="124">
        <f>IF(ISNUMBER('Klisz-Verbräuche'!P146), 'Klisz-Verbräuche'!P146*Emissionsfaktoren!O146/1000, 0)</f>
        <v>0</v>
      </c>
      <c r="P656" s="124">
        <f>IF(ISNUMBER('Klisz-Verbräuche'!Q146), 'Klisz-Verbräuche'!Q146*Emissionsfaktoren!P146/1000, 0)</f>
        <v>0</v>
      </c>
      <c r="Q656" s="124">
        <f>IF(ISNUMBER('Klisz-Verbräuche'!R146), 'Klisz-Verbräuche'!R146*Emissionsfaktoren!Q146/1000, 0)</f>
        <v>0</v>
      </c>
      <c r="R656" s="124">
        <f>IF(ISNUMBER('Klisz-Verbräuche'!S146), 'Klisz-Verbräuche'!S146*Emissionsfaktoren!R146/1000, 0)</f>
        <v>0</v>
      </c>
      <c r="S656" s="124">
        <f>IF(ISNUMBER('Klisz-Verbräuche'!T146), 'Klisz-Verbräuche'!T146*Emissionsfaktoren!S146/1000, 0)</f>
        <v>0</v>
      </c>
      <c r="T656" s="124">
        <f>IF(ISNUMBER('Klisz-Verbräuche'!U146), 'Klisz-Verbräuche'!U146*Emissionsfaktoren!T146/1000, 0)</f>
        <v>0</v>
      </c>
      <c r="U656" s="124">
        <f>IF(ISNUMBER('Klisz-Verbräuche'!V146), 'Klisz-Verbräuche'!V146*Emissionsfaktoren!U146/1000, 0)</f>
        <v>0</v>
      </c>
      <c r="V656" s="124">
        <f>IF(ISNUMBER('Klisz-Verbräuche'!W146), 'Klisz-Verbräuche'!W146*Emissionsfaktoren!V146/1000, 0)</f>
        <v>0</v>
      </c>
      <c r="W656" s="124">
        <f>IF(ISNUMBER('Klisz-Verbräuche'!X146), 'Klisz-Verbräuche'!X146*Emissionsfaktoren!W146/1000, 0)</f>
        <v>0</v>
      </c>
      <c r="X656" s="124">
        <f>IF(ISNUMBER('Klisz-Verbräuche'!Y146), 'Klisz-Verbräuche'!Y146*Emissionsfaktoren!X146/1000, 0)</f>
        <v>0</v>
      </c>
    </row>
    <row r="657" spans="2:24" ht="16.5" hidden="1" x14ac:dyDescent="0.45">
      <c r="B657" s="15">
        <v>87</v>
      </c>
      <c r="C657" s="20" t="str">
        <f>'Refsz-Verbräuche'!C147</f>
        <v>Trinkwasser</v>
      </c>
      <c r="D657" t="s">
        <v>208</v>
      </c>
      <c r="E657" s="124">
        <f>IF(ISNUMBER('Klisz-Verbräuche'!F147), 'Klisz-Verbräuche'!F147*Emissionsfaktoren!E147/1000, 0)</f>
        <v>0</v>
      </c>
      <c r="F657" s="124">
        <f>IF(ISNUMBER('Klisz-Verbräuche'!G147), 'Klisz-Verbräuche'!G147*Emissionsfaktoren!F147/1000, 0)</f>
        <v>0</v>
      </c>
      <c r="G657" s="124">
        <f>IF(ISNUMBER('Klisz-Verbräuche'!H147), 'Klisz-Verbräuche'!H147*Emissionsfaktoren!G147/1000, 0)</f>
        <v>0</v>
      </c>
      <c r="H657" s="124">
        <f>IF(ISNUMBER('Klisz-Verbräuche'!I147), 'Klisz-Verbräuche'!I147*Emissionsfaktoren!H147/1000, 0)</f>
        <v>0</v>
      </c>
      <c r="I657" s="124">
        <f>IF(ISNUMBER('Klisz-Verbräuche'!J147), 'Klisz-Verbräuche'!J147*Emissionsfaktoren!I147/1000, 0)</f>
        <v>0</v>
      </c>
      <c r="J657" s="124">
        <f>IF(ISNUMBER('Klisz-Verbräuche'!K147), 'Klisz-Verbräuche'!K147*Emissionsfaktoren!J147/1000, 0)</f>
        <v>0</v>
      </c>
      <c r="K657" s="124">
        <f>IF(ISNUMBER('Klisz-Verbräuche'!L147), 'Klisz-Verbräuche'!L147*Emissionsfaktoren!K147/1000, 0)</f>
        <v>0</v>
      </c>
      <c r="L657" s="124">
        <f>IF(ISNUMBER('Klisz-Verbräuche'!M147), 'Klisz-Verbräuche'!M147*Emissionsfaktoren!L147/1000, 0)</f>
        <v>0</v>
      </c>
      <c r="M657" s="124">
        <f>IF(ISNUMBER('Klisz-Verbräuche'!N147), 'Klisz-Verbräuche'!N147*Emissionsfaktoren!M147/1000, 0)</f>
        <v>0</v>
      </c>
      <c r="N657" s="124">
        <f>IF(ISNUMBER('Klisz-Verbräuche'!O147), 'Klisz-Verbräuche'!O147*Emissionsfaktoren!N147/1000, 0)</f>
        <v>0</v>
      </c>
      <c r="O657" s="124">
        <f>IF(ISNUMBER('Klisz-Verbräuche'!P147), 'Klisz-Verbräuche'!P147*Emissionsfaktoren!O147/1000, 0)</f>
        <v>0</v>
      </c>
      <c r="P657" s="124">
        <f>IF(ISNUMBER('Klisz-Verbräuche'!Q147), 'Klisz-Verbräuche'!Q147*Emissionsfaktoren!P147/1000, 0)</f>
        <v>0</v>
      </c>
      <c r="Q657" s="124">
        <f>IF(ISNUMBER('Klisz-Verbräuche'!R147), 'Klisz-Verbräuche'!R147*Emissionsfaktoren!Q147/1000, 0)</f>
        <v>0</v>
      </c>
      <c r="R657" s="124">
        <f>IF(ISNUMBER('Klisz-Verbräuche'!S147), 'Klisz-Verbräuche'!S147*Emissionsfaktoren!R147/1000, 0)</f>
        <v>0</v>
      </c>
      <c r="S657" s="124">
        <f>IF(ISNUMBER('Klisz-Verbräuche'!T147), 'Klisz-Verbräuche'!T147*Emissionsfaktoren!S147/1000, 0)</f>
        <v>0</v>
      </c>
      <c r="T657" s="124">
        <f>IF(ISNUMBER('Klisz-Verbräuche'!U147), 'Klisz-Verbräuche'!U147*Emissionsfaktoren!T147/1000, 0)</f>
        <v>0</v>
      </c>
      <c r="U657" s="124">
        <f>IF(ISNUMBER('Klisz-Verbräuche'!V147), 'Klisz-Verbräuche'!V147*Emissionsfaktoren!U147/1000, 0)</f>
        <v>0</v>
      </c>
      <c r="V657" s="124">
        <f>IF(ISNUMBER('Klisz-Verbräuche'!W147), 'Klisz-Verbräuche'!W147*Emissionsfaktoren!V147/1000, 0)</f>
        <v>0</v>
      </c>
      <c r="W657" s="124">
        <f>IF(ISNUMBER('Klisz-Verbräuche'!X147), 'Klisz-Verbräuche'!X147*Emissionsfaktoren!W147/1000, 0)</f>
        <v>0</v>
      </c>
      <c r="X657" s="124">
        <f>IF(ISNUMBER('Klisz-Verbräuche'!Y147), 'Klisz-Verbräuche'!Y147*Emissionsfaktoren!X147/1000, 0)</f>
        <v>0</v>
      </c>
    </row>
    <row r="658" spans="2:24" ht="16.5" hidden="1" x14ac:dyDescent="0.45">
      <c r="B658" s="15">
        <v>88</v>
      </c>
      <c r="C658" s="20">
        <f>'Refsz-Verbräuche'!C148</f>
        <v>0</v>
      </c>
      <c r="D658" t="s">
        <v>208</v>
      </c>
      <c r="E658" s="124">
        <f>IF(ISNUMBER('Klisz-Verbräuche'!F148), 'Klisz-Verbräuche'!F148*Emissionsfaktoren!E148/1000, 0)</f>
        <v>0</v>
      </c>
      <c r="F658" s="124">
        <f>IF(ISNUMBER('Klisz-Verbräuche'!G148), 'Klisz-Verbräuche'!G148*Emissionsfaktoren!F148/1000, 0)</f>
        <v>0</v>
      </c>
      <c r="G658" s="124">
        <f>IF(ISNUMBER('Klisz-Verbräuche'!H148), 'Klisz-Verbräuche'!H148*Emissionsfaktoren!G148/1000, 0)</f>
        <v>0</v>
      </c>
      <c r="H658" s="124">
        <f>IF(ISNUMBER('Klisz-Verbräuche'!I148), 'Klisz-Verbräuche'!I148*Emissionsfaktoren!H148/1000, 0)</f>
        <v>0</v>
      </c>
      <c r="I658" s="124">
        <f>IF(ISNUMBER('Klisz-Verbräuche'!J148), 'Klisz-Verbräuche'!J148*Emissionsfaktoren!I148/1000, 0)</f>
        <v>0</v>
      </c>
      <c r="J658" s="124">
        <f>IF(ISNUMBER('Klisz-Verbräuche'!K148), 'Klisz-Verbräuche'!K148*Emissionsfaktoren!J148/1000, 0)</f>
        <v>0</v>
      </c>
      <c r="K658" s="124">
        <f>IF(ISNUMBER('Klisz-Verbräuche'!L148), 'Klisz-Verbräuche'!L148*Emissionsfaktoren!K148/1000, 0)</f>
        <v>0</v>
      </c>
      <c r="L658" s="124">
        <f>IF(ISNUMBER('Klisz-Verbräuche'!M148), 'Klisz-Verbräuche'!M148*Emissionsfaktoren!L148/1000, 0)</f>
        <v>0</v>
      </c>
      <c r="M658" s="124">
        <f>IF(ISNUMBER('Klisz-Verbräuche'!N148), 'Klisz-Verbräuche'!N148*Emissionsfaktoren!M148/1000, 0)</f>
        <v>0</v>
      </c>
      <c r="N658" s="124">
        <f>IF(ISNUMBER('Klisz-Verbräuche'!O148), 'Klisz-Verbräuche'!O148*Emissionsfaktoren!N148/1000, 0)</f>
        <v>0</v>
      </c>
      <c r="O658" s="124">
        <f>IF(ISNUMBER('Klisz-Verbräuche'!P148), 'Klisz-Verbräuche'!P148*Emissionsfaktoren!O148/1000, 0)</f>
        <v>0</v>
      </c>
      <c r="P658" s="124">
        <f>IF(ISNUMBER('Klisz-Verbräuche'!Q148), 'Klisz-Verbräuche'!Q148*Emissionsfaktoren!P148/1000, 0)</f>
        <v>0</v>
      </c>
      <c r="Q658" s="124">
        <f>IF(ISNUMBER('Klisz-Verbräuche'!R148), 'Klisz-Verbräuche'!R148*Emissionsfaktoren!Q148/1000, 0)</f>
        <v>0</v>
      </c>
      <c r="R658" s="124">
        <f>IF(ISNUMBER('Klisz-Verbräuche'!S148), 'Klisz-Verbräuche'!S148*Emissionsfaktoren!R148/1000, 0)</f>
        <v>0</v>
      </c>
      <c r="S658" s="124">
        <f>IF(ISNUMBER('Klisz-Verbräuche'!T148), 'Klisz-Verbräuche'!T148*Emissionsfaktoren!S148/1000, 0)</f>
        <v>0</v>
      </c>
      <c r="T658" s="124">
        <f>IF(ISNUMBER('Klisz-Verbräuche'!U148), 'Klisz-Verbräuche'!U148*Emissionsfaktoren!T148/1000, 0)</f>
        <v>0</v>
      </c>
      <c r="U658" s="124">
        <f>IF(ISNUMBER('Klisz-Verbräuche'!V148), 'Klisz-Verbräuche'!V148*Emissionsfaktoren!U148/1000, 0)</f>
        <v>0</v>
      </c>
      <c r="V658" s="124">
        <f>IF(ISNUMBER('Klisz-Verbräuche'!W148), 'Klisz-Verbräuche'!W148*Emissionsfaktoren!V148/1000, 0)</f>
        <v>0</v>
      </c>
      <c r="W658" s="124">
        <f>IF(ISNUMBER('Klisz-Verbräuche'!X148), 'Klisz-Verbräuche'!X148*Emissionsfaktoren!W148/1000, 0)</f>
        <v>0</v>
      </c>
      <c r="X658" s="124">
        <f>IF(ISNUMBER('Klisz-Verbräuche'!Y148), 'Klisz-Verbräuche'!Y148*Emissionsfaktoren!X148/1000, 0)</f>
        <v>0</v>
      </c>
    </row>
    <row r="659" spans="2:24" ht="16.5" hidden="1" x14ac:dyDescent="0.45">
      <c r="B659" s="15">
        <v>89</v>
      </c>
      <c r="C659" s="20" t="str">
        <f>'Refsz-Verbräuche'!C149</f>
        <v>Recyclingpapier</v>
      </c>
      <c r="D659" t="s">
        <v>208</v>
      </c>
      <c r="E659" s="124">
        <f>IF(ISNUMBER('Klisz-Verbräuche'!F149), 'Klisz-Verbräuche'!F149*Emissionsfaktoren!E149/1000, 0)</f>
        <v>0</v>
      </c>
      <c r="F659" s="124">
        <f>IF(ISNUMBER('Klisz-Verbräuche'!G149), 'Klisz-Verbräuche'!G149*Emissionsfaktoren!F149/1000, 0)</f>
        <v>0</v>
      </c>
      <c r="G659" s="124">
        <f>IF(ISNUMBER('Klisz-Verbräuche'!H149), 'Klisz-Verbräuche'!H149*Emissionsfaktoren!G149/1000, 0)</f>
        <v>0</v>
      </c>
      <c r="H659" s="124">
        <f>IF(ISNUMBER('Klisz-Verbräuche'!I149), 'Klisz-Verbräuche'!I149*Emissionsfaktoren!H149/1000, 0)</f>
        <v>0</v>
      </c>
      <c r="I659" s="124">
        <f>IF(ISNUMBER('Klisz-Verbräuche'!J149), 'Klisz-Verbräuche'!J149*Emissionsfaktoren!I149/1000, 0)</f>
        <v>0</v>
      </c>
      <c r="J659" s="124">
        <f>IF(ISNUMBER('Klisz-Verbräuche'!K149), 'Klisz-Verbräuche'!K149*Emissionsfaktoren!J149/1000, 0)</f>
        <v>0</v>
      </c>
      <c r="K659" s="124">
        <f>IF(ISNUMBER('Klisz-Verbräuche'!L149), 'Klisz-Verbräuche'!L149*Emissionsfaktoren!K149/1000, 0)</f>
        <v>0</v>
      </c>
      <c r="L659" s="124">
        <f>IF(ISNUMBER('Klisz-Verbräuche'!M149), 'Klisz-Verbräuche'!M149*Emissionsfaktoren!L149/1000, 0)</f>
        <v>0</v>
      </c>
      <c r="M659" s="124">
        <f>IF(ISNUMBER('Klisz-Verbräuche'!N149), 'Klisz-Verbräuche'!N149*Emissionsfaktoren!M149/1000, 0)</f>
        <v>0</v>
      </c>
      <c r="N659" s="124">
        <f>IF(ISNUMBER('Klisz-Verbräuche'!O149), 'Klisz-Verbräuche'!O149*Emissionsfaktoren!N149/1000, 0)</f>
        <v>0</v>
      </c>
      <c r="O659" s="124">
        <f>IF(ISNUMBER('Klisz-Verbräuche'!P149), 'Klisz-Verbräuche'!P149*Emissionsfaktoren!O149/1000, 0)</f>
        <v>0</v>
      </c>
      <c r="P659" s="124">
        <f>IF(ISNUMBER('Klisz-Verbräuche'!Q149), 'Klisz-Verbräuche'!Q149*Emissionsfaktoren!P149/1000, 0)</f>
        <v>0</v>
      </c>
      <c r="Q659" s="124">
        <f>IF(ISNUMBER('Klisz-Verbräuche'!R149), 'Klisz-Verbräuche'!R149*Emissionsfaktoren!Q149/1000, 0)</f>
        <v>0</v>
      </c>
      <c r="R659" s="124">
        <f>IF(ISNUMBER('Klisz-Verbräuche'!S149), 'Klisz-Verbräuche'!S149*Emissionsfaktoren!R149/1000, 0)</f>
        <v>0</v>
      </c>
      <c r="S659" s="124">
        <f>IF(ISNUMBER('Klisz-Verbräuche'!T149), 'Klisz-Verbräuche'!T149*Emissionsfaktoren!S149/1000, 0)</f>
        <v>0</v>
      </c>
      <c r="T659" s="124">
        <f>IF(ISNUMBER('Klisz-Verbräuche'!U149), 'Klisz-Verbräuche'!U149*Emissionsfaktoren!T149/1000, 0)</f>
        <v>0</v>
      </c>
      <c r="U659" s="124">
        <f>IF(ISNUMBER('Klisz-Verbräuche'!V149), 'Klisz-Verbräuche'!V149*Emissionsfaktoren!U149/1000, 0)</f>
        <v>0</v>
      </c>
      <c r="V659" s="124">
        <f>IF(ISNUMBER('Klisz-Verbräuche'!W149), 'Klisz-Verbräuche'!W149*Emissionsfaktoren!V149/1000, 0)</f>
        <v>0</v>
      </c>
      <c r="W659" s="124">
        <f>IF(ISNUMBER('Klisz-Verbräuche'!X149), 'Klisz-Verbräuche'!X149*Emissionsfaktoren!W149/1000, 0)</f>
        <v>0</v>
      </c>
      <c r="X659" s="124">
        <f>IF(ISNUMBER('Klisz-Verbräuche'!Y149), 'Klisz-Verbräuche'!Y149*Emissionsfaktoren!X149/1000, 0)</f>
        <v>0</v>
      </c>
    </row>
    <row r="660" spans="2:24" ht="16.5" hidden="1" x14ac:dyDescent="0.45">
      <c r="B660" s="15">
        <v>90</v>
      </c>
      <c r="C660" s="20" t="str">
        <f>'Refsz-Verbräuche'!C150</f>
        <v>Frischfaserpapier</v>
      </c>
      <c r="D660" t="s">
        <v>208</v>
      </c>
      <c r="E660" s="124">
        <f>IF(ISNUMBER('Klisz-Verbräuche'!F150), 'Klisz-Verbräuche'!F150*Emissionsfaktoren!E150/1000, 0)</f>
        <v>0</v>
      </c>
      <c r="F660" s="124">
        <f>IF(ISNUMBER('Klisz-Verbräuche'!G150), 'Klisz-Verbräuche'!G150*Emissionsfaktoren!F150/1000, 0)</f>
        <v>0</v>
      </c>
      <c r="G660" s="124">
        <f>IF(ISNUMBER('Klisz-Verbräuche'!H150), 'Klisz-Verbräuche'!H150*Emissionsfaktoren!G150/1000, 0)</f>
        <v>0</v>
      </c>
      <c r="H660" s="124">
        <f>IF(ISNUMBER('Klisz-Verbräuche'!I150), 'Klisz-Verbräuche'!I150*Emissionsfaktoren!H150/1000, 0)</f>
        <v>0</v>
      </c>
      <c r="I660" s="124">
        <f>IF(ISNUMBER('Klisz-Verbräuche'!J150), 'Klisz-Verbräuche'!J150*Emissionsfaktoren!I150/1000, 0)</f>
        <v>0</v>
      </c>
      <c r="J660" s="124">
        <f>IF(ISNUMBER('Klisz-Verbräuche'!K150), 'Klisz-Verbräuche'!K150*Emissionsfaktoren!J150/1000, 0)</f>
        <v>0</v>
      </c>
      <c r="K660" s="124">
        <f>IF(ISNUMBER('Klisz-Verbräuche'!L150), 'Klisz-Verbräuche'!L150*Emissionsfaktoren!K150/1000, 0)</f>
        <v>0</v>
      </c>
      <c r="L660" s="124">
        <f>IF(ISNUMBER('Klisz-Verbräuche'!M150), 'Klisz-Verbräuche'!M150*Emissionsfaktoren!L150/1000, 0)</f>
        <v>0</v>
      </c>
      <c r="M660" s="124">
        <f>IF(ISNUMBER('Klisz-Verbräuche'!N150), 'Klisz-Verbräuche'!N150*Emissionsfaktoren!M150/1000, 0)</f>
        <v>0</v>
      </c>
      <c r="N660" s="124">
        <f>IF(ISNUMBER('Klisz-Verbräuche'!O150), 'Klisz-Verbräuche'!O150*Emissionsfaktoren!N150/1000, 0)</f>
        <v>0</v>
      </c>
      <c r="O660" s="124">
        <f>IF(ISNUMBER('Klisz-Verbräuche'!P150), 'Klisz-Verbräuche'!P150*Emissionsfaktoren!O150/1000, 0)</f>
        <v>0</v>
      </c>
      <c r="P660" s="124">
        <f>IF(ISNUMBER('Klisz-Verbräuche'!Q150), 'Klisz-Verbräuche'!Q150*Emissionsfaktoren!P150/1000, 0)</f>
        <v>0</v>
      </c>
      <c r="Q660" s="124">
        <f>IF(ISNUMBER('Klisz-Verbräuche'!R150), 'Klisz-Verbräuche'!R150*Emissionsfaktoren!Q150/1000, 0)</f>
        <v>0</v>
      </c>
      <c r="R660" s="124">
        <f>IF(ISNUMBER('Klisz-Verbräuche'!S150), 'Klisz-Verbräuche'!S150*Emissionsfaktoren!R150/1000, 0)</f>
        <v>0</v>
      </c>
      <c r="S660" s="124">
        <f>IF(ISNUMBER('Klisz-Verbräuche'!T150), 'Klisz-Verbräuche'!T150*Emissionsfaktoren!S150/1000, 0)</f>
        <v>0</v>
      </c>
      <c r="T660" s="124">
        <f>IF(ISNUMBER('Klisz-Verbräuche'!U150), 'Klisz-Verbräuche'!U150*Emissionsfaktoren!T150/1000, 0)</f>
        <v>0</v>
      </c>
      <c r="U660" s="124">
        <f>IF(ISNUMBER('Klisz-Verbräuche'!V150), 'Klisz-Verbräuche'!V150*Emissionsfaktoren!U150/1000, 0)</f>
        <v>0</v>
      </c>
      <c r="V660" s="124">
        <f>IF(ISNUMBER('Klisz-Verbräuche'!W150), 'Klisz-Verbräuche'!W150*Emissionsfaktoren!V150/1000, 0)</f>
        <v>0</v>
      </c>
      <c r="W660" s="124">
        <f>IF(ISNUMBER('Klisz-Verbräuche'!X150), 'Klisz-Verbräuche'!X150*Emissionsfaktoren!W150/1000, 0)</f>
        <v>0</v>
      </c>
      <c r="X660" s="124">
        <f>IF(ISNUMBER('Klisz-Verbräuche'!Y150), 'Klisz-Verbräuche'!Y150*Emissionsfaktoren!X150/1000, 0)</f>
        <v>0</v>
      </c>
    </row>
    <row r="661" spans="2:24" ht="16.5" hidden="1" x14ac:dyDescent="0.45">
      <c r="B661" s="15">
        <v>91</v>
      </c>
      <c r="C661" s="20" t="str">
        <f>'Refsz-Verbräuche'!C151</f>
        <v>Toilettenpapier (Recycling)</v>
      </c>
      <c r="D661" t="s">
        <v>208</v>
      </c>
      <c r="E661" s="124">
        <f>IF(ISNUMBER('Klisz-Verbräuche'!F151), 'Klisz-Verbräuche'!F151*Emissionsfaktoren!E151/1000, 0)</f>
        <v>0</v>
      </c>
      <c r="F661" s="124">
        <f>IF(ISNUMBER('Klisz-Verbräuche'!G151), 'Klisz-Verbräuche'!G151*Emissionsfaktoren!F151/1000, 0)</f>
        <v>0</v>
      </c>
      <c r="G661" s="124">
        <f>IF(ISNUMBER('Klisz-Verbräuche'!H151), 'Klisz-Verbräuche'!H151*Emissionsfaktoren!G151/1000, 0)</f>
        <v>0</v>
      </c>
      <c r="H661" s="124">
        <f>IF(ISNUMBER('Klisz-Verbräuche'!I151), 'Klisz-Verbräuche'!I151*Emissionsfaktoren!H151/1000, 0)</f>
        <v>0</v>
      </c>
      <c r="I661" s="124">
        <f>IF(ISNUMBER('Klisz-Verbräuche'!J151), 'Klisz-Verbräuche'!J151*Emissionsfaktoren!I151/1000, 0)</f>
        <v>0</v>
      </c>
      <c r="J661" s="124">
        <f>IF(ISNUMBER('Klisz-Verbräuche'!K151), 'Klisz-Verbräuche'!K151*Emissionsfaktoren!J151/1000, 0)</f>
        <v>0</v>
      </c>
      <c r="K661" s="124">
        <f>IF(ISNUMBER('Klisz-Verbräuche'!L151), 'Klisz-Verbräuche'!L151*Emissionsfaktoren!K151/1000, 0)</f>
        <v>0</v>
      </c>
      <c r="L661" s="124">
        <f>IF(ISNUMBER('Klisz-Verbräuche'!M151), 'Klisz-Verbräuche'!M151*Emissionsfaktoren!L151/1000, 0)</f>
        <v>0</v>
      </c>
      <c r="M661" s="124">
        <f>IF(ISNUMBER('Klisz-Verbräuche'!N151), 'Klisz-Verbräuche'!N151*Emissionsfaktoren!M151/1000, 0)</f>
        <v>0</v>
      </c>
      <c r="N661" s="124">
        <f>IF(ISNUMBER('Klisz-Verbräuche'!O151), 'Klisz-Verbräuche'!O151*Emissionsfaktoren!N151/1000, 0)</f>
        <v>0</v>
      </c>
      <c r="O661" s="124">
        <f>IF(ISNUMBER('Klisz-Verbräuche'!P151), 'Klisz-Verbräuche'!P151*Emissionsfaktoren!O151/1000, 0)</f>
        <v>0</v>
      </c>
      <c r="P661" s="124">
        <f>IF(ISNUMBER('Klisz-Verbräuche'!Q151), 'Klisz-Verbräuche'!Q151*Emissionsfaktoren!P151/1000, 0)</f>
        <v>0</v>
      </c>
      <c r="Q661" s="124">
        <f>IF(ISNUMBER('Klisz-Verbräuche'!R151), 'Klisz-Verbräuche'!R151*Emissionsfaktoren!Q151/1000, 0)</f>
        <v>0</v>
      </c>
      <c r="R661" s="124">
        <f>IF(ISNUMBER('Klisz-Verbräuche'!S151), 'Klisz-Verbräuche'!S151*Emissionsfaktoren!R151/1000, 0)</f>
        <v>0</v>
      </c>
      <c r="S661" s="124">
        <f>IF(ISNUMBER('Klisz-Verbräuche'!T151), 'Klisz-Verbräuche'!T151*Emissionsfaktoren!S151/1000, 0)</f>
        <v>0</v>
      </c>
      <c r="T661" s="124">
        <f>IF(ISNUMBER('Klisz-Verbräuche'!U151), 'Klisz-Verbräuche'!U151*Emissionsfaktoren!T151/1000, 0)</f>
        <v>0</v>
      </c>
      <c r="U661" s="124">
        <f>IF(ISNUMBER('Klisz-Verbräuche'!V151), 'Klisz-Verbräuche'!V151*Emissionsfaktoren!U151/1000, 0)</f>
        <v>0</v>
      </c>
      <c r="V661" s="124">
        <f>IF(ISNUMBER('Klisz-Verbräuche'!W151), 'Klisz-Verbräuche'!W151*Emissionsfaktoren!V151/1000, 0)</f>
        <v>0</v>
      </c>
      <c r="W661" s="124">
        <f>IF(ISNUMBER('Klisz-Verbräuche'!X151), 'Klisz-Verbräuche'!X151*Emissionsfaktoren!W151/1000, 0)</f>
        <v>0</v>
      </c>
      <c r="X661" s="124">
        <f>IF(ISNUMBER('Klisz-Verbräuche'!Y151), 'Klisz-Verbräuche'!Y151*Emissionsfaktoren!X151/1000, 0)</f>
        <v>0</v>
      </c>
    </row>
    <row r="662" spans="2:24" ht="16.5" hidden="1" x14ac:dyDescent="0.45">
      <c r="B662" s="15">
        <v>92</v>
      </c>
      <c r="C662" s="20" t="str">
        <f>'Refsz-Verbräuche'!C152</f>
        <v>Papierhandtücher (Recycling)</v>
      </c>
      <c r="D662" t="s">
        <v>208</v>
      </c>
      <c r="E662" s="124">
        <f>IF(ISNUMBER('Klisz-Verbräuche'!F152), 'Klisz-Verbräuche'!F152*Emissionsfaktoren!E152/1000, 0)</f>
        <v>0</v>
      </c>
      <c r="F662" s="124">
        <f>IF(ISNUMBER('Klisz-Verbräuche'!G152), 'Klisz-Verbräuche'!G152*Emissionsfaktoren!F152/1000, 0)</f>
        <v>0</v>
      </c>
      <c r="G662" s="124">
        <f>IF(ISNUMBER('Klisz-Verbräuche'!H152), 'Klisz-Verbräuche'!H152*Emissionsfaktoren!G152/1000, 0)</f>
        <v>0</v>
      </c>
      <c r="H662" s="124">
        <f>IF(ISNUMBER('Klisz-Verbräuche'!I152), 'Klisz-Verbräuche'!I152*Emissionsfaktoren!H152/1000, 0)</f>
        <v>0</v>
      </c>
      <c r="I662" s="124">
        <f>IF(ISNUMBER('Klisz-Verbräuche'!J152), 'Klisz-Verbräuche'!J152*Emissionsfaktoren!I152/1000, 0)</f>
        <v>0</v>
      </c>
      <c r="J662" s="124">
        <f>IF(ISNUMBER('Klisz-Verbräuche'!K152), 'Klisz-Verbräuche'!K152*Emissionsfaktoren!J152/1000, 0)</f>
        <v>0</v>
      </c>
      <c r="K662" s="124">
        <f>IF(ISNUMBER('Klisz-Verbräuche'!L152), 'Klisz-Verbräuche'!L152*Emissionsfaktoren!K152/1000, 0)</f>
        <v>0</v>
      </c>
      <c r="L662" s="124">
        <f>IF(ISNUMBER('Klisz-Verbräuche'!M152), 'Klisz-Verbräuche'!M152*Emissionsfaktoren!L152/1000, 0)</f>
        <v>0</v>
      </c>
      <c r="M662" s="124">
        <f>IF(ISNUMBER('Klisz-Verbräuche'!N152), 'Klisz-Verbräuche'!N152*Emissionsfaktoren!M152/1000, 0)</f>
        <v>0</v>
      </c>
      <c r="N662" s="124">
        <f>IF(ISNUMBER('Klisz-Verbräuche'!O152), 'Klisz-Verbräuche'!O152*Emissionsfaktoren!N152/1000, 0)</f>
        <v>0</v>
      </c>
      <c r="O662" s="124">
        <f>IF(ISNUMBER('Klisz-Verbräuche'!P152), 'Klisz-Verbräuche'!P152*Emissionsfaktoren!O152/1000, 0)</f>
        <v>0</v>
      </c>
      <c r="P662" s="124">
        <f>IF(ISNUMBER('Klisz-Verbräuche'!Q152), 'Klisz-Verbräuche'!Q152*Emissionsfaktoren!P152/1000, 0)</f>
        <v>0</v>
      </c>
      <c r="Q662" s="124">
        <f>IF(ISNUMBER('Klisz-Verbräuche'!R152), 'Klisz-Verbräuche'!R152*Emissionsfaktoren!Q152/1000, 0)</f>
        <v>0</v>
      </c>
      <c r="R662" s="124">
        <f>IF(ISNUMBER('Klisz-Verbräuche'!S152), 'Klisz-Verbräuche'!S152*Emissionsfaktoren!R152/1000, 0)</f>
        <v>0</v>
      </c>
      <c r="S662" s="124">
        <f>IF(ISNUMBER('Klisz-Verbräuche'!T152), 'Klisz-Verbräuche'!T152*Emissionsfaktoren!S152/1000, 0)</f>
        <v>0</v>
      </c>
      <c r="T662" s="124">
        <f>IF(ISNUMBER('Klisz-Verbräuche'!U152), 'Klisz-Verbräuche'!U152*Emissionsfaktoren!T152/1000, 0)</f>
        <v>0</v>
      </c>
      <c r="U662" s="124">
        <f>IF(ISNUMBER('Klisz-Verbräuche'!V152), 'Klisz-Verbräuche'!V152*Emissionsfaktoren!U152/1000, 0)</f>
        <v>0</v>
      </c>
      <c r="V662" s="124">
        <f>IF(ISNUMBER('Klisz-Verbräuche'!W152), 'Klisz-Verbräuche'!W152*Emissionsfaktoren!V152/1000, 0)</f>
        <v>0</v>
      </c>
      <c r="W662" s="124">
        <f>IF(ISNUMBER('Klisz-Verbräuche'!X152), 'Klisz-Verbräuche'!X152*Emissionsfaktoren!W152/1000, 0)</f>
        <v>0</v>
      </c>
      <c r="X662" s="124">
        <f>IF(ISNUMBER('Klisz-Verbräuche'!Y152), 'Klisz-Verbräuche'!Y152*Emissionsfaktoren!X152/1000, 0)</f>
        <v>0</v>
      </c>
    </row>
    <row r="663" spans="2:24" ht="16.5" hidden="1" x14ac:dyDescent="0.45">
      <c r="B663" s="15">
        <v>93</v>
      </c>
      <c r="C663" s="20">
        <f>'Refsz-Verbräuche'!C153</f>
        <v>0</v>
      </c>
      <c r="D663" t="s">
        <v>208</v>
      </c>
      <c r="E663" s="124">
        <f>IF(ISNUMBER('Klisz-Verbräuche'!F153), 'Klisz-Verbräuche'!F153*Emissionsfaktoren!E153/1000, 0)</f>
        <v>0</v>
      </c>
      <c r="F663" s="124">
        <f>IF(ISNUMBER('Klisz-Verbräuche'!G153), 'Klisz-Verbräuche'!G153*Emissionsfaktoren!F153/1000, 0)</f>
        <v>0</v>
      </c>
      <c r="G663" s="124">
        <f>IF(ISNUMBER('Klisz-Verbräuche'!H153), 'Klisz-Verbräuche'!H153*Emissionsfaktoren!G153/1000, 0)</f>
        <v>0</v>
      </c>
      <c r="H663" s="124">
        <f>IF(ISNUMBER('Klisz-Verbräuche'!I153), 'Klisz-Verbräuche'!I153*Emissionsfaktoren!H153/1000, 0)</f>
        <v>0</v>
      </c>
      <c r="I663" s="124">
        <f>IF(ISNUMBER('Klisz-Verbräuche'!J153), 'Klisz-Verbräuche'!J153*Emissionsfaktoren!I153/1000, 0)</f>
        <v>0</v>
      </c>
      <c r="J663" s="124">
        <f>IF(ISNUMBER('Klisz-Verbräuche'!K153), 'Klisz-Verbräuche'!K153*Emissionsfaktoren!J153/1000, 0)</f>
        <v>0</v>
      </c>
      <c r="K663" s="124">
        <f>IF(ISNUMBER('Klisz-Verbräuche'!L153), 'Klisz-Verbräuche'!L153*Emissionsfaktoren!K153/1000, 0)</f>
        <v>0</v>
      </c>
      <c r="L663" s="124">
        <f>IF(ISNUMBER('Klisz-Verbräuche'!M153), 'Klisz-Verbräuche'!M153*Emissionsfaktoren!L153/1000, 0)</f>
        <v>0</v>
      </c>
      <c r="M663" s="124">
        <f>IF(ISNUMBER('Klisz-Verbräuche'!N153), 'Klisz-Verbräuche'!N153*Emissionsfaktoren!M153/1000, 0)</f>
        <v>0</v>
      </c>
      <c r="N663" s="124">
        <f>IF(ISNUMBER('Klisz-Verbräuche'!O153), 'Klisz-Verbräuche'!O153*Emissionsfaktoren!N153/1000, 0)</f>
        <v>0</v>
      </c>
      <c r="O663" s="124">
        <f>IF(ISNUMBER('Klisz-Verbräuche'!P153), 'Klisz-Verbräuche'!P153*Emissionsfaktoren!O153/1000, 0)</f>
        <v>0</v>
      </c>
      <c r="P663" s="124">
        <f>IF(ISNUMBER('Klisz-Verbräuche'!Q153), 'Klisz-Verbräuche'!Q153*Emissionsfaktoren!P153/1000, 0)</f>
        <v>0</v>
      </c>
      <c r="Q663" s="124">
        <f>IF(ISNUMBER('Klisz-Verbräuche'!R153), 'Klisz-Verbräuche'!R153*Emissionsfaktoren!Q153/1000, 0)</f>
        <v>0</v>
      </c>
      <c r="R663" s="124">
        <f>IF(ISNUMBER('Klisz-Verbräuche'!S153), 'Klisz-Verbräuche'!S153*Emissionsfaktoren!R153/1000, 0)</f>
        <v>0</v>
      </c>
      <c r="S663" s="124">
        <f>IF(ISNUMBER('Klisz-Verbräuche'!T153), 'Klisz-Verbräuche'!T153*Emissionsfaktoren!S153/1000, 0)</f>
        <v>0</v>
      </c>
      <c r="T663" s="124">
        <f>IF(ISNUMBER('Klisz-Verbräuche'!U153), 'Klisz-Verbräuche'!U153*Emissionsfaktoren!T153/1000, 0)</f>
        <v>0</v>
      </c>
      <c r="U663" s="124">
        <f>IF(ISNUMBER('Klisz-Verbräuche'!V153), 'Klisz-Verbräuche'!V153*Emissionsfaktoren!U153/1000, 0)</f>
        <v>0</v>
      </c>
      <c r="V663" s="124">
        <f>IF(ISNUMBER('Klisz-Verbräuche'!W153), 'Klisz-Verbräuche'!W153*Emissionsfaktoren!V153/1000, 0)</f>
        <v>0</v>
      </c>
      <c r="W663" s="124">
        <f>IF(ISNUMBER('Klisz-Verbräuche'!X153), 'Klisz-Verbräuche'!X153*Emissionsfaktoren!W153/1000, 0)</f>
        <v>0</v>
      </c>
      <c r="X663" s="124">
        <f>IF(ISNUMBER('Klisz-Verbräuche'!Y153), 'Klisz-Verbräuche'!Y153*Emissionsfaktoren!X153/1000, 0)</f>
        <v>0</v>
      </c>
    </row>
    <row r="664" spans="2:24" ht="16.5" hidden="1" x14ac:dyDescent="0.45">
      <c r="B664" s="15">
        <v>94</v>
      </c>
      <c r="C664" s="20" t="str">
        <f>'Refsz-Verbräuche'!C154</f>
        <v>Outgesourcte Leistungen des Rechenzentrums</v>
      </c>
      <c r="D664" t="s">
        <v>208</v>
      </c>
      <c r="E664" s="124">
        <f>IF(ISNUMBER('Klisz-Verbräuche'!F154), 'Klisz-Verbräuche'!F154*Emissionsfaktoren!E154/1000, 0)</f>
        <v>0</v>
      </c>
      <c r="F664" s="124">
        <f>IF(ISNUMBER('Klisz-Verbräuche'!G154), 'Klisz-Verbräuche'!G154*Emissionsfaktoren!F154/1000, 0)</f>
        <v>0</v>
      </c>
      <c r="G664" s="124">
        <f>IF(ISNUMBER('Klisz-Verbräuche'!H154), 'Klisz-Verbräuche'!H154*Emissionsfaktoren!G154/1000, 0)</f>
        <v>0</v>
      </c>
      <c r="H664" s="124">
        <f>IF(ISNUMBER('Klisz-Verbräuche'!I154), 'Klisz-Verbräuche'!I154*Emissionsfaktoren!H154/1000, 0)</f>
        <v>0</v>
      </c>
      <c r="I664" s="124">
        <f>IF(ISNUMBER('Klisz-Verbräuche'!J154), 'Klisz-Verbräuche'!J154*Emissionsfaktoren!I154/1000, 0)</f>
        <v>0</v>
      </c>
      <c r="J664" s="124">
        <f>IF(ISNUMBER('Klisz-Verbräuche'!K154), 'Klisz-Verbräuche'!K154*Emissionsfaktoren!J154/1000, 0)</f>
        <v>0</v>
      </c>
      <c r="K664" s="124">
        <f>IF(ISNUMBER('Klisz-Verbräuche'!L154), 'Klisz-Verbräuche'!L154*Emissionsfaktoren!K154/1000, 0)</f>
        <v>0</v>
      </c>
      <c r="L664" s="124">
        <f>IF(ISNUMBER('Klisz-Verbräuche'!M154), 'Klisz-Verbräuche'!M154*Emissionsfaktoren!L154/1000, 0)</f>
        <v>0</v>
      </c>
      <c r="M664" s="124">
        <f>IF(ISNUMBER('Klisz-Verbräuche'!N154), 'Klisz-Verbräuche'!N154*Emissionsfaktoren!M154/1000, 0)</f>
        <v>0</v>
      </c>
      <c r="N664" s="124">
        <f>IF(ISNUMBER('Klisz-Verbräuche'!O154), 'Klisz-Verbräuche'!O154*Emissionsfaktoren!N154/1000, 0)</f>
        <v>0</v>
      </c>
      <c r="O664" s="124">
        <f>IF(ISNUMBER('Klisz-Verbräuche'!P154), 'Klisz-Verbräuche'!P154*Emissionsfaktoren!O154/1000, 0)</f>
        <v>0</v>
      </c>
      <c r="P664" s="124">
        <f>IF(ISNUMBER('Klisz-Verbräuche'!Q154), 'Klisz-Verbräuche'!Q154*Emissionsfaktoren!P154/1000, 0)</f>
        <v>0</v>
      </c>
      <c r="Q664" s="124">
        <f>IF(ISNUMBER('Klisz-Verbräuche'!R154), 'Klisz-Verbräuche'!R154*Emissionsfaktoren!Q154/1000, 0)</f>
        <v>0</v>
      </c>
      <c r="R664" s="124">
        <f>IF(ISNUMBER('Klisz-Verbräuche'!S154), 'Klisz-Verbräuche'!S154*Emissionsfaktoren!R154/1000, 0)</f>
        <v>0</v>
      </c>
      <c r="S664" s="124">
        <f>IF(ISNUMBER('Klisz-Verbräuche'!T154), 'Klisz-Verbräuche'!T154*Emissionsfaktoren!S154/1000, 0)</f>
        <v>0</v>
      </c>
      <c r="T664" s="124">
        <f>IF(ISNUMBER('Klisz-Verbräuche'!U154), 'Klisz-Verbräuche'!U154*Emissionsfaktoren!T154/1000, 0)</f>
        <v>0</v>
      </c>
      <c r="U664" s="124">
        <f>IF(ISNUMBER('Klisz-Verbräuche'!V154), 'Klisz-Verbräuche'!V154*Emissionsfaktoren!U154/1000, 0)</f>
        <v>0</v>
      </c>
      <c r="V664" s="124">
        <f>IF(ISNUMBER('Klisz-Verbräuche'!W154), 'Klisz-Verbräuche'!W154*Emissionsfaktoren!V154/1000, 0)</f>
        <v>0</v>
      </c>
      <c r="W664" s="124">
        <f>IF(ISNUMBER('Klisz-Verbräuche'!X154), 'Klisz-Verbräuche'!X154*Emissionsfaktoren!W154/1000, 0)</f>
        <v>0</v>
      </c>
      <c r="X664" s="124">
        <f>IF(ISNUMBER('Klisz-Verbräuche'!Y154), 'Klisz-Verbräuche'!Y154*Emissionsfaktoren!X154/1000, 0)</f>
        <v>0</v>
      </c>
    </row>
    <row r="665" spans="2:24" ht="16.5" hidden="1" x14ac:dyDescent="0.45">
      <c r="B665" s="15">
        <v>95</v>
      </c>
      <c r="C665" s="20" t="str">
        <f>'Refsz-Verbräuche'!C155</f>
        <v>Beamer</v>
      </c>
      <c r="D665" t="s">
        <v>208</v>
      </c>
      <c r="E665" s="124">
        <f>IF(ISNUMBER('Klisz-Verbräuche'!F155), 'Klisz-Verbräuche'!F155*Emissionsfaktoren!E155/1000, 0)</f>
        <v>0</v>
      </c>
      <c r="F665" s="124">
        <f>IF(ISNUMBER('Klisz-Verbräuche'!G155), 'Klisz-Verbräuche'!G155*Emissionsfaktoren!F155/1000, 0)</f>
        <v>0</v>
      </c>
      <c r="G665" s="124">
        <f>IF(ISNUMBER('Klisz-Verbräuche'!H155), 'Klisz-Verbräuche'!H155*Emissionsfaktoren!G155/1000, 0)</f>
        <v>0</v>
      </c>
      <c r="H665" s="124">
        <f>IF(ISNUMBER('Klisz-Verbräuche'!I155), 'Klisz-Verbräuche'!I155*Emissionsfaktoren!H155/1000, 0)</f>
        <v>0</v>
      </c>
      <c r="I665" s="124">
        <f>IF(ISNUMBER('Klisz-Verbräuche'!J155), 'Klisz-Verbräuche'!J155*Emissionsfaktoren!I155/1000, 0)</f>
        <v>0</v>
      </c>
      <c r="J665" s="124">
        <f>IF(ISNUMBER('Klisz-Verbräuche'!K155), 'Klisz-Verbräuche'!K155*Emissionsfaktoren!J155/1000, 0)</f>
        <v>0</v>
      </c>
      <c r="K665" s="124">
        <f>IF(ISNUMBER('Klisz-Verbräuche'!L155), 'Klisz-Verbräuche'!L155*Emissionsfaktoren!K155/1000, 0)</f>
        <v>0</v>
      </c>
      <c r="L665" s="124">
        <f>IF(ISNUMBER('Klisz-Verbräuche'!M155), 'Klisz-Verbräuche'!M155*Emissionsfaktoren!L155/1000, 0)</f>
        <v>0</v>
      </c>
      <c r="M665" s="124">
        <f>IF(ISNUMBER('Klisz-Verbräuche'!N155), 'Klisz-Verbräuche'!N155*Emissionsfaktoren!M155/1000, 0)</f>
        <v>0</v>
      </c>
      <c r="N665" s="124">
        <f>IF(ISNUMBER('Klisz-Verbräuche'!O155), 'Klisz-Verbräuche'!O155*Emissionsfaktoren!N155/1000, 0)</f>
        <v>0</v>
      </c>
      <c r="O665" s="124">
        <f>IF(ISNUMBER('Klisz-Verbräuche'!P155), 'Klisz-Verbräuche'!P155*Emissionsfaktoren!O155/1000, 0)</f>
        <v>0</v>
      </c>
      <c r="P665" s="124">
        <f>IF(ISNUMBER('Klisz-Verbräuche'!Q155), 'Klisz-Verbräuche'!Q155*Emissionsfaktoren!P155/1000, 0)</f>
        <v>0</v>
      </c>
      <c r="Q665" s="124">
        <f>IF(ISNUMBER('Klisz-Verbräuche'!R155), 'Klisz-Verbräuche'!R155*Emissionsfaktoren!Q155/1000, 0)</f>
        <v>0</v>
      </c>
      <c r="R665" s="124">
        <f>IF(ISNUMBER('Klisz-Verbräuche'!S155), 'Klisz-Verbräuche'!S155*Emissionsfaktoren!R155/1000, 0)</f>
        <v>0</v>
      </c>
      <c r="S665" s="124">
        <f>IF(ISNUMBER('Klisz-Verbräuche'!T155), 'Klisz-Verbräuche'!T155*Emissionsfaktoren!S155/1000, 0)</f>
        <v>0</v>
      </c>
      <c r="T665" s="124">
        <f>IF(ISNUMBER('Klisz-Verbräuche'!U155), 'Klisz-Verbräuche'!U155*Emissionsfaktoren!T155/1000, 0)</f>
        <v>0</v>
      </c>
      <c r="U665" s="124">
        <f>IF(ISNUMBER('Klisz-Verbräuche'!V155), 'Klisz-Verbräuche'!V155*Emissionsfaktoren!U155/1000, 0)</f>
        <v>0</v>
      </c>
      <c r="V665" s="124">
        <f>IF(ISNUMBER('Klisz-Verbräuche'!W155), 'Klisz-Verbräuche'!W155*Emissionsfaktoren!V155/1000, 0)</f>
        <v>0</v>
      </c>
      <c r="W665" s="124">
        <f>IF(ISNUMBER('Klisz-Verbräuche'!X155), 'Klisz-Verbräuche'!X155*Emissionsfaktoren!W155/1000, 0)</f>
        <v>0</v>
      </c>
      <c r="X665" s="124">
        <f>IF(ISNUMBER('Klisz-Verbräuche'!Y155), 'Klisz-Verbräuche'!Y155*Emissionsfaktoren!X155/1000, 0)</f>
        <v>0</v>
      </c>
    </row>
    <row r="666" spans="2:24" ht="16.5" hidden="1" x14ac:dyDescent="0.45">
      <c r="B666" s="15">
        <v>96</v>
      </c>
      <c r="C666" s="20" t="str">
        <f>'Refsz-Verbräuche'!C156</f>
        <v>Notebook/Laptop</v>
      </c>
      <c r="D666" t="s">
        <v>208</v>
      </c>
      <c r="E666" s="124">
        <f>IF(ISNUMBER('Klisz-Verbräuche'!F156), 'Klisz-Verbräuche'!F156*Emissionsfaktoren!E156/1000, 0)</f>
        <v>0</v>
      </c>
      <c r="F666" s="124">
        <f>IF(ISNUMBER('Klisz-Verbräuche'!G156), 'Klisz-Verbräuche'!G156*Emissionsfaktoren!F156/1000, 0)</f>
        <v>0</v>
      </c>
      <c r="G666" s="124">
        <f>IF(ISNUMBER('Klisz-Verbräuche'!H156), 'Klisz-Verbräuche'!H156*Emissionsfaktoren!G156/1000, 0)</f>
        <v>0</v>
      </c>
      <c r="H666" s="124">
        <f>IF(ISNUMBER('Klisz-Verbräuche'!I156), 'Klisz-Verbräuche'!I156*Emissionsfaktoren!H156/1000, 0)</f>
        <v>0</v>
      </c>
      <c r="I666" s="124">
        <f>IF(ISNUMBER('Klisz-Verbräuche'!J156), 'Klisz-Verbräuche'!J156*Emissionsfaktoren!I156/1000, 0)</f>
        <v>0</v>
      </c>
      <c r="J666" s="124">
        <f>IF(ISNUMBER('Klisz-Verbräuche'!K156), 'Klisz-Verbräuche'!K156*Emissionsfaktoren!J156/1000, 0)</f>
        <v>0</v>
      </c>
      <c r="K666" s="124">
        <f>IF(ISNUMBER('Klisz-Verbräuche'!L156), 'Klisz-Verbräuche'!L156*Emissionsfaktoren!K156/1000, 0)</f>
        <v>0</v>
      </c>
      <c r="L666" s="124">
        <f>IF(ISNUMBER('Klisz-Verbräuche'!M156), 'Klisz-Verbräuche'!M156*Emissionsfaktoren!L156/1000, 0)</f>
        <v>0</v>
      </c>
      <c r="M666" s="124">
        <f>IF(ISNUMBER('Klisz-Verbräuche'!N156), 'Klisz-Verbräuche'!N156*Emissionsfaktoren!M156/1000, 0)</f>
        <v>0</v>
      </c>
      <c r="N666" s="124">
        <f>IF(ISNUMBER('Klisz-Verbräuche'!O156), 'Klisz-Verbräuche'!O156*Emissionsfaktoren!N156/1000, 0)</f>
        <v>0</v>
      </c>
      <c r="O666" s="124">
        <f>IF(ISNUMBER('Klisz-Verbräuche'!P156), 'Klisz-Verbräuche'!P156*Emissionsfaktoren!O156/1000, 0)</f>
        <v>0</v>
      </c>
      <c r="P666" s="124">
        <f>IF(ISNUMBER('Klisz-Verbräuche'!Q156), 'Klisz-Verbräuche'!Q156*Emissionsfaktoren!P156/1000, 0)</f>
        <v>0</v>
      </c>
      <c r="Q666" s="124">
        <f>IF(ISNUMBER('Klisz-Verbräuche'!R156), 'Klisz-Verbräuche'!R156*Emissionsfaktoren!Q156/1000, 0)</f>
        <v>0</v>
      </c>
      <c r="R666" s="124">
        <f>IF(ISNUMBER('Klisz-Verbräuche'!S156), 'Klisz-Verbräuche'!S156*Emissionsfaktoren!R156/1000, 0)</f>
        <v>0</v>
      </c>
      <c r="S666" s="124">
        <f>IF(ISNUMBER('Klisz-Verbräuche'!T156), 'Klisz-Verbräuche'!T156*Emissionsfaktoren!S156/1000, 0)</f>
        <v>0</v>
      </c>
      <c r="T666" s="124">
        <f>IF(ISNUMBER('Klisz-Verbräuche'!U156), 'Klisz-Verbräuche'!U156*Emissionsfaktoren!T156/1000, 0)</f>
        <v>0</v>
      </c>
      <c r="U666" s="124">
        <f>IF(ISNUMBER('Klisz-Verbräuche'!V156), 'Klisz-Verbräuche'!V156*Emissionsfaktoren!U156/1000, 0)</f>
        <v>0</v>
      </c>
      <c r="V666" s="124">
        <f>IF(ISNUMBER('Klisz-Verbräuche'!W156), 'Klisz-Verbräuche'!W156*Emissionsfaktoren!V156/1000, 0)</f>
        <v>0</v>
      </c>
      <c r="W666" s="124">
        <f>IF(ISNUMBER('Klisz-Verbräuche'!X156), 'Klisz-Verbräuche'!X156*Emissionsfaktoren!W156/1000, 0)</f>
        <v>0</v>
      </c>
      <c r="X666" s="124">
        <f>IF(ISNUMBER('Klisz-Verbräuche'!Y156), 'Klisz-Verbräuche'!Y156*Emissionsfaktoren!X156/1000, 0)</f>
        <v>0</v>
      </c>
    </row>
    <row r="667" spans="2:24" ht="16.5" hidden="1" x14ac:dyDescent="0.45">
      <c r="B667" s="15">
        <v>97</v>
      </c>
      <c r="C667" s="20" t="str">
        <f>'Refsz-Verbräuche'!C157</f>
        <v>Desktop-PC mit Monitor</v>
      </c>
      <c r="D667" t="s">
        <v>208</v>
      </c>
      <c r="E667" s="124">
        <f>IF(ISNUMBER('Klisz-Verbräuche'!F157), 'Klisz-Verbräuche'!F157*Emissionsfaktoren!E157/1000, 0)</f>
        <v>0</v>
      </c>
      <c r="F667" s="124">
        <f>IF(ISNUMBER('Klisz-Verbräuche'!G157), 'Klisz-Verbräuche'!G157*Emissionsfaktoren!F157/1000, 0)</f>
        <v>0</v>
      </c>
      <c r="G667" s="124">
        <f>IF(ISNUMBER('Klisz-Verbräuche'!H157), 'Klisz-Verbräuche'!H157*Emissionsfaktoren!G157/1000, 0)</f>
        <v>0</v>
      </c>
      <c r="H667" s="124">
        <f>IF(ISNUMBER('Klisz-Verbräuche'!I157), 'Klisz-Verbräuche'!I157*Emissionsfaktoren!H157/1000, 0)</f>
        <v>0</v>
      </c>
      <c r="I667" s="124">
        <f>IF(ISNUMBER('Klisz-Verbräuche'!J157), 'Klisz-Verbräuche'!J157*Emissionsfaktoren!I157/1000, 0)</f>
        <v>0</v>
      </c>
      <c r="J667" s="124">
        <f>IF(ISNUMBER('Klisz-Verbräuche'!K157), 'Klisz-Verbräuche'!K157*Emissionsfaktoren!J157/1000, 0)</f>
        <v>0</v>
      </c>
      <c r="K667" s="124">
        <f>IF(ISNUMBER('Klisz-Verbräuche'!L157), 'Klisz-Verbräuche'!L157*Emissionsfaktoren!K157/1000, 0)</f>
        <v>0</v>
      </c>
      <c r="L667" s="124">
        <f>IF(ISNUMBER('Klisz-Verbräuche'!M157), 'Klisz-Verbräuche'!M157*Emissionsfaktoren!L157/1000, 0)</f>
        <v>0</v>
      </c>
      <c r="M667" s="124">
        <f>IF(ISNUMBER('Klisz-Verbräuche'!N157), 'Klisz-Verbräuche'!N157*Emissionsfaktoren!M157/1000, 0)</f>
        <v>0</v>
      </c>
      <c r="N667" s="124">
        <f>IF(ISNUMBER('Klisz-Verbräuche'!O157), 'Klisz-Verbräuche'!O157*Emissionsfaktoren!N157/1000, 0)</f>
        <v>0</v>
      </c>
      <c r="O667" s="124">
        <f>IF(ISNUMBER('Klisz-Verbräuche'!P157), 'Klisz-Verbräuche'!P157*Emissionsfaktoren!O157/1000, 0)</f>
        <v>0</v>
      </c>
      <c r="P667" s="124">
        <f>IF(ISNUMBER('Klisz-Verbräuche'!Q157), 'Klisz-Verbräuche'!Q157*Emissionsfaktoren!P157/1000, 0)</f>
        <v>0</v>
      </c>
      <c r="Q667" s="124">
        <f>IF(ISNUMBER('Klisz-Verbräuche'!R157), 'Klisz-Verbräuche'!R157*Emissionsfaktoren!Q157/1000, 0)</f>
        <v>0</v>
      </c>
      <c r="R667" s="124">
        <f>IF(ISNUMBER('Klisz-Verbräuche'!S157), 'Klisz-Verbräuche'!S157*Emissionsfaktoren!R157/1000, 0)</f>
        <v>0</v>
      </c>
      <c r="S667" s="124">
        <f>IF(ISNUMBER('Klisz-Verbräuche'!T157), 'Klisz-Verbräuche'!T157*Emissionsfaktoren!S157/1000, 0)</f>
        <v>0</v>
      </c>
      <c r="T667" s="124">
        <f>IF(ISNUMBER('Klisz-Verbräuche'!U157), 'Klisz-Verbräuche'!U157*Emissionsfaktoren!T157/1000, 0)</f>
        <v>0</v>
      </c>
      <c r="U667" s="124">
        <f>IF(ISNUMBER('Klisz-Verbräuche'!V157), 'Klisz-Verbräuche'!V157*Emissionsfaktoren!U157/1000, 0)</f>
        <v>0</v>
      </c>
      <c r="V667" s="124">
        <f>IF(ISNUMBER('Klisz-Verbräuche'!W157), 'Klisz-Verbräuche'!W157*Emissionsfaktoren!V157/1000, 0)</f>
        <v>0</v>
      </c>
      <c r="W667" s="124">
        <f>IF(ISNUMBER('Klisz-Verbräuche'!X157), 'Klisz-Verbräuche'!X157*Emissionsfaktoren!W157/1000, 0)</f>
        <v>0</v>
      </c>
      <c r="X667" s="124">
        <f>IF(ISNUMBER('Klisz-Verbräuche'!Y157), 'Klisz-Verbräuche'!Y157*Emissionsfaktoren!X157/1000, 0)</f>
        <v>0</v>
      </c>
    </row>
    <row r="668" spans="2:24" ht="16.5" hidden="1" x14ac:dyDescent="0.45">
      <c r="B668" s="15">
        <v>98</v>
      </c>
      <c r="C668" s="20" t="str">
        <f>'Refsz-Verbräuche'!C158</f>
        <v>Docking-Station</v>
      </c>
      <c r="D668" t="s">
        <v>208</v>
      </c>
      <c r="E668" s="124">
        <f>IF(ISNUMBER('Klisz-Verbräuche'!F158), 'Klisz-Verbräuche'!F158*Emissionsfaktoren!E158/1000, 0)</f>
        <v>0</v>
      </c>
      <c r="F668" s="124">
        <f>IF(ISNUMBER('Klisz-Verbräuche'!G158), 'Klisz-Verbräuche'!G158*Emissionsfaktoren!F158/1000, 0)</f>
        <v>0</v>
      </c>
      <c r="G668" s="124">
        <f>IF(ISNUMBER('Klisz-Verbräuche'!H158), 'Klisz-Verbräuche'!H158*Emissionsfaktoren!G158/1000, 0)</f>
        <v>0</v>
      </c>
      <c r="H668" s="124">
        <f>IF(ISNUMBER('Klisz-Verbräuche'!I158), 'Klisz-Verbräuche'!I158*Emissionsfaktoren!H158/1000, 0)</f>
        <v>0</v>
      </c>
      <c r="I668" s="124">
        <f>IF(ISNUMBER('Klisz-Verbräuche'!J158), 'Klisz-Verbräuche'!J158*Emissionsfaktoren!I158/1000, 0)</f>
        <v>0</v>
      </c>
      <c r="J668" s="124">
        <f>IF(ISNUMBER('Klisz-Verbräuche'!K158), 'Klisz-Verbräuche'!K158*Emissionsfaktoren!J158/1000, 0)</f>
        <v>0</v>
      </c>
      <c r="K668" s="124">
        <f>IF(ISNUMBER('Klisz-Verbräuche'!L158), 'Klisz-Verbräuche'!L158*Emissionsfaktoren!K158/1000, 0)</f>
        <v>0</v>
      </c>
      <c r="L668" s="124">
        <f>IF(ISNUMBER('Klisz-Verbräuche'!M158), 'Klisz-Verbräuche'!M158*Emissionsfaktoren!L158/1000, 0)</f>
        <v>0</v>
      </c>
      <c r="M668" s="124">
        <f>IF(ISNUMBER('Klisz-Verbräuche'!N158), 'Klisz-Verbräuche'!N158*Emissionsfaktoren!M158/1000, 0)</f>
        <v>0</v>
      </c>
      <c r="N668" s="124">
        <f>IF(ISNUMBER('Klisz-Verbräuche'!O158), 'Klisz-Verbräuche'!O158*Emissionsfaktoren!N158/1000, 0)</f>
        <v>0</v>
      </c>
      <c r="O668" s="124">
        <f>IF(ISNUMBER('Klisz-Verbräuche'!P158), 'Klisz-Verbräuche'!P158*Emissionsfaktoren!O158/1000, 0)</f>
        <v>0</v>
      </c>
      <c r="P668" s="124">
        <f>IF(ISNUMBER('Klisz-Verbräuche'!Q158), 'Klisz-Verbräuche'!Q158*Emissionsfaktoren!P158/1000, 0)</f>
        <v>0</v>
      </c>
      <c r="Q668" s="124">
        <f>IF(ISNUMBER('Klisz-Verbräuche'!R158), 'Klisz-Verbräuche'!R158*Emissionsfaktoren!Q158/1000, 0)</f>
        <v>0</v>
      </c>
      <c r="R668" s="124">
        <f>IF(ISNUMBER('Klisz-Verbräuche'!S158), 'Klisz-Verbräuche'!S158*Emissionsfaktoren!R158/1000, 0)</f>
        <v>0</v>
      </c>
      <c r="S668" s="124">
        <f>IF(ISNUMBER('Klisz-Verbräuche'!T158), 'Klisz-Verbräuche'!T158*Emissionsfaktoren!S158/1000, 0)</f>
        <v>0</v>
      </c>
      <c r="T668" s="124">
        <f>IF(ISNUMBER('Klisz-Verbräuche'!U158), 'Klisz-Verbräuche'!U158*Emissionsfaktoren!T158/1000, 0)</f>
        <v>0</v>
      </c>
      <c r="U668" s="124">
        <f>IF(ISNUMBER('Klisz-Verbräuche'!V158), 'Klisz-Verbräuche'!V158*Emissionsfaktoren!U158/1000, 0)</f>
        <v>0</v>
      </c>
      <c r="V668" s="124">
        <f>IF(ISNUMBER('Klisz-Verbräuche'!W158), 'Klisz-Verbräuche'!W158*Emissionsfaktoren!V158/1000, 0)</f>
        <v>0</v>
      </c>
      <c r="W668" s="124">
        <f>IF(ISNUMBER('Klisz-Verbräuche'!X158), 'Klisz-Verbräuche'!X158*Emissionsfaktoren!W158/1000, 0)</f>
        <v>0</v>
      </c>
      <c r="X668" s="124">
        <f>IF(ISNUMBER('Klisz-Verbräuche'!Y158), 'Klisz-Verbräuche'!Y158*Emissionsfaktoren!X158/1000, 0)</f>
        <v>0</v>
      </c>
    </row>
    <row r="669" spans="2:24" ht="16.5" hidden="1" x14ac:dyDescent="0.45">
      <c r="B669" s="15">
        <v>99</v>
      </c>
      <c r="C669" s="20" t="str">
        <f>'Refsz-Verbräuche'!C159</f>
        <v>Laserdrucker</v>
      </c>
      <c r="D669" t="s">
        <v>208</v>
      </c>
      <c r="E669" s="124">
        <f>IF(ISNUMBER('Klisz-Verbräuche'!F159), 'Klisz-Verbräuche'!F159*Emissionsfaktoren!E159/1000, 0)</f>
        <v>0</v>
      </c>
      <c r="F669" s="124">
        <f>IF(ISNUMBER('Klisz-Verbräuche'!G159), 'Klisz-Verbräuche'!G159*Emissionsfaktoren!F159/1000, 0)</f>
        <v>0</v>
      </c>
      <c r="G669" s="124">
        <f>IF(ISNUMBER('Klisz-Verbräuche'!H159), 'Klisz-Verbräuche'!H159*Emissionsfaktoren!G159/1000, 0)</f>
        <v>0</v>
      </c>
      <c r="H669" s="124">
        <f>IF(ISNUMBER('Klisz-Verbräuche'!I159), 'Klisz-Verbräuche'!I159*Emissionsfaktoren!H159/1000, 0)</f>
        <v>0</v>
      </c>
      <c r="I669" s="124">
        <f>IF(ISNUMBER('Klisz-Verbräuche'!J159), 'Klisz-Verbräuche'!J159*Emissionsfaktoren!I159/1000, 0)</f>
        <v>0</v>
      </c>
      <c r="J669" s="124">
        <f>IF(ISNUMBER('Klisz-Verbräuche'!K159), 'Klisz-Verbräuche'!K159*Emissionsfaktoren!J159/1000, 0)</f>
        <v>0</v>
      </c>
      <c r="K669" s="124">
        <f>IF(ISNUMBER('Klisz-Verbräuche'!L159), 'Klisz-Verbräuche'!L159*Emissionsfaktoren!K159/1000, 0)</f>
        <v>0</v>
      </c>
      <c r="L669" s="124">
        <f>IF(ISNUMBER('Klisz-Verbräuche'!M159), 'Klisz-Verbräuche'!M159*Emissionsfaktoren!L159/1000, 0)</f>
        <v>0</v>
      </c>
      <c r="M669" s="124">
        <f>IF(ISNUMBER('Klisz-Verbräuche'!N159), 'Klisz-Verbräuche'!N159*Emissionsfaktoren!M159/1000, 0)</f>
        <v>0</v>
      </c>
      <c r="N669" s="124">
        <f>IF(ISNUMBER('Klisz-Verbräuche'!O159), 'Klisz-Verbräuche'!O159*Emissionsfaktoren!N159/1000, 0)</f>
        <v>0</v>
      </c>
      <c r="O669" s="124">
        <f>IF(ISNUMBER('Klisz-Verbräuche'!P159), 'Klisz-Verbräuche'!P159*Emissionsfaktoren!O159/1000, 0)</f>
        <v>0</v>
      </c>
      <c r="P669" s="124">
        <f>IF(ISNUMBER('Klisz-Verbräuche'!Q159), 'Klisz-Verbräuche'!Q159*Emissionsfaktoren!P159/1000, 0)</f>
        <v>0</v>
      </c>
      <c r="Q669" s="124">
        <f>IF(ISNUMBER('Klisz-Verbräuche'!R159), 'Klisz-Verbräuche'!R159*Emissionsfaktoren!Q159/1000, 0)</f>
        <v>0</v>
      </c>
      <c r="R669" s="124">
        <f>IF(ISNUMBER('Klisz-Verbräuche'!S159), 'Klisz-Verbräuche'!S159*Emissionsfaktoren!R159/1000, 0)</f>
        <v>0</v>
      </c>
      <c r="S669" s="124">
        <f>IF(ISNUMBER('Klisz-Verbräuche'!T159), 'Klisz-Verbräuche'!T159*Emissionsfaktoren!S159/1000, 0)</f>
        <v>0</v>
      </c>
      <c r="T669" s="124">
        <f>IF(ISNUMBER('Klisz-Verbräuche'!U159), 'Klisz-Verbräuche'!U159*Emissionsfaktoren!T159/1000, 0)</f>
        <v>0</v>
      </c>
      <c r="U669" s="124">
        <f>IF(ISNUMBER('Klisz-Verbräuche'!V159), 'Klisz-Verbräuche'!V159*Emissionsfaktoren!U159/1000, 0)</f>
        <v>0</v>
      </c>
      <c r="V669" s="124">
        <f>IF(ISNUMBER('Klisz-Verbräuche'!W159), 'Klisz-Verbräuche'!W159*Emissionsfaktoren!V159/1000, 0)</f>
        <v>0</v>
      </c>
      <c r="W669" s="124">
        <f>IF(ISNUMBER('Klisz-Verbräuche'!X159), 'Klisz-Verbräuche'!X159*Emissionsfaktoren!W159/1000, 0)</f>
        <v>0</v>
      </c>
      <c r="X669" s="124">
        <f>IF(ISNUMBER('Klisz-Verbräuche'!Y159), 'Klisz-Verbräuche'!Y159*Emissionsfaktoren!X159/1000, 0)</f>
        <v>0</v>
      </c>
    </row>
    <row r="670" spans="2:24" ht="16.5" hidden="1" x14ac:dyDescent="0.45">
      <c r="B670" s="15">
        <v>100</v>
      </c>
      <c r="C670" s="20" t="str">
        <f>'Refsz-Verbräuche'!C160</f>
        <v>Multifunktionsdrucker klein (31 x 44 x 42 cm)</v>
      </c>
      <c r="D670" t="s">
        <v>208</v>
      </c>
      <c r="E670" s="124">
        <f>IF(ISNUMBER('Klisz-Verbräuche'!F160), 'Klisz-Verbräuche'!F160*Emissionsfaktoren!E160/1000, 0)</f>
        <v>0</v>
      </c>
      <c r="F670" s="124">
        <f>IF(ISNUMBER('Klisz-Verbräuche'!G160), 'Klisz-Verbräuche'!G160*Emissionsfaktoren!F160/1000, 0)</f>
        <v>0</v>
      </c>
      <c r="G670" s="124">
        <f>IF(ISNUMBER('Klisz-Verbräuche'!H160), 'Klisz-Verbräuche'!H160*Emissionsfaktoren!G160/1000, 0)</f>
        <v>0</v>
      </c>
      <c r="H670" s="124">
        <f>IF(ISNUMBER('Klisz-Verbräuche'!I160), 'Klisz-Verbräuche'!I160*Emissionsfaktoren!H160/1000, 0)</f>
        <v>0</v>
      </c>
      <c r="I670" s="124">
        <f>IF(ISNUMBER('Klisz-Verbräuche'!J160), 'Klisz-Verbräuche'!J160*Emissionsfaktoren!I160/1000, 0)</f>
        <v>0</v>
      </c>
      <c r="J670" s="124">
        <f>IF(ISNUMBER('Klisz-Verbräuche'!K160), 'Klisz-Verbräuche'!K160*Emissionsfaktoren!J160/1000, 0)</f>
        <v>0</v>
      </c>
      <c r="K670" s="124">
        <f>IF(ISNUMBER('Klisz-Verbräuche'!L160), 'Klisz-Verbräuche'!L160*Emissionsfaktoren!K160/1000, 0)</f>
        <v>0</v>
      </c>
      <c r="L670" s="124">
        <f>IF(ISNUMBER('Klisz-Verbräuche'!M160), 'Klisz-Verbräuche'!M160*Emissionsfaktoren!L160/1000, 0)</f>
        <v>0</v>
      </c>
      <c r="M670" s="124">
        <f>IF(ISNUMBER('Klisz-Verbräuche'!N160), 'Klisz-Verbräuche'!N160*Emissionsfaktoren!M160/1000, 0)</f>
        <v>0</v>
      </c>
      <c r="N670" s="124">
        <f>IF(ISNUMBER('Klisz-Verbräuche'!O160), 'Klisz-Verbräuche'!O160*Emissionsfaktoren!N160/1000, 0)</f>
        <v>0</v>
      </c>
      <c r="O670" s="124">
        <f>IF(ISNUMBER('Klisz-Verbräuche'!P160), 'Klisz-Verbräuche'!P160*Emissionsfaktoren!O160/1000, 0)</f>
        <v>0</v>
      </c>
      <c r="P670" s="124">
        <f>IF(ISNUMBER('Klisz-Verbräuche'!Q160), 'Klisz-Verbräuche'!Q160*Emissionsfaktoren!P160/1000, 0)</f>
        <v>0</v>
      </c>
      <c r="Q670" s="124">
        <f>IF(ISNUMBER('Klisz-Verbräuche'!R160), 'Klisz-Verbräuche'!R160*Emissionsfaktoren!Q160/1000, 0)</f>
        <v>0</v>
      </c>
      <c r="R670" s="124">
        <f>IF(ISNUMBER('Klisz-Verbräuche'!S160), 'Klisz-Verbräuche'!S160*Emissionsfaktoren!R160/1000, 0)</f>
        <v>0</v>
      </c>
      <c r="S670" s="124">
        <f>IF(ISNUMBER('Klisz-Verbräuche'!T160), 'Klisz-Verbräuche'!T160*Emissionsfaktoren!S160/1000, 0)</f>
        <v>0</v>
      </c>
      <c r="T670" s="124">
        <f>IF(ISNUMBER('Klisz-Verbräuche'!U160), 'Klisz-Verbräuche'!U160*Emissionsfaktoren!T160/1000, 0)</f>
        <v>0</v>
      </c>
      <c r="U670" s="124">
        <f>IF(ISNUMBER('Klisz-Verbräuche'!V160), 'Klisz-Verbräuche'!V160*Emissionsfaktoren!U160/1000, 0)</f>
        <v>0</v>
      </c>
      <c r="V670" s="124">
        <f>IF(ISNUMBER('Klisz-Verbräuche'!W160), 'Klisz-Verbräuche'!W160*Emissionsfaktoren!V160/1000, 0)</f>
        <v>0</v>
      </c>
      <c r="W670" s="124">
        <f>IF(ISNUMBER('Klisz-Verbräuche'!X160), 'Klisz-Verbräuche'!X160*Emissionsfaktoren!W160/1000, 0)</f>
        <v>0</v>
      </c>
      <c r="X670" s="124">
        <f>IF(ISNUMBER('Klisz-Verbräuche'!Y160), 'Klisz-Verbräuche'!Y160*Emissionsfaktoren!X160/1000, 0)</f>
        <v>0</v>
      </c>
    </row>
    <row r="671" spans="2:24" ht="16.5" hidden="1" x14ac:dyDescent="0.45">
      <c r="B671" s="15">
        <v>101</v>
      </c>
      <c r="C671" s="20" t="str">
        <f>'Refsz-Verbräuche'!C161</f>
        <v>Multifunktionsdrucker mittel (54 x 56 x 52 cm)</v>
      </c>
      <c r="D671" t="s">
        <v>208</v>
      </c>
      <c r="E671" s="124">
        <f>IF(ISNUMBER('Klisz-Verbräuche'!F161), 'Klisz-Verbräuche'!F161*Emissionsfaktoren!E161/1000, 0)</f>
        <v>0</v>
      </c>
      <c r="F671" s="124">
        <f>IF(ISNUMBER('Klisz-Verbräuche'!G161), 'Klisz-Verbräuche'!G161*Emissionsfaktoren!F161/1000, 0)</f>
        <v>0</v>
      </c>
      <c r="G671" s="124">
        <f>IF(ISNUMBER('Klisz-Verbräuche'!H161), 'Klisz-Verbräuche'!H161*Emissionsfaktoren!G161/1000, 0)</f>
        <v>0</v>
      </c>
      <c r="H671" s="124">
        <f>IF(ISNUMBER('Klisz-Verbräuche'!I161), 'Klisz-Verbräuche'!I161*Emissionsfaktoren!H161/1000, 0)</f>
        <v>0</v>
      </c>
      <c r="I671" s="124">
        <f>IF(ISNUMBER('Klisz-Verbräuche'!J161), 'Klisz-Verbräuche'!J161*Emissionsfaktoren!I161/1000, 0)</f>
        <v>0</v>
      </c>
      <c r="J671" s="124">
        <f>IF(ISNUMBER('Klisz-Verbräuche'!K161), 'Klisz-Verbräuche'!K161*Emissionsfaktoren!J161/1000, 0)</f>
        <v>0</v>
      </c>
      <c r="K671" s="124">
        <f>IF(ISNUMBER('Klisz-Verbräuche'!L161), 'Klisz-Verbräuche'!L161*Emissionsfaktoren!K161/1000, 0)</f>
        <v>0</v>
      </c>
      <c r="L671" s="124">
        <f>IF(ISNUMBER('Klisz-Verbräuche'!M161), 'Klisz-Verbräuche'!M161*Emissionsfaktoren!L161/1000, 0)</f>
        <v>0</v>
      </c>
      <c r="M671" s="124">
        <f>IF(ISNUMBER('Klisz-Verbräuche'!N161), 'Klisz-Verbräuche'!N161*Emissionsfaktoren!M161/1000, 0)</f>
        <v>0</v>
      </c>
      <c r="N671" s="124">
        <f>IF(ISNUMBER('Klisz-Verbräuche'!O161), 'Klisz-Verbräuche'!O161*Emissionsfaktoren!N161/1000, 0)</f>
        <v>0</v>
      </c>
      <c r="O671" s="124">
        <f>IF(ISNUMBER('Klisz-Verbräuche'!P161), 'Klisz-Verbräuche'!P161*Emissionsfaktoren!O161/1000, 0)</f>
        <v>0</v>
      </c>
      <c r="P671" s="124">
        <f>IF(ISNUMBER('Klisz-Verbräuche'!Q161), 'Klisz-Verbräuche'!Q161*Emissionsfaktoren!P161/1000, 0)</f>
        <v>0</v>
      </c>
      <c r="Q671" s="124">
        <f>IF(ISNUMBER('Klisz-Verbräuche'!R161), 'Klisz-Verbräuche'!R161*Emissionsfaktoren!Q161/1000, 0)</f>
        <v>0</v>
      </c>
      <c r="R671" s="124">
        <f>IF(ISNUMBER('Klisz-Verbräuche'!S161), 'Klisz-Verbräuche'!S161*Emissionsfaktoren!R161/1000, 0)</f>
        <v>0</v>
      </c>
      <c r="S671" s="124">
        <f>IF(ISNUMBER('Klisz-Verbräuche'!T161), 'Klisz-Verbräuche'!T161*Emissionsfaktoren!S161/1000, 0)</f>
        <v>0</v>
      </c>
      <c r="T671" s="124">
        <f>IF(ISNUMBER('Klisz-Verbräuche'!U161), 'Klisz-Verbräuche'!U161*Emissionsfaktoren!T161/1000, 0)</f>
        <v>0</v>
      </c>
      <c r="U671" s="124">
        <f>IF(ISNUMBER('Klisz-Verbräuche'!V161), 'Klisz-Verbräuche'!V161*Emissionsfaktoren!U161/1000, 0)</f>
        <v>0</v>
      </c>
      <c r="V671" s="124">
        <f>IF(ISNUMBER('Klisz-Verbräuche'!W161), 'Klisz-Verbräuche'!W161*Emissionsfaktoren!V161/1000, 0)</f>
        <v>0</v>
      </c>
      <c r="W671" s="124">
        <f>IF(ISNUMBER('Klisz-Verbräuche'!X161), 'Klisz-Verbräuche'!X161*Emissionsfaktoren!W161/1000, 0)</f>
        <v>0</v>
      </c>
      <c r="X671" s="124">
        <f>IF(ISNUMBER('Klisz-Verbräuche'!Y161), 'Klisz-Verbräuche'!Y161*Emissionsfaktoren!X161/1000, 0)</f>
        <v>0</v>
      </c>
    </row>
    <row r="672" spans="2:24" ht="16.5" hidden="1" x14ac:dyDescent="0.45">
      <c r="B672" s="15">
        <v>102</v>
      </c>
      <c r="C672" s="20" t="str">
        <f>'Refsz-Verbräuche'!C162</f>
        <v>Multifunktionsdrucker groß (114 x 65 x 59 cm)</v>
      </c>
      <c r="D672" t="s">
        <v>208</v>
      </c>
      <c r="E672" s="124">
        <f>IF(ISNUMBER('Klisz-Verbräuche'!F162), 'Klisz-Verbräuche'!F162*Emissionsfaktoren!E162/1000, 0)</f>
        <v>0</v>
      </c>
      <c r="F672" s="124">
        <f>IF(ISNUMBER('Klisz-Verbräuche'!G162), 'Klisz-Verbräuche'!G162*Emissionsfaktoren!F162/1000, 0)</f>
        <v>0</v>
      </c>
      <c r="G672" s="124">
        <f>IF(ISNUMBER('Klisz-Verbräuche'!H162), 'Klisz-Verbräuche'!H162*Emissionsfaktoren!G162/1000, 0)</f>
        <v>0</v>
      </c>
      <c r="H672" s="124">
        <f>IF(ISNUMBER('Klisz-Verbräuche'!I162), 'Klisz-Verbräuche'!I162*Emissionsfaktoren!H162/1000, 0)</f>
        <v>0</v>
      </c>
      <c r="I672" s="124">
        <f>IF(ISNUMBER('Klisz-Verbräuche'!J162), 'Klisz-Verbräuche'!J162*Emissionsfaktoren!I162/1000, 0)</f>
        <v>0</v>
      </c>
      <c r="J672" s="124">
        <f>IF(ISNUMBER('Klisz-Verbräuche'!K162), 'Klisz-Verbräuche'!K162*Emissionsfaktoren!J162/1000, 0)</f>
        <v>0</v>
      </c>
      <c r="K672" s="124">
        <f>IF(ISNUMBER('Klisz-Verbräuche'!L162), 'Klisz-Verbräuche'!L162*Emissionsfaktoren!K162/1000, 0)</f>
        <v>0</v>
      </c>
      <c r="L672" s="124">
        <f>IF(ISNUMBER('Klisz-Verbräuche'!M162), 'Klisz-Verbräuche'!M162*Emissionsfaktoren!L162/1000, 0)</f>
        <v>0</v>
      </c>
      <c r="M672" s="124">
        <f>IF(ISNUMBER('Klisz-Verbräuche'!N162), 'Klisz-Verbräuche'!N162*Emissionsfaktoren!M162/1000, 0)</f>
        <v>0</v>
      </c>
      <c r="N672" s="124">
        <f>IF(ISNUMBER('Klisz-Verbräuche'!O162), 'Klisz-Verbräuche'!O162*Emissionsfaktoren!N162/1000, 0)</f>
        <v>0</v>
      </c>
      <c r="O672" s="124">
        <f>IF(ISNUMBER('Klisz-Verbräuche'!P162), 'Klisz-Verbräuche'!P162*Emissionsfaktoren!O162/1000, 0)</f>
        <v>0</v>
      </c>
      <c r="P672" s="124">
        <f>IF(ISNUMBER('Klisz-Verbräuche'!Q162), 'Klisz-Verbräuche'!Q162*Emissionsfaktoren!P162/1000, 0)</f>
        <v>0</v>
      </c>
      <c r="Q672" s="124">
        <f>IF(ISNUMBER('Klisz-Verbräuche'!R162), 'Klisz-Verbräuche'!R162*Emissionsfaktoren!Q162/1000, 0)</f>
        <v>0</v>
      </c>
      <c r="R672" s="124">
        <f>IF(ISNUMBER('Klisz-Verbräuche'!S162), 'Klisz-Verbräuche'!S162*Emissionsfaktoren!R162/1000, 0)</f>
        <v>0</v>
      </c>
      <c r="S672" s="124">
        <f>IF(ISNUMBER('Klisz-Verbräuche'!T162), 'Klisz-Verbräuche'!T162*Emissionsfaktoren!S162/1000, 0)</f>
        <v>0</v>
      </c>
      <c r="T672" s="124">
        <f>IF(ISNUMBER('Klisz-Verbräuche'!U162), 'Klisz-Verbräuche'!U162*Emissionsfaktoren!T162/1000, 0)</f>
        <v>0</v>
      </c>
      <c r="U672" s="124">
        <f>IF(ISNUMBER('Klisz-Verbräuche'!V162), 'Klisz-Verbräuche'!V162*Emissionsfaktoren!U162/1000, 0)</f>
        <v>0</v>
      </c>
      <c r="V672" s="124">
        <f>IF(ISNUMBER('Klisz-Verbräuche'!W162), 'Klisz-Verbräuche'!W162*Emissionsfaktoren!V162/1000, 0)</f>
        <v>0</v>
      </c>
      <c r="W672" s="124">
        <f>IF(ISNUMBER('Klisz-Verbräuche'!X162), 'Klisz-Verbräuche'!X162*Emissionsfaktoren!W162/1000, 0)</f>
        <v>0</v>
      </c>
      <c r="X672" s="124">
        <f>IF(ISNUMBER('Klisz-Verbräuche'!Y162), 'Klisz-Verbräuche'!Y162*Emissionsfaktoren!X162/1000, 0)</f>
        <v>0</v>
      </c>
    </row>
    <row r="673" spans="2:24" ht="16.5" hidden="1" x14ac:dyDescent="0.45">
      <c r="B673" s="15">
        <v>103</v>
      </c>
      <c r="C673" s="20" t="str">
        <f>'Refsz-Verbräuche'!C163</f>
        <v>Toner</v>
      </c>
      <c r="D673" t="s">
        <v>208</v>
      </c>
      <c r="E673" s="124">
        <f>IF(ISNUMBER('Klisz-Verbräuche'!F163), 'Klisz-Verbräuche'!F163*Emissionsfaktoren!E163/1000, 0)</f>
        <v>0</v>
      </c>
      <c r="F673" s="124">
        <f>IF(ISNUMBER('Klisz-Verbräuche'!G163), 'Klisz-Verbräuche'!G163*Emissionsfaktoren!F163/1000, 0)</f>
        <v>0</v>
      </c>
      <c r="G673" s="124">
        <f>IF(ISNUMBER('Klisz-Verbräuche'!H163), 'Klisz-Verbräuche'!H163*Emissionsfaktoren!G163/1000, 0)</f>
        <v>0</v>
      </c>
      <c r="H673" s="124">
        <f>IF(ISNUMBER('Klisz-Verbräuche'!I163), 'Klisz-Verbräuche'!I163*Emissionsfaktoren!H163/1000, 0)</f>
        <v>0</v>
      </c>
      <c r="I673" s="124">
        <f>IF(ISNUMBER('Klisz-Verbräuche'!J163), 'Klisz-Verbräuche'!J163*Emissionsfaktoren!I163/1000, 0)</f>
        <v>0</v>
      </c>
      <c r="J673" s="124">
        <f>IF(ISNUMBER('Klisz-Verbräuche'!K163), 'Klisz-Verbräuche'!K163*Emissionsfaktoren!J163/1000, 0)</f>
        <v>0</v>
      </c>
      <c r="K673" s="124">
        <f>IF(ISNUMBER('Klisz-Verbräuche'!L163), 'Klisz-Verbräuche'!L163*Emissionsfaktoren!K163/1000, 0)</f>
        <v>0</v>
      </c>
      <c r="L673" s="124">
        <f>IF(ISNUMBER('Klisz-Verbräuche'!M163), 'Klisz-Verbräuche'!M163*Emissionsfaktoren!L163/1000, 0)</f>
        <v>0</v>
      </c>
      <c r="M673" s="124">
        <f>IF(ISNUMBER('Klisz-Verbräuche'!N163), 'Klisz-Verbräuche'!N163*Emissionsfaktoren!M163/1000, 0)</f>
        <v>0</v>
      </c>
      <c r="N673" s="124">
        <f>IF(ISNUMBER('Klisz-Verbräuche'!O163), 'Klisz-Verbräuche'!O163*Emissionsfaktoren!N163/1000, 0)</f>
        <v>0</v>
      </c>
      <c r="O673" s="124">
        <f>IF(ISNUMBER('Klisz-Verbräuche'!P163), 'Klisz-Verbräuche'!P163*Emissionsfaktoren!O163/1000, 0)</f>
        <v>0</v>
      </c>
      <c r="P673" s="124">
        <f>IF(ISNUMBER('Klisz-Verbräuche'!Q163), 'Klisz-Verbräuche'!Q163*Emissionsfaktoren!P163/1000, 0)</f>
        <v>0</v>
      </c>
      <c r="Q673" s="124">
        <f>IF(ISNUMBER('Klisz-Verbräuche'!R163), 'Klisz-Verbräuche'!R163*Emissionsfaktoren!Q163/1000, 0)</f>
        <v>0</v>
      </c>
      <c r="R673" s="124">
        <f>IF(ISNUMBER('Klisz-Verbräuche'!S163), 'Klisz-Verbräuche'!S163*Emissionsfaktoren!R163/1000, 0)</f>
        <v>0</v>
      </c>
      <c r="S673" s="124">
        <f>IF(ISNUMBER('Klisz-Verbräuche'!T163), 'Klisz-Verbräuche'!T163*Emissionsfaktoren!S163/1000, 0)</f>
        <v>0</v>
      </c>
      <c r="T673" s="124">
        <f>IF(ISNUMBER('Klisz-Verbräuche'!U163), 'Klisz-Verbräuche'!U163*Emissionsfaktoren!T163/1000, 0)</f>
        <v>0</v>
      </c>
      <c r="U673" s="124">
        <f>IF(ISNUMBER('Klisz-Verbräuche'!V163), 'Klisz-Verbräuche'!V163*Emissionsfaktoren!U163/1000, 0)</f>
        <v>0</v>
      </c>
      <c r="V673" s="124">
        <f>IF(ISNUMBER('Klisz-Verbräuche'!W163), 'Klisz-Verbräuche'!W163*Emissionsfaktoren!V163/1000, 0)</f>
        <v>0</v>
      </c>
      <c r="W673" s="124">
        <f>IF(ISNUMBER('Klisz-Verbräuche'!X163), 'Klisz-Verbräuche'!X163*Emissionsfaktoren!W163/1000, 0)</f>
        <v>0</v>
      </c>
      <c r="X673" s="124">
        <f>IF(ISNUMBER('Klisz-Verbräuche'!Y163), 'Klisz-Verbräuche'!Y163*Emissionsfaktoren!X163/1000, 0)</f>
        <v>0</v>
      </c>
    </row>
    <row r="674" spans="2:24" ht="16.5" hidden="1" x14ac:dyDescent="0.45">
      <c r="B674" s="15">
        <v>104</v>
      </c>
      <c r="C674" s="20">
        <f>'Refsz-Verbräuche'!C164</f>
        <v>0</v>
      </c>
      <c r="D674" t="s">
        <v>208</v>
      </c>
      <c r="E674" s="124">
        <f>IF(ISNUMBER('Klisz-Verbräuche'!F164), 'Klisz-Verbräuche'!F164*Emissionsfaktoren!E164/1000, 0)</f>
        <v>0</v>
      </c>
      <c r="F674" s="124">
        <f>IF(ISNUMBER('Klisz-Verbräuche'!G164), 'Klisz-Verbräuche'!G164*Emissionsfaktoren!F164/1000, 0)</f>
        <v>0</v>
      </c>
      <c r="G674" s="124">
        <f>IF(ISNUMBER('Klisz-Verbräuche'!H164), 'Klisz-Verbräuche'!H164*Emissionsfaktoren!G164/1000, 0)</f>
        <v>0</v>
      </c>
      <c r="H674" s="124">
        <f>IF(ISNUMBER('Klisz-Verbräuche'!I164), 'Klisz-Verbräuche'!I164*Emissionsfaktoren!H164/1000, 0)</f>
        <v>0</v>
      </c>
      <c r="I674" s="124">
        <f>IF(ISNUMBER('Klisz-Verbräuche'!J164), 'Klisz-Verbräuche'!J164*Emissionsfaktoren!I164/1000, 0)</f>
        <v>0</v>
      </c>
      <c r="J674" s="124">
        <f>IF(ISNUMBER('Klisz-Verbräuche'!K164), 'Klisz-Verbräuche'!K164*Emissionsfaktoren!J164/1000, 0)</f>
        <v>0</v>
      </c>
      <c r="K674" s="124">
        <f>IF(ISNUMBER('Klisz-Verbräuche'!L164), 'Klisz-Verbräuche'!L164*Emissionsfaktoren!K164/1000, 0)</f>
        <v>0</v>
      </c>
      <c r="L674" s="124">
        <f>IF(ISNUMBER('Klisz-Verbräuche'!M164), 'Klisz-Verbräuche'!M164*Emissionsfaktoren!L164/1000, 0)</f>
        <v>0</v>
      </c>
      <c r="M674" s="124">
        <f>IF(ISNUMBER('Klisz-Verbräuche'!N164), 'Klisz-Verbräuche'!N164*Emissionsfaktoren!M164/1000, 0)</f>
        <v>0</v>
      </c>
      <c r="N674" s="124">
        <f>IF(ISNUMBER('Klisz-Verbräuche'!O164), 'Klisz-Verbräuche'!O164*Emissionsfaktoren!N164/1000, 0)</f>
        <v>0</v>
      </c>
      <c r="O674" s="124">
        <f>IF(ISNUMBER('Klisz-Verbräuche'!P164), 'Klisz-Verbräuche'!P164*Emissionsfaktoren!O164/1000, 0)</f>
        <v>0</v>
      </c>
      <c r="P674" s="124">
        <f>IF(ISNUMBER('Klisz-Verbräuche'!Q164), 'Klisz-Verbräuche'!Q164*Emissionsfaktoren!P164/1000, 0)</f>
        <v>0</v>
      </c>
      <c r="Q674" s="124">
        <f>IF(ISNUMBER('Klisz-Verbräuche'!R164), 'Klisz-Verbräuche'!R164*Emissionsfaktoren!Q164/1000, 0)</f>
        <v>0</v>
      </c>
      <c r="R674" s="124">
        <f>IF(ISNUMBER('Klisz-Verbräuche'!S164), 'Klisz-Verbräuche'!S164*Emissionsfaktoren!R164/1000, 0)</f>
        <v>0</v>
      </c>
      <c r="S674" s="124">
        <f>IF(ISNUMBER('Klisz-Verbräuche'!T164), 'Klisz-Verbräuche'!T164*Emissionsfaktoren!S164/1000, 0)</f>
        <v>0</v>
      </c>
      <c r="T674" s="124">
        <f>IF(ISNUMBER('Klisz-Verbräuche'!U164), 'Klisz-Verbräuche'!U164*Emissionsfaktoren!T164/1000, 0)</f>
        <v>0</v>
      </c>
      <c r="U674" s="124">
        <f>IF(ISNUMBER('Klisz-Verbräuche'!V164), 'Klisz-Verbräuche'!V164*Emissionsfaktoren!U164/1000, 0)</f>
        <v>0</v>
      </c>
      <c r="V674" s="124">
        <f>IF(ISNUMBER('Klisz-Verbräuche'!W164), 'Klisz-Verbräuche'!W164*Emissionsfaktoren!V164/1000, 0)</f>
        <v>0</v>
      </c>
      <c r="W674" s="124">
        <f>IF(ISNUMBER('Klisz-Verbräuche'!X164), 'Klisz-Verbräuche'!X164*Emissionsfaktoren!W164/1000, 0)</f>
        <v>0</v>
      </c>
      <c r="X674" s="124">
        <f>IF(ISNUMBER('Klisz-Verbräuche'!Y164), 'Klisz-Verbräuche'!Y164*Emissionsfaktoren!X164/1000, 0)</f>
        <v>0</v>
      </c>
    </row>
    <row r="675" spans="2:24" ht="16.5" hidden="1" x14ac:dyDescent="0.45">
      <c r="B675" s="15">
        <v>105</v>
      </c>
      <c r="C675" s="20" t="str">
        <f>'Refsz-Verbräuche'!C165</f>
        <v>Bioabfall, Grünschnitt (Kompostierung)</v>
      </c>
      <c r="D675" t="s">
        <v>208</v>
      </c>
      <c r="E675" s="124">
        <f>IF(ISNUMBER('Klisz-Verbräuche'!F165), 'Klisz-Verbräuche'!F165*Emissionsfaktoren!E165/1000, 0)</f>
        <v>0</v>
      </c>
      <c r="F675" s="124">
        <f>IF(ISNUMBER('Klisz-Verbräuche'!G165), 'Klisz-Verbräuche'!G165*Emissionsfaktoren!F165/1000, 0)</f>
        <v>0</v>
      </c>
      <c r="G675" s="124">
        <f>IF(ISNUMBER('Klisz-Verbräuche'!H165), 'Klisz-Verbräuche'!H165*Emissionsfaktoren!G165/1000, 0)</f>
        <v>0</v>
      </c>
      <c r="H675" s="124">
        <f>IF(ISNUMBER('Klisz-Verbräuche'!I165), 'Klisz-Verbräuche'!I165*Emissionsfaktoren!H165/1000, 0)</f>
        <v>0</v>
      </c>
      <c r="I675" s="124">
        <f>IF(ISNUMBER('Klisz-Verbräuche'!J165), 'Klisz-Verbräuche'!J165*Emissionsfaktoren!I165/1000, 0)</f>
        <v>0</v>
      </c>
      <c r="J675" s="124">
        <f>IF(ISNUMBER('Klisz-Verbräuche'!K165), 'Klisz-Verbräuche'!K165*Emissionsfaktoren!J165/1000, 0)</f>
        <v>0</v>
      </c>
      <c r="K675" s="124">
        <f>IF(ISNUMBER('Klisz-Verbräuche'!L165), 'Klisz-Verbräuche'!L165*Emissionsfaktoren!K165/1000, 0)</f>
        <v>0</v>
      </c>
      <c r="L675" s="124">
        <f>IF(ISNUMBER('Klisz-Verbräuche'!M165), 'Klisz-Verbräuche'!M165*Emissionsfaktoren!L165/1000, 0)</f>
        <v>0</v>
      </c>
      <c r="M675" s="124">
        <f>IF(ISNUMBER('Klisz-Verbräuche'!N165), 'Klisz-Verbräuche'!N165*Emissionsfaktoren!M165/1000, 0)</f>
        <v>0</v>
      </c>
      <c r="N675" s="124">
        <f>IF(ISNUMBER('Klisz-Verbräuche'!O165), 'Klisz-Verbräuche'!O165*Emissionsfaktoren!N165/1000, 0)</f>
        <v>0</v>
      </c>
      <c r="O675" s="124">
        <f>IF(ISNUMBER('Klisz-Verbräuche'!P165), 'Klisz-Verbräuche'!P165*Emissionsfaktoren!O165/1000, 0)</f>
        <v>0</v>
      </c>
      <c r="P675" s="124">
        <f>IF(ISNUMBER('Klisz-Verbräuche'!Q165), 'Klisz-Verbräuche'!Q165*Emissionsfaktoren!P165/1000, 0)</f>
        <v>0</v>
      </c>
      <c r="Q675" s="124">
        <f>IF(ISNUMBER('Klisz-Verbräuche'!R165), 'Klisz-Verbräuche'!R165*Emissionsfaktoren!Q165/1000, 0)</f>
        <v>0</v>
      </c>
      <c r="R675" s="124">
        <f>IF(ISNUMBER('Klisz-Verbräuche'!S165), 'Klisz-Verbräuche'!S165*Emissionsfaktoren!R165/1000, 0)</f>
        <v>0</v>
      </c>
      <c r="S675" s="124">
        <f>IF(ISNUMBER('Klisz-Verbräuche'!T165), 'Klisz-Verbräuche'!T165*Emissionsfaktoren!S165/1000, 0)</f>
        <v>0</v>
      </c>
      <c r="T675" s="124">
        <f>IF(ISNUMBER('Klisz-Verbräuche'!U165), 'Klisz-Verbräuche'!U165*Emissionsfaktoren!T165/1000, 0)</f>
        <v>0</v>
      </c>
      <c r="U675" s="124">
        <f>IF(ISNUMBER('Klisz-Verbräuche'!V165), 'Klisz-Verbräuche'!V165*Emissionsfaktoren!U165/1000, 0)</f>
        <v>0</v>
      </c>
      <c r="V675" s="124">
        <f>IF(ISNUMBER('Klisz-Verbräuche'!W165), 'Klisz-Verbräuche'!W165*Emissionsfaktoren!V165/1000, 0)</f>
        <v>0</v>
      </c>
      <c r="W675" s="124">
        <f>IF(ISNUMBER('Klisz-Verbräuche'!X165), 'Klisz-Verbräuche'!X165*Emissionsfaktoren!W165/1000, 0)</f>
        <v>0</v>
      </c>
      <c r="X675" s="124">
        <f>IF(ISNUMBER('Klisz-Verbräuche'!Y165), 'Klisz-Verbräuche'!Y165*Emissionsfaktoren!X165/1000, 0)</f>
        <v>0</v>
      </c>
    </row>
    <row r="676" spans="2:24" ht="16.5" hidden="1" x14ac:dyDescent="0.45">
      <c r="B676" s="15">
        <v>106</v>
      </c>
      <c r="C676" s="20" t="str">
        <f>'Refsz-Verbräuche'!C166</f>
        <v>Bioabfall (Verbrennung)</v>
      </c>
      <c r="D676" t="s">
        <v>208</v>
      </c>
      <c r="E676" s="124">
        <f>IF(ISNUMBER('Klisz-Verbräuche'!F166), 'Klisz-Verbräuche'!F166*Emissionsfaktoren!E166/1000, 0)</f>
        <v>0</v>
      </c>
      <c r="F676" s="124">
        <f>IF(ISNUMBER('Klisz-Verbräuche'!G166), 'Klisz-Verbräuche'!G166*Emissionsfaktoren!F166/1000, 0)</f>
        <v>0</v>
      </c>
      <c r="G676" s="124">
        <f>IF(ISNUMBER('Klisz-Verbräuche'!H166), 'Klisz-Verbräuche'!H166*Emissionsfaktoren!G166/1000, 0)</f>
        <v>0</v>
      </c>
      <c r="H676" s="124">
        <f>IF(ISNUMBER('Klisz-Verbräuche'!I166), 'Klisz-Verbräuche'!I166*Emissionsfaktoren!H166/1000, 0)</f>
        <v>0</v>
      </c>
      <c r="I676" s="124">
        <f>IF(ISNUMBER('Klisz-Verbräuche'!J166), 'Klisz-Verbräuche'!J166*Emissionsfaktoren!I166/1000, 0)</f>
        <v>0</v>
      </c>
      <c r="J676" s="124">
        <f>IF(ISNUMBER('Klisz-Verbräuche'!K166), 'Klisz-Verbräuche'!K166*Emissionsfaktoren!J166/1000, 0)</f>
        <v>0</v>
      </c>
      <c r="K676" s="124">
        <f>IF(ISNUMBER('Klisz-Verbräuche'!L166), 'Klisz-Verbräuche'!L166*Emissionsfaktoren!K166/1000, 0)</f>
        <v>0</v>
      </c>
      <c r="L676" s="124">
        <f>IF(ISNUMBER('Klisz-Verbräuche'!M166), 'Klisz-Verbräuche'!M166*Emissionsfaktoren!L166/1000, 0)</f>
        <v>0</v>
      </c>
      <c r="M676" s="124">
        <f>IF(ISNUMBER('Klisz-Verbräuche'!N166), 'Klisz-Verbräuche'!N166*Emissionsfaktoren!M166/1000, 0)</f>
        <v>0</v>
      </c>
      <c r="N676" s="124">
        <f>IF(ISNUMBER('Klisz-Verbräuche'!O166), 'Klisz-Verbräuche'!O166*Emissionsfaktoren!N166/1000, 0)</f>
        <v>0</v>
      </c>
      <c r="O676" s="124">
        <f>IF(ISNUMBER('Klisz-Verbräuche'!P166), 'Klisz-Verbräuche'!P166*Emissionsfaktoren!O166/1000, 0)</f>
        <v>0</v>
      </c>
      <c r="P676" s="124">
        <f>IF(ISNUMBER('Klisz-Verbräuche'!Q166), 'Klisz-Verbräuche'!Q166*Emissionsfaktoren!P166/1000, 0)</f>
        <v>0</v>
      </c>
      <c r="Q676" s="124">
        <f>IF(ISNUMBER('Klisz-Verbräuche'!R166), 'Klisz-Verbräuche'!R166*Emissionsfaktoren!Q166/1000, 0)</f>
        <v>0</v>
      </c>
      <c r="R676" s="124">
        <f>IF(ISNUMBER('Klisz-Verbräuche'!S166), 'Klisz-Verbräuche'!S166*Emissionsfaktoren!R166/1000, 0)</f>
        <v>0</v>
      </c>
      <c r="S676" s="124">
        <f>IF(ISNUMBER('Klisz-Verbräuche'!T166), 'Klisz-Verbräuche'!T166*Emissionsfaktoren!S166/1000, 0)</f>
        <v>0</v>
      </c>
      <c r="T676" s="124">
        <f>IF(ISNUMBER('Klisz-Verbräuche'!U166), 'Klisz-Verbräuche'!U166*Emissionsfaktoren!T166/1000, 0)</f>
        <v>0</v>
      </c>
      <c r="U676" s="124">
        <f>IF(ISNUMBER('Klisz-Verbräuche'!V166), 'Klisz-Verbräuche'!V166*Emissionsfaktoren!U166/1000, 0)</f>
        <v>0</v>
      </c>
      <c r="V676" s="124">
        <f>IF(ISNUMBER('Klisz-Verbräuche'!W166), 'Klisz-Verbräuche'!W166*Emissionsfaktoren!V166/1000, 0)</f>
        <v>0</v>
      </c>
      <c r="W676" s="124">
        <f>IF(ISNUMBER('Klisz-Verbräuche'!X166), 'Klisz-Verbräuche'!X166*Emissionsfaktoren!W166/1000, 0)</f>
        <v>0</v>
      </c>
      <c r="X676" s="124">
        <f>IF(ISNUMBER('Klisz-Verbräuche'!Y166), 'Klisz-Verbräuche'!Y166*Emissionsfaktoren!X166/1000, 0)</f>
        <v>0</v>
      </c>
    </row>
    <row r="677" spans="2:24" ht="16.5" hidden="1" x14ac:dyDescent="0.45">
      <c r="B677" s="15">
        <v>107</v>
      </c>
      <c r="C677" s="20" t="str">
        <f>'Refsz-Verbräuche'!C167</f>
        <v>Papierabfall</v>
      </c>
      <c r="D677" t="s">
        <v>208</v>
      </c>
      <c r="E677" s="124">
        <f>IF(ISNUMBER('Klisz-Verbräuche'!F167), 'Klisz-Verbräuche'!F167*Emissionsfaktoren!E167/1000, 0)</f>
        <v>0</v>
      </c>
      <c r="F677" s="124">
        <f>IF(ISNUMBER('Klisz-Verbräuche'!G167), 'Klisz-Verbräuche'!G167*Emissionsfaktoren!F167/1000, 0)</f>
        <v>0</v>
      </c>
      <c r="G677" s="124">
        <f>IF(ISNUMBER('Klisz-Verbräuche'!H167), 'Klisz-Verbräuche'!H167*Emissionsfaktoren!G167/1000, 0)</f>
        <v>0</v>
      </c>
      <c r="H677" s="124">
        <f>IF(ISNUMBER('Klisz-Verbräuche'!I167), 'Klisz-Verbräuche'!I167*Emissionsfaktoren!H167/1000, 0)</f>
        <v>0</v>
      </c>
      <c r="I677" s="124">
        <f>IF(ISNUMBER('Klisz-Verbräuche'!J167), 'Klisz-Verbräuche'!J167*Emissionsfaktoren!I167/1000, 0)</f>
        <v>0</v>
      </c>
      <c r="J677" s="124">
        <f>IF(ISNUMBER('Klisz-Verbräuche'!K167), 'Klisz-Verbräuche'!K167*Emissionsfaktoren!J167/1000, 0)</f>
        <v>0</v>
      </c>
      <c r="K677" s="124">
        <f>IF(ISNUMBER('Klisz-Verbräuche'!L167), 'Klisz-Verbräuche'!L167*Emissionsfaktoren!K167/1000, 0)</f>
        <v>0</v>
      </c>
      <c r="L677" s="124">
        <f>IF(ISNUMBER('Klisz-Verbräuche'!M167), 'Klisz-Verbräuche'!M167*Emissionsfaktoren!L167/1000, 0)</f>
        <v>0</v>
      </c>
      <c r="M677" s="124">
        <f>IF(ISNUMBER('Klisz-Verbräuche'!N167), 'Klisz-Verbräuche'!N167*Emissionsfaktoren!M167/1000, 0)</f>
        <v>0</v>
      </c>
      <c r="N677" s="124">
        <f>IF(ISNUMBER('Klisz-Verbräuche'!O167), 'Klisz-Verbräuche'!O167*Emissionsfaktoren!N167/1000, 0)</f>
        <v>0</v>
      </c>
      <c r="O677" s="124">
        <f>IF(ISNUMBER('Klisz-Verbräuche'!P167), 'Klisz-Verbräuche'!P167*Emissionsfaktoren!O167/1000, 0)</f>
        <v>0</v>
      </c>
      <c r="P677" s="124">
        <f>IF(ISNUMBER('Klisz-Verbräuche'!Q167), 'Klisz-Verbräuche'!Q167*Emissionsfaktoren!P167/1000, 0)</f>
        <v>0</v>
      </c>
      <c r="Q677" s="124">
        <f>IF(ISNUMBER('Klisz-Verbräuche'!R167), 'Klisz-Verbräuche'!R167*Emissionsfaktoren!Q167/1000, 0)</f>
        <v>0</v>
      </c>
      <c r="R677" s="124">
        <f>IF(ISNUMBER('Klisz-Verbräuche'!S167), 'Klisz-Verbräuche'!S167*Emissionsfaktoren!R167/1000, 0)</f>
        <v>0</v>
      </c>
      <c r="S677" s="124">
        <f>IF(ISNUMBER('Klisz-Verbräuche'!T167), 'Klisz-Verbräuche'!T167*Emissionsfaktoren!S167/1000, 0)</f>
        <v>0</v>
      </c>
      <c r="T677" s="124">
        <f>IF(ISNUMBER('Klisz-Verbräuche'!U167), 'Klisz-Verbräuche'!U167*Emissionsfaktoren!T167/1000, 0)</f>
        <v>0</v>
      </c>
      <c r="U677" s="124">
        <f>IF(ISNUMBER('Klisz-Verbräuche'!V167), 'Klisz-Verbräuche'!V167*Emissionsfaktoren!U167/1000, 0)</f>
        <v>0</v>
      </c>
      <c r="V677" s="124">
        <f>IF(ISNUMBER('Klisz-Verbräuche'!W167), 'Klisz-Verbräuche'!W167*Emissionsfaktoren!V167/1000, 0)</f>
        <v>0</v>
      </c>
      <c r="W677" s="124">
        <f>IF(ISNUMBER('Klisz-Verbräuche'!X167), 'Klisz-Verbräuche'!X167*Emissionsfaktoren!W167/1000, 0)</f>
        <v>0</v>
      </c>
      <c r="X677" s="124">
        <f>IF(ISNUMBER('Klisz-Verbräuche'!Y167), 'Klisz-Verbräuche'!Y167*Emissionsfaktoren!X167/1000, 0)</f>
        <v>0</v>
      </c>
    </row>
    <row r="678" spans="2:24" ht="16.5" hidden="1" x14ac:dyDescent="0.45">
      <c r="B678" s="15">
        <v>108</v>
      </c>
      <c r="C678" s="20" t="str">
        <f>'Refsz-Verbräuche'!C168</f>
        <v>Plastik- und Verpackungsabfall</v>
      </c>
      <c r="D678" t="s">
        <v>208</v>
      </c>
      <c r="E678" s="124">
        <f>IF(ISNUMBER('Klisz-Verbräuche'!F168), 'Klisz-Verbräuche'!F168*Emissionsfaktoren!E168/1000, 0)</f>
        <v>0</v>
      </c>
      <c r="F678" s="124">
        <f>IF(ISNUMBER('Klisz-Verbräuche'!G168), 'Klisz-Verbräuche'!G168*Emissionsfaktoren!F168/1000, 0)</f>
        <v>0</v>
      </c>
      <c r="G678" s="124">
        <f>IF(ISNUMBER('Klisz-Verbräuche'!H168), 'Klisz-Verbräuche'!H168*Emissionsfaktoren!G168/1000, 0)</f>
        <v>0</v>
      </c>
      <c r="H678" s="124">
        <f>IF(ISNUMBER('Klisz-Verbräuche'!I168), 'Klisz-Verbräuche'!I168*Emissionsfaktoren!H168/1000, 0)</f>
        <v>0</v>
      </c>
      <c r="I678" s="124">
        <f>IF(ISNUMBER('Klisz-Verbräuche'!J168), 'Klisz-Verbräuche'!J168*Emissionsfaktoren!I168/1000, 0)</f>
        <v>0</v>
      </c>
      <c r="J678" s="124">
        <f>IF(ISNUMBER('Klisz-Verbräuche'!K168), 'Klisz-Verbräuche'!K168*Emissionsfaktoren!J168/1000, 0)</f>
        <v>0</v>
      </c>
      <c r="K678" s="124">
        <f>IF(ISNUMBER('Klisz-Verbräuche'!L168), 'Klisz-Verbräuche'!L168*Emissionsfaktoren!K168/1000, 0)</f>
        <v>0</v>
      </c>
      <c r="L678" s="124">
        <f>IF(ISNUMBER('Klisz-Verbräuche'!M168), 'Klisz-Verbräuche'!M168*Emissionsfaktoren!L168/1000, 0)</f>
        <v>0</v>
      </c>
      <c r="M678" s="124">
        <f>IF(ISNUMBER('Klisz-Verbräuche'!N168), 'Klisz-Verbräuche'!N168*Emissionsfaktoren!M168/1000, 0)</f>
        <v>0</v>
      </c>
      <c r="N678" s="124">
        <f>IF(ISNUMBER('Klisz-Verbräuche'!O168), 'Klisz-Verbräuche'!O168*Emissionsfaktoren!N168/1000, 0)</f>
        <v>0</v>
      </c>
      <c r="O678" s="124">
        <f>IF(ISNUMBER('Klisz-Verbräuche'!P168), 'Klisz-Verbräuche'!P168*Emissionsfaktoren!O168/1000, 0)</f>
        <v>0</v>
      </c>
      <c r="P678" s="124">
        <f>IF(ISNUMBER('Klisz-Verbräuche'!Q168), 'Klisz-Verbräuche'!Q168*Emissionsfaktoren!P168/1000, 0)</f>
        <v>0</v>
      </c>
      <c r="Q678" s="124">
        <f>IF(ISNUMBER('Klisz-Verbräuche'!R168), 'Klisz-Verbräuche'!R168*Emissionsfaktoren!Q168/1000, 0)</f>
        <v>0</v>
      </c>
      <c r="R678" s="124">
        <f>IF(ISNUMBER('Klisz-Verbräuche'!S168), 'Klisz-Verbräuche'!S168*Emissionsfaktoren!R168/1000, 0)</f>
        <v>0</v>
      </c>
      <c r="S678" s="124">
        <f>IF(ISNUMBER('Klisz-Verbräuche'!T168), 'Klisz-Verbräuche'!T168*Emissionsfaktoren!S168/1000, 0)</f>
        <v>0</v>
      </c>
      <c r="T678" s="124">
        <f>IF(ISNUMBER('Klisz-Verbräuche'!U168), 'Klisz-Verbräuche'!U168*Emissionsfaktoren!T168/1000, 0)</f>
        <v>0</v>
      </c>
      <c r="U678" s="124">
        <f>IF(ISNUMBER('Klisz-Verbräuche'!V168), 'Klisz-Verbräuche'!V168*Emissionsfaktoren!U168/1000, 0)</f>
        <v>0</v>
      </c>
      <c r="V678" s="124">
        <f>IF(ISNUMBER('Klisz-Verbräuche'!W168), 'Klisz-Verbräuche'!W168*Emissionsfaktoren!V168/1000, 0)</f>
        <v>0</v>
      </c>
      <c r="W678" s="124">
        <f>IF(ISNUMBER('Klisz-Verbräuche'!X168), 'Klisz-Verbräuche'!X168*Emissionsfaktoren!W168/1000, 0)</f>
        <v>0</v>
      </c>
      <c r="X678" s="124">
        <f>IF(ISNUMBER('Klisz-Verbräuche'!Y168), 'Klisz-Verbräuche'!Y168*Emissionsfaktoren!X168/1000, 0)</f>
        <v>0</v>
      </c>
    </row>
    <row r="679" spans="2:24" ht="16.5" hidden="1" x14ac:dyDescent="0.45">
      <c r="B679" s="15">
        <v>109</v>
      </c>
      <c r="C679" s="20" t="str">
        <f>'Refsz-Verbräuche'!C169</f>
        <v>Restmüll</v>
      </c>
      <c r="D679" t="s">
        <v>208</v>
      </c>
      <c r="E679" s="124">
        <f>IF(ISNUMBER('Klisz-Verbräuche'!F169), 'Klisz-Verbräuche'!F169*Emissionsfaktoren!E169/1000, 0)</f>
        <v>0</v>
      </c>
      <c r="F679" s="124">
        <f>IF(ISNUMBER('Klisz-Verbräuche'!G169), 'Klisz-Verbräuche'!G169*Emissionsfaktoren!F169/1000, 0)</f>
        <v>0</v>
      </c>
      <c r="G679" s="124">
        <f>IF(ISNUMBER('Klisz-Verbräuche'!H169), 'Klisz-Verbräuche'!H169*Emissionsfaktoren!G169/1000, 0)</f>
        <v>0</v>
      </c>
      <c r="H679" s="124">
        <f>IF(ISNUMBER('Klisz-Verbräuche'!I169), 'Klisz-Verbräuche'!I169*Emissionsfaktoren!H169/1000, 0)</f>
        <v>0</v>
      </c>
      <c r="I679" s="124">
        <f>IF(ISNUMBER('Klisz-Verbräuche'!J169), 'Klisz-Verbräuche'!J169*Emissionsfaktoren!I169/1000, 0)</f>
        <v>0</v>
      </c>
      <c r="J679" s="124">
        <f>IF(ISNUMBER('Klisz-Verbräuche'!K169), 'Klisz-Verbräuche'!K169*Emissionsfaktoren!J169/1000, 0)</f>
        <v>0</v>
      </c>
      <c r="K679" s="124">
        <f>IF(ISNUMBER('Klisz-Verbräuche'!L169), 'Klisz-Verbräuche'!L169*Emissionsfaktoren!K169/1000, 0)</f>
        <v>0</v>
      </c>
      <c r="L679" s="124">
        <f>IF(ISNUMBER('Klisz-Verbräuche'!M169), 'Klisz-Verbräuche'!M169*Emissionsfaktoren!L169/1000, 0)</f>
        <v>0</v>
      </c>
      <c r="M679" s="124">
        <f>IF(ISNUMBER('Klisz-Verbräuche'!N169), 'Klisz-Verbräuche'!N169*Emissionsfaktoren!M169/1000, 0)</f>
        <v>0</v>
      </c>
      <c r="N679" s="124">
        <f>IF(ISNUMBER('Klisz-Verbräuche'!O169), 'Klisz-Verbräuche'!O169*Emissionsfaktoren!N169/1000, 0)</f>
        <v>0</v>
      </c>
      <c r="O679" s="124">
        <f>IF(ISNUMBER('Klisz-Verbräuche'!P169), 'Klisz-Verbräuche'!P169*Emissionsfaktoren!O169/1000, 0)</f>
        <v>0</v>
      </c>
      <c r="P679" s="124">
        <f>IF(ISNUMBER('Klisz-Verbräuche'!Q169), 'Klisz-Verbräuche'!Q169*Emissionsfaktoren!P169/1000, 0)</f>
        <v>0</v>
      </c>
      <c r="Q679" s="124">
        <f>IF(ISNUMBER('Klisz-Verbräuche'!R169), 'Klisz-Verbräuche'!R169*Emissionsfaktoren!Q169/1000, 0)</f>
        <v>0</v>
      </c>
      <c r="R679" s="124">
        <f>IF(ISNUMBER('Klisz-Verbräuche'!S169), 'Klisz-Verbräuche'!S169*Emissionsfaktoren!R169/1000, 0)</f>
        <v>0</v>
      </c>
      <c r="S679" s="124">
        <f>IF(ISNUMBER('Klisz-Verbräuche'!T169), 'Klisz-Verbräuche'!T169*Emissionsfaktoren!S169/1000, 0)</f>
        <v>0</v>
      </c>
      <c r="T679" s="124">
        <f>IF(ISNUMBER('Klisz-Verbräuche'!U169), 'Klisz-Verbräuche'!U169*Emissionsfaktoren!T169/1000, 0)</f>
        <v>0</v>
      </c>
      <c r="U679" s="124">
        <f>IF(ISNUMBER('Klisz-Verbräuche'!V169), 'Klisz-Verbräuche'!V169*Emissionsfaktoren!U169/1000, 0)</f>
        <v>0</v>
      </c>
      <c r="V679" s="124">
        <f>IF(ISNUMBER('Klisz-Verbräuche'!W169), 'Klisz-Verbräuche'!W169*Emissionsfaktoren!V169/1000, 0)</f>
        <v>0</v>
      </c>
      <c r="W679" s="124">
        <f>IF(ISNUMBER('Klisz-Verbräuche'!X169), 'Klisz-Verbräuche'!X169*Emissionsfaktoren!W169/1000, 0)</f>
        <v>0</v>
      </c>
      <c r="X679" s="124">
        <f>IF(ISNUMBER('Klisz-Verbräuche'!Y169), 'Klisz-Verbräuche'!Y169*Emissionsfaktoren!X169/1000, 0)</f>
        <v>0</v>
      </c>
    </row>
    <row r="680" spans="2:24" ht="16.5" hidden="1" x14ac:dyDescent="0.45">
      <c r="B680" s="15">
        <v>110</v>
      </c>
      <c r="C680" s="20" t="str">
        <f>'Refsz-Verbräuche'!C170</f>
        <v>Sperrmüll</v>
      </c>
      <c r="D680" t="s">
        <v>208</v>
      </c>
      <c r="E680" s="124">
        <f>IF(ISNUMBER('Klisz-Verbräuche'!F170), 'Klisz-Verbräuche'!F170*Emissionsfaktoren!E170/1000, 0)</f>
        <v>0</v>
      </c>
      <c r="F680" s="124">
        <f>IF(ISNUMBER('Klisz-Verbräuche'!G170), 'Klisz-Verbräuche'!G170*Emissionsfaktoren!F170/1000, 0)</f>
        <v>0</v>
      </c>
      <c r="G680" s="124">
        <f>IF(ISNUMBER('Klisz-Verbräuche'!H170), 'Klisz-Verbräuche'!H170*Emissionsfaktoren!G170/1000, 0)</f>
        <v>0</v>
      </c>
      <c r="H680" s="124">
        <f>IF(ISNUMBER('Klisz-Verbräuche'!I170), 'Klisz-Verbräuche'!I170*Emissionsfaktoren!H170/1000, 0)</f>
        <v>0</v>
      </c>
      <c r="I680" s="124">
        <f>IF(ISNUMBER('Klisz-Verbräuche'!J170), 'Klisz-Verbräuche'!J170*Emissionsfaktoren!I170/1000, 0)</f>
        <v>0</v>
      </c>
      <c r="J680" s="124">
        <f>IF(ISNUMBER('Klisz-Verbräuche'!K170), 'Klisz-Verbräuche'!K170*Emissionsfaktoren!J170/1000, 0)</f>
        <v>0</v>
      </c>
      <c r="K680" s="124">
        <f>IF(ISNUMBER('Klisz-Verbräuche'!L170), 'Klisz-Verbräuche'!L170*Emissionsfaktoren!K170/1000, 0)</f>
        <v>0</v>
      </c>
      <c r="L680" s="124">
        <f>IF(ISNUMBER('Klisz-Verbräuche'!M170), 'Klisz-Verbräuche'!M170*Emissionsfaktoren!L170/1000, 0)</f>
        <v>0</v>
      </c>
      <c r="M680" s="124">
        <f>IF(ISNUMBER('Klisz-Verbräuche'!N170), 'Klisz-Verbräuche'!N170*Emissionsfaktoren!M170/1000, 0)</f>
        <v>0</v>
      </c>
      <c r="N680" s="124">
        <f>IF(ISNUMBER('Klisz-Verbräuche'!O170), 'Klisz-Verbräuche'!O170*Emissionsfaktoren!N170/1000, 0)</f>
        <v>0</v>
      </c>
      <c r="O680" s="124">
        <f>IF(ISNUMBER('Klisz-Verbräuche'!P170), 'Klisz-Verbräuche'!P170*Emissionsfaktoren!O170/1000, 0)</f>
        <v>0</v>
      </c>
      <c r="P680" s="124">
        <f>IF(ISNUMBER('Klisz-Verbräuche'!Q170), 'Klisz-Verbräuche'!Q170*Emissionsfaktoren!P170/1000, 0)</f>
        <v>0</v>
      </c>
      <c r="Q680" s="124">
        <f>IF(ISNUMBER('Klisz-Verbräuche'!R170), 'Klisz-Verbräuche'!R170*Emissionsfaktoren!Q170/1000, 0)</f>
        <v>0</v>
      </c>
      <c r="R680" s="124">
        <f>IF(ISNUMBER('Klisz-Verbräuche'!S170), 'Klisz-Verbräuche'!S170*Emissionsfaktoren!R170/1000, 0)</f>
        <v>0</v>
      </c>
      <c r="S680" s="124">
        <f>IF(ISNUMBER('Klisz-Verbräuche'!T170), 'Klisz-Verbräuche'!T170*Emissionsfaktoren!S170/1000, 0)</f>
        <v>0</v>
      </c>
      <c r="T680" s="124">
        <f>IF(ISNUMBER('Klisz-Verbräuche'!U170), 'Klisz-Verbräuche'!U170*Emissionsfaktoren!T170/1000, 0)</f>
        <v>0</v>
      </c>
      <c r="U680" s="124">
        <f>IF(ISNUMBER('Klisz-Verbräuche'!V170), 'Klisz-Verbräuche'!V170*Emissionsfaktoren!U170/1000, 0)</f>
        <v>0</v>
      </c>
      <c r="V680" s="124">
        <f>IF(ISNUMBER('Klisz-Verbräuche'!W170), 'Klisz-Verbräuche'!W170*Emissionsfaktoren!V170/1000, 0)</f>
        <v>0</v>
      </c>
      <c r="W680" s="124">
        <f>IF(ISNUMBER('Klisz-Verbräuche'!X170), 'Klisz-Verbräuche'!X170*Emissionsfaktoren!W170/1000, 0)</f>
        <v>0</v>
      </c>
      <c r="X680" s="124">
        <f>IF(ISNUMBER('Klisz-Verbräuche'!Y170), 'Klisz-Verbräuche'!Y170*Emissionsfaktoren!X170/1000, 0)</f>
        <v>0</v>
      </c>
    </row>
    <row r="681" spans="2:24" ht="16.5" hidden="1" x14ac:dyDescent="0.45">
      <c r="B681" s="15">
        <v>111</v>
      </c>
      <c r="C681" s="20" t="str">
        <f>'Refsz-Verbräuche'!C171</f>
        <v>Altholz</v>
      </c>
      <c r="D681" t="s">
        <v>208</v>
      </c>
      <c r="E681" s="124">
        <f>IF(ISNUMBER('Klisz-Verbräuche'!F171), 'Klisz-Verbräuche'!F171*Emissionsfaktoren!E171/1000, 0)</f>
        <v>0</v>
      </c>
      <c r="F681" s="124">
        <f>IF(ISNUMBER('Klisz-Verbräuche'!G171), 'Klisz-Verbräuche'!G171*Emissionsfaktoren!F171/1000, 0)</f>
        <v>0</v>
      </c>
      <c r="G681" s="124">
        <f>IF(ISNUMBER('Klisz-Verbräuche'!H171), 'Klisz-Verbräuche'!H171*Emissionsfaktoren!G171/1000, 0)</f>
        <v>0</v>
      </c>
      <c r="H681" s="124">
        <f>IF(ISNUMBER('Klisz-Verbräuche'!I171), 'Klisz-Verbräuche'!I171*Emissionsfaktoren!H171/1000, 0)</f>
        <v>0</v>
      </c>
      <c r="I681" s="124">
        <f>IF(ISNUMBER('Klisz-Verbräuche'!J171), 'Klisz-Verbräuche'!J171*Emissionsfaktoren!I171/1000, 0)</f>
        <v>0</v>
      </c>
      <c r="J681" s="124">
        <f>IF(ISNUMBER('Klisz-Verbräuche'!K171), 'Klisz-Verbräuche'!K171*Emissionsfaktoren!J171/1000, 0)</f>
        <v>0</v>
      </c>
      <c r="K681" s="124">
        <f>IF(ISNUMBER('Klisz-Verbräuche'!L171), 'Klisz-Verbräuche'!L171*Emissionsfaktoren!K171/1000, 0)</f>
        <v>0</v>
      </c>
      <c r="L681" s="124">
        <f>IF(ISNUMBER('Klisz-Verbräuche'!M171), 'Klisz-Verbräuche'!M171*Emissionsfaktoren!L171/1000, 0)</f>
        <v>0</v>
      </c>
      <c r="M681" s="124">
        <f>IF(ISNUMBER('Klisz-Verbräuche'!N171), 'Klisz-Verbräuche'!N171*Emissionsfaktoren!M171/1000, 0)</f>
        <v>0</v>
      </c>
      <c r="N681" s="124">
        <f>IF(ISNUMBER('Klisz-Verbräuche'!O171), 'Klisz-Verbräuche'!O171*Emissionsfaktoren!N171/1000, 0)</f>
        <v>0</v>
      </c>
      <c r="O681" s="124">
        <f>IF(ISNUMBER('Klisz-Verbräuche'!P171), 'Klisz-Verbräuche'!P171*Emissionsfaktoren!O171/1000, 0)</f>
        <v>0</v>
      </c>
      <c r="P681" s="124">
        <f>IF(ISNUMBER('Klisz-Verbräuche'!Q171), 'Klisz-Verbräuche'!Q171*Emissionsfaktoren!P171/1000, 0)</f>
        <v>0</v>
      </c>
      <c r="Q681" s="124">
        <f>IF(ISNUMBER('Klisz-Verbräuche'!R171), 'Klisz-Verbräuche'!R171*Emissionsfaktoren!Q171/1000, 0)</f>
        <v>0</v>
      </c>
      <c r="R681" s="124">
        <f>IF(ISNUMBER('Klisz-Verbräuche'!S171), 'Klisz-Verbräuche'!S171*Emissionsfaktoren!R171/1000, 0)</f>
        <v>0</v>
      </c>
      <c r="S681" s="124">
        <f>IF(ISNUMBER('Klisz-Verbräuche'!T171), 'Klisz-Verbräuche'!T171*Emissionsfaktoren!S171/1000, 0)</f>
        <v>0</v>
      </c>
      <c r="T681" s="124">
        <f>IF(ISNUMBER('Klisz-Verbräuche'!U171), 'Klisz-Verbräuche'!U171*Emissionsfaktoren!T171/1000, 0)</f>
        <v>0</v>
      </c>
      <c r="U681" s="124">
        <f>IF(ISNUMBER('Klisz-Verbräuche'!V171), 'Klisz-Verbräuche'!V171*Emissionsfaktoren!U171/1000, 0)</f>
        <v>0</v>
      </c>
      <c r="V681" s="124">
        <f>IF(ISNUMBER('Klisz-Verbräuche'!W171), 'Klisz-Verbräuche'!W171*Emissionsfaktoren!V171/1000, 0)</f>
        <v>0</v>
      </c>
      <c r="W681" s="124">
        <f>IF(ISNUMBER('Klisz-Verbräuche'!X171), 'Klisz-Verbräuche'!X171*Emissionsfaktoren!W171/1000, 0)</f>
        <v>0</v>
      </c>
      <c r="X681" s="124">
        <f>IF(ISNUMBER('Klisz-Verbräuche'!Y171), 'Klisz-Verbräuche'!Y171*Emissionsfaktoren!X171/1000, 0)</f>
        <v>0</v>
      </c>
    </row>
    <row r="682" spans="2:24" ht="16.5" hidden="1" x14ac:dyDescent="0.45">
      <c r="B682" s="15">
        <v>112</v>
      </c>
      <c r="C682" s="20" t="str">
        <f>'Refsz-Verbräuche'!C172</f>
        <v>Altglas</v>
      </c>
      <c r="D682" t="s">
        <v>208</v>
      </c>
      <c r="E682" s="124">
        <f>IF(ISNUMBER('Klisz-Verbräuche'!F172), 'Klisz-Verbräuche'!F172*Emissionsfaktoren!E172/1000, 0)</f>
        <v>0</v>
      </c>
      <c r="F682" s="124">
        <f>IF(ISNUMBER('Klisz-Verbräuche'!G172), 'Klisz-Verbräuche'!G172*Emissionsfaktoren!F172/1000, 0)</f>
        <v>0</v>
      </c>
      <c r="G682" s="124">
        <f>IF(ISNUMBER('Klisz-Verbräuche'!H172), 'Klisz-Verbräuche'!H172*Emissionsfaktoren!G172/1000, 0)</f>
        <v>0</v>
      </c>
      <c r="H682" s="124">
        <f>IF(ISNUMBER('Klisz-Verbräuche'!I172), 'Klisz-Verbräuche'!I172*Emissionsfaktoren!H172/1000, 0)</f>
        <v>0</v>
      </c>
      <c r="I682" s="124">
        <f>IF(ISNUMBER('Klisz-Verbräuche'!J172), 'Klisz-Verbräuche'!J172*Emissionsfaktoren!I172/1000, 0)</f>
        <v>0</v>
      </c>
      <c r="J682" s="124">
        <f>IF(ISNUMBER('Klisz-Verbräuche'!K172), 'Klisz-Verbräuche'!K172*Emissionsfaktoren!J172/1000, 0)</f>
        <v>0</v>
      </c>
      <c r="K682" s="124">
        <f>IF(ISNUMBER('Klisz-Verbräuche'!L172), 'Klisz-Verbräuche'!L172*Emissionsfaktoren!K172/1000, 0)</f>
        <v>0</v>
      </c>
      <c r="L682" s="124">
        <f>IF(ISNUMBER('Klisz-Verbräuche'!M172), 'Klisz-Verbräuche'!M172*Emissionsfaktoren!L172/1000, 0)</f>
        <v>0</v>
      </c>
      <c r="M682" s="124">
        <f>IF(ISNUMBER('Klisz-Verbräuche'!N172), 'Klisz-Verbräuche'!N172*Emissionsfaktoren!M172/1000, 0)</f>
        <v>0</v>
      </c>
      <c r="N682" s="124">
        <f>IF(ISNUMBER('Klisz-Verbräuche'!O172), 'Klisz-Verbräuche'!O172*Emissionsfaktoren!N172/1000, 0)</f>
        <v>0</v>
      </c>
      <c r="O682" s="124">
        <f>IF(ISNUMBER('Klisz-Verbräuche'!P172), 'Klisz-Verbräuche'!P172*Emissionsfaktoren!O172/1000, 0)</f>
        <v>0</v>
      </c>
      <c r="P682" s="124">
        <f>IF(ISNUMBER('Klisz-Verbräuche'!Q172), 'Klisz-Verbräuche'!Q172*Emissionsfaktoren!P172/1000, 0)</f>
        <v>0</v>
      </c>
      <c r="Q682" s="124">
        <f>IF(ISNUMBER('Klisz-Verbräuche'!R172), 'Klisz-Verbräuche'!R172*Emissionsfaktoren!Q172/1000, 0)</f>
        <v>0</v>
      </c>
      <c r="R682" s="124">
        <f>IF(ISNUMBER('Klisz-Verbräuche'!S172), 'Klisz-Verbräuche'!S172*Emissionsfaktoren!R172/1000, 0)</f>
        <v>0</v>
      </c>
      <c r="S682" s="124">
        <f>IF(ISNUMBER('Klisz-Verbräuche'!T172), 'Klisz-Verbräuche'!T172*Emissionsfaktoren!S172/1000, 0)</f>
        <v>0</v>
      </c>
      <c r="T682" s="124">
        <f>IF(ISNUMBER('Klisz-Verbräuche'!U172), 'Klisz-Verbräuche'!U172*Emissionsfaktoren!T172/1000, 0)</f>
        <v>0</v>
      </c>
      <c r="U682" s="124">
        <f>IF(ISNUMBER('Klisz-Verbräuche'!V172), 'Klisz-Verbräuche'!V172*Emissionsfaktoren!U172/1000, 0)</f>
        <v>0</v>
      </c>
      <c r="V682" s="124">
        <f>IF(ISNUMBER('Klisz-Verbräuche'!W172), 'Klisz-Verbräuche'!W172*Emissionsfaktoren!V172/1000, 0)</f>
        <v>0</v>
      </c>
      <c r="W682" s="124">
        <f>IF(ISNUMBER('Klisz-Verbräuche'!X172), 'Klisz-Verbräuche'!X172*Emissionsfaktoren!W172/1000, 0)</f>
        <v>0</v>
      </c>
      <c r="X682" s="124">
        <f>IF(ISNUMBER('Klisz-Verbräuche'!Y172), 'Klisz-Verbräuche'!Y172*Emissionsfaktoren!X172/1000, 0)</f>
        <v>0</v>
      </c>
    </row>
    <row r="683" spans="2:24" ht="16.5" hidden="1" x14ac:dyDescent="0.45">
      <c r="B683" s="15">
        <v>113</v>
      </c>
      <c r="C683" s="20" t="str">
        <f>'Refsz-Verbräuche'!C173</f>
        <v>E-Großgeräte (Abfall)</v>
      </c>
      <c r="D683" t="s">
        <v>208</v>
      </c>
      <c r="E683" s="124">
        <f>IF(ISNUMBER('Klisz-Verbräuche'!F173), 'Klisz-Verbräuche'!F173*Emissionsfaktoren!E173/1000, 0)</f>
        <v>0</v>
      </c>
      <c r="F683" s="124">
        <f>IF(ISNUMBER('Klisz-Verbräuche'!G173), 'Klisz-Verbräuche'!G173*Emissionsfaktoren!F173/1000, 0)</f>
        <v>0</v>
      </c>
      <c r="G683" s="124">
        <f>IF(ISNUMBER('Klisz-Verbräuche'!H173), 'Klisz-Verbräuche'!H173*Emissionsfaktoren!G173/1000, 0)</f>
        <v>0</v>
      </c>
      <c r="H683" s="124">
        <f>IF(ISNUMBER('Klisz-Verbräuche'!I173), 'Klisz-Verbräuche'!I173*Emissionsfaktoren!H173/1000, 0)</f>
        <v>0</v>
      </c>
      <c r="I683" s="124">
        <f>IF(ISNUMBER('Klisz-Verbräuche'!J173), 'Klisz-Verbräuche'!J173*Emissionsfaktoren!I173/1000, 0)</f>
        <v>0</v>
      </c>
      <c r="J683" s="124">
        <f>IF(ISNUMBER('Klisz-Verbräuche'!K173), 'Klisz-Verbräuche'!K173*Emissionsfaktoren!J173/1000, 0)</f>
        <v>0</v>
      </c>
      <c r="K683" s="124">
        <f>IF(ISNUMBER('Klisz-Verbräuche'!L173), 'Klisz-Verbräuche'!L173*Emissionsfaktoren!K173/1000, 0)</f>
        <v>0</v>
      </c>
      <c r="L683" s="124">
        <f>IF(ISNUMBER('Klisz-Verbräuche'!M173), 'Klisz-Verbräuche'!M173*Emissionsfaktoren!L173/1000, 0)</f>
        <v>0</v>
      </c>
      <c r="M683" s="124">
        <f>IF(ISNUMBER('Klisz-Verbräuche'!N173), 'Klisz-Verbräuche'!N173*Emissionsfaktoren!M173/1000, 0)</f>
        <v>0</v>
      </c>
      <c r="N683" s="124">
        <f>IF(ISNUMBER('Klisz-Verbräuche'!O173), 'Klisz-Verbräuche'!O173*Emissionsfaktoren!N173/1000, 0)</f>
        <v>0</v>
      </c>
      <c r="O683" s="124">
        <f>IF(ISNUMBER('Klisz-Verbräuche'!P173), 'Klisz-Verbräuche'!P173*Emissionsfaktoren!O173/1000, 0)</f>
        <v>0</v>
      </c>
      <c r="P683" s="124">
        <f>IF(ISNUMBER('Klisz-Verbräuche'!Q173), 'Klisz-Verbräuche'!Q173*Emissionsfaktoren!P173/1000, 0)</f>
        <v>0</v>
      </c>
      <c r="Q683" s="124">
        <f>IF(ISNUMBER('Klisz-Verbräuche'!R173), 'Klisz-Verbräuche'!R173*Emissionsfaktoren!Q173/1000, 0)</f>
        <v>0</v>
      </c>
      <c r="R683" s="124">
        <f>IF(ISNUMBER('Klisz-Verbräuche'!S173), 'Klisz-Verbräuche'!S173*Emissionsfaktoren!R173/1000, 0)</f>
        <v>0</v>
      </c>
      <c r="S683" s="124">
        <f>IF(ISNUMBER('Klisz-Verbräuche'!T173), 'Klisz-Verbräuche'!T173*Emissionsfaktoren!S173/1000, 0)</f>
        <v>0</v>
      </c>
      <c r="T683" s="124">
        <f>IF(ISNUMBER('Klisz-Verbräuche'!U173), 'Klisz-Verbräuche'!U173*Emissionsfaktoren!T173/1000, 0)</f>
        <v>0</v>
      </c>
      <c r="U683" s="124">
        <f>IF(ISNUMBER('Klisz-Verbräuche'!V173), 'Klisz-Verbräuche'!V173*Emissionsfaktoren!U173/1000, 0)</f>
        <v>0</v>
      </c>
      <c r="V683" s="124">
        <f>IF(ISNUMBER('Klisz-Verbräuche'!W173), 'Klisz-Verbräuche'!W173*Emissionsfaktoren!V173/1000, 0)</f>
        <v>0</v>
      </c>
      <c r="W683" s="124">
        <f>IF(ISNUMBER('Klisz-Verbräuche'!X173), 'Klisz-Verbräuche'!X173*Emissionsfaktoren!W173/1000, 0)</f>
        <v>0</v>
      </c>
      <c r="X683" s="124">
        <f>IF(ISNUMBER('Klisz-Verbräuche'!Y173), 'Klisz-Verbräuche'!Y173*Emissionsfaktoren!X173/1000, 0)</f>
        <v>0</v>
      </c>
    </row>
    <row r="684" spans="2:24" ht="16.5" hidden="1" x14ac:dyDescent="0.45">
      <c r="B684" s="15">
        <v>114</v>
      </c>
      <c r="C684" s="20" t="str">
        <f>'Refsz-Verbräuche'!C174</f>
        <v>Metalle (Abfall)</v>
      </c>
      <c r="D684" t="s">
        <v>208</v>
      </c>
      <c r="E684" s="124">
        <f>IF(ISNUMBER('Klisz-Verbräuche'!F174), 'Klisz-Verbräuche'!F174*Emissionsfaktoren!E174/1000, 0)</f>
        <v>0</v>
      </c>
      <c r="F684" s="124">
        <f>IF(ISNUMBER('Klisz-Verbräuche'!G174), 'Klisz-Verbräuche'!G174*Emissionsfaktoren!F174/1000, 0)</f>
        <v>0</v>
      </c>
      <c r="G684" s="124">
        <f>IF(ISNUMBER('Klisz-Verbräuche'!H174), 'Klisz-Verbräuche'!H174*Emissionsfaktoren!G174/1000, 0)</f>
        <v>0</v>
      </c>
      <c r="H684" s="124">
        <f>IF(ISNUMBER('Klisz-Verbräuche'!I174), 'Klisz-Verbräuche'!I174*Emissionsfaktoren!H174/1000, 0)</f>
        <v>0</v>
      </c>
      <c r="I684" s="124">
        <f>IF(ISNUMBER('Klisz-Verbräuche'!J174), 'Klisz-Verbräuche'!J174*Emissionsfaktoren!I174/1000, 0)</f>
        <v>0</v>
      </c>
      <c r="J684" s="124">
        <f>IF(ISNUMBER('Klisz-Verbräuche'!K174), 'Klisz-Verbräuche'!K174*Emissionsfaktoren!J174/1000, 0)</f>
        <v>0</v>
      </c>
      <c r="K684" s="124">
        <f>IF(ISNUMBER('Klisz-Verbräuche'!L174), 'Klisz-Verbräuche'!L174*Emissionsfaktoren!K174/1000, 0)</f>
        <v>0</v>
      </c>
      <c r="L684" s="124">
        <f>IF(ISNUMBER('Klisz-Verbräuche'!M174), 'Klisz-Verbräuche'!M174*Emissionsfaktoren!L174/1000, 0)</f>
        <v>0</v>
      </c>
      <c r="M684" s="124">
        <f>IF(ISNUMBER('Klisz-Verbräuche'!N174), 'Klisz-Verbräuche'!N174*Emissionsfaktoren!M174/1000, 0)</f>
        <v>0</v>
      </c>
      <c r="N684" s="124">
        <f>IF(ISNUMBER('Klisz-Verbräuche'!O174), 'Klisz-Verbräuche'!O174*Emissionsfaktoren!N174/1000, 0)</f>
        <v>0</v>
      </c>
      <c r="O684" s="124">
        <f>IF(ISNUMBER('Klisz-Verbräuche'!P174), 'Klisz-Verbräuche'!P174*Emissionsfaktoren!O174/1000, 0)</f>
        <v>0</v>
      </c>
      <c r="P684" s="124">
        <f>IF(ISNUMBER('Klisz-Verbräuche'!Q174), 'Klisz-Verbräuche'!Q174*Emissionsfaktoren!P174/1000, 0)</f>
        <v>0</v>
      </c>
      <c r="Q684" s="124">
        <f>IF(ISNUMBER('Klisz-Verbräuche'!R174), 'Klisz-Verbräuche'!R174*Emissionsfaktoren!Q174/1000, 0)</f>
        <v>0</v>
      </c>
      <c r="R684" s="124">
        <f>IF(ISNUMBER('Klisz-Verbräuche'!S174), 'Klisz-Verbräuche'!S174*Emissionsfaktoren!R174/1000, 0)</f>
        <v>0</v>
      </c>
      <c r="S684" s="124">
        <f>IF(ISNUMBER('Klisz-Verbräuche'!T174), 'Klisz-Verbräuche'!T174*Emissionsfaktoren!S174/1000, 0)</f>
        <v>0</v>
      </c>
      <c r="T684" s="124">
        <f>IF(ISNUMBER('Klisz-Verbräuche'!U174), 'Klisz-Verbräuche'!U174*Emissionsfaktoren!T174/1000, 0)</f>
        <v>0</v>
      </c>
      <c r="U684" s="124">
        <f>IF(ISNUMBER('Klisz-Verbräuche'!V174), 'Klisz-Verbräuche'!V174*Emissionsfaktoren!U174/1000, 0)</f>
        <v>0</v>
      </c>
      <c r="V684" s="124">
        <f>IF(ISNUMBER('Klisz-Verbräuche'!W174), 'Klisz-Verbräuche'!W174*Emissionsfaktoren!V174/1000, 0)</f>
        <v>0</v>
      </c>
      <c r="W684" s="124">
        <f>IF(ISNUMBER('Klisz-Verbräuche'!X174), 'Klisz-Verbräuche'!X174*Emissionsfaktoren!W174/1000, 0)</f>
        <v>0</v>
      </c>
      <c r="X684" s="124">
        <f>IF(ISNUMBER('Klisz-Verbräuche'!Y174), 'Klisz-Verbräuche'!Y174*Emissionsfaktoren!X174/1000, 0)</f>
        <v>0</v>
      </c>
    </row>
    <row r="685" spans="2:24" ht="16.5" hidden="1" x14ac:dyDescent="0.45">
      <c r="B685" s="15">
        <v>115</v>
      </c>
      <c r="C685" s="20" t="str">
        <f>'Refsz-Verbräuche'!C175</f>
        <v>Bauschutt</v>
      </c>
      <c r="D685" t="s">
        <v>208</v>
      </c>
      <c r="E685" s="124">
        <f>IF(ISNUMBER('Klisz-Verbräuche'!F175), 'Klisz-Verbräuche'!F175*Emissionsfaktoren!E175/1000, 0)</f>
        <v>0</v>
      </c>
      <c r="F685" s="124">
        <f>IF(ISNUMBER('Klisz-Verbräuche'!G175), 'Klisz-Verbräuche'!G175*Emissionsfaktoren!F175/1000, 0)</f>
        <v>0</v>
      </c>
      <c r="G685" s="124">
        <f>IF(ISNUMBER('Klisz-Verbräuche'!H175), 'Klisz-Verbräuche'!H175*Emissionsfaktoren!G175/1000, 0)</f>
        <v>0</v>
      </c>
      <c r="H685" s="124">
        <f>IF(ISNUMBER('Klisz-Verbräuche'!I175), 'Klisz-Verbräuche'!I175*Emissionsfaktoren!H175/1000, 0)</f>
        <v>0</v>
      </c>
      <c r="I685" s="124">
        <f>IF(ISNUMBER('Klisz-Verbräuche'!J175), 'Klisz-Verbräuche'!J175*Emissionsfaktoren!I175/1000, 0)</f>
        <v>0</v>
      </c>
      <c r="J685" s="124">
        <f>IF(ISNUMBER('Klisz-Verbräuche'!K175), 'Klisz-Verbräuche'!K175*Emissionsfaktoren!J175/1000, 0)</f>
        <v>0</v>
      </c>
      <c r="K685" s="124">
        <f>IF(ISNUMBER('Klisz-Verbräuche'!L175), 'Klisz-Verbräuche'!L175*Emissionsfaktoren!K175/1000, 0)</f>
        <v>0</v>
      </c>
      <c r="L685" s="124">
        <f>IF(ISNUMBER('Klisz-Verbräuche'!M175), 'Klisz-Verbräuche'!M175*Emissionsfaktoren!L175/1000, 0)</f>
        <v>0</v>
      </c>
      <c r="M685" s="124">
        <f>IF(ISNUMBER('Klisz-Verbräuche'!N175), 'Klisz-Verbräuche'!N175*Emissionsfaktoren!M175/1000, 0)</f>
        <v>0</v>
      </c>
      <c r="N685" s="124">
        <f>IF(ISNUMBER('Klisz-Verbräuche'!O175), 'Klisz-Verbräuche'!O175*Emissionsfaktoren!N175/1000, 0)</f>
        <v>0</v>
      </c>
      <c r="O685" s="124">
        <f>IF(ISNUMBER('Klisz-Verbräuche'!P175), 'Klisz-Verbräuche'!P175*Emissionsfaktoren!O175/1000, 0)</f>
        <v>0</v>
      </c>
      <c r="P685" s="124">
        <f>IF(ISNUMBER('Klisz-Verbräuche'!Q175), 'Klisz-Verbräuche'!Q175*Emissionsfaktoren!P175/1000, 0)</f>
        <v>0</v>
      </c>
      <c r="Q685" s="124">
        <f>IF(ISNUMBER('Klisz-Verbräuche'!R175), 'Klisz-Verbräuche'!R175*Emissionsfaktoren!Q175/1000, 0)</f>
        <v>0</v>
      </c>
      <c r="R685" s="124">
        <f>IF(ISNUMBER('Klisz-Verbräuche'!S175), 'Klisz-Verbräuche'!S175*Emissionsfaktoren!R175/1000, 0)</f>
        <v>0</v>
      </c>
      <c r="S685" s="124">
        <f>IF(ISNUMBER('Klisz-Verbräuche'!T175), 'Klisz-Verbräuche'!T175*Emissionsfaktoren!S175/1000, 0)</f>
        <v>0</v>
      </c>
      <c r="T685" s="124">
        <f>IF(ISNUMBER('Klisz-Verbräuche'!U175), 'Klisz-Verbräuche'!U175*Emissionsfaktoren!T175/1000, 0)</f>
        <v>0</v>
      </c>
      <c r="U685" s="124">
        <f>IF(ISNUMBER('Klisz-Verbräuche'!V175), 'Klisz-Verbräuche'!V175*Emissionsfaktoren!U175/1000, 0)</f>
        <v>0</v>
      </c>
      <c r="V685" s="124">
        <f>IF(ISNUMBER('Klisz-Verbräuche'!W175), 'Klisz-Verbräuche'!W175*Emissionsfaktoren!V175/1000, 0)</f>
        <v>0</v>
      </c>
      <c r="W685" s="124">
        <f>IF(ISNUMBER('Klisz-Verbräuche'!X175), 'Klisz-Verbräuche'!X175*Emissionsfaktoren!W175/1000, 0)</f>
        <v>0</v>
      </c>
      <c r="X685" s="124">
        <f>IF(ISNUMBER('Klisz-Verbräuche'!Y175), 'Klisz-Verbräuche'!Y175*Emissionsfaktoren!X175/1000, 0)</f>
        <v>0</v>
      </c>
    </row>
    <row r="686" spans="2:24" ht="16.5" hidden="1" x14ac:dyDescent="0.45">
      <c r="B686" s="15">
        <v>116</v>
      </c>
      <c r="C686" s="20">
        <f>'Refsz-Verbräuche'!C176</f>
        <v>0</v>
      </c>
      <c r="D686" t="s">
        <v>208</v>
      </c>
      <c r="E686" s="124">
        <f>IF(ISNUMBER('Klisz-Verbräuche'!F176), 'Klisz-Verbräuche'!F176*Emissionsfaktoren!E176/1000, 0)</f>
        <v>0</v>
      </c>
      <c r="F686" s="124">
        <f>IF(ISNUMBER('Klisz-Verbräuche'!G176), 'Klisz-Verbräuche'!G176*Emissionsfaktoren!F176/1000, 0)</f>
        <v>0</v>
      </c>
      <c r="G686" s="124">
        <f>IF(ISNUMBER('Klisz-Verbräuche'!H176), 'Klisz-Verbräuche'!H176*Emissionsfaktoren!G176/1000, 0)</f>
        <v>0</v>
      </c>
      <c r="H686" s="124">
        <f>IF(ISNUMBER('Klisz-Verbräuche'!I176), 'Klisz-Verbräuche'!I176*Emissionsfaktoren!H176/1000, 0)</f>
        <v>0</v>
      </c>
      <c r="I686" s="124">
        <f>IF(ISNUMBER('Klisz-Verbräuche'!J176), 'Klisz-Verbräuche'!J176*Emissionsfaktoren!I176/1000, 0)</f>
        <v>0</v>
      </c>
      <c r="J686" s="124">
        <f>IF(ISNUMBER('Klisz-Verbräuche'!K176), 'Klisz-Verbräuche'!K176*Emissionsfaktoren!J176/1000, 0)</f>
        <v>0</v>
      </c>
      <c r="K686" s="124">
        <f>IF(ISNUMBER('Klisz-Verbräuche'!L176), 'Klisz-Verbräuche'!L176*Emissionsfaktoren!K176/1000, 0)</f>
        <v>0</v>
      </c>
      <c r="L686" s="124">
        <f>IF(ISNUMBER('Klisz-Verbräuche'!M176), 'Klisz-Verbräuche'!M176*Emissionsfaktoren!L176/1000, 0)</f>
        <v>0</v>
      </c>
      <c r="M686" s="124">
        <f>IF(ISNUMBER('Klisz-Verbräuche'!N176), 'Klisz-Verbräuche'!N176*Emissionsfaktoren!M176/1000, 0)</f>
        <v>0</v>
      </c>
      <c r="N686" s="124">
        <f>IF(ISNUMBER('Klisz-Verbräuche'!O176), 'Klisz-Verbräuche'!O176*Emissionsfaktoren!N176/1000, 0)</f>
        <v>0</v>
      </c>
      <c r="O686" s="124">
        <f>IF(ISNUMBER('Klisz-Verbräuche'!P176), 'Klisz-Verbräuche'!P176*Emissionsfaktoren!O176/1000, 0)</f>
        <v>0</v>
      </c>
      <c r="P686" s="124">
        <f>IF(ISNUMBER('Klisz-Verbräuche'!Q176), 'Klisz-Verbräuche'!Q176*Emissionsfaktoren!P176/1000, 0)</f>
        <v>0</v>
      </c>
      <c r="Q686" s="124">
        <f>IF(ISNUMBER('Klisz-Verbräuche'!R176), 'Klisz-Verbräuche'!R176*Emissionsfaktoren!Q176/1000, 0)</f>
        <v>0</v>
      </c>
      <c r="R686" s="124">
        <f>IF(ISNUMBER('Klisz-Verbräuche'!S176), 'Klisz-Verbräuche'!S176*Emissionsfaktoren!R176/1000, 0)</f>
        <v>0</v>
      </c>
      <c r="S686" s="124">
        <f>IF(ISNUMBER('Klisz-Verbräuche'!T176), 'Klisz-Verbräuche'!T176*Emissionsfaktoren!S176/1000, 0)</f>
        <v>0</v>
      </c>
      <c r="T686" s="124">
        <f>IF(ISNUMBER('Klisz-Verbräuche'!U176), 'Klisz-Verbräuche'!U176*Emissionsfaktoren!T176/1000, 0)</f>
        <v>0</v>
      </c>
      <c r="U686" s="124">
        <f>IF(ISNUMBER('Klisz-Verbräuche'!V176), 'Klisz-Verbräuche'!V176*Emissionsfaktoren!U176/1000, 0)</f>
        <v>0</v>
      </c>
      <c r="V686" s="124">
        <f>IF(ISNUMBER('Klisz-Verbräuche'!W176), 'Klisz-Verbräuche'!W176*Emissionsfaktoren!V176/1000, 0)</f>
        <v>0</v>
      </c>
      <c r="W686" s="124">
        <f>IF(ISNUMBER('Klisz-Verbräuche'!X176), 'Klisz-Verbräuche'!X176*Emissionsfaktoren!W176/1000, 0)</f>
        <v>0</v>
      </c>
      <c r="X686" s="124">
        <f>IF(ISNUMBER('Klisz-Verbräuche'!Y176), 'Klisz-Verbräuche'!Y176*Emissionsfaktoren!X176/1000, 0)</f>
        <v>0</v>
      </c>
    </row>
    <row r="687" spans="2:24" ht="16.5" hidden="1" x14ac:dyDescent="0.45">
      <c r="B687" s="15">
        <v>117</v>
      </c>
      <c r="C687" s="20" t="str">
        <f>'Refsz-Verbräuche'!C177</f>
        <v>Branntkalk</v>
      </c>
      <c r="D687" t="s">
        <v>208</v>
      </c>
      <c r="E687" s="124">
        <f>IF(ISNUMBER('Klisz-Verbräuche'!F177), 'Klisz-Verbräuche'!F177*Emissionsfaktoren!E177/1000, 0)</f>
        <v>0</v>
      </c>
      <c r="F687" s="124">
        <f>IF(ISNUMBER('Klisz-Verbräuche'!G177), 'Klisz-Verbräuche'!G177*Emissionsfaktoren!F177/1000, 0)</f>
        <v>0</v>
      </c>
      <c r="G687" s="124">
        <f>IF(ISNUMBER('Klisz-Verbräuche'!H177), 'Klisz-Verbräuche'!H177*Emissionsfaktoren!G177/1000, 0)</f>
        <v>0</v>
      </c>
      <c r="H687" s="124">
        <f>IF(ISNUMBER('Klisz-Verbräuche'!I177), 'Klisz-Verbräuche'!I177*Emissionsfaktoren!H177/1000, 0)</f>
        <v>0</v>
      </c>
      <c r="I687" s="124">
        <f>IF(ISNUMBER('Klisz-Verbräuche'!J177), 'Klisz-Verbräuche'!J177*Emissionsfaktoren!I177/1000, 0)</f>
        <v>0</v>
      </c>
      <c r="J687" s="124">
        <f>IF(ISNUMBER('Klisz-Verbräuche'!K177), 'Klisz-Verbräuche'!K177*Emissionsfaktoren!J177/1000, 0)</f>
        <v>0</v>
      </c>
      <c r="K687" s="124">
        <f>IF(ISNUMBER('Klisz-Verbräuche'!L177), 'Klisz-Verbräuche'!L177*Emissionsfaktoren!K177/1000, 0)</f>
        <v>0</v>
      </c>
      <c r="L687" s="124">
        <f>IF(ISNUMBER('Klisz-Verbräuche'!M177), 'Klisz-Verbräuche'!M177*Emissionsfaktoren!L177/1000, 0)</f>
        <v>0</v>
      </c>
      <c r="M687" s="124">
        <f>IF(ISNUMBER('Klisz-Verbräuche'!N177), 'Klisz-Verbräuche'!N177*Emissionsfaktoren!M177/1000, 0)</f>
        <v>0</v>
      </c>
      <c r="N687" s="124">
        <f>IF(ISNUMBER('Klisz-Verbräuche'!O177), 'Klisz-Verbräuche'!O177*Emissionsfaktoren!N177/1000, 0)</f>
        <v>0</v>
      </c>
      <c r="O687" s="124">
        <f>IF(ISNUMBER('Klisz-Verbräuche'!P177), 'Klisz-Verbräuche'!P177*Emissionsfaktoren!O177/1000, 0)</f>
        <v>0</v>
      </c>
      <c r="P687" s="124">
        <f>IF(ISNUMBER('Klisz-Verbräuche'!Q177), 'Klisz-Verbräuche'!Q177*Emissionsfaktoren!P177/1000, 0)</f>
        <v>0</v>
      </c>
      <c r="Q687" s="124">
        <f>IF(ISNUMBER('Klisz-Verbräuche'!R177), 'Klisz-Verbräuche'!R177*Emissionsfaktoren!Q177/1000, 0)</f>
        <v>0</v>
      </c>
      <c r="R687" s="124">
        <f>IF(ISNUMBER('Klisz-Verbräuche'!S177), 'Klisz-Verbräuche'!S177*Emissionsfaktoren!R177/1000, 0)</f>
        <v>0</v>
      </c>
      <c r="S687" s="124">
        <f>IF(ISNUMBER('Klisz-Verbräuche'!T177), 'Klisz-Verbräuche'!T177*Emissionsfaktoren!S177/1000, 0)</f>
        <v>0</v>
      </c>
      <c r="T687" s="124">
        <f>IF(ISNUMBER('Klisz-Verbräuche'!U177), 'Klisz-Verbräuche'!U177*Emissionsfaktoren!T177/1000, 0)</f>
        <v>0</v>
      </c>
      <c r="U687" s="124">
        <f>IF(ISNUMBER('Klisz-Verbräuche'!V177), 'Klisz-Verbräuche'!V177*Emissionsfaktoren!U177/1000, 0)</f>
        <v>0</v>
      </c>
      <c r="V687" s="124">
        <f>IF(ISNUMBER('Klisz-Verbräuche'!W177), 'Klisz-Verbräuche'!W177*Emissionsfaktoren!V177/1000, 0)</f>
        <v>0</v>
      </c>
      <c r="W687" s="124">
        <f>IF(ISNUMBER('Klisz-Verbräuche'!X177), 'Klisz-Verbräuche'!X177*Emissionsfaktoren!W177/1000, 0)</f>
        <v>0</v>
      </c>
      <c r="X687" s="124">
        <f>IF(ISNUMBER('Klisz-Verbräuche'!Y177), 'Klisz-Verbräuche'!Y177*Emissionsfaktoren!X177/1000, 0)</f>
        <v>0</v>
      </c>
    </row>
    <row r="688" spans="2:24" ht="16.5" hidden="1" x14ac:dyDescent="0.45">
      <c r="B688" s="15">
        <v>118</v>
      </c>
      <c r="C688" s="20" t="str">
        <f>'Refsz-Verbräuche'!C178</f>
        <v>Gips</v>
      </c>
      <c r="D688" t="s">
        <v>208</v>
      </c>
      <c r="E688" s="124">
        <f>IF(ISNUMBER('Klisz-Verbräuche'!F178), 'Klisz-Verbräuche'!F178*Emissionsfaktoren!E178/1000, 0)</f>
        <v>0</v>
      </c>
      <c r="F688" s="124">
        <f>IF(ISNUMBER('Klisz-Verbräuche'!G178), 'Klisz-Verbräuche'!G178*Emissionsfaktoren!F178/1000, 0)</f>
        <v>0</v>
      </c>
      <c r="G688" s="124">
        <f>IF(ISNUMBER('Klisz-Verbräuche'!H178), 'Klisz-Verbräuche'!H178*Emissionsfaktoren!G178/1000, 0)</f>
        <v>0</v>
      </c>
      <c r="H688" s="124">
        <f>IF(ISNUMBER('Klisz-Verbräuche'!I178), 'Klisz-Verbräuche'!I178*Emissionsfaktoren!H178/1000, 0)</f>
        <v>0</v>
      </c>
      <c r="I688" s="124">
        <f>IF(ISNUMBER('Klisz-Verbräuche'!J178), 'Klisz-Verbräuche'!J178*Emissionsfaktoren!I178/1000, 0)</f>
        <v>0</v>
      </c>
      <c r="J688" s="124">
        <f>IF(ISNUMBER('Klisz-Verbräuche'!K178), 'Klisz-Verbräuche'!K178*Emissionsfaktoren!J178/1000, 0)</f>
        <v>0</v>
      </c>
      <c r="K688" s="124">
        <f>IF(ISNUMBER('Klisz-Verbräuche'!L178), 'Klisz-Verbräuche'!L178*Emissionsfaktoren!K178/1000, 0)</f>
        <v>0</v>
      </c>
      <c r="L688" s="124">
        <f>IF(ISNUMBER('Klisz-Verbräuche'!M178), 'Klisz-Verbräuche'!M178*Emissionsfaktoren!L178/1000, 0)</f>
        <v>0</v>
      </c>
      <c r="M688" s="124">
        <f>IF(ISNUMBER('Klisz-Verbräuche'!N178), 'Klisz-Verbräuche'!N178*Emissionsfaktoren!M178/1000, 0)</f>
        <v>0</v>
      </c>
      <c r="N688" s="124">
        <f>IF(ISNUMBER('Klisz-Verbräuche'!O178), 'Klisz-Verbräuche'!O178*Emissionsfaktoren!N178/1000, 0)</f>
        <v>0</v>
      </c>
      <c r="O688" s="124">
        <f>IF(ISNUMBER('Klisz-Verbräuche'!P178), 'Klisz-Verbräuche'!P178*Emissionsfaktoren!O178/1000, 0)</f>
        <v>0</v>
      </c>
      <c r="P688" s="124">
        <f>IF(ISNUMBER('Klisz-Verbräuche'!Q178), 'Klisz-Verbräuche'!Q178*Emissionsfaktoren!P178/1000, 0)</f>
        <v>0</v>
      </c>
      <c r="Q688" s="124">
        <f>IF(ISNUMBER('Klisz-Verbräuche'!R178), 'Klisz-Verbräuche'!R178*Emissionsfaktoren!Q178/1000, 0)</f>
        <v>0</v>
      </c>
      <c r="R688" s="124">
        <f>IF(ISNUMBER('Klisz-Verbräuche'!S178), 'Klisz-Verbräuche'!S178*Emissionsfaktoren!R178/1000, 0)</f>
        <v>0</v>
      </c>
      <c r="S688" s="124">
        <f>IF(ISNUMBER('Klisz-Verbräuche'!T178), 'Klisz-Verbräuche'!T178*Emissionsfaktoren!S178/1000, 0)</f>
        <v>0</v>
      </c>
      <c r="T688" s="124">
        <f>IF(ISNUMBER('Klisz-Verbräuche'!U178), 'Klisz-Verbräuche'!U178*Emissionsfaktoren!T178/1000, 0)</f>
        <v>0</v>
      </c>
      <c r="U688" s="124">
        <f>IF(ISNUMBER('Klisz-Verbräuche'!V178), 'Klisz-Verbräuche'!V178*Emissionsfaktoren!U178/1000, 0)</f>
        <v>0</v>
      </c>
      <c r="V688" s="124">
        <f>IF(ISNUMBER('Klisz-Verbräuche'!W178), 'Klisz-Verbräuche'!W178*Emissionsfaktoren!V178/1000, 0)</f>
        <v>0</v>
      </c>
      <c r="W688" s="124">
        <f>IF(ISNUMBER('Klisz-Verbräuche'!X178), 'Klisz-Verbräuche'!X178*Emissionsfaktoren!W178/1000, 0)</f>
        <v>0</v>
      </c>
      <c r="X688" s="124">
        <f>IF(ISNUMBER('Klisz-Verbräuche'!Y178), 'Klisz-Verbräuche'!Y178*Emissionsfaktoren!X178/1000, 0)</f>
        <v>0</v>
      </c>
    </row>
    <row r="689" spans="2:24" ht="16.5" hidden="1" x14ac:dyDescent="0.45">
      <c r="B689" s="15">
        <v>119</v>
      </c>
      <c r="C689" s="20" t="str">
        <f>'Refsz-Verbräuche'!C179</f>
        <v>Gipsplatte</v>
      </c>
      <c r="D689" t="s">
        <v>208</v>
      </c>
      <c r="E689" s="124">
        <f>IF(ISNUMBER('Klisz-Verbräuche'!F179), 'Klisz-Verbräuche'!F179*Emissionsfaktoren!E179/1000, 0)</f>
        <v>0</v>
      </c>
      <c r="F689" s="124">
        <f>IF(ISNUMBER('Klisz-Verbräuche'!G179), 'Klisz-Verbräuche'!G179*Emissionsfaktoren!F179/1000, 0)</f>
        <v>0</v>
      </c>
      <c r="G689" s="124">
        <f>IF(ISNUMBER('Klisz-Verbräuche'!H179), 'Klisz-Verbräuche'!H179*Emissionsfaktoren!G179/1000, 0)</f>
        <v>0</v>
      </c>
      <c r="H689" s="124">
        <f>IF(ISNUMBER('Klisz-Verbräuche'!I179), 'Klisz-Verbräuche'!I179*Emissionsfaktoren!H179/1000, 0)</f>
        <v>0</v>
      </c>
      <c r="I689" s="124">
        <f>IF(ISNUMBER('Klisz-Verbräuche'!J179), 'Klisz-Verbräuche'!J179*Emissionsfaktoren!I179/1000, 0)</f>
        <v>0</v>
      </c>
      <c r="J689" s="124">
        <f>IF(ISNUMBER('Klisz-Verbräuche'!K179), 'Klisz-Verbräuche'!K179*Emissionsfaktoren!J179/1000, 0)</f>
        <v>0</v>
      </c>
      <c r="K689" s="124">
        <f>IF(ISNUMBER('Klisz-Verbräuche'!L179), 'Klisz-Verbräuche'!L179*Emissionsfaktoren!K179/1000, 0)</f>
        <v>0</v>
      </c>
      <c r="L689" s="124">
        <f>IF(ISNUMBER('Klisz-Verbräuche'!M179), 'Klisz-Verbräuche'!M179*Emissionsfaktoren!L179/1000, 0)</f>
        <v>0</v>
      </c>
      <c r="M689" s="124">
        <f>IF(ISNUMBER('Klisz-Verbräuche'!N179), 'Klisz-Verbräuche'!N179*Emissionsfaktoren!M179/1000, 0)</f>
        <v>0</v>
      </c>
      <c r="N689" s="124">
        <f>IF(ISNUMBER('Klisz-Verbräuche'!O179), 'Klisz-Verbräuche'!O179*Emissionsfaktoren!N179/1000, 0)</f>
        <v>0</v>
      </c>
      <c r="O689" s="124">
        <f>IF(ISNUMBER('Klisz-Verbräuche'!P179), 'Klisz-Verbräuche'!P179*Emissionsfaktoren!O179/1000, 0)</f>
        <v>0</v>
      </c>
      <c r="P689" s="124">
        <f>IF(ISNUMBER('Klisz-Verbräuche'!Q179), 'Klisz-Verbräuche'!Q179*Emissionsfaktoren!P179/1000, 0)</f>
        <v>0</v>
      </c>
      <c r="Q689" s="124">
        <f>IF(ISNUMBER('Klisz-Verbräuche'!R179), 'Klisz-Verbräuche'!R179*Emissionsfaktoren!Q179/1000, 0)</f>
        <v>0</v>
      </c>
      <c r="R689" s="124">
        <f>IF(ISNUMBER('Klisz-Verbräuche'!S179), 'Klisz-Verbräuche'!S179*Emissionsfaktoren!R179/1000, 0)</f>
        <v>0</v>
      </c>
      <c r="S689" s="124">
        <f>IF(ISNUMBER('Klisz-Verbräuche'!T179), 'Klisz-Verbräuche'!T179*Emissionsfaktoren!S179/1000, 0)</f>
        <v>0</v>
      </c>
      <c r="T689" s="124">
        <f>IF(ISNUMBER('Klisz-Verbräuche'!U179), 'Klisz-Verbräuche'!U179*Emissionsfaktoren!T179/1000, 0)</f>
        <v>0</v>
      </c>
      <c r="U689" s="124">
        <f>IF(ISNUMBER('Klisz-Verbräuche'!V179), 'Klisz-Verbräuche'!V179*Emissionsfaktoren!U179/1000, 0)</f>
        <v>0</v>
      </c>
      <c r="V689" s="124">
        <f>IF(ISNUMBER('Klisz-Verbräuche'!W179), 'Klisz-Verbräuche'!W179*Emissionsfaktoren!V179/1000, 0)</f>
        <v>0</v>
      </c>
      <c r="W689" s="124">
        <f>IF(ISNUMBER('Klisz-Verbräuche'!X179), 'Klisz-Verbräuche'!X179*Emissionsfaktoren!W179/1000, 0)</f>
        <v>0</v>
      </c>
      <c r="X689" s="124">
        <f>IF(ISNUMBER('Klisz-Verbräuche'!Y179), 'Klisz-Verbräuche'!Y179*Emissionsfaktoren!X179/1000, 0)</f>
        <v>0</v>
      </c>
    </row>
    <row r="690" spans="2:24" ht="16.5" hidden="1" x14ac:dyDescent="0.45">
      <c r="B690" s="15">
        <v>120</v>
      </c>
      <c r="C690" s="20" t="str">
        <f>'Refsz-Verbräuche'!C180</f>
        <v>Glas (flach)</v>
      </c>
      <c r="D690" t="s">
        <v>208</v>
      </c>
      <c r="E690" s="124">
        <f>IF(ISNUMBER('Klisz-Verbräuche'!F180), 'Klisz-Verbräuche'!F180*Emissionsfaktoren!E180/1000, 0)</f>
        <v>0</v>
      </c>
      <c r="F690" s="124">
        <f>IF(ISNUMBER('Klisz-Verbräuche'!G180), 'Klisz-Verbräuche'!G180*Emissionsfaktoren!F180/1000, 0)</f>
        <v>0</v>
      </c>
      <c r="G690" s="124">
        <f>IF(ISNUMBER('Klisz-Verbräuche'!H180), 'Klisz-Verbräuche'!H180*Emissionsfaktoren!G180/1000, 0)</f>
        <v>0</v>
      </c>
      <c r="H690" s="124">
        <f>IF(ISNUMBER('Klisz-Verbräuche'!I180), 'Klisz-Verbräuche'!I180*Emissionsfaktoren!H180/1000, 0)</f>
        <v>0</v>
      </c>
      <c r="I690" s="124">
        <f>IF(ISNUMBER('Klisz-Verbräuche'!J180), 'Klisz-Verbräuche'!J180*Emissionsfaktoren!I180/1000, 0)</f>
        <v>0</v>
      </c>
      <c r="J690" s="124">
        <f>IF(ISNUMBER('Klisz-Verbräuche'!K180), 'Klisz-Verbräuche'!K180*Emissionsfaktoren!J180/1000, 0)</f>
        <v>0</v>
      </c>
      <c r="K690" s="124">
        <f>IF(ISNUMBER('Klisz-Verbräuche'!L180), 'Klisz-Verbräuche'!L180*Emissionsfaktoren!K180/1000, 0)</f>
        <v>0</v>
      </c>
      <c r="L690" s="124">
        <f>IF(ISNUMBER('Klisz-Verbräuche'!M180), 'Klisz-Verbräuche'!M180*Emissionsfaktoren!L180/1000, 0)</f>
        <v>0</v>
      </c>
      <c r="M690" s="124">
        <f>IF(ISNUMBER('Klisz-Verbräuche'!N180), 'Klisz-Verbräuche'!N180*Emissionsfaktoren!M180/1000, 0)</f>
        <v>0</v>
      </c>
      <c r="N690" s="124">
        <f>IF(ISNUMBER('Klisz-Verbräuche'!O180), 'Klisz-Verbräuche'!O180*Emissionsfaktoren!N180/1000, 0)</f>
        <v>0</v>
      </c>
      <c r="O690" s="124">
        <f>IF(ISNUMBER('Klisz-Verbräuche'!P180), 'Klisz-Verbräuche'!P180*Emissionsfaktoren!O180/1000, 0)</f>
        <v>0</v>
      </c>
      <c r="P690" s="124">
        <f>IF(ISNUMBER('Klisz-Verbräuche'!Q180), 'Klisz-Verbräuche'!Q180*Emissionsfaktoren!P180/1000, 0)</f>
        <v>0</v>
      </c>
      <c r="Q690" s="124">
        <f>IF(ISNUMBER('Klisz-Verbräuche'!R180), 'Klisz-Verbräuche'!R180*Emissionsfaktoren!Q180/1000, 0)</f>
        <v>0</v>
      </c>
      <c r="R690" s="124">
        <f>IF(ISNUMBER('Klisz-Verbräuche'!S180), 'Klisz-Verbräuche'!S180*Emissionsfaktoren!R180/1000, 0)</f>
        <v>0</v>
      </c>
      <c r="S690" s="124">
        <f>IF(ISNUMBER('Klisz-Verbräuche'!T180), 'Klisz-Verbräuche'!T180*Emissionsfaktoren!S180/1000, 0)</f>
        <v>0</v>
      </c>
      <c r="T690" s="124">
        <f>IF(ISNUMBER('Klisz-Verbräuche'!U180), 'Klisz-Verbräuche'!U180*Emissionsfaktoren!T180/1000, 0)</f>
        <v>0</v>
      </c>
      <c r="U690" s="124">
        <f>IF(ISNUMBER('Klisz-Verbräuche'!V180), 'Klisz-Verbräuche'!V180*Emissionsfaktoren!U180/1000, 0)</f>
        <v>0</v>
      </c>
      <c r="V690" s="124">
        <f>IF(ISNUMBER('Klisz-Verbräuche'!W180), 'Klisz-Verbräuche'!W180*Emissionsfaktoren!V180/1000, 0)</f>
        <v>0</v>
      </c>
      <c r="W690" s="124">
        <f>IF(ISNUMBER('Klisz-Verbräuche'!X180), 'Klisz-Verbräuche'!X180*Emissionsfaktoren!W180/1000, 0)</f>
        <v>0</v>
      </c>
      <c r="X690" s="124">
        <f>IF(ISNUMBER('Klisz-Verbräuche'!Y180), 'Klisz-Verbräuche'!Y180*Emissionsfaktoren!X180/1000, 0)</f>
        <v>0</v>
      </c>
    </row>
    <row r="691" spans="2:24" ht="16.5" hidden="1" x14ac:dyDescent="0.45">
      <c r="B691" s="15">
        <v>121</v>
      </c>
      <c r="C691" s="20" t="str">
        <f>'Refsz-Verbräuche'!C181</f>
        <v>Gussasphalt</v>
      </c>
      <c r="D691" t="s">
        <v>208</v>
      </c>
      <c r="E691" s="124">
        <f>IF(ISNUMBER('Klisz-Verbräuche'!F181), 'Klisz-Verbräuche'!F181*Emissionsfaktoren!E181/1000, 0)</f>
        <v>0</v>
      </c>
      <c r="F691" s="124">
        <f>IF(ISNUMBER('Klisz-Verbräuche'!G181), 'Klisz-Verbräuche'!G181*Emissionsfaktoren!F181/1000, 0)</f>
        <v>0</v>
      </c>
      <c r="G691" s="124">
        <f>IF(ISNUMBER('Klisz-Verbräuche'!H181), 'Klisz-Verbräuche'!H181*Emissionsfaktoren!G181/1000, 0)</f>
        <v>0</v>
      </c>
      <c r="H691" s="124">
        <f>IF(ISNUMBER('Klisz-Verbräuche'!I181), 'Klisz-Verbräuche'!I181*Emissionsfaktoren!H181/1000, 0)</f>
        <v>0</v>
      </c>
      <c r="I691" s="124">
        <f>IF(ISNUMBER('Klisz-Verbräuche'!J181), 'Klisz-Verbräuche'!J181*Emissionsfaktoren!I181/1000, 0)</f>
        <v>0</v>
      </c>
      <c r="J691" s="124">
        <f>IF(ISNUMBER('Klisz-Verbräuche'!K181), 'Klisz-Verbräuche'!K181*Emissionsfaktoren!J181/1000, 0)</f>
        <v>0</v>
      </c>
      <c r="K691" s="124">
        <f>IF(ISNUMBER('Klisz-Verbräuche'!L181), 'Klisz-Verbräuche'!L181*Emissionsfaktoren!K181/1000, 0)</f>
        <v>0</v>
      </c>
      <c r="L691" s="124">
        <f>IF(ISNUMBER('Klisz-Verbräuche'!M181), 'Klisz-Verbräuche'!M181*Emissionsfaktoren!L181/1000, 0)</f>
        <v>0</v>
      </c>
      <c r="M691" s="124">
        <f>IF(ISNUMBER('Klisz-Verbräuche'!N181), 'Klisz-Verbräuche'!N181*Emissionsfaktoren!M181/1000, 0)</f>
        <v>0</v>
      </c>
      <c r="N691" s="124">
        <f>IF(ISNUMBER('Klisz-Verbräuche'!O181), 'Klisz-Verbräuche'!O181*Emissionsfaktoren!N181/1000, 0)</f>
        <v>0</v>
      </c>
      <c r="O691" s="124">
        <f>IF(ISNUMBER('Klisz-Verbräuche'!P181), 'Klisz-Verbräuche'!P181*Emissionsfaktoren!O181/1000, 0)</f>
        <v>0</v>
      </c>
      <c r="P691" s="124">
        <f>IF(ISNUMBER('Klisz-Verbräuche'!Q181), 'Klisz-Verbräuche'!Q181*Emissionsfaktoren!P181/1000, 0)</f>
        <v>0</v>
      </c>
      <c r="Q691" s="124">
        <f>IF(ISNUMBER('Klisz-Verbräuche'!R181), 'Klisz-Verbräuche'!R181*Emissionsfaktoren!Q181/1000, 0)</f>
        <v>0</v>
      </c>
      <c r="R691" s="124">
        <f>IF(ISNUMBER('Klisz-Verbräuche'!S181), 'Klisz-Verbräuche'!S181*Emissionsfaktoren!R181/1000, 0)</f>
        <v>0</v>
      </c>
      <c r="S691" s="124">
        <f>IF(ISNUMBER('Klisz-Verbräuche'!T181), 'Klisz-Verbräuche'!T181*Emissionsfaktoren!S181/1000, 0)</f>
        <v>0</v>
      </c>
      <c r="T691" s="124">
        <f>IF(ISNUMBER('Klisz-Verbräuche'!U181), 'Klisz-Verbräuche'!U181*Emissionsfaktoren!T181/1000, 0)</f>
        <v>0</v>
      </c>
      <c r="U691" s="124">
        <f>IF(ISNUMBER('Klisz-Verbräuche'!V181), 'Klisz-Verbräuche'!V181*Emissionsfaktoren!U181/1000, 0)</f>
        <v>0</v>
      </c>
      <c r="V691" s="124">
        <f>IF(ISNUMBER('Klisz-Verbräuche'!W181), 'Klisz-Verbräuche'!W181*Emissionsfaktoren!V181/1000, 0)</f>
        <v>0</v>
      </c>
      <c r="W691" s="124">
        <f>IF(ISNUMBER('Klisz-Verbräuche'!X181), 'Klisz-Verbräuche'!X181*Emissionsfaktoren!W181/1000, 0)</f>
        <v>0</v>
      </c>
      <c r="X691" s="124">
        <f>IF(ISNUMBER('Klisz-Verbräuche'!Y181), 'Klisz-Verbräuche'!Y181*Emissionsfaktoren!X181/1000, 0)</f>
        <v>0</v>
      </c>
    </row>
    <row r="692" spans="2:24" ht="16.5" hidden="1" x14ac:dyDescent="0.45">
      <c r="B692" s="15">
        <v>122</v>
      </c>
      <c r="C692" s="20" t="str">
        <f>'Refsz-Verbräuche'!C182</f>
        <v>Kalksandstein</v>
      </c>
      <c r="D692" t="s">
        <v>208</v>
      </c>
      <c r="E692" s="124">
        <f>IF(ISNUMBER('Klisz-Verbräuche'!F182), 'Klisz-Verbräuche'!F182*Emissionsfaktoren!E182/1000, 0)</f>
        <v>0</v>
      </c>
      <c r="F692" s="124">
        <f>IF(ISNUMBER('Klisz-Verbräuche'!G182), 'Klisz-Verbräuche'!G182*Emissionsfaktoren!F182/1000, 0)</f>
        <v>0</v>
      </c>
      <c r="G692" s="124">
        <f>IF(ISNUMBER('Klisz-Verbräuche'!H182), 'Klisz-Verbräuche'!H182*Emissionsfaktoren!G182/1000, 0)</f>
        <v>0</v>
      </c>
      <c r="H692" s="124">
        <f>IF(ISNUMBER('Klisz-Verbräuche'!I182), 'Klisz-Verbräuche'!I182*Emissionsfaktoren!H182/1000, 0)</f>
        <v>0</v>
      </c>
      <c r="I692" s="124">
        <f>IF(ISNUMBER('Klisz-Verbräuche'!J182), 'Klisz-Verbräuche'!J182*Emissionsfaktoren!I182/1000, 0)</f>
        <v>0</v>
      </c>
      <c r="J692" s="124">
        <f>IF(ISNUMBER('Klisz-Verbräuche'!K182), 'Klisz-Verbräuche'!K182*Emissionsfaktoren!J182/1000, 0)</f>
        <v>0</v>
      </c>
      <c r="K692" s="124">
        <f>IF(ISNUMBER('Klisz-Verbräuche'!L182), 'Klisz-Verbräuche'!L182*Emissionsfaktoren!K182/1000, 0)</f>
        <v>0</v>
      </c>
      <c r="L692" s="124">
        <f>IF(ISNUMBER('Klisz-Verbräuche'!M182), 'Klisz-Verbräuche'!M182*Emissionsfaktoren!L182/1000, 0)</f>
        <v>0</v>
      </c>
      <c r="M692" s="124">
        <f>IF(ISNUMBER('Klisz-Verbräuche'!N182), 'Klisz-Verbräuche'!N182*Emissionsfaktoren!M182/1000, 0)</f>
        <v>0</v>
      </c>
      <c r="N692" s="124">
        <f>IF(ISNUMBER('Klisz-Verbräuche'!O182), 'Klisz-Verbräuche'!O182*Emissionsfaktoren!N182/1000, 0)</f>
        <v>0</v>
      </c>
      <c r="O692" s="124">
        <f>IF(ISNUMBER('Klisz-Verbräuche'!P182), 'Klisz-Verbräuche'!P182*Emissionsfaktoren!O182/1000, 0)</f>
        <v>0</v>
      </c>
      <c r="P692" s="124">
        <f>IF(ISNUMBER('Klisz-Verbräuche'!Q182), 'Klisz-Verbräuche'!Q182*Emissionsfaktoren!P182/1000, 0)</f>
        <v>0</v>
      </c>
      <c r="Q692" s="124">
        <f>IF(ISNUMBER('Klisz-Verbräuche'!R182), 'Klisz-Verbräuche'!R182*Emissionsfaktoren!Q182/1000, 0)</f>
        <v>0</v>
      </c>
      <c r="R692" s="124">
        <f>IF(ISNUMBER('Klisz-Verbräuche'!S182), 'Klisz-Verbräuche'!S182*Emissionsfaktoren!R182/1000, 0)</f>
        <v>0</v>
      </c>
      <c r="S692" s="124">
        <f>IF(ISNUMBER('Klisz-Verbräuche'!T182), 'Klisz-Verbräuche'!T182*Emissionsfaktoren!S182/1000, 0)</f>
        <v>0</v>
      </c>
      <c r="T692" s="124">
        <f>IF(ISNUMBER('Klisz-Verbräuche'!U182), 'Klisz-Verbräuche'!U182*Emissionsfaktoren!T182/1000, 0)</f>
        <v>0</v>
      </c>
      <c r="U692" s="124">
        <f>IF(ISNUMBER('Klisz-Verbräuche'!V182), 'Klisz-Verbräuche'!V182*Emissionsfaktoren!U182/1000, 0)</f>
        <v>0</v>
      </c>
      <c r="V692" s="124">
        <f>IF(ISNUMBER('Klisz-Verbräuche'!W182), 'Klisz-Verbräuche'!W182*Emissionsfaktoren!V182/1000, 0)</f>
        <v>0</v>
      </c>
      <c r="W692" s="124">
        <f>IF(ISNUMBER('Klisz-Verbräuche'!X182), 'Klisz-Verbräuche'!X182*Emissionsfaktoren!W182/1000, 0)</f>
        <v>0</v>
      </c>
      <c r="X692" s="124">
        <f>IF(ISNUMBER('Klisz-Verbräuche'!Y182), 'Klisz-Verbräuche'!Y182*Emissionsfaktoren!X182/1000, 0)</f>
        <v>0</v>
      </c>
    </row>
    <row r="693" spans="2:24" ht="16.5" hidden="1" x14ac:dyDescent="0.45">
      <c r="B693" s="15">
        <v>123</v>
      </c>
      <c r="C693" s="20" t="str">
        <f>'Refsz-Verbräuche'!C183</f>
        <v>Porenbetonstein</v>
      </c>
      <c r="D693" t="s">
        <v>208</v>
      </c>
      <c r="E693" s="124">
        <f>IF(ISNUMBER('Klisz-Verbräuche'!F183), 'Klisz-Verbräuche'!F183*Emissionsfaktoren!E183/1000, 0)</f>
        <v>0</v>
      </c>
      <c r="F693" s="124">
        <f>IF(ISNUMBER('Klisz-Verbräuche'!G183), 'Klisz-Verbräuche'!G183*Emissionsfaktoren!F183/1000, 0)</f>
        <v>0</v>
      </c>
      <c r="G693" s="124">
        <f>IF(ISNUMBER('Klisz-Verbräuche'!H183), 'Klisz-Verbräuche'!H183*Emissionsfaktoren!G183/1000, 0)</f>
        <v>0</v>
      </c>
      <c r="H693" s="124">
        <f>IF(ISNUMBER('Klisz-Verbräuche'!I183), 'Klisz-Verbräuche'!I183*Emissionsfaktoren!H183/1000, 0)</f>
        <v>0</v>
      </c>
      <c r="I693" s="124">
        <f>IF(ISNUMBER('Klisz-Verbräuche'!J183), 'Klisz-Verbräuche'!J183*Emissionsfaktoren!I183/1000, 0)</f>
        <v>0</v>
      </c>
      <c r="J693" s="124">
        <f>IF(ISNUMBER('Klisz-Verbräuche'!K183), 'Klisz-Verbräuche'!K183*Emissionsfaktoren!J183/1000, 0)</f>
        <v>0</v>
      </c>
      <c r="K693" s="124">
        <f>IF(ISNUMBER('Klisz-Verbräuche'!L183), 'Klisz-Verbräuche'!L183*Emissionsfaktoren!K183/1000, 0)</f>
        <v>0</v>
      </c>
      <c r="L693" s="124">
        <f>IF(ISNUMBER('Klisz-Verbräuche'!M183), 'Klisz-Verbräuche'!M183*Emissionsfaktoren!L183/1000, 0)</f>
        <v>0</v>
      </c>
      <c r="M693" s="124">
        <f>IF(ISNUMBER('Klisz-Verbräuche'!N183), 'Klisz-Verbräuche'!N183*Emissionsfaktoren!M183/1000, 0)</f>
        <v>0</v>
      </c>
      <c r="N693" s="124">
        <f>IF(ISNUMBER('Klisz-Verbräuche'!O183), 'Klisz-Verbräuche'!O183*Emissionsfaktoren!N183/1000, 0)</f>
        <v>0</v>
      </c>
      <c r="O693" s="124">
        <f>IF(ISNUMBER('Klisz-Verbräuche'!P183), 'Klisz-Verbräuche'!P183*Emissionsfaktoren!O183/1000, 0)</f>
        <v>0</v>
      </c>
      <c r="P693" s="124">
        <f>IF(ISNUMBER('Klisz-Verbräuche'!Q183), 'Klisz-Verbräuche'!Q183*Emissionsfaktoren!P183/1000, 0)</f>
        <v>0</v>
      </c>
      <c r="Q693" s="124">
        <f>IF(ISNUMBER('Klisz-Verbräuche'!R183), 'Klisz-Verbräuche'!R183*Emissionsfaktoren!Q183/1000, 0)</f>
        <v>0</v>
      </c>
      <c r="R693" s="124">
        <f>IF(ISNUMBER('Klisz-Verbräuche'!S183), 'Klisz-Verbräuche'!S183*Emissionsfaktoren!R183/1000, 0)</f>
        <v>0</v>
      </c>
      <c r="S693" s="124">
        <f>IF(ISNUMBER('Klisz-Verbräuche'!T183), 'Klisz-Verbräuche'!T183*Emissionsfaktoren!S183/1000, 0)</f>
        <v>0</v>
      </c>
      <c r="T693" s="124">
        <f>IF(ISNUMBER('Klisz-Verbräuche'!U183), 'Klisz-Verbräuche'!U183*Emissionsfaktoren!T183/1000, 0)</f>
        <v>0</v>
      </c>
      <c r="U693" s="124">
        <f>IF(ISNUMBER('Klisz-Verbräuche'!V183), 'Klisz-Verbräuche'!V183*Emissionsfaktoren!U183/1000, 0)</f>
        <v>0</v>
      </c>
      <c r="V693" s="124">
        <f>IF(ISNUMBER('Klisz-Verbräuche'!W183), 'Klisz-Verbräuche'!W183*Emissionsfaktoren!V183/1000, 0)</f>
        <v>0</v>
      </c>
      <c r="W693" s="124">
        <f>IF(ISNUMBER('Klisz-Verbräuche'!X183), 'Klisz-Verbräuche'!X183*Emissionsfaktoren!W183/1000, 0)</f>
        <v>0</v>
      </c>
      <c r="X693" s="124">
        <f>IF(ISNUMBER('Klisz-Verbräuche'!Y183), 'Klisz-Verbräuche'!Y183*Emissionsfaktoren!X183/1000, 0)</f>
        <v>0</v>
      </c>
    </row>
    <row r="694" spans="2:24" ht="16.5" hidden="1" x14ac:dyDescent="0.45">
      <c r="B694" s="15">
        <v>124</v>
      </c>
      <c r="C694" s="20" t="str">
        <f>'Refsz-Verbräuche'!C184</f>
        <v>Steinwolle</v>
      </c>
      <c r="D694" t="s">
        <v>208</v>
      </c>
      <c r="E694" s="124">
        <f>IF(ISNUMBER('Klisz-Verbräuche'!F184), 'Klisz-Verbräuche'!F184*Emissionsfaktoren!E184/1000, 0)</f>
        <v>0</v>
      </c>
      <c r="F694" s="124">
        <f>IF(ISNUMBER('Klisz-Verbräuche'!G184), 'Klisz-Verbräuche'!G184*Emissionsfaktoren!F184/1000, 0)</f>
        <v>0</v>
      </c>
      <c r="G694" s="124">
        <f>IF(ISNUMBER('Klisz-Verbräuche'!H184), 'Klisz-Verbräuche'!H184*Emissionsfaktoren!G184/1000, 0)</f>
        <v>0</v>
      </c>
      <c r="H694" s="124">
        <f>IF(ISNUMBER('Klisz-Verbräuche'!I184), 'Klisz-Verbräuche'!I184*Emissionsfaktoren!H184/1000, 0)</f>
        <v>0</v>
      </c>
      <c r="I694" s="124">
        <f>IF(ISNUMBER('Klisz-Verbräuche'!J184), 'Klisz-Verbräuche'!J184*Emissionsfaktoren!I184/1000, 0)</f>
        <v>0</v>
      </c>
      <c r="J694" s="124">
        <f>IF(ISNUMBER('Klisz-Verbräuche'!K184), 'Klisz-Verbräuche'!K184*Emissionsfaktoren!J184/1000, 0)</f>
        <v>0</v>
      </c>
      <c r="K694" s="124">
        <f>IF(ISNUMBER('Klisz-Verbräuche'!L184), 'Klisz-Verbräuche'!L184*Emissionsfaktoren!K184/1000, 0)</f>
        <v>0</v>
      </c>
      <c r="L694" s="124">
        <f>IF(ISNUMBER('Klisz-Verbräuche'!M184), 'Klisz-Verbräuche'!M184*Emissionsfaktoren!L184/1000, 0)</f>
        <v>0</v>
      </c>
      <c r="M694" s="124">
        <f>IF(ISNUMBER('Klisz-Verbräuche'!N184), 'Klisz-Verbräuche'!N184*Emissionsfaktoren!M184/1000, 0)</f>
        <v>0</v>
      </c>
      <c r="N694" s="124">
        <f>IF(ISNUMBER('Klisz-Verbräuche'!O184), 'Klisz-Verbräuche'!O184*Emissionsfaktoren!N184/1000, 0)</f>
        <v>0</v>
      </c>
      <c r="O694" s="124">
        <f>IF(ISNUMBER('Klisz-Verbräuche'!P184), 'Klisz-Verbräuche'!P184*Emissionsfaktoren!O184/1000, 0)</f>
        <v>0</v>
      </c>
      <c r="P694" s="124">
        <f>IF(ISNUMBER('Klisz-Verbräuche'!Q184), 'Klisz-Verbräuche'!Q184*Emissionsfaktoren!P184/1000, 0)</f>
        <v>0</v>
      </c>
      <c r="Q694" s="124">
        <f>IF(ISNUMBER('Klisz-Verbräuche'!R184), 'Klisz-Verbräuche'!R184*Emissionsfaktoren!Q184/1000, 0)</f>
        <v>0</v>
      </c>
      <c r="R694" s="124">
        <f>IF(ISNUMBER('Klisz-Verbräuche'!S184), 'Klisz-Verbräuche'!S184*Emissionsfaktoren!R184/1000, 0)</f>
        <v>0</v>
      </c>
      <c r="S694" s="124">
        <f>IF(ISNUMBER('Klisz-Verbräuche'!T184), 'Klisz-Verbräuche'!T184*Emissionsfaktoren!S184/1000, 0)</f>
        <v>0</v>
      </c>
      <c r="T694" s="124">
        <f>IF(ISNUMBER('Klisz-Verbräuche'!U184), 'Klisz-Verbräuche'!U184*Emissionsfaktoren!T184/1000, 0)</f>
        <v>0</v>
      </c>
      <c r="U694" s="124">
        <f>IF(ISNUMBER('Klisz-Verbräuche'!V184), 'Klisz-Verbräuche'!V184*Emissionsfaktoren!U184/1000, 0)</f>
        <v>0</v>
      </c>
      <c r="V694" s="124">
        <f>IF(ISNUMBER('Klisz-Verbräuche'!W184), 'Klisz-Verbräuche'!W184*Emissionsfaktoren!V184/1000, 0)</f>
        <v>0</v>
      </c>
      <c r="W694" s="124">
        <f>IF(ISNUMBER('Klisz-Verbräuche'!X184), 'Klisz-Verbräuche'!X184*Emissionsfaktoren!W184/1000, 0)</f>
        <v>0</v>
      </c>
      <c r="X694" s="124">
        <f>IF(ISNUMBER('Klisz-Verbräuche'!Y184), 'Klisz-Verbräuche'!Y184*Emissionsfaktoren!X184/1000, 0)</f>
        <v>0</v>
      </c>
    </row>
    <row r="695" spans="2:24" ht="16.5" hidden="1" x14ac:dyDescent="0.45">
      <c r="B695" s="15">
        <v>125</v>
      </c>
      <c r="C695" s="20" t="str">
        <f>'Refsz-Verbräuche'!C185</f>
        <v>Tonziegel (fürs Dach)</v>
      </c>
      <c r="D695" t="s">
        <v>208</v>
      </c>
      <c r="E695" s="124">
        <f>IF(ISNUMBER('Klisz-Verbräuche'!F185), 'Klisz-Verbräuche'!F185*Emissionsfaktoren!E185/1000, 0)</f>
        <v>0</v>
      </c>
      <c r="F695" s="124">
        <f>IF(ISNUMBER('Klisz-Verbräuche'!G185), 'Klisz-Verbräuche'!G185*Emissionsfaktoren!F185/1000, 0)</f>
        <v>0</v>
      </c>
      <c r="G695" s="124">
        <f>IF(ISNUMBER('Klisz-Verbräuche'!H185), 'Klisz-Verbräuche'!H185*Emissionsfaktoren!G185/1000, 0)</f>
        <v>0</v>
      </c>
      <c r="H695" s="124">
        <f>IF(ISNUMBER('Klisz-Verbräuche'!I185), 'Klisz-Verbräuche'!I185*Emissionsfaktoren!H185/1000, 0)</f>
        <v>0</v>
      </c>
      <c r="I695" s="124">
        <f>IF(ISNUMBER('Klisz-Verbräuche'!J185), 'Klisz-Verbräuche'!J185*Emissionsfaktoren!I185/1000, 0)</f>
        <v>0</v>
      </c>
      <c r="J695" s="124">
        <f>IF(ISNUMBER('Klisz-Verbräuche'!K185), 'Klisz-Verbräuche'!K185*Emissionsfaktoren!J185/1000, 0)</f>
        <v>0</v>
      </c>
      <c r="K695" s="124">
        <f>IF(ISNUMBER('Klisz-Verbräuche'!L185), 'Klisz-Verbräuche'!L185*Emissionsfaktoren!K185/1000, 0)</f>
        <v>0</v>
      </c>
      <c r="L695" s="124">
        <f>IF(ISNUMBER('Klisz-Verbräuche'!M185), 'Klisz-Verbräuche'!M185*Emissionsfaktoren!L185/1000, 0)</f>
        <v>0</v>
      </c>
      <c r="M695" s="124">
        <f>IF(ISNUMBER('Klisz-Verbräuche'!N185), 'Klisz-Verbräuche'!N185*Emissionsfaktoren!M185/1000, 0)</f>
        <v>0</v>
      </c>
      <c r="N695" s="124">
        <f>IF(ISNUMBER('Klisz-Verbräuche'!O185), 'Klisz-Verbräuche'!O185*Emissionsfaktoren!N185/1000, 0)</f>
        <v>0</v>
      </c>
      <c r="O695" s="124">
        <f>IF(ISNUMBER('Klisz-Verbräuche'!P185), 'Klisz-Verbräuche'!P185*Emissionsfaktoren!O185/1000, 0)</f>
        <v>0</v>
      </c>
      <c r="P695" s="124">
        <f>IF(ISNUMBER('Klisz-Verbräuche'!Q185), 'Klisz-Verbräuche'!Q185*Emissionsfaktoren!P185/1000, 0)</f>
        <v>0</v>
      </c>
      <c r="Q695" s="124">
        <f>IF(ISNUMBER('Klisz-Verbräuche'!R185), 'Klisz-Verbräuche'!R185*Emissionsfaktoren!Q185/1000, 0)</f>
        <v>0</v>
      </c>
      <c r="R695" s="124">
        <f>IF(ISNUMBER('Klisz-Verbräuche'!S185), 'Klisz-Verbräuche'!S185*Emissionsfaktoren!R185/1000, 0)</f>
        <v>0</v>
      </c>
      <c r="S695" s="124">
        <f>IF(ISNUMBER('Klisz-Verbräuche'!T185), 'Klisz-Verbräuche'!T185*Emissionsfaktoren!S185/1000, 0)</f>
        <v>0</v>
      </c>
      <c r="T695" s="124">
        <f>IF(ISNUMBER('Klisz-Verbräuche'!U185), 'Klisz-Verbräuche'!U185*Emissionsfaktoren!T185/1000, 0)</f>
        <v>0</v>
      </c>
      <c r="U695" s="124">
        <f>IF(ISNUMBER('Klisz-Verbräuche'!V185), 'Klisz-Verbräuche'!V185*Emissionsfaktoren!U185/1000, 0)</f>
        <v>0</v>
      </c>
      <c r="V695" s="124">
        <f>IF(ISNUMBER('Klisz-Verbräuche'!W185), 'Klisz-Verbräuche'!W185*Emissionsfaktoren!V185/1000, 0)</f>
        <v>0</v>
      </c>
      <c r="W695" s="124">
        <f>IF(ISNUMBER('Klisz-Verbräuche'!X185), 'Klisz-Verbräuche'!X185*Emissionsfaktoren!W185/1000, 0)</f>
        <v>0</v>
      </c>
      <c r="X695" s="124">
        <f>IF(ISNUMBER('Klisz-Verbräuche'!Y185), 'Klisz-Verbräuche'!Y185*Emissionsfaktoren!X185/1000, 0)</f>
        <v>0</v>
      </c>
    </row>
    <row r="696" spans="2:24" ht="16.5" hidden="1" x14ac:dyDescent="0.45">
      <c r="B696" s="15">
        <v>126</v>
      </c>
      <c r="C696" s="20" t="str">
        <f>'Refsz-Verbräuche'!C186</f>
        <v>Zement (Portland)</v>
      </c>
      <c r="D696" t="s">
        <v>208</v>
      </c>
      <c r="E696" s="124">
        <f>IF(ISNUMBER('Klisz-Verbräuche'!F186), 'Klisz-Verbräuche'!F186*Emissionsfaktoren!E186/1000, 0)</f>
        <v>0</v>
      </c>
      <c r="F696" s="124">
        <f>IF(ISNUMBER('Klisz-Verbräuche'!G186), 'Klisz-Verbräuche'!G186*Emissionsfaktoren!F186/1000, 0)</f>
        <v>0</v>
      </c>
      <c r="G696" s="124">
        <f>IF(ISNUMBER('Klisz-Verbräuche'!H186), 'Klisz-Verbräuche'!H186*Emissionsfaktoren!G186/1000, 0)</f>
        <v>0</v>
      </c>
      <c r="H696" s="124">
        <f>IF(ISNUMBER('Klisz-Verbräuche'!I186), 'Klisz-Verbräuche'!I186*Emissionsfaktoren!H186/1000, 0)</f>
        <v>0</v>
      </c>
      <c r="I696" s="124">
        <f>IF(ISNUMBER('Klisz-Verbräuche'!J186), 'Klisz-Verbräuche'!J186*Emissionsfaktoren!I186/1000, 0)</f>
        <v>0</v>
      </c>
      <c r="J696" s="124">
        <f>IF(ISNUMBER('Klisz-Verbräuche'!K186), 'Klisz-Verbräuche'!K186*Emissionsfaktoren!J186/1000, 0)</f>
        <v>0</v>
      </c>
      <c r="K696" s="124">
        <f>IF(ISNUMBER('Klisz-Verbräuche'!L186), 'Klisz-Verbräuche'!L186*Emissionsfaktoren!K186/1000, 0)</f>
        <v>0</v>
      </c>
      <c r="L696" s="124">
        <f>IF(ISNUMBER('Klisz-Verbräuche'!M186), 'Klisz-Verbräuche'!M186*Emissionsfaktoren!L186/1000, 0)</f>
        <v>0</v>
      </c>
      <c r="M696" s="124">
        <f>IF(ISNUMBER('Klisz-Verbräuche'!N186), 'Klisz-Verbräuche'!N186*Emissionsfaktoren!M186/1000, 0)</f>
        <v>0</v>
      </c>
      <c r="N696" s="124">
        <f>IF(ISNUMBER('Klisz-Verbräuche'!O186), 'Klisz-Verbräuche'!O186*Emissionsfaktoren!N186/1000, 0)</f>
        <v>0</v>
      </c>
      <c r="O696" s="124">
        <f>IF(ISNUMBER('Klisz-Verbräuche'!P186), 'Klisz-Verbräuche'!P186*Emissionsfaktoren!O186/1000, 0)</f>
        <v>0</v>
      </c>
      <c r="P696" s="124">
        <f>IF(ISNUMBER('Klisz-Verbräuche'!Q186), 'Klisz-Verbräuche'!Q186*Emissionsfaktoren!P186/1000, 0)</f>
        <v>0</v>
      </c>
      <c r="Q696" s="124">
        <f>IF(ISNUMBER('Klisz-Verbräuche'!R186), 'Klisz-Verbräuche'!R186*Emissionsfaktoren!Q186/1000, 0)</f>
        <v>0</v>
      </c>
      <c r="R696" s="124">
        <f>IF(ISNUMBER('Klisz-Verbräuche'!S186), 'Klisz-Verbräuche'!S186*Emissionsfaktoren!R186/1000, 0)</f>
        <v>0</v>
      </c>
      <c r="S696" s="124">
        <f>IF(ISNUMBER('Klisz-Verbräuche'!T186), 'Klisz-Verbräuche'!T186*Emissionsfaktoren!S186/1000, 0)</f>
        <v>0</v>
      </c>
      <c r="T696" s="124">
        <f>IF(ISNUMBER('Klisz-Verbräuche'!U186), 'Klisz-Verbräuche'!U186*Emissionsfaktoren!T186/1000, 0)</f>
        <v>0</v>
      </c>
      <c r="U696" s="124">
        <f>IF(ISNUMBER('Klisz-Verbräuche'!V186), 'Klisz-Verbräuche'!V186*Emissionsfaktoren!U186/1000, 0)</f>
        <v>0</v>
      </c>
      <c r="V696" s="124">
        <f>IF(ISNUMBER('Klisz-Verbräuche'!W186), 'Klisz-Verbräuche'!W186*Emissionsfaktoren!V186/1000, 0)</f>
        <v>0</v>
      </c>
      <c r="W696" s="124">
        <f>IF(ISNUMBER('Klisz-Verbräuche'!X186), 'Klisz-Verbräuche'!X186*Emissionsfaktoren!W186/1000, 0)</f>
        <v>0</v>
      </c>
      <c r="X696" s="124">
        <f>IF(ISNUMBER('Klisz-Verbräuche'!Y186), 'Klisz-Verbräuche'!Y186*Emissionsfaktoren!X186/1000, 0)</f>
        <v>0</v>
      </c>
    </row>
    <row r="697" spans="2:24" ht="16.5" hidden="1" x14ac:dyDescent="0.45">
      <c r="B697" s="15">
        <v>127</v>
      </c>
      <c r="C697" s="20" t="str">
        <f>'Refsz-Verbräuche'!C187</f>
        <v>Kies</v>
      </c>
      <c r="D697" t="s">
        <v>208</v>
      </c>
      <c r="E697" s="124">
        <f>IF(ISNUMBER('Klisz-Verbräuche'!F187), 'Klisz-Verbräuche'!F187*Emissionsfaktoren!E187/1000, 0)</f>
        <v>0</v>
      </c>
      <c r="F697" s="124">
        <f>IF(ISNUMBER('Klisz-Verbräuche'!G187), 'Klisz-Verbräuche'!G187*Emissionsfaktoren!F187/1000, 0)</f>
        <v>0</v>
      </c>
      <c r="G697" s="124">
        <f>IF(ISNUMBER('Klisz-Verbräuche'!H187), 'Klisz-Verbräuche'!H187*Emissionsfaktoren!G187/1000, 0)</f>
        <v>0</v>
      </c>
      <c r="H697" s="124">
        <f>IF(ISNUMBER('Klisz-Verbräuche'!I187), 'Klisz-Verbräuche'!I187*Emissionsfaktoren!H187/1000, 0)</f>
        <v>0</v>
      </c>
      <c r="I697" s="124">
        <f>IF(ISNUMBER('Klisz-Verbräuche'!J187), 'Klisz-Verbräuche'!J187*Emissionsfaktoren!I187/1000, 0)</f>
        <v>0</v>
      </c>
      <c r="J697" s="124">
        <f>IF(ISNUMBER('Klisz-Verbräuche'!K187), 'Klisz-Verbräuche'!K187*Emissionsfaktoren!J187/1000, 0)</f>
        <v>0</v>
      </c>
      <c r="K697" s="124">
        <f>IF(ISNUMBER('Klisz-Verbräuche'!L187), 'Klisz-Verbräuche'!L187*Emissionsfaktoren!K187/1000, 0)</f>
        <v>0</v>
      </c>
      <c r="L697" s="124">
        <f>IF(ISNUMBER('Klisz-Verbräuche'!M187), 'Klisz-Verbräuche'!M187*Emissionsfaktoren!L187/1000, 0)</f>
        <v>0</v>
      </c>
      <c r="M697" s="124">
        <f>IF(ISNUMBER('Klisz-Verbräuche'!N187), 'Klisz-Verbräuche'!N187*Emissionsfaktoren!M187/1000, 0)</f>
        <v>0</v>
      </c>
      <c r="N697" s="124">
        <f>IF(ISNUMBER('Klisz-Verbräuche'!O187), 'Klisz-Verbräuche'!O187*Emissionsfaktoren!N187/1000, 0)</f>
        <v>0</v>
      </c>
      <c r="O697" s="124">
        <f>IF(ISNUMBER('Klisz-Verbräuche'!P187), 'Klisz-Verbräuche'!P187*Emissionsfaktoren!O187/1000, 0)</f>
        <v>0</v>
      </c>
      <c r="P697" s="124">
        <f>IF(ISNUMBER('Klisz-Verbräuche'!Q187), 'Klisz-Verbräuche'!Q187*Emissionsfaktoren!P187/1000, 0)</f>
        <v>0</v>
      </c>
      <c r="Q697" s="124">
        <f>IF(ISNUMBER('Klisz-Verbräuche'!R187), 'Klisz-Verbräuche'!R187*Emissionsfaktoren!Q187/1000, 0)</f>
        <v>0</v>
      </c>
      <c r="R697" s="124">
        <f>IF(ISNUMBER('Klisz-Verbräuche'!S187), 'Klisz-Verbräuche'!S187*Emissionsfaktoren!R187/1000, 0)</f>
        <v>0</v>
      </c>
      <c r="S697" s="124">
        <f>IF(ISNUMBER('Klisz-Verbräuche'!T187), 'Klisz-Verbräuche'!T187*Emissionsfaktoren!S187/1000, 0)</f>
        <v>0</v>
      </c>
      <c r="T697" s="124">
        <f>IF(ISNUMBER('Klisz-Verbräuche'!U187), 'Klisz-Verbräuche'!U187*Emissionsfaktoren!T187/1000, 0)</f>
        <v>0</v>
      </c>
      <c r="U697" s="124">
        <f>IF(ISNUMBER('Klisz-Verbräuche'!V187), 'Klisz-Verbräuche'!V187*Emissionsfaktoren!U187/1000, 0)</f>
        <v>0</v>
      </c>
      <c r="V697" s="124">
        <f>IF(ISNUMBER('Klisz-Verbräuche'!W187), 'Klisz-Verbräuche'!W187*Emissionsfaktoren!V187/1000, 0)</f>
        <v>0</v>
      </c>
      <c r="W697" s="124">
        <f>IF(ISNUMBER('Klisz-Verbräuche'!X187), 'Klisz-Verbräuche'!X187*Emissionsfaktoren!W187/1000, 0)</f>
        <v>0</v>
      </c>
      <c r="X697" s="124">
        <f>IF(ISNUMBER('Klisz-Verbräuche'!Y187), 'Klisz-Verbräuche'!Y187*Emissionsfaktoren!X187/1000, 0)</f>
        <v>0</v>
      </c>
    </row>
    <row r="698" spans="2:24" ht="16.5" hidden="1" x14ac:dyDescent="0.45">
      <c r="B698" s="15">
        <v>128</v>
      </c>
      <c r="C698" s="20" t="str">
        <f>'Refsz-Verbräuche'!C188</f>
        <v>Sand</v>
      </c>
      <c r="D698" t="s">
        <v>208</v>
      </c>
      <c r="E698" s="124">
        <f>IF(ISNUMBER('Klisz-Verbräuche'!F188), 'Klisz-Verbräuche'!F188*Emissionsfaktoren!E188/1000, 0)</f>
        <v>0</v>
      </c>
      <c r="F698" s="124">
        <f>IF(ISNUMBER('Klisz-Verbräuche'!G188), 'Klisz-Verbräuche'!G188*Emissionsfaktoren!F188/1000, 0)</f>
        <v>0</v>
      </c>
      <c r="G698" s="124">
        <f>IF(ISNUMBER('Klisz-Verbräuche'!H188), 'Klisz-Verbräuche'!H188*Emissionsfaktoren!G188/1000, 0)</f>
        <v>0</v>
      </c>
      <c r="H698" s="124">
        <f>IF(ISNUMBER('Klisz-Verbräuche'!I188), 'Klisz-Verbräuche'!I188*Emissionsfaktoren!H188/1000, 0)</f>
        <v>0</v>
      </c>
      <c r="I698" s="124">
        <f>IF(ISNUMBER('Klisz-Verbräuche'!J188), 'Klisz-Verbräuche'!J188*Emissionsfaktoren!I188/1000, 0)</f>
        <v>0</v>
      </c>
      <c r="J698" s="124">
        <f>IF(ISNUMBER('Klisz-Verbräuche'!K188), 'Klisz-Verbräuche'!K188*Emissionsfaktoren!J188/1000, 0)</f>
        <v>0</v>
      </c>
      <c r="K698" s="124">
        <f>IF(ISNUMBER('Klisz-Verbräuche'!L188), 'Klisz-Verbräuche'!L188*Emissionsfaktoren!K188/1000, 0)</f>
        <v>0</v>
      </c>
      <c r="L698" s="124">
        <f>IF(ISNUMBER('Klisz-Verbräuche'!M188), 'Klisz-Verbräuche'!M188*Emissionsfaktoren!L188/1000, 0)</f>
        <v>0</v>
      </c>
      <c r="M698" s="124">
        <f>IF(ISNUMBER('Klisz-Verbräuche'!N188), 'Klisz-Verbräuche'!N188*Emissionsfaktoren!M188/1000, 0)</f>
        <v>0</v>
      </c>
      <c r="N698" s="124">
        <f>IF(ISNUMBER('Klisz-Verbräuche'!O188), 'Klisz-Verbräuche'!O188*Emissionsfaktoren!N188/1000, 0)</f>
        <v>0</v>
      </c>
      <c r="O698" s="124">
        <f>IF(ISNUMBER('Klisz-Verbräuche'!P188), 'Klisz-Verbräuche'!P188*Emissionsfaktoren!O188/1000, 0)</f>
        <v>0</v>
      </c>
      <c r="P698" s="124">
        <f>IF(ISNUMBER('Klisz-Verbräuche'!Q188), 'Klisz-Verbräuche'!Q188*Emissionsfaktoren!P188/1000, 0)</f>
        <v>0</v>
      </c>
      <c r="Q698" s="124">
        <f>IF(ISNUMBER('Klisz-Verbräuche'!R188), 'Klisz-Verbräuche'!R188*Emissionsfaktoren!Q188/1000, 0)</f>
        <v>0</v>
      </c>
      <c r="R698" s="124">
        <f>IF(ISNUMBER('Klisz-Verbräuche'!S188), 'Klisz-Verbräuche'!S188*Emissionsfaktoren!R188/1000, 0)</f>
        <v>0</v>
      </c>
      <c r="S698" s="124">
        <f>IF(ISNUMBER('Klisz-Verbräuche'!T188), 'Klisz-Verbräuche'!T188*Emissionsfaktoren!S188/1000, 0)</f>
        <v>0</v>
      </c>
      <c r="T698" s="124">
        <f>IF(ISNUMBER('Klisz-Verbräuche'!U188), 'Klisz-Verbräuche'!U188*Emissionsfaktoren!T188/1000, 0)</f>
        <v>0</v>
      </c>
      <c r="U698" s="124">
        <f>IF(ISNUMBER('Klisz-Verbräuche'!V188), 'Klisz-Verbräuche'!V188*Emissionsfaktoren!U188/1000, 0)</f>
        <v>0</v>
      </c>
      <c r="V698" s="124">
        <f>IF(ISNUMBER('Klisz-Verbräuche'!W188), 'Klisz-Verbräuche'!W188*Emissionsfaktoren!V188/1000, 0)</f>
        <v>0</v>
      </c>
      <c r="W698" s="124">
        <f>IF(ISNUMBER('Klisz-Verbräuche'!X188), 'Klisz-Verbräuche'!X188*Emissionsfaktoren!W188/1000, 0)</f>
        <v>0</v>
      </c>
      <c r="X698" s="124">
        <f>IF(ISNUMBER('Klisz-Verbräuche'!Y188), 'Klisz-Verbräuche'!Y188*Emissionsfaktoren!X188/1000, 0)</f>
        <v>0</v>
      </c>
    </row>
    <row r="699" spans="2:24" ht="16.5" hidden="1" x14ac:dyDescent="0.45">
      <c r="B699" s="15">
        <v>129</v>
      </c>
      <c r="C699" s="20" t="str">
        <f>'Refsz-Verbräuche'!C189</f>
        <v>Kupferdraht</v>
      </c>
      <c r="D699" t="s">
        <v>208</v>
      </c>
      <c r="E699" s="124">
        <f>IF(ISNUMBER('Klisz-Verbräuche'!F189), 'Klisz-Verbräuche'!F189*Emissionsfaktoren!E189/1000, 0)</f>
        <v>0</v>
      </c>
      <c r="F699" s="124">
        <f>IF(ISNUMBER('Klisz-Verbräuche'!G189), 'Klisz-Verbräuche'!G189*Emissionsfaktoren!F189/1000, 0)</f>
        <v>0</v>
      </c>
      <c r="G699" s="124">
        <f>IF(ISNUMBER('Klisz-Verbräuche'!H189), 'Klisz-Verbräuche'!H189*Emissionsfaktoren!G189/1000, 0)</f>
        <v>0</v>
      </c>
      <c r="H699" s="124">
        <f>IF(ISNUMBER('Klisz-Verbräuche'!I189), 'Klisz-Verbräuche'!I189*Emissionsfaktoren!H189/1000, 0)</f>
        <v>0</v>
      </c>
      <c r="I699" s="124">
        <f>IF(ISNUMBER('Klisz-Verbräuche'!J189), 'Klisz-Verbräuche'!J189*Emissionsfaktoren!I189/1000, 0)</f>
        <v>0</v>
      </c>
      <c r="J699" s="124">
        <f>IF(ISNUMBER('Klisz-Verbräuche'!K189), 'Klisz-Verbräuche'!K189*Emissionsfaktoren!J189/1000, 0)</f>
        <v>0</v>
      </c>
      <c r="K699" s="124">
        <f>IF(ISNUMBER('Klisz-Verbräuche'!L189), 'Klisz-Verbräuche'!L189*Emissionsfaktoren!K189/1000, 0)</f>
        <v>0</v>
      </c>
      <c r="L699" s="124">
        <f>IF(ISNUMBER('Klisz-Verbräuche'!M189), 'Klisz-Verbräuche'!M189*Emissionsfaktoren!L189/1000, 0)</f>
        <v>0</v>
      </c>
      <c r="M699" s="124">
        <f>IF(ISNUMBER('Klisz-Verbräuche'!N189), 'Klisz-Verbräuche'!N189*Emissionsfaktoren!M189/1000, 0)</f>
        <v>0</v>
      </c>
      <c r="N699" s="124">
        <f>IF(ISNUMBER('Klisz-Verbräuche'!O189), 'Klisz-Verbräuche'!O189*Emissionsfaktoren!N189/1000, 0)</f>
        <v>0</v>
      </c>
      <c r="O699" s="124">
        <f>IF(ISNUMBER('Klisz-Verbräuche'!P189), 'Klisz-Verbräuche'!P189*Emissionsfaktoren!O189/1000, 0)</f>
        <v>0</v>
      </c>
      <c r="P699" s="124">
        <f>IF(ISNUMBER('Klisz-Verbräuche'!Q189), 'Klisz-Verbräuche'!Q189*Emissionsfaktoren!P189/1000, 0)</f>
        <v>0</v>
      </c>
      <c r="Q699" s="124">
        <f>IF(ISNUMBER('Klisz-Verbräuche'!R189), 'Klisz-Verbräuche'!R189*Emissionsfaktoren!Q189/1000, 0)</f>
        <v>0</v>
      </c>
      <c r="R699" s="124">
        <f>IF(ISNUMBER('Klisz-Verbräuche'!S189), 'Klisz-Verbräuche'!S189*Emissionsfaktoren!R189/1000, 0)</f>
        <v>0</v>
      </c>
      <c r="S699" s="124">
        <f>IF(ISNUMBER('Klisz-Verbräuche'!T189), 'Klisz-Verbräuche'!T189*Emissionsfaktoren!S189/1000, 0)</f>
        <v>0</v>
      </c>
      <c r="T699" s="124">
        <f>IF(ISNUMBER('Klisz-Verbräuche'!U189), 'Klisz-Verbräuche'!U189*Emissionsfaktoren!T189/1000, 0)</f>
        <v>0</v>
      </c>
      <c r="U699" s="124">
        <f>IF(ISNUMBER('Klisz-Verbräuche'!V189), 'Klisz-Verbräuche'!V189*Emissionsfaktoren!U189/1000, 0)</f>
        <v>0</v>
      </c>
      <c r="V699" s="124">
        <f>IF(ISNUMBER('Klisz-Verbräuche'!W189), 'Klisz-Verbräuche'!W189*Emissionsfaktoren!V189/1000, 0)</f>
        <v>0</v>
      </c>
      <c r="W699" s="124">
        <f>IF(ISNUMBER('Klisz-Verbräuche'!X189), 'Klisz-Verbräuche'!X189*Emissionsfaktoren!W189/1000, 0)</f>
        <v>0</v>
      </c>
      <c r="X699" s="124">
        <f>IF(ISNUMBER('Klisz-Verbräuche'!Y189), 'Klisz-Verbräuche'!Y189*Emissionsfaktoren!X189/1000, 0)</f>
        <v>0</v>
      </c>
    </row>
    <row r="700" spans="2:24" ht="16.5" hidden="1" x14ac:dyDescent="0.45">
      <c r="B700" s="15">
        <v>130</v>
      </c>
      <c r="C700" s="20" t="str">
        <f>'Refsz-Verbräuche'!C190</f>
        <v>Kupferrohr</v>
      </c>
      <c r="D700" t="s">
        <v>208</v>
      </c>
      <c r="E700" s="124">
        <f>IF(ISNUMBER('Klisz-Verbräuche'!F190), 'Klisz-Verbräuche'!F190*Emissionsfaktoren!E190/1000, 0)</f>
        <v>0</v>
      </c>
      <c r="F700" s="124">
        <f>IF(ISNUMBER('Klisz-Verbräuche'!G190), 'Klisz-Verbräuche'!G190*Emissionsfaktoren!F190/1000, 0)</f>
        <v>0</v>
      </c>
      <c r="G700" s="124">
        <f>IF(ISNUMBER('Klisz-Verbräuche'!H190), 'Klisz-Verbräuche'!H190*Emissionsfaktoren!G190/1000, 0)</f>
        <v>0</v>
      </c>
      <c r="H700" s="124">
        <f>IF(ISNUMBER('Klisz-Verbräuche'!I190), 'Klisz-Verbräuche'!I190*Emissionsfaktoren!H190/1000, 0)</f>
        <v>0</v>
      </c>
      <c r="I700" s="124">
        <f>IF(ISNUMBER('Klisz-Verbräuche'!J190), 'Klisz-Verbräuche'!J190*Emissionsfaktoren!I190/1000, 0)</f>
        <v>0</v>
      </c>
      <c r="J700" s="124">
        <f>IF(ISNUMBER('Klisz-Verbräuche'!K190), 'Klisz-Verbräuche'!K190*Emissionsfaktoren!J190/1000, 0)</f>
        <v>0</v>
      </c>
      <c r="K700" s="124">
        <f>IF(ISNUMBER('Klisz-Verbräuche'!L190), 'Klisz-Verbräuche'!L190*Emissionsfaktoren!K190/1000, 0)</f>
        <v>0</v>
      </c>
      <c r="L700" s="124">
        <f>IF(ISNUMBER('Klisz-Verbräuche'!M190), 'Klisz-Verbräuche'!M190*Emissionsfaktoren!L190/1000, 0)</f>
        <v>0</v>
      </c>
      <c r="M700" s="124">
        <f>IF(ISNUMBER('Klisz-Verbräuche'!N190), 'Klisz-Verbräuche'!N190*Emissionsfaktoren!M190/1000, 0)</f>
        <v>0</v>
      </c>
      <c r="N700" s="124">
        <f>IF(ISNUMBER('Klisz-Verbräuche'!O190), 'Klisz-Verbräuche'!O190*Emissionsfaktoren!N190/1000, 0)</f>
        <v>0</v>
      </c>
      <c r="O700" s="124">
        <f>IF(ISNUMBER('Klisz-Verbräuche'!P190), 'Klisz-Verbräuche'!P190*Emissionsfaktoren!O190/1000, 0)</f>
        <v>0</v>
      </c>
      <c r="P700" s="124">
        <f>IF(ISNUMBER('Klisz-Verbräuche'!Q190), 'Klisz-Verbräuche'!Q190*Emissionsfaktoren!P190/1000, 0)</f>
        <v>0</v>
      </c>
      <c r="Q700" s="124">
        <f>IF(ISNUMBER('Klisz-Verbräuche'!R190), 'Klisz-Verbräuche'!R190*Emissionsfaktoren!Q190/1000, 0)</f>
        <v>0</v>
      </c>
      <c r="R700" s="124">
        <f>IF(ISNUMBER('Klisz-Verbräuche'!S190), 'Klisz-Verbräuche'!S190*Emissionsfaktoren!R190/1000, 0)</f>
        <v>0</v>
      </c>
      <c r="S700" s="124">
        <f>IF(ISNUMBER('Klisz-Verbräuche'!T190), 'Klisz-Verbräuche'!T190*Emissionsfaktoren!S190/1000, 0)</f>
        <v>0</v>
      </c>
      <c r="T700" s="124">
        <f>IF(ISNUMBER('Klisz-Verbräuche'!U190), 'Klisz-Verbräuche'!U190*Emissionsfaktoren!T190/1000, 0)</f>
        <v>0</v>
      </c>
      <c r="U700" s="124">
        <f>IF(ISNUMBER('Klisz-Verbräuche'!V190), 'Klisz-Verbräuche'!V190*Emissionsfaktoren!U190/1000, 0)</f>
        <v>0</v>
      </c>
      <c r="V700" s="124">
        <f>IF(ISNUMBER('Klisz-Verbräuche'!W190), 'Klisz-Verbräuche'!W190*Emissionsfaktoren!V190/1000, 0)</f>
        <v>0</v>
      </c>
      <c r="W700" s="124">
        <f>IF(ISNUMBER('Klisz-Verbräuche'!X190), 'Klisz-Verbräuche'!X190*Emissionsfaktoren!W190/1000, 0)</f>
        <v>0</v>
      </c>
      <c r="X700" s="124">
        <f>IF(ISNUMBER('Klisz-Verbräuche'!Y190), 'Klisz-Verbräuche'!Y190*Emissionsfaktoren!X190/1000, 0)</f>
        <v>0</v>
      </c>
    </row>
    <row r="701" spans="2:24" ht="16.5" hidden="1" x14ac:dyDescent="0.45">
      <c r="B701" s="15">
        <v>131</v>
      </c>
      <c r="C701" s="20" t="str">
        <f>'Refsz-Verbräuche'!C191</f>
        <v>Stahl-Blech</v>
      </c>
      <c r="D701" t="s">
        <v>208</v>
      </c>
      <c r="E701" s="124">
        <f>IF(ISNUMBER('Klisz-Verbräuche'!F191), 'Klisz-Verbräuche'!F191*Emissionsfaktoren!E191/1000, 0)</f>
        <v>0</v>
      </c>
      <c r="F701" s="124">
        <f>IF(ISNUMBER('Klisz-Verbräuche'!G191), 'Klisz-Verbräuche'!G191*Emissionsfaktoren!F191/1000, 0)</f>
        <v>0</v>
      </c>
      <c r="G701" s="124">
        <f>IF(ISNUMBER('Klisz-Verbräuche'!H191), 'Klisz-Verbräuche'!H191*Emissionsfaktoren!G191/1000, 0)</f>
        <v>0</v>
      </c>
      <c r="H701" s="124">
        <f>IF(ISNUMBER('Klisz-Verbräuche'!I191), 'Klisz-Verbräuche'!I191*Emissionsfaktoren!H191/1000, 0)</f>
        <v>0</v>
      </c>
      <c r="I701" s="124">
        <f>IF(ISNUMBER('Klisz-Verbräuche'!J191), 'Klisz-Verbräuche'!J191*Emissionsfaktoren!I191/1000, 0)</f>
        <v>0</v>
      </c>
      <c r="J701" s="124">
        <f>IF(ISNUMBER('Klisz-Verbräuche'!K191), 'Klisz-Verbräuche'!K191*Emissionsfaktoren!J191/1000, 0)</f>
        <v>0</v>
      </c>
      <c r="K701" s="124">
        <f>IF(ISNUMBER('Klisz-Verbräuche'!L191), 'Klisz-Verbräuche'!L191*Emissionsfaktoren!K191/1000, 0)</f>
        <v>0</v>
      </c>
      <c r="L701" s="124">
        <f>IF(ISNUMBER('Klisz-Verbräuche'!M191), 'Klisz-Verbräuche'!M191*Emissionsfaktoren!L191/1000, 0)</f>
        <v>0</v>
      </c>
      <c r="M701" s="124">
        <f>IF(ISNUMBER('Klisz-Verbräuche'!N191), 'Klisz-Verbräuche'!N191*Emissionsfaktoren!M191/1000, 0)</f>
        <v>0</v>
      </c>
      <c r="N701" s="124">
        <f>IF(ISNUMBER('Klisz-Verbräuche'!O191), 'Klisz-Verbräuche'!O191*Emissionsfaktoren!N191/1000, 0)</f>
        <v>0</v>
      </c>
      <c r="O701" s="124">
        <f>IF(ISNUMBER('Klisz-Verbräuche'!P191), 'Klisz-Verbräuche'!P191*Emissionsfaktoren!O191/1000, 0)</f>
        <v>0</v>
      </c>
      <c r="P701" s="124">
        <f>IF(ISNUMBER('Klisz-Verbräuche'!Q191), 'Klisz-Verbräuche'!Q191*Emissionsfaktoren!P191/1000, 0)</f>
        <v>0</v>
      </c>
      <c r="Q701" s="124">
        <f>IF(ISNUMBER('Klisz-Verbräuche'!R191), 'Klisz-Verbräuche'!R191*Emissionsfaktoren!Q191/1000, 0)</f>
        <v>0</v>
      </c>
      <c r="R701" s="124">
        <f>IF(ISNUMBER('Klisz-Verbräuche'!S191), 'Klisz-Verbräuche'!S191*Emissionsfaktoren!R191/1000, 0)</f>
        <v>0</v>
      </c>
      <c r="S701" s="124">
        <f>IF(ISNUMBER('Klisz-Verbräuche'!T191), 'Klisz-Verbräuche'!T191*Emissionsfaktoren!S191/1000, 0)</f>
        <v>0</v>
      </c>
      <c r="T701" s="124">
        <f>IF(ISNUMBER('Klisz-Verbräuche'!U191), 'Klisz-Verbräuche'!U191*Emissionsfaktoren!T191/1000, 0)</f>
        <v>0</v>
      </c>
      <c r="U701" s="124">
        <f>IF(ISNUMBER('Klisz-Verbräuche'!V191), 'Klisz-Verbräuche'!V191*Emissionsfaktoren!U191/1000, 0)</f>
        <v>0</v>
      </c>
      <c r="V701" s="124">
        <f>IF(ISNUMBER('Klisz-Verbräuche'!W191), 'Klisz-Verbräuche'!W191*Emissionsfaktoren!V191/1000, 0)</f>
        <v>0</v>
      </c>
      <c r="W701" s="124">
        <f>IF(ISNUMBER('Klisz-Verbräuche'!X191), 'Klisz-Verbräuche'!X191*Emissionsfaktoren!W191/1000, 0)</f>
        <v>0</v>
      </c>
      <c r="X701" s="124">
        <f>IF(ISNUMBER('Klisz-Verbräuche'!Y191), 'Klisz-Verbräuche'!Y191*Emissionsfaktoren!X191/1000, 0)</f>
        <v>0</v>
      </c>
    </row>
    <row r="702" spans="2:24" ht="16.5" hidden="1" x14ac:dyDescent="0.45">
      <c r="B702" s="15">
        <v>132</v>
      </c>
      <c r="C702" s="20" t="str">
        <f>'Refsz-Verbräuche'!C192</f>
        <v>Stahl-Blech verzinkt</v>
      </c>
      <c r="D702" t="s">
        <v>208</v>
      </c>
      <c r="E702" s="124">
        <f>IF(ISNUMBER('Klisz-Verbräuche'!F192), 'Klisz-Verbräuche'!F192*Emissionsfaktoren!E192/1000, 0)</f>
        <v>0</v>
      </c>
      <c r="F702" s="124">
        <f>IF(ISNUMBER('Klisz-Verbräuche'!G192), 'Klisz-Verbräuche'!G192*Emissionsfaktoren!F192/1000, 0)</f>
        <v>0</v>
      </c>
      <c r="G702" s="124">
        <f>IF(ISNUMBER('Klisz-Verbräuche'!H192), 'Klisz-Verbräuche'!H192*Emissionsfaktoren!G192/1000, 0)</f>
        <v>0</v>
      </c>
      <c r="H702" s="124">
        <f>IF(ISNUMBER('Klisz-Verbräuche'!I192), 'Klisz-Verbräuche'!I192*Emissionsfaktoren!H192/1000, 0)</f>
        <v>0</v>
      </c>
      <c r="I702" s="124">
        <f>IF(ISNUMBER('Klisz-Verbräuche'!J192), 'Klisz-Verbräuche'!J192*Emissionsfaktoren!I192/1000, 0)</f>
        <v>0</v>
      </c>
      <c r="J702" s="124">
        <f>IF(ISNUMBER('Klisz-Verbräuche'!K192), 'Klisz-Verbräuche'!K192*Emissionsfaktoren!J192/1000, 0)</f>
        <v>0</v>
      </c>
      <c r="K702" s="124">
        <f>IF(ISNUMBER('Klisz-Verbräuche'!L192), 'Klisz-Verbräuche'!L192*Emissionsfaktoren!K192/1000, 0)</f>
        <v>0</v>
      </c>
      <c r="L702" s="124">
        <f>IF(ISNUMBER('Klisz-Verbräuche'!M192), 'Klisz-Verbräuche'!M192*Emissionsfaktoren!L192/1000, 0)</f>
        <v>0</v>
      </c>
      <c r="M702" s="124">
        <f>IF(ISNUMBER('Klisz-Verbräuche'!N192), 'Klisz-Verbräuche'!N192*Emissionsfaktoren!M192/1000, 0)</f>
        <v>0</v>
      </c>
      <c r="N702" s="124">
        <f>IF(ISNUMBER('Klisz-Verbräuche'!O192), 'Klisz-Verbräuche'!O192*Emissionsfaktoren!N192/1000, 0)</f>
        <v>0</v>
      </c>
      <c r="O702" s="124">
        <f>IF(ISNUMBER('Klisz-Verbräuche'!P192), 'Klisz-Verbräuche'!P192*Emissionsfaktoren!O192/1000, 0)</f>
        <v>0</v>
      </c>
      <c r="P702" s="124">
        <f>IF(ISNUMBER('Klisz-Verbräuche'!Q192), 'Klisz-Verbräuche'!Q192*Emissionsfaktoren!P192/1000, 0)</f>
        <v>0</v>
      </c>
      <c r="Q702" s="124">
        <f>IF(ISNUMBER('Klisz-Verbräuche'!R192), 'Klisz-Verbräuche'!R192*Emissionsfaktoren!Q192/1000, 0)</f>
        <v>0</v>
      </c>
      <c r="R702" s="124">
        <f>IF(ISNUMBER('Klisz-Verbräuche'!S192), 'Klisz-Verbräuche'!S192*Emissionsfaktoren!R192/1000, 0)</f>
        <v>0</v>
      </c>
      <c r="S702" s="124">
        <f>IF(ISNUMBER('Klisz-Verbräuche'!T192), 'Klisz-Verbräuche'!T192*Emissionsfaktoren!S192/1000, 0)</f>
        <v>0</v>
      </c>
      <c r="T702" s="124">
        <f>IF(ISNUMBER('Klisz-Verbräuche'!U192), 'Klisz-Verbräuche'!U192*Emissionsfaktoren!T192/1000, 0)</f>
        <v>0</v>
      </c>
      <c r="U702" s="124">
        <f>IF(ISNUMBER('Klisz-Verbräuche'!V192), 'Klisz-Verbräuche'!V192*Emissionsfaktoren!U192/1000, 0)</f>
        <v>0</v>
      </c>
      <c r="V702" s="124">
        <f>IF(ISNUMBER('Klisz-Verbräuche'!W192), 'Klisz-Verbräuche'!W192*Emissionsfaktoren!V192/1000, 0)</f>
        <v>0</v>
      </c>
      <c r="W702" s="124">
        <f>IF(ISNUMBER('Klisz-Verbräuche'!X192), 'Klisz-Verbräuche'!X192*Emissionsfaktoren!W192/1000, 0)</f>
        <v>0</v>
      </c>
      <c r="X702" s="124">
        <f>IF(ISNUMBER('Klisz-Verbräuche'!Y192), 'Klisz-Verbräuche'!Y192*Emissionsfaktoren!X192/1000, 0)</f>
        <v>0</v>
      </c>
    </row>
    <row r="703" spans="2:24" ht="16.5" hidden="1" x14ac:dyDescent="0.45">
      <c r="B703" s="15">
        <v>133</v>
      </c>
      <c r="C703" s="20" t="str">
        <f>'Refsz-Verbräuche'!C193</f>
        <v>Stahl-Elektro</v>
      </c>
      <c r="D703" t="s">
        <v>208</v>
      </c>
      <c r="E703" s="124">
        <f>IF(ISNUMBER('Klisz-Verbräuche'!F193), 'Klisz-Verbräuche'!F193*Emissionsfaktoren!E193/1000, 0)</f>
        <v>0</v>
      </c>
      <c r="F703" s="124">
        <f>IF(ISNUMBER('Klisz-Verbräuche'!G193), 'Klisz-Verbräuche'!G193*Emissionsfaktoren!F193/1000, 0)</f>
        <v>0</v>
      </c>
      <c r="G703" s="124">
        <f>IF(ISNUMBER('Klisz-Verbräuche'!H193), 'Klisz-Verbräuche'!H193*Emissionsfaktoren!G193/1000, 0)</f>
        <v>0</v>
      </c>
      <c r="H703" s="124">
        <f>IF(ISNUMBER('Klisz-Verbräuche'!I193), 'Klisz-Verbräuche'!I193*Emissionsfaktoren!H193/1000, 0)</f>
        <v>0</v>
      </c>
      <c r="I703" s="124">
        <f>IF(ISNUMBER('Klisz-Verbräuche'!J193), 'Klisz-Verbräuche'!J193*Emissionsfaktoren!I193/1000, 0)</f>
        <v>0</v>
      </c>
      <c r="J703" s="124">
        <f>IF(ISNUMBER('Klisz-Verbräuche'!K193), 'Klisz-Verbräuche'!K193*Emissionsfaktoren!J193/1000, 0)</f>
        <v>0</v>
      </c>
      <c r="K703" s="124">
        <f>IF(ISNUMBER('Klisz-Verbräuche'!L193), 'Klisz-Verbräuche'!L193*Emissionsfaktoren!K193/1000, 0)</f>
        <v>0</v>
      </c>
      <c r="L703" s="124">
        <f>IF(ISNUMBER('Klisz-Verbräuche'!M193), 'Klisz-Verbräuche'!M193*Emissionsfaktoren!L193/1000, 0)</f>
        <v>0</v>
      </c>
      <c r="M703" s="124">
        <f>IF(ISNUMBER('Klisz-Verbräuche'!N193), 'Klisz-Verbräuche'!N193*Emissionsfaktoren!M193/1000, 0)</f>
        <v>0</v>
      </c>
      <c r="N703" s="124">
        <f>IF(ISNUMBER('Klisz-Verbräuche'!O193), 'Klisz-Verbräuche'!O193*Emissionsfaktoren!N193/1000, 0)</f>
        <v>0</v>
      </c>
      <c r="O703" s="124">
        <f>IF(ISNUMBER('Klisz-Verbräuche'!P193), 'Klisz-Verbräuche'!P193*Emissionsfaktoren!O193/1000, 0)</f>
        <v>0</v>
      </c>
      <c r="P703" s="124">
        <f>IF(ISNUMBER('Klisz-Verbräuche'!Q193), 'Klisz-Verbräuche'!Q193*Emissionsfaktoren!P193/1000, 0)</f>
        <v>0</v>
      </c>
      <c r="Q703" s="124">
        <f>IF(ISNUMBER('Klisz-Verbräuche'!R193), 'Klisz-Verbräuche'!R193*Emissionsfaktoren!Q193/1000, 0)</f>
        <v>0</v>
      </c>
      <c r="R703" s="124">
        <f>IF(ISNUMBER('Klisz-Verbräuche'!S193), 'Klisz-Verbräuche'!S193*Emissionsfaktoren!R193/1000, 0)</f>
        <v>0</v>
      </c>
      <c r="S703" s="124">
        <f>IF(ISNUMBER('Klisz-Verbräuche'!T193), 'Klisz-Verbräuche'!T193*Emissionsfaktoren!S193/1000, 0)</f>
        <v>0</v>
      </c>
      <c r="T703" s="124">
        <f>IF(ISNUMBER('Klisz-Verbräuche'!U193), 'Klisz-Verbräuche'!U193*Emissionsfaktoren!T193/1000, 0)</f>
        <v>0</v>
      </c>
      <c r="U703" s="124">
        <f>IF(ISNUMBER('Klisz-Verbräuche'!V193), 'Klisz-Verbräuche'!V193*Emissionsfaktoren!U193/1000, 0)</f>
        <v>0</v>
      </c>
      <c r="V703" s="124">
        <f>IF(ISNUMBER('Klisz-Verbräuche'!W193), 'Klisz-Verbräuche'!W193*Emissionsfaktoren!V193/1000, 0)</f>
        <v>0</v>
      </c>
      <c r="W703" s="124">
        <f>IF(ISNUMBER('Klisz-Verbräuche'!X193), 'Klisz-Verbräuche'!X193*Emissionsfaktoren!W193/1000, 0)</f>
        <v>0</v>
      </c>
      <c r="X703" s="124">
        <f>IF(ISNUMBER('Klisz-Verbräuche'!Y193), 'Klisz-Verbräuche'!Y193*Emissionsfaktoren!X193/1000, 0)</f>
        <v>0</v>
      </c>
    </row>
    <row r="704" spans="2:24" ht="16.5" hidden="1" x14ac:dyDescent="0.45">
      <c r="B704" s="15">
        <v>134</v>
      </c>
      <c r="C704" s="20" t="str">
        <f>'Refsz-Verbräuche'!C194</f>
        <v>Stahl-mix</v>
      </c>
      <c r="D704" t="s">
        <v>208</v>
      </c>
      <c r="E704" s="124">
        <f>IF(ISNUMBER('Klisz-Verbräuche'!F194), 'Klisz-Verbräuche'!F194*Emissionsfaktoren!E194/1000, 0)</f>
        <v>0</v>
      </c>
      <c r="F704" s="124">
        <f>IF(ISNUMBER('Klisz-Verbräuche'!G194), 'Klisz-Verbräuche'!G194*Emissionsfaktoren!F194/1000, 0)</f>
        <v>0</v>
      </c>
      <c r="G704" s="124">
        <f>IF(ISNUMBER('Klisz-Verbräuche'!H194), 'Klisz-Verbräuche'!H194*Emissionsfaktoren!G194/1000, 0)</f>
        <v>0</v>
      </c>
      <c r="H704" s="124">
        <f>IF(ISNUMBER('Klisz-Verbräuche'!I194), 'Klisz-Verbräuche'!I194*Emissionsfaktoren!H194/1000, 0)</f>
        <v>0</v>
      </c>
      <c r="I704" s="124">
        <f>IF(ISNUMBER('Klisz-Verbräuche'!J194), 'Klisz-Verbräuche'!J194*Emissionsfaktoren!I194/1000, 0)</f>
        <v>0</v>
      </c>
      <c r="J704" s="124">
        <f>IF(ISNUMBER('Klisz-Verbräuche'!K194), 'Klisz-Verbräuche'!K194*Emissionsfaktoren!J194/1000, 0)</f>
        <v>0</v>
      </c>
      <c r="K704" s="124">
        <f>IF(ISNUMBER('Klisz-Verbräuche'!L194), 'Klisz-Verbräuche'!L194*Emissionsfaktoren!K194/1000, 0)</f>
        <v>0</v>
      </c>
      <c r="L704" s="124">
        <f>IF(ISNUMBER('Klisz-Verbräuche'!M194), 'Klisz-Verbräuche'!M194*Emissionsfaktoren!L194/1000, 0)</f>
        <v>0</v>
      </c>
      <c r="M704" s="124">
        <f>IF(ISNUMBER('Klisz-Verbräuche'!N194), 'Klisz-Verbräuche'!N194*Emissionsfaktoren!M194/1000, 0)</f>
        <v>0</v>
      </c>
      <c r="N704" s="124">
        <f>IF(ISNUMBER('Klisz-Verbräuche'!O194), 'Klisz-Verbräuche'!O194*Emissionsfaktoren!N194/1000, 0)</f>
        <v>0</v>
      </c>
      <c r="O704" s="124">
        <f>IF(ISNUMBER('Klisz-Verbräuche'!P194), 'Klisz-Verbräuche'!P194*Emissionsfaktoren!O194/1000, 0)</f>
        <v>0</v>
      </c>
      <c r="P704" s="124">
        <f>IF(ISNUMBER('Klisz-Verbräuche'!Q194), 'Klisz-Verbräuche'!Q194*Emissionsfaktoren!P194/1000, 0)</f>
        <v>0</v>
      </c>
      <c r="Q704" s="124">
        <f>IF(ISNUMBER('Klisz-Verbräuche'!R194), 'Klisz-Verbräuche'!R194*Emissionsfaktoren!Q194/1000, 0)</f>
        <v>0</v>
      </c>
      <c r="R704" s="124">
        <f>IF(ISNUMBER('Klisz-Verbräuche'!S194), 'Klisz-Verbräuche'!S194*Emissionsfaktoren!R194/1000, 0)</f>
        <v>0</v>
      </c>
      <c r="S704" s="124">
        <f>IF(ISNUMBER('Klisz-Verbräuche'!T194), 'Klisz-Verbräuche'!T194*Emissionsfaktoren!S194/1000, 0)</f>
        <v>0</v>
      </c>
      <c r="T704" s="124">
        <f>IF(ISNUMBER('Klisz-Verbräuche'!U194), 'Klisz-Verbräuche'!U194*Emissionsfaktoren!T194/1000, 0)</f>
        <v>0</v>
      </c>
      <c r="U704" s="124">
        <f>IF(ISNUMBER('Klisz-Verbräuche'!V194), 'Klisz-Verbräuche'!V194*Emissionsfaktoren!U194/1000, 0)</f>
        <v>0</v>
      </c>
      <c r="V704" s="124">
        <f>IF(ISNUMBER('Klisz-Verbräuche'!W194), 'Klisz-Verbräuche'!W194*Emissionsfaktoren!V194/1000, 0)</f>
        <v>0</v>
      </c>
      <c r="W704" s="124">
        <f>IF(ISNUMBER('Klisz-Verbräuche'!X194), 'Klisz-Verbräuche'!X194*Emissionsfaktoren!W194/1000, 0)</f>
        <v>0</v>
      </c>
      <c r="X704" s="124">
        <f>IF(ISNUMBER('Klisz-Verbräuche'!Y194), 'Klisz-Verbräuche'!Y194*Emissionsfaktoren!X194/1000, 0)</f>
        <v>0</v>
      </c>
    </row>
    <row r="705" spans="2:24" ht="16.5" hidden="1" x14ac:dyDescent="0.45">
      <c r="B705" s="15">
        <v>135</v>
      </c>
      <c r="C705" s="20" t="str">
        <f>'Refsz-Verbräuche'!C195</f>
        <v>Beton</v>
      </c>
      <c r="D705" t="s">
        <v>208</v>
      </c>
      <c r="E705" s="124">
        <f>IF(ISNUMBER('Klisz-Verbräuche'!F195), 'Klisz-Verbräuche'!F195*Emissionsfaktoren!E195/1000, 0)</f>
        <v>0</v>
      </c>
      <c r="F705" s="124">
        <f>IF(ISNUMBER('Klisz-Verbräuche'!G195), 'Klisz-Verbräuche'!G195*Emissionsfaktoren!F195/1000, 0)</f>
        <v>0</v>
      </c>
      <c r="G705" s="124">
        <f>IF(ISNUMBER('Klisz-Verbräuche'!H195), 'Klisz-Verbräuche'!H195*Emissionsfaktoren!G195/1000, 0)</f>
        <v>0</v>
      </c>
      <c r="H705" s="124">
        <f>IF(ISNUMBER('Klisz-Verbräuche'!I195), 'Klisz-Verbräuche'!I195*Emissionsfaktoren!H195/1000, 0)</f>
        <v>0</v>
      </c>
      <c r="I705" s="124">
        <f>IF(ISNUMBER('Klisz-Verbräuche'!J195), 'Klisz-Verbräuche'!J195*Emissionsfaktoren!I195/1000, 0)</f>
        <v>0</v>
      </c>
      <c r="J705" s="124">
        <f>IF(ISNUMBER('Klisz-Verbräuche'!K195), 'Klisz-Verbräuche'!K195*Emissionsfaktoren!J195/1000, 0)</f>
        <v>0</v>
      </c>
      <c r="K705" s="124">
        <f>IF(ISNUMBER('Klisz-Verbräuche'!L195), 'Klisz-Verbräuche'!L195*Emissionsfaktoren!K195/1000, 0)</f>
        <v>0</v>
      </c>
      <c r="L705" s="124">
        <f>IF(ISNUMBER('Klisz-Verbräuche'!M195), 'Klisz-Verbräuche'!M195*Emissionsfaktoren!L195/1000, 0)</f>
        <v>0</v>
      </c>
      <c r="M705" s="124">
        <f>IF(ISNUMBER('Klisz-Verbräuche'!N195), 'Klisz-Verbräuche'!N195*Emissionsfaktoren!M195/1000, 0)</f>
        <v>0</v>
      </c>
      <c r="N705" s="124">
        <f>IF(ISNUMBER('Klisz-Verbräuche'!O195), 'Klisz-Verbräuche'!O195*Emissionsfaktoren!N195/1000, 0)</f>
        <v>0</v>
      </c>
      <c r="O705" s="124">
        <f>IF(ISNUMBER('Klisz-Verbräuche'!P195), 'Klisz-Verbräuche'!P195*Emissionsfaktoren!O195/1000, 0)</f>
        <v>0</v>
      </c>
      <c r="P705" s="124">
        <f>IF(ISNUMBER('Klisz-Verbräuche'!Q195), 'Klisz-Verbräuche'!Q195*Emissionsfaktoren!P195/1000, 0)</f>
        <v>0</v>
      </c>
      <c r="Q705" s="124">
        <f>IF(ISNUMBER('Klisz-Verbräuche'!R195), 'Klisz-Verbräuche'!R195*Emissionsfaktoren!Q195/1000, 0)</f>
        <v>0</v>
      </c>
      <c r="R705" s="124">
        <f>IF(ISNUMBER('Klisz-Verbräuche'!S195), 'Klisz-Verbräuche'!S195*Emissionsfaktoren!R195/1000, 0)</f>
        <v>0</v>
      </c>
      <c r="S705" s="124">
        <f>IF(ISNUMBER('Klisz-Verbräuche'!T195), 'Klisz-Verbräuche'!T195*Emissionsfaktoren!S195/1000, 0)</f>
        <v>0</v>
      </c>
      <c r="T705" s="124">
        <f>IF(ISNUMBER('Klisz-Verbräuche'!U195), 'Klisz-Verbräuche'!U195*Emissionsfaktoren!T195/1000, 0)</f>
        <v>0</v>
      </c>
      <c r="U705" s="124">
        <f>IF(ISNUMBER('Klisz-Verbräuche'!V195), 'Klisz-Verbräuche'!V195*Emissionsfaktoren!U195/1000, 0)</f>
        <v>0</v>
      </c>
      <c r="V705" s="124">
        <f>IF(ISNUMBER('Klisz-Verbräuche'!W195), 'Klisz-Verbräuche'!W195*Emissionsfaktoren!V195/1000, 0)</f>
        <v>0</v>
      </c>
      <c r="W705" s="124">
        <f>IF(ISNUMBER('Klisz-Verbräuche'!X195), 'Klisz-Verbräuche'!X195*Emissionsfaktoren!W195/1000, 0)</f>
        <v>0</v>
      </c>
      <c r="X705" s="124">
        <f>IF(ISNUMBER('Klisz-Verbräuche'!Y195), 'Klisz-Verbräuche'!Y195*Emissionsfaktoren!X195/1000, 0)</f>
        <v>0</v>
      </c>
    </row>
    <row r="706" spans="2:24" ht="16.5" hidden="1" x14ac:dyDescent="0.45">
      <c r="B706" s="15">
        <v>136</v>
      </c>
      <c r="C706" s="20" t="str">
        <f>'Refsz-Verbräuche'!C196</f>
        <v>Glaswolle</v>
      </c>
      <c r="D706" t="s">
        <v>208</v>
      </c>
      <c r="E706" s="124">
        <f>IF(ISNUMBER('Klisz-Verbräuche'!F196), 'Klisz-Verbräuche'!F196*Emissionsfaktoren!E196/1000, 0)</f>
        <v>0</v>
      </c>
      <c r="F706" s="124">
        <f>IF(ISNUMBER('Klisz-Verbräuche'!G196), 'Klisz-Verbräuche'!G196*Emissionsfaktoren!F196/1000, 0)</f>
        <v>0</v>
      </c>
      <c r="G706" s="124">
        <f>IF(ISNUMBER('Klisz-Verbräuche'!H196), 'Klisz-Verbräuche'!H196*Emissionsfaktoren!G196/1000, 0)</f>
        <v>0</v>
      </c>
      <c r="H706" s="124">
        <f>IF(ISNUMBER('Klisz-Verbräuche'!I196), 'Klisz-Verbräuche'!I196*Emissionsfaktoren!H196/1000, 0)</f>
        <v>0</v>
      </c>
      <c r="I706" s="124">
        <f>IF(ISNUMBER('Klisz-Verbräuche'!J196), 'Klisz-Verbräuche'!J196*Emissionsfaktoren!I196/1000, 0)</f>
        <v>0</v>
      </c>
      <c r="J706" s="124">
        <f>IF(ISNUMBER('Klisz-Verbräuche'!K196), 'Klisz-Verbräuche'!K196*Emissionsfaktoren!J196/1000, 0)</f>
        <v>0</v>
      </c>
      <c r="K706" s="124">
        <f>IF(ISNUMBER('Klisz-Verbräuche'!L196), 'Klisz-Verbräuche'!L196*Emissionsfaktoren!K196/1000, 0)</f>
        <v>0</v>
      </c>
      <c r="L706" s="124">
        <f>IF(ISNUMBER('Klisz-Verbräuche'!M196), 'Klisz-Verbräuche'!M196*Emissionsfaktoren!L196/1000, 0)</f>
        <v>0</v>
      </c>
      <c r="M706" s="124">
        <f>IF(ISNUMBER('Klisz-Verbräuche'!N196), 'Klisz-Verbräuche'!N196*Emissionsfaktoren!M196/1000, 0)</f>
        <v>0</v>
      </c>
      <c r="N706" s="124">
        <f>IF(ISNUMBER('Klisz-Verbräuche'!O196), 'Klisz-Verbräuche'!O196*Emissionsfaktoren!N196/1000, 0)</f>
        <v>0</v>
      </c>
      <c r="O706" s="124">
        <f>IF(ISNUMBER('Klisz-Verbräuche'!P196), 'Klisz-Verbräuche'!P196*Emissionsfaktoren!O196/1000, 0)</f>
        <v>0</v>
      </c>
      <c r="P706" s="124">
        <f>IF(ISNUMBER('Klisz-Verbräuche'!Q196), 'Klisz-Verbräuche'!Q196*Emissionsfaktoren!P196/1000, 0)</f>
        <v>0</v>
      </c>
      <c r="Q706" s="124">
        <f>IF(ISNUMBER('Klisz-Verbräuche'!R196), 'Klisz-Verbräuche'!R196*Emissionsfaktoren!Q196/1000, 0)</f>
        <v>0</v>
      </c>
      <c r="R706" s="124">
        <f>IF(ISNUMBER('Klisz-Verbräuche'!S196), 'Klisz-Verbräuche'!S196*Emissionsfaktoren!R196/1000, 0)</f>
        <v>0</v>
      </c>
      <c r="S706" s="124">
        <f>IF(ISNUMBER('Klisz-Verbräuche'!T196), 'Klisz-Verbräuche'!T196*Emissionsfaktoren!S196/1000, 0)</f>
        <v>0</v>
      </c>
      <c r="T706" s="124">
        <f>IF(ISNUMBER('Klisz-Verbräuche'!U196), 'Klisz-Verbräuche'!U196*Emissionsfaktoren!T196/1000, 0)</f>
        <v>0</v>
      </c>
      <c r="U706" s="124">
        <f>IF(ISNUMBER('Klisz-Verbräuche'!V196), 'Klisz-Verbräuche'!V196*Emissionsfaktoren!U196/1000, 0)</f>
        <v>0</v>
      </c>
      <c r="V706" s="124">
        <f>IF(ISNUMBER('Klisz-Verbräuche'!W196), 'Klisz-Verbräuche'!W196*Emissionsfaktoren!V196/1000, 0)</f>
        <v>0</v>
      </c>
      <c r="W706" s="124">
        <f>IF(ISNUMBER('Klisz-Verbräuche'!X196), 'Klisz-Verbräuche'!X196*Emissionsfaktoren!W196/1000, 0)</f>
        <v>0</v>
      </c>
      <c r="X706" s="124">
        <f>IF(ISNUMBER('Klisz-Verbräuche'!Y196), 'Klisz-Verbräuche'!Y196*Emissionsfaktoren!X196/1000, 0)</f>
        <v>0</v>
      </c>
    </row>
    <row r="707" spans="2:24" ht="16.5" hidden="1" x14ac:dyDescent="0.45">
      <c r="B707" s="15">
        <v>137</v>
      </c>
      <c r="C707" s="20" t="str">
        <f>'Refsz-Verbräuche'!C197</f>
        <v>Konstruktionsvollholz</v>
      </c>
      <c r="D707" t="s">
        <v>208</v>
      </c>
      <c r="E707" s="124">
        <f>IF(ISNUMBER('Klisz-Verbräuche'!F197), 'Klisz-Verbräuche'!F197*Emissionsfaktoren!E197/1000, 0)</f>
        <v>0</v>
      </c>
      <c r="F707" s="124">
        <f>IF(ISNUMBER('Klisz-Verbräuche'!G197), 'Klisz-Verbräuche'!G197*Emissionsfaktoren!F197/1000, 0)</f>
        <v>0</v>
      </c>
      <c r="G707" s="124">
        <f>IF(ISNUMBER('Klisz-Verbräuche'!H197), 'Klisz-Verbräuche'!H197*Emissionsfaktoren!G197/1000, 0)</f>
        <v>0</v>
      </c>
      <c r="H707" s="124">
        <f>IF(ISNUMBER('Klisz-Verbräuche'!I197), 'Klisz-Verbräuche'!I197*Emissionsfaktoren!H197/1000, 0)</f>
        <v>0</v>
      </c>
      <c r="I707" s="124">
        <f>IF(ISNUMBER('Klisz-Verbräuche'!J197), 'Klisz-Verbräuche'!J197*Emissionsfaktoren!I197/1000, 0)</f>
        <v>0</v>
      </c>
      <c r="J707" s="124">
        <f>IF(ISNUMBER('Klisz-Verbräuche'!K197), 'Klisz-Verbräuche'!K197*Emissionsfaktoren!J197/1000, 0)</f>
        <v>0</v>
      </c>
      <c r="K707" s="124">
        <f>IF(ISNUMBER('Klisz-Verbräuche'!L197), 'Klisz-Verbräuche'!L197*Emissionsfaktoren!K197/1000, 0)</f>
        <v>0</v>
      </c>
      <c r="L707" s="124">
        <f>IF(ISNUMBER('Klisz-Verbräuche'!M197), 'Klisz-Verbräuche'!M197*Emissionsfaktoren!L197/1000, 0)</f>
        <v>0</v>
      </c>
      <c r="M707" s="124">
        <f>IF(ISNUMBER('Klisz-Verbräuche'!N197), 'Klisz-Verbräuche'!N197*Emissionsfaktoren!M197/1000, 0)</f>
        <v>0</v>
      </c>
      <c r="N707" s="124">
        <f>IF(ISNUMBER('Klisz-Verbräuche'!O197), 'Klisz-Verbräuche'!O197*Emissionsfaktoren!N197/1000, 0)</f>
        <v>0</v>
      </c>
      <c r="O707" s="124">
        <f>IF(ISNUMBER('Klisz-Verbräuche'!P197), 'Klisz-Verbräuche'!P197*Emissionsfaktoren!O197/1000, 0)</f>
        <v>0</v>
      </c>
      <c r="P707" s="124">
        <f>IF(ISNUMBER('Klisz-Verbräuche'!Q197), 'Klisz-Verbräuche'!Q197*Emissionsfaktoren!P197/1000, 0)</f>
        <v>0</v>
      </c>
      <c r="Q707" s="124">
        <f>IF(ISNUMBER('Klisz-Verbräuche'!R197), 'Klisz-Verbräuche'!R197*Emissionsfaktoren!Q197/1000, 0)</f>
        <v>0</v>
      </c>
      <c r="R707" s="124">
        <f>IF(ISNUMBER('Klisz-Verbräuche'!S197), 'Klisz-Verbräuche'!S197*Emissionsfaktoren!R197/1000, 0)</f>
        <v>0</v>
      </c>
      <c r="S707" s="124">
        <f>IF(ISNUMBER('Klisz-Verbräuche'!T197), 'Klisz-Verbräuche'!T197*Emissionsfaktoren!S197/1000, 0)</f>
        <v>0</v>
      </c>
      <c r="T707" s="124">
        <f>IF(ISNUMBER('Klisz-Verbräuche'!U197), 'Klisz-Verbräuche'!U197*Emissionsfaktoren!T197/1000, 0)</f>
        <v>0</v>
      </c>
      <c r="U707" s="124">
        <f>IF(ISNUMBER('Klisz-Verbräuche'!V197), 'Klisz-Verbräuche'!V197*Emissionsfaktoren!U197/1000, 0)</f>
        <v>0</v>
      </c>
      <c r="V707" s="124">
        <f>IF(ISNUMBER('Klisz-Verbräuche'!W197), 'Klisz-Verbräuche'!W197*Emissionsfaktoren!V197/1000, 0)</f>
        <v>0</v>
      </c>
      <c r="W707" s="124">
        <f>IF(ISNUMBER('Klisz-Verbräuche'!X197), 'Klisz-Verbräuche'!X197*Emissionsfaktoren!W197/1000, 0)</f>
        <v>0</v>
      </c>
      <c r="X707" s="124">
        <f>IF(ISNUMBER('Klisz-Verbräuche'!Y197), 'Klisz-Verbräuche'!Y197*Emissionsfaktoren!X197/1000, 0)</f>
        <v>0</v>
      </c>
    </row>
    <row r="708" spans="2:24" ht="16.5" hidden="1" x14ac:dyDescent="0.45">
      <c r="B708" s="15">
        <v>138</v>
      </c>
      <c r="C708" s="20" t="str">
        <f>'Refsz-Verbräuche'!C198</f>
        <v>Spanplatte</v>
      </c>
      <c r="D708" t="s">
        <v>208</v>
      </c>
      <c r="E708" s="124">
        <f>IF(ISNUMBER('Klisz-Verbräuche'!F198), 'Klisz-Verbräuche'!F198*Emissionsfaktoren!E198/1000, 0)</f>
        <v>0</v>
      </c>
      <c r="F708" s="124">
        <f>IF(ISNUMBER('Klisz-Verbräuche'!G198), 'Klisz-Verbräuche'!G198*Emissionsfaktoren!F198/1000, 0)</f>
        <v>0</v>
      </c>
      <c r="G708" s="124">
        <f>IF(ISNUMBER('Klisz-Verbräuche'!H198), 'Klisz-Verbräuche'!H198*Emissionsfaktoren!G198/1000, 0)</f>
        <v>0</v>
      </c>
      <c r="H708" s="124">
        <f>IF(ISNUMBER('Klisz-Verbräuche'!I198), 'Klisz-Verbräuche'!I198*Emissionsfaktoren!H198/1000, 0)</f>
        <v>0</v>
      </c>
      <c r="I708" s="124">
        <f>IF(ISNUMBER('Klisz-Verbräuche'!J198), 'Klisz-Verbräuche'!J198*Emissionsfaktoren!I198/1000, 0)</f>
        <v>0</v>
      </c>
      <c r="J708" s="124">
        <f>IF(ISNUMBER('Klisz-Verbräuche'!K198), 'Klisz-Verbräuche'!K198*Emissionsfaktoren!J198/1000, 0)</f>
        <v>0</v>
      </c>
      <c r="K708" s="124">
        <f>IF(ISNUMBER('Klisz-Verbräuche'!L198), 'Klisz-Verbräuche'!L198*Emissionsfaktoren!K198/1000, 0)</f>
        <v>0</v>
      </c>
      <c r="L708" s="124">
        <f>IF(ISNUMBER('Klisz-Verbräuche'!M198), 'Klisz-Verbräuche'!M198*Emissionsfaktoren!L198/1000, 0)</f>
        <v>0</v>
      </c>
      <c r="M708" s="124">
        <f>IF(ISNUMBER('Klisz-Verbräuche'!N198), 'Klisz-Verbräuche'!N198*Emissionsfaktoren!M198/1000, 0)</f>
        <v>0</v>
      </c>
      <c r="N708" s="124">
        <f>IF(ISNUMBER('Klisz-Verbräuche'!O198), 'Klisz-Verbräuche'!O198*Emissionsfaktoren!N198/1000, 0)</f>
        <v>0</v>
      </c>
      <c r="O708" s="124">
        <f>IF(ISNUMBER('Klisz-Verbräuche'!P198), 'Klisz-Verbräuche'!P198*Emissionsfaktoren!O198/1000, 0)</f>
        <v>0</v>
      </c>
      <c r="P708" s="124">
        <f>IF(ISNUMBER('Klisz-Verbräuche'!Q198), 'Klisz-Verbräuche'!Q198*Emissionsfaktoren!P198/1000, 0)</f>
        <v>0</v>
      </c>
      <c r="Q708" s="124">
        <f>IF(ISNUMBER('Klisz-Verbräuche'!R198), 'Klisz-Verbräuche'!R198*Emissionsfaktoren!Q198/1000, 0)</f>
        <v>0</v>
      </c>
      <c r="R708" s="124">
        <f>IF(ISNUMBER('Klisz-Verbräuche'!S198), 'Klisz-Verbräuche'!S198*Emissionsfaktoren!R198/1000, 0)</f>
        <v>0</v>
      </c>
      <c r="S708" s="124">
        <f>IF(ISNUMBER('Klisz-Verbräuche'!T198), 'Klisz-Verbräuche'!T198*Emissionsfaktoren!S198/1000, 0)</f>
        <v>0</v>
      </c>
      <c r="T708" s="124">
        <f>IF(ISNUMBER('Klisz-Verbräuche'!U198), 'Klisz-Verbräuche'!U198*Emissionsfaktoren!T198/1000, 0)</f>
        <v>0</v>
      </c>
      <c r="U708" s="124">
        <f>IF(ISNUMBER('Klisz-Verbräuche'!V198), 'Klisz-Verbräuche'!V198*Emissionsfaktoren!U198/1000, 0)</f>
        <v>0</v>
      </c>
      <c r="V708" s="124">
        <f>IF(ISNUMBER('Klisz-Verbräuche'!W198), 'Klisz-Verbräuche'!W198*Emissionsfaktoren!V198/1000, 0)</f>
        <v>0</v>
      </c>
      <c r="W708" s="124">
        <f>IF(ISNUMBER('Klisz-Verbräuche'!X198), 'Klisz-Verbräuche'!X198*Emissionsfaktoren!W198/1000, 0)</f>
        <v>0</v>
      </c>
      <c r="X708" s="124">
        <f>IF(ISNUMBER('Klisz-Verbräuche'!Y198), 'Klisz-Verbräuche'!Y198*Emissionsfaktoren!X198/1000, 0)</f>
        <v>0</v>
      </c>
    </row>
    <row r="709" spans="2:24" ht="16.5" hidden="1" x14ac:dyDescent="0.45">
      <c r="B709" s="15">
        <v>139</v>
      </c>
      <c r="C709" s="20" t="str">
        <f>'Refsz-Verbräuche'!C199</f>
        <v>Perlit</v>
      </c>
      <c r="D709" t="s">
        <v>208</v>
      </c>
      <c r="E709" s="124">
        <f>IF(ISNUMBER('Klisz-Verbräuche'!F199), 'Klisz-Verbräuche'!F199*Emissionsfaktoren!E199/1000, 0)</f>
        <v>0</v>
      </c>
      <c r="F709" s="124">
        <f>IF(ISNUMBER('Klisz-Verbräuche'!G199), 'Klisz-Verbräuche'!G199*Emissionsfaktoren!F199/1000, 0)</f>
        <v>0</v>
      </c>
      <c r="G709" s="124">
        <f>IF(ISNUMBER('Klisz-Verbräuche'!H199), 'Klisz-Verbräuche'!H199*Emissionsfaktoren!G199/1000, 0)</f>
        <v>0</v>
      </c>
      <c r="H709" s="124">
        <f>IF(ISNUMBER('Klisz-Verbräuche'!I199), 'Klisz-Verbräuche'!I199*Emissionsfaktoren!H199/1000, 0)</f>
        <v>0</v>
      </c>
      <c r="I709" s="124">
        <f>IF(ISNUMBER('Klisz-Verbräuche'!J199), 'Klisz-Verbräuche'!J199*Emissionsfaktoren!I199/1000, 0)</f>
        <v>0</v>
      </c>
      <c r="J709" s="124">
        <f>IF(ISNUMBER('Klisz-Verbräuche'!K199), 'Klisz-Verbräuche'!K199*Emissionsfaktoren!J199/1000, 0)</f>
        <v>0</v>
      </c>
      <c r="K709" s="124">
        <f>IF(ISNUMBER('Klisz-Verbräuche'!L199), 'Klisz-Verbräuche'!L199*Emissionsfaktoren!K199/1000, 0)</f>
        <v>0</v>
      </c>
      <c r="L709" s="124">
        <f>IF(ISNUMBER('Klisz-Verbräuche'!M199), 'Klisz-Verbräuche'!M199*Emissionsfaktoren!L199/1000, 0)</f>
        <v>0</v>
      </c>
      <c r="M709" s="124">
        <f>IF(ISNUMBER('Klisz-Verbräuche'!N199), 'Klisz-Verbräuche'!N199*Emissionsfaktoren!M199/1000, 0)</f>
        <v>0</v>
      </c>
      <c r="N709" s="124">
        <f>IF(ISNUMBER('Klisz-Verbräuche'!O199), 'Klisz-Verbräuche'!O199*Emissionsfaktoren!N199/1000, 0)</f>
        <v>0</v>
      </c>
      <c r="O709" s="124">
        <f>IF(ISNUMBER('Klisz-Verbräuche'!P199), 'Klisz-Verbräuche'!P199*Emissionsfaktoren!O199/1000, 0)</f>
        <v>0</v>
      </c>
      <c r="P709" s="124">
        <f>IF(ISNUMBER('Klisz-Verbräuche'!Q199), 'Klisz-Verbräuche'!Q199*Emissionsfaktoren!P199/1000, 0)</f>
        <v>0</v>
      </c>
      <c r="Q709" s="124">
        <f>IF(ISNUMBER('Klisz-Verbräuche'!R199), 'Klisz-Verbräuche'!R199*Emissionsfaktoren!Q199/1000, 0)</f>
        <v>0</v>
      </c>
      <c r="R709" s="124">
        <f>IF(ISNUMBER('Klisz-Verbräuche'!S199), 'Klisz-Verbräuche'!S199*Emissionsfaktoren!R199/1000, 0)</f>
        <v>0</v>
      </c>
      <c r="S709" s="124">
        <f>IF(ISNUMBER('Klisz-Verbräuche'!T199), 'Klisz-Verbräuche'!T199*Emissionsfaktoren!S199/1000, 0)</f>
        <v>0</v>
      </c>
      <c r="T709" s="124">
        <f>IF(ISNUMBER('Klisz-Verbräuche'!U199), 'Klisz-Verbräuche'!U199*Emissionsfaktoren!T199/1000, 0)</f>
        <v>0</v>
      </c>
      <c r="U709" s="124">
        <f>IF(ISNUMBER('Klisz-Verbräuche'!V199), 'Klisz-Verbräuche'!V199*Emissionsfaktoren!U199/1000, 0)</f>
        <v>0</v>
      </c>
      <c r="V709" s="124">
        <f>IF(ISNUMBER('Klisz-Verbräuche'!W199), 'Klisz-Verbräuche'!W199*Emissionsfaktoren!V199/1000, 0)</f>
        <v>0</v>
      </c>
      <c r="W709" s="124">
        <f>IF(ISNUMBER('Klisz-Verbräuche'!X199), 'Klisz-Verbräuche'!X199*Emissionsfaktoren!W199/1000, 0)</f>
        <v>0</v>
      </c>
      <c r="X709" s="124">
        <f>IF(ISNUMBER('Klisz-Verbräuche'!Y199), 'Klisz-Verbräuche'!Y199*Emissionsfaktoren!X199/1000, 0)</f>
        <v>0</v>
      </c>
    </row>
    <row r="710" spans="2:24" ht="16.5" hidden="1" x14ac:dyDescent="0.45">
      <c r="B710" s="15">
        <v>140</v>
      </c>
      <c r="C710" s="20" t="str">
        <f>'Refsz-Verbräuche'!C200</f>
        <v>Stahlbeton Fertigteil Decke (20cm Dicke)</v>
      </c>
      <c r="D710" t="s">
        <v>208</v>
      </c>
      <c r="E710" s="124">
        <f>IF(ISNUMBER('Klisz-Verbräuche'!F200), 'Klisz-Verbräuche'!F200*Emissionsfaktoren!E200/1000, 0)</f>
        <v>0</v>
      </c>
      <c r="F710" s="124">
        <f>IF(ISNUMBER('Klisz-Verbräuche'!G200), 'Klisz-Verbräuche'!G200*Emissionsfaktoren!F200/1000, 0)</f>
        <v>0</v>
      </c>
      <c r="G710" s="124">
        <f>IF(ISNUMBER('Klisz-Verbräuche'!H200), 'Klisz-Verbräuche'!H200*Emissionsfaktoren!G200/1000, 0)</f>
        <v>0</v>
      </c>
      <c r="H710" s="124">
        <f>IF(ISNUMBER('Klisz-Verbräuche'!I200), 'Klisz-Verbräuche'!I200*Emissionsfaktoren!H200/1000, 0)</f>
        <v>0</v>
      </c>
      <c r="I710" s="124">
        <f>IF(ISNUMBER('Klisz-Verbräuche'!J200), 'Klisz-Verbräuche'!J200*Emissionsfaktoren!I200/1000, 0)</f>
        <v>0</v>
      </c>
      <c r="J710" s="124">
        <f>IF(ISNUMBER('Klisz-Verbräuche'!K200), 'Klisz-Verbräuche'!K200*Emissionsfaktoren!J200/1000, 0)</f>
        <v>0</v>
      </c>
      <c r="K710" s="124">
        <f>IF(ISNUMBER('Klisz-Verbräuche'!L200), 'Klisz-Verbräuche'!L200*Emissionsfaktoren!K200/1000, 0)</f>
        <v>0</v>
      </c>
      <c r="L710" s="124">
        <f>IF(ISNUMBER('Klisz-Verbräuche'!M200), 'Klisz-Verbräuche'!M200*Emissionsfaktoren!L200/1000, 0)</f>
        <v>0</v>
      </c>
      <c r="M710" s="124">
        <f>IF(ISNUMBER('Klisz-Verbräuche'!N200), 'Klisz-Verbräuche'!N200*Emissionsfaktoren!M200/1000, 0)</f>
        <v>0</v>
      </c>
      <c r="N710" s="124">
        <f>IF(ISNUMBER('Klisz-Verbräuche'!O200), 'Klisz-Verbräuche'!O200*Emissionsfaktoren!N200/1000, 0)</f>
        <v>0</v>
      </c>
      <c r="O710" s="124">
        <f>IF(ISNUMBER('Klisz-Verbräuche'!P200), 'Klisz-Verbräuche'!P200*Emissionsfaktoren!O200/1000, 0)</f>
        <v>0</v>
      </c>
      <c r="P710" s="124">
        <f>IF(ISNUMBER('Klisz-Verbräuche'!Q200), 'Klisz-Verbräuche'!Q200*Emissionsfaktoren!P200/1000, 0)</f>
        <v>0</v>
      </c>
      <c r="Q710" s="124">
        <f>IF(ISNUMBER('Klisz-Verbräuche'!R200), 'Klisz-Verbräuche'!R200*Emissionsfaktoren!Q200/1000, 0)</f>
        <v>0</v>
      </c>
      <c r="R710" s="124">
        <f>IF(ISNUMBER('Klisz-Verbräuche'!S200), 'Klisz-Verbräuche'!S200*Emissionsfaktoren!R200/1000, 0)</f>
        <v>0</v>
      </c>
      <c r="S710" s="124">
        <f>IF(ISNUMBER('Klisz-Verbräuche'!T200), 'Klisz-Verbräuche'!T200*Emissionsfaktoren!S200/1000, 0)</f>
        <v>0</v>
      </c>
      <c r="T710" s="124">
        <f>IF(ISNUMBER('Klisz-Verbräuche'!U200), 'Klisz-Verbräuche'!U200*Emissionsfaktoren!T200/1000, 0)</f>
        <v>0</v>
      </c>
      <c r="U710" s="124">
        <f>IF(ISNUMBER('Klisz-Verbräuche'!V200), 'Klisz-Verbräuche'!V200*Emissionsfaktoren!U200/1000, 0)</f>
        <v>0</v>
      </c>
      <c r="V710" s="124">
        <f>IF(ISNUMBER('Klisz-Verbräuche'!W200), 'Klisz-Verbräuche'!W200*Emissionsfaktoren!V200/1000, 0)</f>
        <v>0</v>
      </c>
      <c r="W710" s="124">
        <f>IF(ISNUMBER('Klisz-Verbräuche'!X200), 'Klisz-Verbräuche'!X200*Emissionsfaktoren!W200/1000, 0)</f>
        <v>0</v>
      </c>
      <c r="X710" s="124">
        <f>IF(ISNUMBER('Klisz-Verbräuche'!Y200), 'Klisz-Verbräuche'!Y200*Emissionsfaktoren!X200/1000, 0)</f>
        <v>0</v>
      </c>
    </row>
    <row r="711" spans="2:24" ht="16.5" hidden="1" x14ac:dyDescent="0.45">
      <c r="B711" s="15">
        <v>141</v>
      </c>
      <c r="C711" s="20" t="str">
        <f>'Refsz-Verbräuche'!C201</f>
        <v>Stahlbeton Fertigteil Wand (12cm Dicke)</v>
      </c>
      <c r="D711" t="s">
        <v>208</v>
      </c>
      <c r="E711" s="124">
        <f>IF(ISNUMBER('Klisz-Verbräuche'!F201), 'Klisz-Verbräuche'!F201*Emissionsfaktoren!E201/1000, 0)</f>
        <v>0</v>
      </c>
      <c r="F711" s="124">
        <f>IF(ISNUMBER('Klisz-Verbräuche'!G201), 'Klisz-Verbräuche'!G201*Emissionsfaktoren!F201/1000, 0)</f>
        <v>0</v>
      </c>
      <c r="G711" s="124">
        <f>IF(ISNUMBER('Klisz-Verbräuche'!H201), 'Klisz-Verbräuche'!H201*Emissionsfaktoren!G201/1000, 0)</f>
        <v>0</v>
      </c>
      <c r="H711" s="124">
        <f>IF(ISNUMBER('Klisz-Verbräuche'!I201), 'Klisz-Verbräuche'!I201*Emissionsfaktoren!H201/1000, 0)</f>
        <v>0</v>
      </c>
      <c r="I711" s="124">
        <f>IF(ISNUMBER('Klisz-Verbräuche'!J201), 'Klisz-Verbräuche'!J201*Emissionsfaktoren!I201/1000, 0)</f>
        <v>0</v>
      </c>
      <c r="J711" s="124">
        <f>IF(ISNUMBER('Klisz-Verbräuche'!K201), 'Klisz-Verbräuche'!K201*Emissionsfaktoren!J201/1000, 0)</f>
        <v>0</v>
      </c>
      <c r="K711" s="124">
        <f>IF(ISNUMBER('Klisz-Verbräuche'!L201), 'Klisz-Verbräuche'!L201*Emissionsfaktoren!K201/1000, 0)</f>
        <v>0</v>
      </c>
      <c r="L711" s="124">
        <f>IF(ISNUMBER('Klisz-Verbräuche'!M201), 'Klisz-Verbräuche'!M201*Emissionsfaktoren!L201/1000, 0)</f>
        <v>0</v>
      </c>
      <c r="M711" s="124">
        <f>IF(ISNUMBER('Klisz-Verbräuche'!N201), 'Klisz-Verbräuche'!N201*Emissionsfaktoren!M201/1000, 0)</f>
        <v>0</v>
      </c>
      <c r="N711" s="124">
        <f>IF(ISNUMBER('Klisz-Verbräuche'!O201), 'Klisz-Verbräuche'!O201*Emissionsfaktoren!N201/1000, 0)</f>
        <v>0</v>
      </c>
      <c r="O711" s="124">
        <f>IF(ISNUMBER('Klisz-Verbräuche'!P201), 'Klisz-Verbräuche'!P201*Emissionsfaktoren!O201/1000, 0)</f>
        <v>0</v>
      </c>
      <c r="P711" s="124">
        <f>IF(ISNUMBER('Klisz-Verbräuche'!Q201), 'Klisz-Verbräuche'!Q201*Emissionsfaktoren!P201/1000, 0)</f>
        <v>0</v>
      </c>
      <c r="Q711" s="124">
        <f>IF(ISNUMBER('Klisz-Verbräuche'!R201), 'Klisz-Verbräuche'!R201*Emissionsfaktoren!Q201/1000, 0)</f>
        <v>0</v>
      </c>
      <c r="R711" s="124">
        <f>IF(ISNUMBER('Klisz-Verbräuche'!S201), 'Klisz-Verbräuche'!S201*Emissionsfaktoren!R201/1000, 0)</f>
        <v>0</v>
      </c>
      <c r="S711" s="124">
        <f>IF(ISNUMBER('Klisz-Verbräuche'!T201), 'Klisz-Verbräuche'!T201*Emissionsfaktoren!S201/1000, 0)</f>
        <v>0</v>
      </c>
      <c r="T711" s="124">
        <f>IF(ISNUMBER('Klisz-Verbräuche'!U201), 'Klisz-Verbräuche'!U201*Emissionsfaktoren!T201/1000, 0)</f>
        <v>0</v>
      </c>
      <c r="U711" s="124">
        <f>IF(ISNUMBER('Klisz-Verbräuche'!V201), 'Klisz-Verbräuche'!V201*Emissionsfaktoren!U201/1000, 0)</f>
        <v>0</v>
      </c>
      <c r="V711" s="124">
        <f>IF(ISNUMBER('Klisz-Verbräuche'!W201), 'Klisz-Verbräuche'!W201*Emissionsfaktoren!V201/1000, 0)</f>
        <v>0</v>
      </c>
      <c r="W711" s="124">
        <f>IF(ISNUMBER('Klisz-Verbräuche'!X201), 'Klisz-Verbräuche'!X201*Emissionsfaktoren!W201/1000, 0)</f>
        <v>0</v>
      </c>
      <c r="X711" s="124">
        <f>IF(ISNUMBER('Klisz-Verbräuche'!Y201), 'Klisz-Verbräuche'!Y201*Emissionsfaktoren!X201/1000, 0)</f>
        <v>0</v>
      </c>
    </row>
    <row r="712" spans="2:24" ht="16.5" hidden="1" x14ac:dyDescent="0.45">
      <c r="B712" s="15">
        <v>142</v>
      </c>
      <c r="C712" s="20" t="str">
        <f>'Refsz-Verbräuche'!C202</f>
        <v xml:space="preserve">Stahlbeton Fertigteil Treppe (1,1 m Breite, 9 Stufen a 16 cm) </v>
      </c>
      <c r="D712" t="s">
        <v>208</v>
      </c>
      <c r="E712" s="124">
        <f>IF(ISNUMBER('Klisz-Verbräuche'!F202), 'Klisz-Verbräuche'!F202*Emissionsfaktoren!E202/1000, 0)</f>
        <v>0</v>
      </c>
      <c r="F712" s="124">
        <f>IF(ISNUMBER('Klisz-Verbräuche'!G202), 'Klisz-Verbräuche'!G202*Emissionsfaktoren!F202/1000, 0)</f>
        <v>0</v>
      </c>
      <c r="G712" s="124">
        <f>IF(ISNUMBER('Klisz-Verbräuche'!H202), 'Klisz-Verbräuche'!H202*Emissionsfaktoren!G202/1000, 0)</f>
        <v>0</v>
      </c>
      <c r="H712" s="124">
        <f>IF(ISNUMBER('Klisz-Verbräuche'!I202), 'Klisz-Verbräuche'!I202*Emissionsfaktoren!H202/1000, 0)</f>
        <v>0</v>
      </c>
      <c r="I712" s="124">
        <f>IF(ISNUMBER('Klisz-Verbräuche'!J202), 'Klisz-Verbräuche'!J202*Emissionsfaktoren!I202/1000, 0)</f>
        <v>0</v>
      </c>
      <c r="J712" s="124">
        <f>IF(ISNUMBER('Klisz-Verbräuche'!K202), 'Klisz-Verbräuche'!K202*Emissionsfaktoren!J202/1000, 0)</f>
        <v>0</v>
      </c>
      <c r="K712" s="124">
        <f>IF(ISNUMBER('Klisz-Verbräuche'!L202), 'Klisz-Verbräuche'!L202*Emissionsfaktoren!K202/1000, 0)</f>
        <v>0</v>
      </c>
      <c r="L712" s="124">
        <f>IF(ISNUMBER('Klisz-Verbräuche'!M202), 'Klisz-Verbräuche'!M202*Emissionsfaktoren!L202/1000, 0)</f>
        <v>0</v>
      </c>
      <c r="M712" s="124">
        <f>IF(ISNUMBER('Klisz-Verbräuche'!N202), 'Klisz-Verbräuche'!N202*Emissionsfaktoren!M202/1000, 0)</f>
        <v>0</v>
      </c>
      <c r="N712" s="124">
        <f>IF(ISNUMBER('Klisz-Verbräuche'!O202), 'Klisz-Verbräuche'!O202*Emissionsfaktoren!N202/1000, 0)</f>
        <v>0</v>
      </c>
      <c r="O712" s="124">
        <f>IF(ISNUMBER('Klisz-Verbräuche'!P202), 'Klisz-Verbräuche'!P202*Emissionsfaktoren!O202/1000, 0)</f>
        <v>0</v>
      </c>
      <c r="P712" s="124">
        <f>IF(ISNUMBER('Klisz-Verbräuche'!Q202), 'Klisz-Verbräuche'!Q202*Emissionsfaktoren!P202/1000, 0)</f>
        <v>0</v>
      </c>
      <c r="Q712" s="124">
        <f>IF(ISNUMBER('Klisz-Verbräuche'!R202), 'Klisz-Verbräuche'!R202*Emissionsfaktoren!Q202/1000, 0)</f>
        <v>0</v>
      </c>
      <c r="R712" s="124">
        <f>IF(ISNUMBER('Klisz-Verbräuche'!S202), 'Klisz-Verbräuche'!S202*Emissionsfaktoren!R202/1000, 0)</f>
        <v>0</v>
      </c>
      <c r="S712" s="124">
        <f>IF(ISNUMBER('Klisz-Verbräuche'!T202), 'Klisz-Verbräuche'!T202*Emissionsfaktoren!S202/1000, 0)</f>
        <v>0</v>
      </c>
      <c r="T712" s="124">
        <f>IF(ISNUMBER('Klisz-Verbräuche'!U202), 'Klisz-Verbräuche'!U202*Emissionsfaktoren!T202/1000, 0)</f>
        <v>0</v>
      </c>
      <c r="U712" s="124">
        <f>IF(ISNUMBER('Klisz-Verbräuche'!V202), 'Klisz-Verbräuche'!V202*Emissionsfaktoren!U202/1000, 0)</f>
        <v>0</v>
      </c>
      <c r="V712" s="124">
        <f>IF(ISNUMBER('Klisz-Verbräuche'!W202), 'Klisz-Verbräuche'!W202*Emissionsfaktoren!V202/1000, 0)</f>
        <v>0</v>
      </c>
      <c r="W712" s="124">
        <f>IF(ISNUMBER('Klisz-Verbräuche'!X202), 'Klisz-Verbräuche'!X202*Emissionsfaktoren!W202/1000, 0)</f>
        <v>0</v>
      </c>
      <c r="X712" s="124">
        <f>IF(ISNUMBER('Klisz-Verbräuche'!Y202), 'Klisz-Verbräuche'!Y202*Emissionsfaktoren!X202/1000, 0)</f>
        <v>0</v>
      </c>
    </row>
    <row r="713" spans="2:24" ht="16.5" hidden="1" x14ac:dyDescent="0.45">
      <c r="B713" s="15">
        <v>143</v>
      </c>
      <c r="C713" s="20" t="str">
        <f>'Refsz-Verbräuche'!C203</f>
        <v>Mineralwolle</v>
      </c>
      <c r="D713" t="s">
        <v>208</v>
      </c>
      <c r="E713" s="124">
        <f>IF(ISNUMBER('Klisz-Verbräuche'!F203), 'Klisz-Verbräuche'!F203*Emissionsfaktoren!E203/1000, 0)</f>
        <v>0</v>
      </c>
      <c r="F713" s="124">
        <f>IF(ISNUMBER('Klisz-Verbräuche'!G203), 'Klisz-Verbräuche'!G203*Emissionsfaktoren!F203/1000, 0)</f>
        <v>0</v>
      </c>
      <c r="G713" s="124">
        <f>IF(ISNUMBER('Klisz-Verbräuche'!H203), 'Klisz-Verbräuche'!H203*Emissionsfaktoren!G203/1000, 0)</f>
        <v>0</v>
      </c>
      <c r="H713" s="124">
        <f>IF(ISNUMBER('Klisz-Verbräuche'!I203), 'Klisz-Verbräuche'!I203*Emissionsfaktoren!H203/1000, 0)</f>
        <v>0</v>
      </c>
      <c r="I713" s="124">
        <f>IF(ISNUMBER('Klisz-Verbräuche'!J203), 'Klisz-Verbräuche'!J203*Emissionsfaktoren!I203/1000, 0)</f>
        <v>0</v>
      </c>
      <c r="J713" s="124">
        <f>IF(ISNUMBER('Klisz-Verbräuche'!K203), 'Klisz-Verbräuche'!K203*Emissionsfaktoren!J203/1000, 0)</f>
        <v>0</v>
      </c>
      <c r="K713" s="124">
        <f>IF(ISNUMBER('Klisz-Verbräuche'!L203), 'Klisz-Verbräuche'!L203*Emissionsfaktoren!K203/1000, 0)</f>
        <v>0</v>
      </c>
      <c r="L713" s="124">
        <f>IF(ISNUMBER('Klisz-Verbräuche'!M203), 'Klisz-Verbräuche'!M203*Emissionsfaktoren!L203/1000, 0)</f>
        <v>0</v>
      </c>
      <c r="M713" s="124">
        <f>IF(ISNUMBER('Klisz-Verbräuche'!N203), 'Klisz-Verbräuche'!N203*Emissionsfaktoren!M203/1000, 0)</f>
        <v>0</v>
      </c>
      <c r="N713" s="124">
        <f>IF(ISNUMBER('Klisz-Verbräuche'!O203), 'Klisz-Verbräuche'!O203*Emissionsfaktoren!N203/1000, 0)</f>
        <v>0</v>
      </c>
      <c r="O713" s="124">
        <f>IF(ISNUMBER('Klisz-Verbräuche'!P203), 'Klisz-Verbräuche'!P203*Emissionsfaktoren!O203/1000, 0)</f>
        <v>0</v>
      </c>
      <c r="P713" s="124">
        <f>IF(ISNUMBER('Klisz-Verbräuche'!Q203), 'Klisz-Verbräuche'!Q203*Emissionsfaktoren!P203/1000, 0)</f>
        <v>0</v>
      </c>
      <c r="Q713" s="124">
        <f>IF(ISNUMBER('Klisz-Verbräuche'!R203), 'Klisz-Verbräuche'!R203*Emissionsfaktoren!Q203/1000, 0)</f>
        <v>0</v>
      </c>
      <c r="R713" s="124">
        <f>IF(ISNUMBER('Klisz-Verbräuche'!S203), 'Klisz-Verbräuche'!S203*Emissionsfaktoren!R203/1000, 0)</f>
        <v>0</v>
      </c>
      <c r="S713" s="124">
        <f>IF(ISNUMBER('Klisz-Verbräuche'!T203), 'Klisz-Verbräuche'!T203*Emissionsfaktoren!S203/1000, 0)</f>
        <v>0</v>
      </c>
      <c r="T713" s="124">
        <f>IF(ISNUMBER('Klisz-Verbräuche'!U203), 'Klisz-Verbräuche'!U203*Emissionsfaktoren!T203/1000, 0)</f>
        <v>0</v>
      </c>
      <c r="U713" s="124">
        <f>IF(ISNUMBER('Klisz-Verbräuche'!V203), 'Klisz-Verbräuche'!V203*Emissionsfaktoren!U203/1000, 0)</f>
        <v>0</v>
      </c>
      <c r="V713" s="124">
        <f>IF(ISNUMBER('Klisz-Verbräuche'!W203), 'Klisz-Verbräuche'!W203*Emissionsfaktoren!V203/1000, 0)</f>
        <v>0</v>
      </c>
      <c r="W713" s="124">
        <f>IF(ISNUMBER('Klisz-Verbräuche'!X203), 'Klisz-Verbräuche'!X203*Emissionsfaktoren!W203/1000, 0)</f>
        <v>0</v>
      </c>
      <c r="X713" s="124">
        <f>IF(ISNUMBER('Klisz-Verbräuche'!Y203), 'Klisz-Verbräuche'!Y203*Emissionsfaktoren!X203/1000, 0)</f>
        <v>0</v>
      </c>
    </row>
    <row r="714" spans="2:24" ht="16.5" hidden="1" x14ac:dyDescent="0.45">
      <c r="B714" s="15">
        <v>144</v>
      </c>
      <c r="C714" s="20" t="str">
        <f>'Refsz-Verbräuche'!C204</f>
        <v>Mauerziegel (ungefüllt)</v>
      </c>
      <c r="D714" t="s">
        <v>208</v>
      </c>
      <c r="E714" s="124">
        <f>IF(ISNUMBER('Klisz-Verbräuche'!F204), 'Klisz-Verbräuche'!F204*Emissionsfaktoren!E204/1000, 0)</f>
        <v>0</v>
      </c>
      <c r="F714" s="124">
        <f>IF(ISNUMBER('Klisz-Verbräuche'!G204), 'Klisz-Verbräuche'!G204*Emissionsfaktoren!F204/1000, 0)</f>
        <v>0</v>
      </c>
      <c r="G714" s="124">
        <f>IF(ISNUMBER('Klisz-Verbräuche'!H204), 'Klisz-Verbräuche'!H204*Emissionsfaktoren!G204/1000, 0)</f>
        <v>0</v>
      </c>
      <c r="H714" s="124">
        <f>IF(ISNUMBER('Klisz-Verbräuche'!I204), 'Klisz-Verbräuche'!I204*Emissionsfaktoren!H204/1000, 0)</f>
        <v>0</v>
      </c>
      <c r="I714" s="124">
        <f>IF(ISNUMBER('Klisz-Verbräuche'!J204), 'Klisz-Verbräuche'!J204*Emissionsfaktoren!I204/1000, 0)</f>
        <v>0</v>
      </c>
      <c r="J714" s="124">
        <f>IF(ISNUMBER('Klisz-Verbräuche'!K204), 'Klisz-Verbräuche'!K204*Emissionsfaktoren!J204/1000, 0)</f>
        <v>0</v>
      </c>
      <c r="K714" s="124">
        <f>IF(ISNUMBER('Klisz-Verbräuche'!L204), 'Klisz-Verbräuche'!L204*Emissionsfaktoren!K204/1000, 0)</f>
        <v>0</v>
      </c>
      <c r="L714" s="124">
        <f>IF(ISNUMBER('Klisz-Verbräuche'!M204), 'Klisz-Verbräuche'!M204*Emissionsfaktoren!L204/1000, 0)</f>
        <v>0</v>
      </c>
      <c r="M714" s="124">
        <f>IF(ISNUMBER('Klisz-Verbräuche'!N204), 'Klisz-Verbräuche'!N204*Emissionsfaktoren!M204/1000, 0)</f>
        <v>0</v>
      </c>
      <c r="N714" s="124">
        <f>IF(ISNUMBER('Klisz-Verbräuche'!O204), 'Klisz-Verbräuche'!O204*Emissionsfaktoren!N204/1000, 0)</f>
        <v>0</v>
      </c>
      <c r="O714" s="124">
        <f>IF(ISNUMBER('Klisz-Verbräuche'!P204), 'Klisz-Verbräuche'!P204*Emissionsfaktoren!O204/1000, 0)</f>
        <v>0</v>
      </c>
      <c r="P714" s="124">
        <f>IF(ISNUMBER('Klisz-Verbräuche'!Q204), 'Klisz-Verbräuche'!Q204*Emissionsfaktoren!P204/1000, 0)</f>
        <v>0</v>
      </c>
      <c r="Q714" s="124">
        <f>IF(ISNUMBER('Klisz-Verbräuche'!R204), 'Klisz-Verbräuche'!R204*Emissionsfaktoren!Q204/1000, 0)</f>
        <v>0</v>
      </c>
      <c r="R714" s="124">
        <f>IF(ISNUMBER('Klisz-Verbräuche'!S204), 'Klisz-Verbräuche'!S204*Emissionsfaktoren!R204/1000, 0)</f>
        <v>0</v>
      </c>
      <c r="S714" s="124">
        <f>IF(ISNUMBER('Klisz-Verbräuche'!T204), 'Klisz-Verbräuche'!T204*Emissionsfaktoren!S204/1000, 0)</f>
        <v>0</v>
      </c>
      <c r="T714" s="124">
        <f>IF(ISNUMBER('Klisz-Verbräuche'!U204), 'Klisz-Verbräuche'!U204*Emissionsfaktoren!T204/1000, 0)</f>
        <v>0</v>
      </c>
      <c r="U714" s="124">
        <f>IF(ISNUMBER('Klisz-Verbräuche'!V204), 'Klisz-Verbräuche'!V204*Emissionsfaktoren!U204/1000, 0)</f>
        <v>0</v>
      </c>
      <c r="V714" s="124">
        <f>IF(ISNUMBER('Klisz-Verbräuche'!W204), 'Klisz-Verbräuche'!W204*Emissionsfaktoren!V204/1000, 0)</f>
        <v>0</v>
      </c>
      <c r="W714" s="124">
        <f>IF(ISNUMBER('Klisz-Verbräuche'!X204), 'Klisz-Verbräuche'!X204*Emissionsfaktoren!W204/1000, 0)</f>
        <v>0</v>
      </c>
      <c r="X714" s="124">
        <f>IF(ISNUMBER('Klisz-Verbräuche'!Y204), 'Klisz-Verbräuche'!Y204*Emissionsfaktoren!X204/1000, 0)</f>
        <v>0</v>
      </c>
    </row>
    <row r="715" spans="2:24" ht="16.5" hidden="1" x14ac:dyDescent="0.45">
      <c r="B715" s="15">
        <v>145</v>
      </c>
      <c r="C715" s="20">
        <f>'Refsz-Verbräuche'!C205</f>
        <v>0</v>
      </c>
      <c r="D715" t="s">
        <v>208</v>
      </c>
      <c r="E715" s="124">
        <f>IF(ISNUMBER('Klisz-Verbräuche'!F205), 'Klisz-Verbräuche'!F205*Emissionsfaktoren!E205/1000, 0)</f>
        <v>0</v>
      </c>
      <c r="F715" s="124">
        <f>IF(ISNUMBER('Klisz-Verbräuche'!G205), 'Klisz-Verbräuche'!G205*Emissionsfaktoren!F205/1000, 0)</f>
        <v>0</v>
      </c>
      <c r="G715" s="124">
        <f>IF(ISNUMBER('Klisz-Verbräuche'!H205), 'Klisz-Verbräuche'!H205*Emissionsfaktoren!G205/1000, 0)</f>
        <v>0</v>
      </c>
      <c r="H715" s="124">
        <f>IF(ISNUMBER('Klisz-Verbräuche'!I205), 'Klisz-Verbräuche'!I205*Emissionsfaktoren!H205/1000, 0)</f>
        <v>0</v>
      </c>
      <c r="I715" s="124">
        <f>IF(ISNUMBER('Klisz-Verbräuche'!J205), 'Klisz-Verbräuche'!J205*Emissionsfaktoren!I205/1000, 0)</f>
        <v>0</v>
      </c>
      <c r="J715" s="124">
        <f>IF(ISNUMBER('Klisz-Verbräuche'!K205), 'Klisz-Verbräuche'!K205*Emissionsfaktoren!J205/1000, 0)</f>
        <v>0</v>
      </c>
      <c r="K715" s="124">
        <f>IF(ISNUMBER('Klisz-Verbräuche'!L205), 'Klisz-Verbräuche'!L205*Emissionsfaktoren!K205/1000, 0)</f>
        <v>0</v>
      </c>
      <c r="L715" s="124">
        <f>IF(ISNUMBER('Klisz-Verbräuche'!M205), 'Klisz-Verbräuche'!M205*Emissionsfaktoren!L205/1000, 0)</f>
        <v>0</v>
      </c>
      <c r="M715" s="124">
        <f>IF(ISNUMBER('Klisz-Verbräuche'!N205), 'Klisz-Verbräuche'!N205*Emissionsfaktoren!M205/1000, 0)</f>
        <v>0</v>
      </c>
      <c r="N715" s="124">
        <f>IF(ISNUMBER('Klisz-Verbräuche'!O205), 'Klisz-Verbräuche'!O205*Emissionsfaktoren!N205/1000, 0)</f>
        <v>0</v>
      </c>
      <c r="O715" s="124">
        <f>IF(ISNUMBER('Klisz-Verbräuche'!P205), 'Klisz-Verbräuche'!P205*Emissionsfaktoren!O205/1000, 0)</f>
        <v>0</v>
      </c>
      <c r="P715" s="124">
        <f>IF(ISNUMBER('Klisz-Verbräuche'!Q205), 'Klisz-Verbräuche'!Q205*Emissionsfaktoren!P205/1000, 0)</f>
        <v>0</v>
      </c>
      <c r="Q715" s="124">
        <f>IF(ISNUMBER('Klisz-Verbräuche'!R205), 'Klisz-Verbräuche'!R205*Emissionsfaktoren!Q205/1000, 0)</f>
        <v>0</v>
      </c>
      <c r="R715" s="124">
        <f>IF(ISNUMBER('Klisz-Verbräuche'!S205), 'Klisz-Verbräuche'!S205*Emissionsfaktoren!R205/1000, 0)</f>
        <v>0</v>
      </c>
      <c r="S715" s="124">
        <f>IF(ISNUMBER('Klisz-Verbräuche'!T205), 'Klisz-Verbräuche'!T205*Emissionsfaktoren!S205/1000, 0)</f>
        <v>0</v>
      </c>
      <c r="T715" s="124">
        <f>IF(ISNUMBER('Klisz-Verbräuche'!U205), 'Klisz-Verbräuche'!U205*Emissionsfaktoren!T205/1000, 0)</f>
        <v>0</v>
      </c>
      <c r="U715" s="124">
        <f>IF(ISNUMBER('Klisz-Verbräuche'!V205), 'Klisz-Verbräuche'!V205*Emissionsfaktoren!U205/1000, 0)</f>
        <v>0</v>
      </c>
      <c r="V715" s="124">
        <f>IF(ISNUMBER('Klisz-Verbräuche'!W205), 'Klisz-Verbräuche'!W205*Emissionsfaktoren!V205/1000, 0)</f>
        <v>0</v>
      </c>
      <c r="W715" s="124">
        <f>IF(ISNUMBER('Klisz-Verbräuche'!X205), 'Klisz-Verbräuche'!X205*Emissionsfaktoren!W205/1000, 0)</f>
        <v>0</v>
      </c>
      <c r="X715" s="124">
        <f>IF(ISNUMBER('Klisz-Verbräuche'!Y205), 'Klisz-Verbräuche'!Y205*Emissionsfaktoren!X205/1000, 0)</f>
        <v>0</v>
      </c>
    </row>
    <row r="716" spans="2:24" ht="16.5" hidden="1" x14ac:dyDescent="0.45">
      <c r="B716" s="15">
        <v>146</v>
      </c>
      <c r="C716" s="20" t="str">
        <f>'Refsz-Verbräuche'!C206</f>
        <v>Holzfaserdämmpatte (flexibe Matte)</v>
      </c>
      <c r="D716" t="s">
        <v>208</v>
      </c>
      <c r="E716" s="124">
        <f>IF(ISNUMBER('Klisz-Verbräuche'!F206), 'Klisz-Verbräuche'!F206*Emissionsfaktoren!E208/1000, 0)</f>
        <v>0</v>
      </c>
      <c r="F716" s="124">
        <f>IF(ISNUMBER('Klisz-Verbräuche'!G206), 'Klisz-Verbräuche'!G206*Emissionsfaktoren!F208/1000, 0)</f>
        <v>0</v>
      </c>
      <c r="G716" s="124">
        <f>IF(ISNUMBER('Klisz-Verbräuche'!H206), 'Klisz-Verbräuche'!H206*Emissionsfaktoren!G208/1000, 0)</f>
        <v>0</v>
      </c>
      <c r="H716" s="124">
        <f>IF(ISNUMBER('Klisz-Verbräuche'!I206), 'Klisz-Verbräuche'!I206*Emissionsfaktoren!H208/1000, 0)</f>
        <v>0</v>
      </c>
      <c r="I716" s="124">
        <f>IF(ISNUMBER('Klisz-Verbräuche'!J206), 'Klisz-Verbräuche'!J206*Emissionsfaktoren!I208/1000, 0)</f>
        <v>0</v>
      </c>
      <c r="J716" s="124">
        <f>IF(ISNUMBER('Klisz-Verbräuche'!K206), 'Klisz-Verbräuche'!K206*Emissionsfaktoren!J208/1000, 0)</f>
        <v>0</v>
      </c>
      <c r="K716" s="124">
        <f>IF(ISNUMBER('Klisz-Verbräuche'!L206), 'Klisz-Verbräuche'!L206*Emissionsfaktoren!K208/1000, 0)</f>
        <v>0</v>
      </c>
      <c r="L716" s="124">
        <f>IF(ISNUMBER('Klisz-Verbräuche'!M206), 'Klisz-Verbräuche'!M206*Emissionsfaktoren!L208/1000, 0)</f>
        <v>0</v>
      </c>
      <c r="M716" s="124">
        <f>IF(ISNUMBER('Klisz-Verbräuche'!N206), 'Klisz-Verbräuche'!N206*Emissionsfaktoren!M208/1000, 0)</f>
        <v>0</v>
      </c>
      <c r="N716" s="124">
        <f>IF(ISNUMBER('Klisz-Verbräuche'!O206), 'Klisz-Verbräuche'!O206*Emissionsfaktoren!N208/1000, 0)</f>
        <v>0</v>
      </c>
      <c r="O716" s="124">
        <f>IF(ISNUMBER('Klisz-Verbräuche'!P206), 'Klisz-Verbräuche'!P206*Emissionsfaktoren!O208/1000, 0)</f>
        <v>0</v>
      </c>
      <c r="P716" s="124">
        <f>IF(ISNUMBER('Klisz-Verbräuche'!Q206), 'Klisz-Verbräuche'!Q206*Emissionsfaktoren!P208/1000, 0)</f>
        <v>0</v>
      </c>
      <c r="Q716" s="124">
        <f>IF(ISNUMBER('Klisz-Verbräuche'!R206), 'Klisz-Verbräuche'!R206*Emissionsfaktoren!Q208/1000, 0)</f>
        <v>0</v>
      </c>
      <c r="R716" s="124">
        <f>IF(ISNUMBER('Klisz-Verbräuche'!S206), 'Klisz-Verbräuche'!S206*Emissionsfaktoren!R208/1000, 0)</f>
        <v>0</v>
      </c>
      <c r="S716" s="124">
        <f>IF(ISNUMBER('Klisz-Verbräuche'!T206), 'Klisz-Verbräuche'!T206*Emissionsfaktoren!S208/1000, 0)</f>
        <v>0</v>
      </c>
      <c r="T716" s="124">
        <f>IF(ISNUMBER('Klisz-Verbräuche'!U206), 'Klisz-Verbräuche'!U206*Emissionsfaktoren!T208/1000, 0)</f>
        <v>0</v>
      </c>
      <c r="U716" s="124">
        <f>IF(ISNUMBER('Klisz-Verbräuche'!V206), 'Klisz-Verbräuche'!V206*Emissionsfaktoren!U208/1000, 0)</f>
        <v>0</v>
      </c>
      <c r="V716" s="124">
        <f>IF(ISNUMBER('Klisz-Verbräuche'!W206), 'Klisz-Verbräuche'!W206*Emissionsfaktoren!V208/1000, 0)</f>
        <v>0</v>
      </c>
      <c r="W716" s="124">
        <f>IF(ISNUMBER('Klisz-Verbräuche'!X206), 'Klisz-Verbräuche'!X206*Emissionsfaktoren!W208/1000, 0)</f>
        <v>0</v>
      </c>
      <c r="X716" s="124">
        <f>IF(ISNUMBER('Klisz-Verbräuche'!Y206), 'Klisz-Verbräuche'!Y206*Emissionsfaktoren!X206/1000, 0)</f>
        <v>0</v>
      </c>
    </row>
    <row r="717" spans="2:24" ht="16.5" hidden="1" x14ac:dyDescent="0.45">
      <c r="B717" s="15">
        <v>147</v>
      </c>
      <c r="C717" s="20">
        <f>'Refsz-Verbräuche'!C207</f>
        <v>0</v>
      </c>
      <c r="D717" t="s">
        <v>208</v>
      </c>
      <c r="E717" s="124">
        <f>IF(ISNUMBER('Klisz-Verbräuche'!F207), 'Klisz-Verbräuche'!F207*Emissionsfaktoren!E207/1000, 0)</f>
        <v>0</v>
      </c>
      <c r="F717" s="124">
        <f>IF(ISNUMBER('Klisz-Verbräuche'!G207), 'Klisz-Verbräuche'!G207*Emissionsfaktoren!F207/1000, 0)</f>
        <v>0</v>
      </c>
      <c r="G717" s="124">
        <f>IF(ISNUMBER('Klisz-Verbräuche'!H207), 'Klisz-Verbräuche'!H207*Emissionsfaktoren!G207/1000, 0)</f>
        <v>0</v>
      </c>
      <c r="H717" s="124">
        <f>IF(ISNUMBER('Klisz-Verbräuche'!I207), 'Klisz-Verbräuche'!I207*Emissionsfaktoren!H207/1000, 0)</f>
        <v>0</v>
      </c>
      <c r="I717" s="124">
        <f>IF(ISNUMBER('Klisz-Verbräuche'!J207), 'Klisz-Verbräuche'!J207*Emissionsfaktoren!I207/1000, 0)</f>
        <v>0</v>
      </c>
      <c r="J717" s="124">
        <f>IF(ISNUMBER('Klisz-Verbräuche'!K207), 'Klisz-Verbräuche'!K207*Emissionsfaktoren!J207/1000, 0)</f>
        <v>0</v>
      </c>
      <c r="K717" s="124">
        <f>IF(ISNUMBER('Klisz-Verbräuche'!L207), 'Klisz-Verbräuche'!L207*Emissionsfaktoren!K207/1000, 0)</f>
        <v>0</v>
      </c>
      <c r="L717" s="124">
        <f>IF(ISNUMBER('Klisz-Verbräuche'!M207), 'Klisz-Verbräuche'!M207*Emissionsfaktoren!L207/1000, 0)</f>
        <v>0</v>
      </c>
      <c r="M717" s="124">
        <f>IF(ISNUMBER('Klisz-Verbräuche'!N207), 'Klisz-Verbräuche'!N207*Emissionsfaktoren!M207/1000, 0)</f>
        <v>0</v>
      </c>
      <c r="N717" s="124">
        <f>IF(ISNUMBER('Klisz-Verbräuche'!O207), 'Klisz-Verbräuche'!O207*Emissionsfaktoren!N207/1000, 0)</f>
        <v>0</v>
      </c>
      <c r="O717" s="124">
        <f>IF(ISNUMBER('Klisz-Verbräuche'!P207), 'Klisz-Verbräuche'!P207*Emissionsfaktoren!O207/1000, 0)</f>
        <v>0</v>
      </c>
      <c r="P717" s="124">
        <f>IF(ISNUMBER('Klisz-Verbräuche'!Q207), 'Klisz-Verbräuche'!Q207*Emissionsfaktoren!P207/1000, 0)</f>
        <v>0</v>
      </c>
      <c r="Q717" s="124">
        <f>IF(ISNUMBER('Klisz-Verbräuche'!R207), 'Klisz-Verbräuche'!R207*Emissionsfaktoren!Q207/1000, 0)</f>
        <v>0</v>
      </c>
      <c r="R717" s="124">
        <f>IF(ISNUMBER('Klisz-Verbräuche'!S207), 'Klisz-Verbräuche'!S207*Emissionsfaktoren!R207/1000, 0)</f>
        <v>0</v>
      </c>
      <c r="S717" s="124">
        <f>IF(ISNUMBER('Klisz-Verbräuche'!T207), 'Klisz-Verbräuche'!T207*Emissionsfaktoren!S207/1000, 0)</f>
        <v>0</v>
      </c>
      <c r="T717" s="124">
        <f>IF(ISNUMBER('Klisz-Verbräuche'!U207), 'Klisz-Verbräuche'!U207*Emissionsfaktoren!T207/1000, 0)</f>
        <v>0</v>
      </c>
      <c r="U717" s="124">
        <f>IF(ISNUMBER('Klisz-Verbräuche'!V207), 'Klisz-Verbräuche'!V207*Emissionsfaktoren!U207/1000, 0)</f>
        <v>0</v>
      </c>
      <c r="V717" s="124">
        <f>IF(ISNUMBER('Klisz-Verbräuche'!W207), 'Klisz-Verbräuche'!W207*Emissionsfaktoren!V207/1000, 0)</f>
        <v>0</v>
      </c>
      <c r="W717" s="124">
        <f>IF(ISNUMBER('Klisz-Verbräuche'!X207), 'Klisz-Verbräuche'!X207*Emissionsfaktoren!W207/1000, 0)</f>
        <v>0</v>
      </c>
      <c r="X717" s="124">
        <f>IF(ISNUMBER('Klisz-Verbräuche'!Y207), 'Klisz-Verbräuche'!Y207*Emissionsfaktoren!X207/1000, 0)</f>
        <v>0</v>
      </c>
    </row>
    <row r="718" spans="2:24" ht="16.5" hidden="1" x14ac:dyDescent="0.45">
      <c r="B718" s="15">
        <v>148</v>
      </c>
      <c r="C718" s="20" t="str">
        <f>'Refsz-Verbräuche'!C208</f>
        <v>Kompensation</v>
      </c>
      <c r="D718" t="s">
        <v>208</v>
      </c>
      <c r="E718" s="124">
        <f>IF(ISNUMBER('Klisz-Verbräuche'!F208), 'Klisz-Verbräuche'!F208*Emissionsfaktoren!#REF!/1000, 0)</f>
        <v>0</v>
      </c>
      <c r="F718" s="124">
        <f>IF(ISNUMBER('Klisz-Verbräuche'!G208), 'Klisz-Verbräuche'!G208*Emissionsfaktoren!#REF!/1000, 0)</f>
        <v>0</v>
      </c>
      <c r="G718" s="124">
        <f>IF(ISNUMBER('Klisz-Verbräuche'!H208), 'Klisz-Verbräuche'!H208*Emissionsfaktoren!#REF!/1000, 0)</f>
        <v>0</v>
      </c>
      <c r="H718" s="124">
        <f>IF(ISNUMBER('Klisz-Verbräuche'!I208), 'Klisz-Verbräuche'!I208*Emissionsfaktoren!#REF!/1000, 0)</f>
        <v>0</v>
      </c>
      <c r="I718" s="124">
        <f>IF(ISNUMBER('Klisz-Verbräuche'!J208), 'Klisz-Verbräuche'!J208*Emissionsfaktoren!#REF!/1000, 0)</f>
        <v>0</v>
      </c>
      <c r="J718" s="124">
        <f>IF(ISNUMBER('Klisz-Verbräuche'!K208), 'Klisz-Verbräuche'!K208*Emissionsfaktoren!#REF!/1000, 0)</f>
        <v>0</v>
      </c>
      <c r="K718" s="124">
        <f>IF(ISNUMBER('Klisz-Verbräuche'!L208), 'Klisz-Verbräuche'!L208*Emissionsfaktoren!#REF!/1000, 0)</f>
        <v>0</v>
      </c>
      <c r="L718" s="124">
        <f>IF(ISNUMBER('Klisz-Verbräuche'!M208), 'Klisz-Verbräuche'!M208*Emissionsfaktoren!#REF!/1000, 0)</f>
        <v>0</v>
      </c>
      <c r="M718" s="124">
        <f>IF(ISNUMBER('Klisz-Verbräuche'!N208), 'Klisz-Verbräuche'!N208*Emissionsfaktoren!#REF!/1000, 0)</f>
        <v>0</v>
      </c>
      <c r="N718" s="124">
        <f>IF(ISNUMBER('Klisz-Verbräuche'!O208), 'Klisz-Verbräuche'!O208*Emissionsfaktoren!#REF!/1000, 0)</f>
        <v>0</v>
      </c>
      <c r="O718" s="124">
        <f>IF(ISNUMBER('Klisz-Verbräuche'!P208), 'Klisz-Verbräuche'!P208*Emissionsfaktoren!#REF!/1000, 0)</f>
        <v>0</v>
      </c>
      <c r="P718" s="124">
        <f>IF(ISNUMBER('Klisz-Verbräuche'!Q208), 'Klisz-Verbräuche'!Q208*Emissionsfaktoren!#REF!/1000, 0)</f>
        <v>0</v>
      </c>
      <c r="Q718" s="124">
        <f>IF(ISNUMBER('Klisz-Verbräuche'!R208), 'Klisz-Verbräuche'!R208*Emissionsfaktoren!#REF!/1000, 0)</f>
        <v>0</v>
      </c>
      <c r="R718" s="124">
        <f>IF(ISNUMBER('Klisz-Verbräuche'!S208), 'Klisz-Verbräuche'!S208*Emissionsfaktoren!#REF!/1000, 0)</f>
        <v>0</v>
      </c>
      <c r="S718" s="124">
        <f>IF(ISNUMBER('Klisz-Verbräuche'!T208), 'Klisz-Verbräuche'!T208*Emissionsfaktoren!#REF!/1000, 0)</f>
        <v>0</v>
      </c>
      <c r="T718" s="124">
        <f>IF(ISNUMBER('Klisz-Verbräuche'!U208), 'Klisz-Verbräuche'!U208*Emissionsfaktoren!#REF!/1000, 0)</f>
        <v>0</v>
      </c>
      <c r="U718" s="124">
        <f>IF(ISNUMBER('Klisz-Verbräuche'!V208), 'Klisz-Verbräuche'!V208*Emissionsfaktoren!#REF!/1000, 0)</f>
        <v>0</v>
      </c>
      <c r="V718" s="124">
        <f>IF(ISNUMBER('Klisz-Verbräuche'!W208), 'Klisz-Verbräuche'!W208*Emissionsfaktoren!#REF!/1000, 0)</f>
        <v>0</v>
      </c>
      <c r="W718" s="124">
        <f>IF(ISNUMBER('Klisz-Verbräuche'!X208), 'Klisz-Verbräuche'!X208*Emissionsfaktoren!#REF!/1000, 0)</f>
        <v>0</v>
      </c>
      <c r="X718" s="124">
        <f>IF(ISNUMBER('Klisz-Verbräuche'!Y208), 'Klisz-Verbräuche'!Y208*Emissionsfaktoren!X208/1000, 0)</f>
        <v>0</v>
      </c>
    </row>
    <row r="719" spans="2:24" ht="16.5" hidden="1" x14ac:dyDescent="0.45">
      <c r="B719" s="15">
        <v>149</v>
      </c>
      <c r="C719" s="20">
        <f>'Refsz-Verbräuche'!C209</f>
        <v>0</v>
      </c>
      <c r="D719" t="s">
        <v>208</v>
      </c>
      <c r="E719" s="124">
        <f>IF(ISNUMBER('Klisz-Verbräuche'!F209), 'Klisz-Verbräuche'!F209*Emissionsfaktoren!E209/1000, 0)</f>
        <v>0</v>
      </c>
      <c r="F719" s="124">
        <f>IF(ISNUMBER('Klisz-Verbräuche'!G209), 'Klisz-Verbräuche'!G209*Emissionsfaktoren!F209/1000, 0)</f>
        <v>0</v>
      </c>
      <c r="G719" s="124">
        <f>IF(ISNUMBER('Klisz-Verbräuche'!H209), 'Klisz-Verbräuche'!H209*Emissionsfaktoren!G209/1000, 0)</f>
        <v>0</v>
      </c>
      <c r="H719" s="124">
        <f>IF(ISNUMBER('Klisz-Verbräuche'!I209), 'Klisz-Verbräuche'!I209*Emissionsfaktoren!H209/1000, 0)</f>
        <v>0</v>
      </c>
      <c r="I719" s="124">
        <f>IF(ISNUMBER('Klisz-Verbräuche'!J209), 'Klisz-Verbräuche'!J209*Emissionsfaktoren!I209/1000, 0)</f>
        <v>0</v>
      </c>
      <c r="J719" s="124">
        <f>IF(ISNUMBER('Klisz-Verbräuche'!K209), 'Klisz-Verbräuche'!K209*Emissionsfaktoren!J209/1000, 0)</f>
        <v>0</v>
      </c>
      <c r="K719" s="124">
        <f>IF(ISNUMBER('Klisz-Verbräuche'!L209), 'Klisz-Verbräuche'!L209*Emissionsfaktoren!K209/1000, 0)</f>
        <v>0</v>
      </c>
      <c r="L719" s="124">
        <f>IF(ISNUMBER('Klisz-Verbräuche'!M209), 'Klisz-Verbräuche'!M209*Emissionsfaktoren!L209/1000, 0)</f>
        <v>0</v>
      </c>
      <c r="M719" s="124">
        <f>IF(ISNUMBER('Klisz-Verbräuche'!N209), 'Klisz-Verbräuche'!N209*Emissionsfaktoren!M209/1000, 0)</f>
        <v>0</v>
      </c>
      <c r="N719" s="124">
        <f>IF(ISNUMBER('Klisz-Verbräuche'!O209), 'Klisz-Verbräuche'!O209*Emissionsfaktoren!N209/1000, 0)</f>
        <v>0</v>
      </c>
      <c r="O719" s="124">
        <f>IF(ISNUMBER('Klisz-Verbräuche'!P209), 'Klisz-Verbräuche'!P209*Emissionsfaktoren!O209/1000, 0)</f>
        <v>0</v>
      </c>
      <c r="P719" s="124">
        <f>IF(ISNUMBER('Klisz-Verbräuche'!Q209), 'Klisz-Verbräuche'!Q209*Emissionsfaktoren!P209/1000, 0)</f>
        <v>0</v>
      </c>
      <c r="Q719" s="124">
        <f>IF(ISNUMBER('Klisz-Verbräuche'!R209), 'Klisz-Verbräuche'!R209*Emissionsfaktoren!Q209/1000, 0)</f>
        <v>0</v>
      </c>
      <c r="R719" s="124">
        <f>IF(ISNUMBER('Klisz-Verbräuche'!S209), 'Klisz-Verbräuche'!S209*Emissionsfaktoren!R209/1000, 0)</f>
        <v>0</v>
      </c>
      <c r="S719" s="124">
        <f>IF(ISNUMBER('Klisz-Verbräuche'!T209), 'Klisz-Verbräuche'!T209*Emissionsfaktoren!S209/1000, 0)</f>
        <v>0</v>
      </c>
      <c r="T719" s="124">
        <f>IF(ISNUMBER('Klisz-Verbräuche'!U209), 'Klisz-Verbräuche'!U209*Emissionsfaktoren!T209/1000, 0)</f>
        <v>0</v>
      </c>
      <c r="U719" s="124">
        <f>IF(ISNUMBER('Klisz-Verbräuche'!V209), 'Klisz-Verbräuche'!V209*Emissionsfaktoren!U209/1000, 0)</f>
        <v>0</v>
      </c>
      <c r="V719" s="124">
        <f>IF(ISNUMBER('Klisz-Verbräuche'!W209), 'Klisz-Verbräuche'!W209*Emissionsfaktoren!V209/1000, 0)</f>
        <v>0</v>
      </c>
      <c r="W719" s="124">
        <f>IF(ISNUMBER('Klisz-Verbräuche'!X209), 'Klisz-Verbräuche'!X209*Emissionsfaktoren!W209/1000, 0)</f>
        <v>0</v>
      </c>
      <c r="X719" s="124">
        <f>IF(ISNUMBER('Klisz-Verbräuche'!Y209), 'Klisz-Verbräuche'!Y209*Emissionsfaktoren!X209/1000, 0)</f>
        <v>0</v>
      </c>
    </row>
    <row r="720" spans="2:24" ht="16.5" hidden="1" x14ac:dyDescent="0.45">
      <c r="B720" s="15">
        <v>150</v>
      </c>
      <c r="C720" s="20">
        <f>'Refsz-Verbräuche'!C210</f>
        <v>0</v>
      </c>
      <c r="D720" t="s">
        <v>208</v>
      </c>
      <c r="E720" s="124">
        <f>IF(ISNUMBER('Klisz-Verbräuche'!F210), 'Klisz-Verbräuche'!F210*Emissionsfaktoren!E210/1000, 0)</f>
        <v>0</v>
      </c>
      <c r="F720" s="124">
        <f>IF(ISNUMBER('Klisz-Verbräuche'!G210), 'Klisz-Verbräuche'!G210*Emissionsfaktoren!F210/1000, 0)</f>
        <v>0</v>
      </c>
      <c r="G720" s="124">
        <f>IF(ISNUMBER('Klisz-Verbräuche'!H210), 'Klisz-Verbräuche'!H210*Emissionsfaktoren!G210/1000, 0)</f>
        <v>0</v>
      </c>
      <c r="H720" s="124">
        <f>IF(ISNUMBER('Klisz-Verbräuche'!I210), 'Klisz-Verbräuche'!I210*Emissionsfaktoren!H210/1000, 0)</f>
        <v>0</v>
      </c>
      <c r="I720" s="124">
        <f>IF(ISNUMBER('Klisz-Verbräuche'!J210), 'Klisz-Verbräuche'!J210*Emissionsfaktoren!I210/1000, 0)</f>
        <v>0</v>
      </c>
      <c r="J720" s="124">
        <f>IF(ISNUMBER('Klisz-Verbräuche'!K210), 'Klisz-Verbräuche'!K210*Emissionsfaktoren!J210/1000, 0)</f>
        <v>0</v>
      </c>
      <c r="K720" s="124">
        <f>IF(ISNUMBER('Klisz-Verbräuche'!L210), 'Klisz-Verbräuche'!L210*Emissionsfaktoren!K210/1000, 0)</f>
        <v>0</v>
      </c>
      <c r="L720" s="124">
        <f>IF(ISNUMBER('Klisz-Verbräuche'!M210), 'Klisz-Verbräuche'!M210*Emissionsfaktoren!L210/1000, 0)</f>
        <v>0</v>
      </c>
      <c r="M720" s="124">
        <f>IF(ISNUMBER('Klisz-Verbräuche'!N210), 'Klisz-Verbräuche'!N210*Emissionsfaktoren!M210/1000, 0)</f>
        <v>0</v>
      </c>
      <c r="N720" s="124">
        <f>IF(ISNUMBER('Klisz-Verbräuche'!O210), 'Klisz-Verbräuche'!O210*Emissionsfaktoren!N210/1000, 0)</f>
        <v>0</v>
      </c>
      <c r="O720" s="124">
        <f>IF(ISNUMBER('Klisz-Verbräuche'!P210), 'Klisz-Verbräuche'!P210*Emissionsfaktoren!O210/1000, 0)</f>
        <v>0</v>
      </c>
      <c r="P720" s="124">
        <f>IF(ISNUMBER('Klisz-Verbräuche'!Q210), 'Klisz-Verbräuche'!Q210*Emissionsfaktoren!P210/1000, 0)</f>
        <v>0</v>
      </c>
      <c r="Q720" s="124">
        <f>IF(ISNUMBER('Klisz-Verbräuche'!R210), 'Klisz-Verbräuche'!R210*Emissionsfaktoren!Q210/1000, 0)</f>
        <v>0</v>
      </c>
      <c r="R720" s="124">
        <f>IF(ISNUMBER('Klisz-Verbräuche'!S210), 'Klisz-Verbräuche'!S210*Emissionsfaktoren!R210/1000, 0)</f>
        <v>0</v>
      </c>
      <c r="S720" s="124">
        <f>IF(ISNUMBER('Klisz-Verbräuche'!T210), 'Klisz-Verbräuche'!T210*Emissionsfaktoren!S210/1000, 0)</f>
        <v>0</v>
      </c>
      <c r="T720" s="124">
        <f>IF(ISNUMBER('Klisz-Verbräuche'!U210), 'Klisz-Verbräuche'!U210*Emissionsfaktoren!T210/1000, 0)</f>
        <v>0</v>
      </c>
      <c r="U720" s="124">
        <f>IF(ISNUMBER('Klisz-Verbräuche'!V210), 'Klisz-Verbräuche'!V210*Emissionsfaktoren!U210/1000, 0)</f>
        <v>0</v>
      </c>
      <c r="V720" s="124">
        <f>IF(ISNUMBER('Klisz-Verbräuche'!W210), 'Klisz-Verbräuche'!W210*Emissionsfaktoren!V210/1000, 0)</f>
        <v>0</v>
      </c>
      <c r="W720" s="124">
        <f>IF(ISNUMBER('Klisz-Verbräuche'!X210), 'Klisz-Verbräuche'!X210*Emissionsfaktoren!W210/1000, 0)</f>
        <v>0</v>
      </c>
      <c r="X720" s="124">
        <f>IF(ISNUMBER('Klisz-Verbräuche'!Y210), 'Klisz-Verbräuche'!Y210*Emissionsfaktoren!X210/1000, 0)</f>
        <v>0</v>
      </c>
    </row>
    <row r="721" spans="2:24" ht="16.5" hidden="1" x14ac:dyDescent="0.45">
      <c r="B721" s="15">
        <v>151</v>
      </c>
      <c r="C721" s="20">
        <f>'Refsz-Verbräuche'!C211</f>
        <v>0</v>
      </c>
      <c r="D721" t="s">
        <v>208</v>
      </c>
      <c r="E721" s="124">
        <f>IF(ISNUMBER('Klisz-Verbräuche'!F211), 'Klisz-Verbräuche'!F211*Emissionsfaktoren!E211/1000, 0)</f>
        <v>0</v>
      </c>
      <c r="F721" s="124">
        <f>IF(ISNUMBER('Klisz-Verbräuche'!G211), 'Klisz-Verbräuche'!G211*Emissionsfaktoren!F211/1000, 0)</f>
        <v>0</v>
      </c>
      <c r="G721" s="124">
        <f>IF(ISNUMBER('Klisz-Verbräuche'!H211), 'Klisz-Verbräuche'!H211*Emissionsfaktoren!G211/1000, 0)</f>
        <v>0</v>
      </c>
      <c r="H721" s="124">
        <f>IF(ISNUMBER('Klisz-Verbräuche'!I211), 'Klisz-Verbräuche'!I211*Emissionsfaktoren!H211/1000, 0)</f>
        <v>0</v>
      </c>
      <c r="I721" s="124">
        <f>IF(ISNUMBER('Klisz-Verbräuche'!J211), 'Klisz-Verbräuche'!J211*Emissionsfaktoren!I211/1000, 0)</f>
        <v>0</v>
      </c>
      <c r="J721" s="124">
        <f>IF(ISNUMBER('Klisz-Verbräuche'!K211), 'Klisz-Verbräuche'!K211*Emissionsfaktoren!J211/1000, 0)</f>
        <v>0</v>
      </c>
      <c r="K721" s="124">
        <f>IF(ISNUMBER('Klisz-Verbräuche'!L211), 'Klisz-Verbräuche'!L211*Emissionsfaktoren!K211/1000, 0)</f>
        <v>0</v>
      </c>
      <c r="L721" s="124">
        <f>IF(ISNUMBER('Klisz-Verbräuche'!M211), 'Klisz-Verbräuche'!M211*Emissionsfaktoren!L211/1000, 0)</f>
        <v>0</v>
      </c>
      <c r="M721" s="124">
        <f>IF(ISNUMBER('Klisz-Verbräuche'!N211), 'Klisz-Verbräuche'!N211*Emissionsfaktoren!M211/1000, 0)</f>
        <v>0</v>
      </c>
      <c r="N721" s="124">
        <f>IF(ISNUMBER('Klisz-Verbräuche'!O211), 'Klisz-Verbräuche'!O211*Emissionsfaktoren!N211/1000, 0)</f>
        <v>0</v>
      </c>
      <c r="O721" s="124">
        <f>IF(ISNUMBER('Klisz-Verbräuche'!P211), 'Klisz-Verbräuche'!P211*Emissionsfaktoren!O211/1000, 0)</f>
        <v>0</v>
      </c>
      <c r="P721" s="124">
        <f>IF(ISNUMBER('Klisz-Verbräuche'!Q211), 'Klisz-Verbräuche'!Q211*Emissionsfaktoren!P211/1000, 0)</f>
        <v>0</v>
      </c>
      <c r="Q721" s="124">
        <f>IF(ISNUMBER('Klisz-Verbräuche'!R211), 'Klisz-Verbräuche'!R211*Emissionsfaktoren!Q211/1000, 0)</f>
        <v>0</v>
      </c>
      <c r="R721" s="124">
        <f>IF(ISNUMBER('Klisz-Verbräuche'!S211), 'Klisz-Verbräuche'!S211*Emissionsfaktoren!R211/1000, 0)</f>
        <v>0</v>
      </c>
      <c r="S721" s="124">
        <f>IF(ISNUMBER('Klisz-Verbräuche'!T211), 'Klisz-Verbräuche'!T211*Emissionsfaktoren!S211/1000, 0)</f>
        <v>0</v>
      </c>
      <c r="T721" s="124">
        <f>IF(ISNUMBER('Klisz-Verbräuche'!U211), 'Klisz-Verbräuche'!U211*Emissionsfaktoren!T211/1000, 0)</f>
        <v>0</v>
      </c>
      <c r="U721" s="124">
        <f>IF(ISNUMBER('Klisz-Verbräuche'!V211), 'Klisz-Verbräuche'!V211*Emissionsfaktoren!U211/1000, 0)</f>
        <v>0</v>
      </c>
      <c r="V721" s="124">
        <f>IF(ISNUMBER('Klisz-Verbräuche'!W211), 'Klisz-Verbräuche'!W211*Emissionsfaktoren!V211/1000, 0)</f>
        <v>0</v>
      </c>
      <c r="W721" s="124">
        <f>IF(ISNUMBER('Klisz-Verbräuche'!X211), 'Klisz-Verbräuche'!X211*Emissionsfaktoren!W211/1000, 0)</f>
        <v>0</v>
      </c>
      <c r="X721" s="124">
        <f>IF(ISNUMBER('Klisz-Verbräuche'!Y211), 'Klisz-Verbräuche'!Y211*Emissionsfaktoren!X211/1000, 0)</f>
        <v>0</v>
      </c>
    </row>
    <row r="722" spans="2:24" ht="16.5" hidden="1" x14ac:dyDescent="0.45">
      <c r="B722" s="15">
        <v>152</v>
      </c>
      <c r="C722" s="20">
        <f>'Refsz-Verbräuche'!C212</f>
        <v>0</v>
      </c>
      <c r="D722" t="s">
        <v>208</v>
      </c>
      <c r="E722" s="124">
        <f>IF(ISNUMBER('Klisz-Verbräuche'!F212), 'Klisz-Verbräuche'!F212*Emissionsfaktoren!E212/1000, 0)</f>
        <v>0</v>
      </c>
      <c r="F722" s="124">
        <f>IF(ISNUMBER('Klisz-Verbräuche'!G212), 'Klisz-Verbräuche'!G212*Emissionsfaktoren!F212/1000, 0)</f>
        <v>0</v>
      </c>
      <c r="G722" s="124">
        <f>IF(ISNUMBER('Klisz-Verbräuche'!H212), 'Klisz-Verbräuche'!H212*Emissionsfaktoren!G212/1000, 0)</f>
        <v>0</v>
      </c>
      <c r="H722" s="124">
        <f>IF(ISNUMBER('Klisz-Verbräuche'!I212), 'Klisz-Verbräuche'!I212*Emissionsfaktoren!H212/1000, 0)</f>
        <v>0</v>
      </c>
      <c r="I722" s="124">
        <f>IF(ISNUMBER('Klisz-Verbräuche'!J212), 'Klisz-Verbräuche'!J212*Emissionsfaktoren!I212/1000, 0)</f>
        <v>0</v>
      </c>
      <c r="J722" s="124">
        <f>IF(ISNUMBER('Klisz-Verbräuche'!K212), 'Klisz-Verbräuche'!K212*Emissionsfaktoren!J212/1000, 0)</f>
        <v>0</v>
      </c>
      <c r="K722" s="124">
        <f>IF(ISNUMBER('Klisz-Verbräuche'!L212), 'Klisz-Verbräuche'!L212*Emissionsfaktoren!K212/1000, 0)</f>
        <v>0</v>
      </c>
      <c r="L722" s="124">
        <f>IF(ISNUMBER('Klisz-Verbräuche'!M212), 'Klisz-Verbräuche'!M212*Emissionsfaktoren!L212/1000, 0)</f>
        <v>0</v>
      </c>
      <c r="M722" s="124">
        <f>IF(ISNUMBER('Klisz-Verbräuche'!N212), 'Klisz-Verbräuche'!N212*Emissionsfaktoren!M212/1000, 0)</f>
        <v>0</v>
      </c>
      <c r="N722" s="124">
        <f>IF(ISNUMBER('Klisz-Verbräuche'!O212), 'Klisz-Verbräuche'!O212*Emissionsfaktoren!N212/1000, 0)</f>
        <v>0</v>
      </c>
      <c r="O722" s="124">
        <f>IF(ISNUMBER('Klisz-Verbräuche'!P212), 'Klisz-Verbräuche'!P212*Emissionsfaktoren!O212/1000, 0)</f>
        <v>0</v>
      </c>
      <c r="P722" s="124">
        <f>IF(ISNUMBER('Klisz-Verbräuche'!Q212), 'Klisz-Verbräuche'!Q212*Emissionsfaktoren!P212/1000, 0)</f>
        <v>0</v>
      </c>
      <c r="Q722" s="124">
        <f>IF(ISNUMBER('Klisz-Verbräuche'!R212), 'Klisz-Verbräuche'!R212*Emissionsfaktoren!Q212/1000, 0)</f>
        <v>0</v>
      </c>
      <c r="R722" s="124">
        <f>IF(ISNUMBER('Klisz-Verbräuche'!S212), 'Klisz-Verbräuche'!S212*Emissionsfaktoren!R212/1000, 0)</f>
        <v>0</v>
      </c>
      <c r="S722" s="124">
        <f>IF(ISNUMBER('Klisz-Verbräuche'!T212), 'Klisz-Verbräuche'!T212*Emissionsfaktoren!S212/1000, 0)</f>
        <v>0</v>
      </c>
      <c r="T722" s="124">
        <f>IF(ISNUMBER('Klisz-Verbräuche'!U212), 'Klisz-Verbräuche'!U212*Emissionsfaktoren!T212/1000, 0)</f>
        <v>0</v>
      </c>
      <c r="U722" s="124">
        <f>IF(ISNUMBER('Klisz-Verbräuche'!V212), 'Klisz-Verbräuche'!V212*Emissionsfaktoren!U212/1000, 0)</f>
        <v>0</v>
      </c>
      <c r="V722" s="124">
        <f>IF(ISNUMBER('Klisz-Verbräuche'!W212), 'Klisz-Verbräuche'!W212*Emissionsfaktoren!V212/1000, 0)</f>
        <v>0</v>
      </c>
      <c r="W722" s="124">
        <f>IF(ISNUMBER('Klisz-Verbräuche'!X212), 'Klisz-Verbräuche'!X212*Emissionsfaktoren!W212/1000, 0)</f>
        <v>0</v>
      </c>
      <c r="X722" s="124">
        <f>IF(ISNUMBER('Klisz-Verbräuche'!Y212), 'Klisz-Verbräuche'!Y212*Emissionsfaktoren!X212/1000, 0)</f>
        <v>0</v>
      </c>
    </row>
    <row r="723" spans="2:24" ht="16.5" hidden="1" x14ac:dyDescent="0.45">
      <c r="B723" s="15">
        <v>153</v>
      </c>
      <c r="C723" s="20">
        <f>'Refsz-Verbräuche'!C213</f>
        <v>0</v>
      </c>
      <c r="D723" t="s">
        <v>208</v>
      </c>
      <c r="E723" s="124">
        <f>IF(ISNUMBER('Klisz-Verbräuche'!F213), 'Klisz-Verbräuche'!F213*Emissionsfaktoren!E213/1000, 0)</f>
        <v>0</v>
      </c>
      <c r="F723" s="124">
        <f>IF(ISNUMBER('Klisz-Verbräuche'!G213), 'Klisz-Verbräuche'!G213*Emissionsfaktoren!F213/1000, 0)</f>
        <v>0</v>
      </c>
      <c r="G723" s="124">
        <f>IF(ISNUMBER('Klisz-Verbräuche'!H213), 'Klisz-Verbräuche'!H213*Emissionsfaktoren!G213/1000, 0)</f>
        <v>0</v>
      </c>
      <c r="H723" s="124">
        <f>IF(ISNUMBER('Klisz-Verbräuche'!I213), 'Klisz-Verbräuche'!I213*Emissionsfaktoren!H213/1000, 0)</f>
        <v>0</v>
      </c>
      <c r="I723" s="124">
        <f>IF(ISNUMBER('Klisz-Verbräuche'!J213), 'Klisz-Verbräuche'!J213*Emissionsfaktoren!I213/1000, 0)</f>
        <v>0</v>
      </c>
      <c r="J723" s="124">
        <f>IF(ISNUMBER('Klisz-Verbräuche'!K213), 'Klisz-Verbräuche'!K213*Emissionsfaktoren!J213/1000, 0)</f>
        <v>0</v>
      </c>
      <c r="K723" s="124">
        <f>IF(ISNUMBER('Klisz-Verbräuche'!L213), 'Klisz-Verbräuche'!L213*Emissionsfaktoren!K213/1000, 0)</f>
        <v>0</v>
      </c>
      <c r="L723" s="124">
        <f>IF(ISNUMBER('Klisz-Verbräuche'!M213), 'Klisz-Verbräuche'!M213*Emissionsfaktoren!L213/1000, 0)</f>
        <v>0</v>
      </c>
      <c r="M723" s="124">
        <f>IF(ISNUMBER('Klisz-Verbräuche'!N213), 'Klisz-Verbräuche'!N213*Emissionsfaktoren!M213/1000, 0)</f>
        <v>0</v>
      </c>
      <c r="N723" s="124">
        <f>IF(ISNUMBER('Klisz-Verbräuche'!O213), 'Klisz-Verbräuche'!O213*Emissionsfaktoren!N213/1000, 0)</f>
        <v>0</v>
      </c>
      <c r="O723" s="124">
        <f>IF(ISNUMBER('Klisz-Verbräuche'!P213), 'Klisz-Verbräuche'!P213*Emissionsfaktoren!O213/1000, 0)</f>
        <v>0</v>
      </c>
      <c r="P723" s="124">
        <f>IF(ISNUMBER('Klisz-Verbräuche'!Q213), 'Klisz-Verbräuche'!Q213*Emissionsfaktoren!P213/1000, 0)</f>
        <v>0</v>
      </c>
      <c r="Q723" s="124">
        <f>IF(ISNUMBER('Klisz-Verbräuche'!R213), 'Klisz-Verbräuche'!R213*Emissionsfaktoren!Q213/1000, 0)</f>
        <v>0</v>
      </c>
      <c r="R723" s="124">
        <f>IF(ISNUMBER('Klisz-Verbräuche'!S213), 'Klisz-Verbräuche'!S213*Emissionsfaktoren!R213/1000, 0)</f>
        <v>0</v>
      </c>
      <c r="S723" s="124">
        <f>IF(ISNUMBER('Klisz-Verbräuche'!T213), 'Klisz-Verbräuche'!T213*Emissionsfaktoren!S213/1000, 0)</f>
        <v>0</v>
      </c>
      <c r="T723" s="124">
        <f>IF(ISNUMBER('Klisz-Verbräuche'!U213), 'Klisz-Verbräuche'!U213*Emissionsfaktoren!T213/1000, 0)</f>
        <v>0</v>
      </c>
      <c r="U723" s="124">
        <f>IF(ISNUMBER('Klisz-Verbräuche'!V213), 'Klisz-Verbräuche'!V213*Emissionsfaktoren!U213/1000, 0)</f>
        <v>0</v>
      </c>
      <c r="V723" s="124">
        <f>IF(ISNUMBER('Klisz-Verbräuche'!W213), 'Klisz-Verbräuche'!W213*Emissionsfaktoren!V213/1000, 0)</f>
        <v>0</v>
      </c>
      <c r="W723" s="124">
        <f>IF(ISNUMBER('Klisz-Verbräuche'!X213), 'Klisz-Verbräuche'!X213*Emissionsfaktoren!W213/1000, 0)</f>
        <v>0</v>
      </c>
      <c r="X723" s="124">
        <f>IF(ISNUMBER('Klisz-Verbräuche'!Y213), 'Klisz-Verbräuche'!Y213*Emissionsfaktoren!X213/1000, 0)</f>
        <v>0</v>
      </c>
    </row>
    <row r="724" spans="2:24" ht="16.5" hidden="1" x14ac:dyDescent="0.45">
      <c r="B724" s="15">
        <v>154</v>
      </c>
      <c r="C724" s="20">
        <f>'Refsz-Verbräuche'!C214</f>
        <v>0</v>
      </c>
      <c r="D724" t="s">
        <v>208</v>
      </c>
      <c r="E724" s="124">
        <f>IF(ISNUMBER('Klisz-Verbräuche'!F214), 'Klisz-Verbräuche'!F214*Emissionsfaktoren!E214/1000, 0)</f>
        <v>0</v>
      </c>
      <c r="F724" s="124">
        <f>IF(ISNUMBER('Klisz-Verbräuche'!G214), 'Klisz-Verbräuche'!G214*Emissionsfaktoren!F214/1000, 0)</f>
        <v>0</v>
      </c>
      <c r="G724" s="124">
        <f>IF(ISNUMBER('Klisz-Verbräuche'!H214), 'Klisz-Verbräuche'!H214*Emissionsfaktoren!G214/1000, 0)</f>
        <v>0</v>
      </c>
      <c r="H724" s="124">
        <f>IF(ISNUMBER('Klisz-Verbräuche'!I214), 'Klisz-Verbräuche'!I214*Emissionsfaktoren!H214/1000, 0)</f>
        <v>0</v>
      </c>
      <c r="I724" s="124">
        <f>IF(ISNUMBER('Klisz-Verbräuche'!J214), 'Klisz-Verbräuche'!J214*Emissionsfaktoren!I214/1000, 0)</f>
        <v>0</v>
      </c>
      <c r="J724" s="124">
        <f>IF(ISNUMBER('Klisz-Verbräuche'!K214), 'Klisz-Verbräuche'!K214*Emissionsfaktoren!J214/1000, 0)</f>
        <v>0</v>
      </c>
      <c r="K724" s="124">
        <f>IF(ISNUMBER('Klisz-Verbräuche'!L214), 'Klisz-Verbräuche'!L214*Emissionsfaktoren!K214/1000, 0)</f>
        <v>0</v>
      </c>
      <c r="L724" s="124">
        <f>IF(ISNUMBER('Klisz-Verbräuche'!M214), 'Klisz-Verbräuche'!M214*Emissionsfaktoren!L214/1000, 0)</f>
        <v>0</v>
      </c>
      <c r="M724" s="124">
        <f>IF(ISNUMBER('Klisz-Verbräuche'!N214), 'Klisz-Verbräuche'!N214*Emissionsfaktoren!M214/1000, 0)</f>
        <v>0</v>
      </c>
      <c r="N724" s="124">
        <f>IF(ISNUMBER('Klisz-Verbräuche'!O214), 'Klisz-Verbräuche'!O214*Emissionsfaktoren!N214/1000, 0)</f>
        <v>0</v>
      </c>
      <c r="O724" s="124">
        <f>IF(ISNUMBER('Klisz-Verbräuche'!P214), 'Klisz-Verbräuche'!P214*Emissionsfaktoren!O214/1000, 0)</f>
        <v>0</v>
      </c>
      <c r="P724" s="124">
        <f>IF(ISNUMBER('Klisz-Verbräuche'!Q214), 'Klisz-Verbräuche'!Q214*Emissionsfaktoren!P214/1000, 0)</f>
        <v>0</v>
      </c>
      <c r="Q724" s="124">
        <f>IF(ISNUMBER('Klisz-Verbräuche'!R214), 'Klisz-Verbräuche'!R214*Emissionsfaktoren!Q214/1000, 0)</f>
        <v>0</v>
      </c>
      <c r="R724" s="124">
        <f>IF(ISNUMBER('Klisz-Verbräuche'!S214), 'Klisz-Verbräuche'!S214*Emissionsfaktoren!R214/1000, 0)</f>
        <v>0</v>
      </c>
      <c r="S724" s="124">
        <f>IF(ISNUMBER('Klisz-Verbräuche'!T214), 'Klisz-Verbräuche'!T214*Emissionsfaktoren!S214/1000, 0)</f>
        <v>0</v>
      </c>
      <c r="T724" s="124">
        <f>IF(ISNUMBER('Klisz-Verbräuche'!U214), 'Klisz-Verbräuche'!U214*Emissionsfaktoren!T214/1000, 0)</f>
        <v>0</v>
      </c>
      <c r="U724" s="124">
        <f>IF(ISNUMBER('Klisz-Verbräuche'!V214), 'Klisz-Verbräuche'!V214*Emissionsfaktoren!U214/1000, 0)</f>
        <v>0</v>
      </c>
      <c r="V724" s="124">
        <f>IF(ISNUMBER('Klisz-Verbräuche'!W214), 'Klisz-Verbräuche'!W214*Emissionsfaktoren!V214/1000, 0)</f>
        <v>0</v>
      </c>
      <c r="W724" s="124">
        <f>IF(ISNUMBER('Klisz-Verbräuche'!X214), 'Klisz-Verbräuche'!X214*Emissionsfaktoren!W214/1000, 0)</f>
        <v>0</v>
      </c>
      <c r="X724" s="124">
        <f>IF(ISNUMBER('Klisz-Verbräuche'!Y214), 'Klisz-Verbräuche'!Y214*Emissionsfaktoren!X214/1000, 0)</f>
        <v>0</v>
      </c>
    </row>
    <row r="725" spans="2:24" ht="16.5" hidden="1" x14ac:dyDescent="0.45">
      <c r="B725" s="15">
        <v>155</v>
      </c>
      <c r="C725" s="20">
        <f>'Refsz-Verbräuche'!C215</f>
        <v>0</v>
      </c>
      <c r="D725" t="s">
        <v>208</v>
      </c>
      <c r="E725" s="124">
        <f>IF(ISNUMBER('Klisz-Verbräuche'!F215), 'Klisz-Verbräuche'!F215*Emissionsfaktoren!E215/1000, 0)</f>
        <v>0</v>
      </c>
      <c r="F725" s="124">
        <f>IF(ISNUMBER('Klisz-Verbräuche'!G215), 'Klisz-Verbräuche'!G215*Emissionsfaktoren!F215/1000, 0)</f>
        <v>0</v>
      </c>
      <c r="G725" s="124">
        <f>IF(ISNUMBER('Klisz-Verbräuche'!H215), 'Klisz-Verbräuche'!H215*Emissionsfaktoren!G215/1000, 0)</f>
        <v>0</v>
      </c>
      <c r="H725" s="124">
        <f>IF(ISNUMBER('Klisz-Verbräuche'!I215), 'Klisz-Verbräuche'!I215*Emissionsfaktoren!H215/1000, 0)</f>
        <v>0</v>
      </c>
      <c r="I725" s="124">
        <f>IF(ISNUMBER('Klisz-Verbräuche'!J215), 'Klisz-Verbräuche'!J215*Emissionsfaktoren!I215/1000, 0)</f>
        <v>0</v>
      </c>
      <c r="J725" s="124">
        <f>IF(ISNUMBER('Klisz-Verbräuche'!K215), 'Klisz-Verbräuche'!K215*Emissionsfaktoren!J215/1000, 0)</f>
        <v>0</v>
      </c>
      <c r="K725" s="124">
        <f>IF(ISNUMBER('Klisz-Verbräuche'!L215), 'Klisz-Verbräuche'!L215*Emissionsfaktoren!K215/1000, 0)</f>
        <v>0</v>
      </c>
      <c r="L725" s="124">
        <f>IF(ISNUMBER('Klisz-Verbräuche'!M215), 'Klisz-Verbräuche'!M215*Emissionsfaktoren!L215/1000, 0)</f>
        <v>0</v>
      </c>
      <c r="M725" s="124">
        <f>IF(ISNUMBER('Klisz-Verbräuche'!N215), 'Klisz-Verbräuche'!N215*Emissionsfaktoren!M215/1000, 0)</f>
        <v>0</v>
      </c>
      <c r="N725" s="124">
        <f>IF(ISNUMBER('Klisz-Verbräuche'!O215), 'Klisz-Verbräuche'!O215*Emissionsfaktoren!N215/1000, 0)</f>
        <v>0</v>
      </c>
      <c r="O725" s="124">
        <f>IF(ISNUMBER('Klisz-Verbräuche'!P215), 'Klisz-Verbräuche'!P215*Emissionsfaktoren!O215/1000, 0)</f>
        <v>0</v>
      </c>
      <c r="P725" s="124">
        <f>IF(ISNUMBER('Klisz-Verbräuche'!Q215), 'Klisz-Verbräuche'!Q215*Emissionsfaktoren!P215/1000, 0)</f>
        <v>0</v>
      </c>
      <c r="Q725" s="124">
        <f>IF(ISNUMBER('Klisz-Verbräuche'!R215), 'Klisz-Verbräuche'!R215*Emissionsfaktoren!Q215/1000, 0)</f>
        <v>0</v>
      </c>
      <c r="R725" s="124">
        <f>IF(ISNUMBER('Klisz-Verbräuche'!S215), 'Klisz-Verbräuche'!S215*Emissionsfaktoren!R215/1000, 0)</f>
        <v>0</v>
      </c>
      <c r="S725" s="124">
        <f>IF(ISNUMBER('Klisz-Verbräuche'!T215), 'Klisz-Verbräuche'!T215*Emissionsfaktoren!S215/1000, 0)</f>
        <v>0</v>
      </c>
      <c r="T725" s="124">
        <f>IF(ISNUMBER('Klisz-Verbräuche'!U215), 'Klisz-Verbräuche'!U215*Emissionsfaktoren!T215/1000, 0)</f>
        <v>0</v>
      </c>
      <c r="U725" s="124">
        <f>IF(ISNUMBER('Klisz-Verbräuche'!V215), 'Klisz-Verbräuche'!V215*Emissionsfaktoren!U215/1000, 0)</f>
        <v>0</v>
      </c>
      <c r="V725" s="124">
        <f>IF(ISNUMBER('Klisz-Verbräuche'!W215), 'Klisz-Verbräuche'!W215*Emissionsfaktoren!V215/1000, 0)</f>
        <v>0</v>
      </c>
      <c r="W725" s="124">
        <f>IF(ISNUMBER('Klisz-Verbräuche'!X215), 'Klisz-Verbräuche'!X215*Emissionsfaktoren!W215/1000, 0)</f>
        <v>0</v>
      </c>
      <c r="X725" s="124">
        <f>IF(ISNUMBER('Klisz-Verbräuche'!Y215), 'Klisz-Verbräuche'!Y215*Emissionsfaktoren!X215/1000, 0)</f>
        <v>0</v>
      </c>
    </row>
    <row r="726" spans="2:24" ht="16.5" hidden="1" x14ac:dyDescent="0.45">
      <c r="B726" s="15">
        <v>156</v>
      </c>
      <c r="C726" s="20">
        <f>'Refsz-Verbräuche'!C216</f>
        <v>0</v>
      </c>
      <c r="D726" t="s">
        <v>208</v>
      </c>
      <c r="E726" s="124">
        <f>IF(ISNUMBER('Klisz-Verbräuche'!F216), 'Klisz-Verbräuche'!F216*Emissionsfaktoren!E216/1000, 0)</f>
        <v>0</v>
      </c>
      <c r="F726" s="124">
        <f>IF(ISNUMBER('Klisz-Verbräuche'!G216), 'Klisz-Verbräuche'!G216*Emissionsfaktoren!F216/1000, 0)</f>
        <v>0</v>
      </c>
      <c r="G726" s="124">
        <f>IF(ISNUMBER('Klisz-Verbräuche'!H216), 'Klisz-Verbräuche'!H216*Emissionsfaktoren!G216/1000, 0)</f>
        <v>0</v>
      </c>
      <c r="H726" s="124">
        <f>IF(ISNUMBER('Klisz-Verbräuche'!I216), 'Klisz-Verbräuche'!I216*Emissionsfaktoren!H216/1000, 0)</f>
        <v>0</v>
      </c>
      <c r="I726" s="124">
        <f>IF(ISNUMBER('Klisz-Verbräuche'!J216), 'Klisz-Verbräuche'!J216*Emissionsfaktoren!I216/1000, 0)</f>
        <v>0</v>
      </c>
      <c r="J726" s="124">
        <f>IF(ISNUMBER('Klisz-Verbräuche'!K216), 'Klisz-Verbräuche'!K216*Emissionsfaktoren!J216/1000, 0)</f>
        <v>0</v>
      </c>
      <c r="K726" s="124">
        <f>IF(ISNUMBER('Klisz-Verbräuche'!L216), 'Klisz-Verbräuche'!L216*Emissionsfaktoren!K216/1000, 0)</f>
        <v>0</v>
      </c>
      <c r="L726" s="124">
        <f>IF(ISNUMBER('Klisz-Verbräuche'!M216), 'Klisz-Verbräuche'!M216*Emissionsfaktoren!L216/1000, 0)</f>
        <v>0</v>
      </c>
      <c r="M726" s="124">
        <f>IF(ISNUMBER('Klisz-Verbräuche'!N216), 'Klisz-Verbräuche'!N216*Emissionsfaktoren!M216/1000, 0)</f>
        <v>0</v>
      </c>
      <c r="N726" s="124">
        <f>IF(ISNUMBER('Klisz-Verbräuche'!O216), 'Klisz-Verbräuche'!O216*Emissionsfaktoren!N216/1000, 0)</f>
        <v>0</v>
      </c>
      <c r="O726" s="124">
        <f>IF(ISNUMBER('Klisz-Verbräuche'!P216), 'Klisz-Verbräuche'!P216*Emissionsfaktoren!O216/1000, 0)</f>
        <v>0</v>
      </c>
      <c r="P726" s="124">
        <f>IF(ISNUMBER('Klisz-Verbräuche'!Q216), 'Klisz-Verbräuche'!Q216*Emissionsfaktoren!P216/1000, 0)</f>
        <v>0</v>
      </c>
      <c r="Q726" s="124">
        <f>IF(ISNUMBER('Klisz-Verbräuche'!R216), 'Klisz-Verbräuche'!R216*Emissionsfaktoren!Q216/1000, 0)</f>
        <v>0</v>
      </c>
      <c r="R726" s="124">
        <f>IF(ISNUMBER('Klisz-Verbräuche'!S216), 'Klisz-Verbräuche'!S216*Emissionsfaktoren!R216/1000, 0)</f>
        <v>0</v>
      </c>
      <c r="S726" s="124">
        <f>IF(ISNUMBER('Klisz-Verbräuche'!T216), 'Klisz-Verbräuche'!T216*Emissionsfaktoren!S216/1000, 0)</f>
        <v>0</v>
      </c>
      <c r="T726" s="124">
        <f>IF(ISNUMBER('Klisz-Verbräuche'!U216), 'Klisz-Verbräuche'!U216*Emissionsfaktoren!T216/1000, 0)</f>
        <v>0</v>
      </c>
      <c r="U726" s="124">
        <f>IF(ISNUMBER('Klisz-Verbräuche'!V216), 'Klisz-Verbräuche'!V216*Emissionsfaktoren!U216/1000, 0)</f>
        <v>0</v>
      </c>
      <c r="V726" s="124">
        <f>IF(ISNUMBER('Klisz-Verbräuche'!W216), 'Klisz-Verbräuche'!W216*Emissionsfaktoren!V216/1000, 0)</f>
        <v>0</v>
      </c>
      <c r="W726" s="124">
        <f>IF(ISNUMBER('Klisz-Verbräuche'!X216), 'Klisz-Verbräuche'!X216*Emissionsfaktoren!W216/1000, 0)</f>
        <v>0</v>
      </c>
      <c r="X726" s="124">
        <f>IF(ISNUMBER('Klisz-Verbräuche'!Y216), 'Klisz-Verbräuche'!Y216*Emissionsfaktoren!X216/1000, 0)</f>
        <v>0</v>
      </c>
    </row>
    <row r="727" spans="2:24" ht="16.5" hidden="1" x14ac:dyDescent="0.45">
      <c r="B727" s="15">
        <v>157</v>
      </c>
      <c r="C727" s="20">
        <f>'Refsz-Verbräuche'!C217</f>
        <v>0</v>
      </c>
      <c r="D727" t="s">
        <v>208</v>
      </c>
      <c r="E727" s="124">
        <f>IF(ISNUMBER('Klisz-Verbräuche'!F217), 'Klisz-Verbräuche'!F217*Emissionsfaktoren!E217/1000, 0)</f>
        <v>0</v>
      </c>
      <c r="F727" s="124">
        <f>IF(ISNUMBER('Klisz-Verbräuche'!G217), 'Klisz-Verbräuche'!G217*Emissionsfaktoren!F217/1000, 0)</f>
        <v>0</v>
      </c>
      <c r="G727" s="124">
        <f>IF(ISNUMBER('Klisz-Verbräuche'!H217), 'Klisz-Verbräuche'!H217*Emissionsfaktoren!G217/1000, 0)</f>
        <v>0</v>
      </c>
      <c r="H727" s="124">
        <f>IF(ISNUMBER('Klisz-Verbräuche'!I217), 'Klisz-Verbräuche'!I217*Emissionsfaktoren!H217/1000, 0)</f>
        <v>0</v>
      </c>
      <c r="I727" s="124">
        <f>IF(ISNUMBER('Klisz-Verbräuche'!J217), 'Klisz-Verbräuche'!J217*Emissionsfaktoren!I217/1000, 0)</f>
        <v>0</v>
      </c>
      <c r="J727" s="124">
        <f>IF(ISNUMBER('Klisz-Verbräuche'!K217), 'Klisz-Verbräuche'!K217*Emissionsfaktoren!J217/1000, 0)</f>
        <v>0</v>
      </c>
      <c r="K727" s="124">
        <f>IF(ISNUMBER('Klisz-Verbräuche'!L217), 'Klisz-Verbräuche'!L217*Emissionsfaktoren!K217/1000, 0)</f>
        <v>0</v>
      </c>
      <c r="L727" s="124">
        <f>IF(ISNUMBER('Klisz-Verbräuche'!M217), 'Klisz-Verbräuche'!M217*Emissionsfaktoren!L217/1000, 0)</f>
        <v>0</v>
      </c>
      <c r="M727" s="124">
        <f>IF(ISNUMBER('Klisz-Verbräuche'!N217), 'Klisz-Verbräuche'!N217*Emissionsfaktoren!M217/1000, 0)</f>
        <v>0</v>
      </c>
      <c r="N727" s="124">
        <f>IF(ISNUMBER('Klisz-Verbräuche'!O217), 'Klisz-Verbräuche'!O217*Emissionsfaktoren!N217/1000, 0)</f>
        <v>0</v>
      </c>
      <c r="O727" s="124">
        <f>IF(ISNUMBER('Klisz-Verbräuche'!P217), 'Klisz-Verbräuche'!P217*Emissionsfaktoren!O217/1000, 0)</f>
        <v>0</v>
      </c>
      <c r="P727" s="124">
        <f>IF(ISNUMBER('Klisz-Verbräuche'!Q217), 'Klisz-Verbräuche'!Q217*Emissionsfaktoren!P217/1000, 0)</f>
        <v>0</v>
      </c>
      <c r="Q727" s="124">
        <f>IF(ISNUMBER('Klisz-Verbräuche'!R217), 'Klisz-Verbräuche'!R217*Emissionsfaktoren!Q217/1000, 0)</f>
        <v>0</v>
      </c>
      <c r="R727" s="124">
        <f>IF(ISNUMBER('Klisz-Verbräuche'!S217), 'Klisz-Verbräuche'!S217*Emissionsfaktoren!R217/1000, 0)</f>
        <v>0</v>
      </c>
      <c r="S727" s="124">
        <f>IF(ISNUMBER('Klisz-Verbräuche'!T217), 'Klisz-Verbräuche'!T217*Emissionsfaktoren!S217/1000, 0)</f>
        <v>0</v>
      </c>
      <c r="T727" s="124">
        <f>IF(ISNUMBER('Klisz-Verbräuche'!U217), 'Klisz-Verbräuche'!U217*Emissionsfaktoren!T217/1000, 0)</f>
        <v>0</v>
      </c>
      <c r="U727" s="124">
        <f>IF(ISNUMBER('Klisz-Verbräuche'!V217), 'Klisz-Verbräuche'!V217*Emissionsfaktoren!U217/1000, 0)</f>
        <v>0</v>
      </c>
      <c r="V727" s="124">
        <f>IF(ISNUMBER('Klisz-Verbräuche'!W217), 'Klisz-Verbräuche'!W217*Emissionsfaktoren!V217/1000, 0)</f>
        <v>0</v>
      </c>
      <c r="W727" s="124">
        <f>IF(ISNUMBER('Klisz-Verbräuche'!X217), 'Klisz-Verbräuche'!X217*Emissionsfaktoren!W217/1000, 0)</f>
        <v>0</v>
      </c>
      <c r="X727" s="124">
        <f>IF(ISNUMBER('Klisz-Verbräuche'!Y217), 'Klisz-Verbräuche'!Y217*Emissionsfaktoren!X217/1000, 0)</f>
        <v>0</v>
      </c>
    </row>
    <row r="728" spans="2:24" ht="16.5" hidden="1" x14ac:dyDescent="0.45">
      <c r="B728" s="15">
        <v>158</v>
      </c>
      <c r="C728" s="20">
        <f>'Refsz-Verbräuche'!C218</f>
        <v>0</v>
      </c>
      <c r="D728" t="s">
        <v>208</v>
      </c>
      <c r="E728" s="124">
        <f>IF(ISNUMBER('Klisz-Verbräuche'!F218), 'Klisz-Verbräuche'!F218*Emissionsfaktoren!E218/1000, 0)</f>
        <v>0</v>
      </c>
      <c r="F728" s="124">
        <f>IF(ISNUMBER('Klisz-Verbräuche'!G218), 'Klisz-Verbräuche'!G218*Emissionsfaktoren!F218/1000, 0)</f>
        <v>0</v>
      </c>
      <c r="G728" s="124">
        <f>IF(ISNUMBER('Klisz-Verbräuche'!H218), 'Klisz-Verbräuche'!H218*Emissionsfaktoren!G218/1000, 0)</f>
        <v>0</v>
      </c>
      <c r="H728" s="124">
        <f>IF(ISNUMBER('Klisz-Verbräuche'!I218), 'Klisz-Verbräuche'!I218*Emissionsfaktoren!H218/1000, 0)</f>
        <v>0</v>
      </c>
      <c r="I728" s="124">
        <f>IF(ISNUMBER('Klisz-Verbräuche'!J218), 'Klisz-Verbräuche'!J218*Emissionsfaktoren!I218/1000, 0)</f>
        <v>0</v>
      </c>
      <c r="J728" s="124">
        <f>IF(ISNUMBER('Klisz-Verbräuche'!K218), 'Klisz-Verbräuche'!K218*Emissionsfaktoren!J218/1000, 0)</f>
        <v>0</v>
      </c>
      <c r="K728" s="124">
        <f>IF(ISNUMBER('Klisz-Verbräuche'!L218), 'Klisz-Verbräuche'!L218*Emissionsfaktoren!K218/1000, 0)</f>
        <v>0</v>
      </c>
      <c r="L728" s="124">
        <f>IF(ISNUMBER('Klisz-Verbräuche'!M218), 'Klisz-Verbräuche'!M218*Emissionsfaktoren!L218/1000, 0)</f>
        <v>0</v>
      </c>
      <c r="M728" s="124">
        <f>IF(ISNUMBER('Klisz-Verbräuche'!N218), 'Klisz-Verbräuche'!N218*Emissionsfaktoren!M218/1000, 0)</f>
        <v>0</v>
      </c>
      <c r="N728" s="124">
        <f>IF(ISNUMBER('Klisz-Verbräuche'!O218), 'Klisz-Verbräuche'!O218*Emissionsfaktoren!N218/1000, 0)</f>
        <v>0</v>
      </c>
      <c r="O728" s="124">
        <f>IF(ISNUMBER('Klisz-Verbräuche'!P218), 'Klisz-Verbräuche'!P218*Emissionsfaktoren!O218/1000, 0)</f>
        <v>0</v>
      </c>
      <c r="P728" s="124">
        <f>IF(ISNUMBER('Klisz-Verbräuche'!Q218), 'Klisz-Verbräuche'!Q218*Emissionsfaktoren!P218/1000, 0)</f>
        <v>0</v>
      </c>
      <c r="Q728" s="124">
        <f>IF(ISNUMBER('Klisz-Verbräuche'!R218), 'Klisz-Verbräuche'!R218*Emissionsfaktoren!Q218/1000, 0)</f>
        <v>0</v>
      </c>
      <c r="R728" s="124">
        <f>IF(ISNUMBER('Klisz-Verbräuche'!S218), 'Klisz-Verbräuche'!S218*Emissionsfaktoren!R218/1000, 0)</f>
        <v>0</v>
      </c>
      <c r="S728" s="124">
        <f>IF(ISNUMBER('Klisz-Verbräuche'!T218), 'Klisz-Verbräuche'!T218*Emissionsfaktoren!S218/1000, 0)</f>
        <v>0</v>
      </c>
      <c r="T728" s="124">
        <f>IF(ISNUMBER('Klisz-Verbräuche'!U218), 'Klisz-Verbräuche'!U218*Emissionsfaktoren!T218/1000, 0)</f>
        <v>0</v>
      </c>
      <c r="U728" s="124">
        <f>IF(ISNUMBER('Klisz-Verbräuche'!V218), 'Klisz-Verbräuche'!V218*Emissionsfaktoren!U218/1000, 0)</f>
        <v>0</v>
      </c>
      <c r="V728" s="124">
        <f>IF(ISNUMBER('Klisz-Verbräuche'!W218), 'Klisz-Verbräuche'!W218*Emissionsfaktoren!V218/1000, 0)</f>
        <v>0</v>
      </c>
      <c r="W728" s="124">
        <f>IF(ISNUMBER('Klisz-Verbräuche'!X218), 'Klisz-Verbräuche'!X218*Emissionsfaktoren!W218/1000, 0)</f>
        <v>0</v>
      </c>
      <c r="X728" s="124">
        <f>IF(ISNUMBER('Klisz-Verbräuche'!Y218), 'Klisz-Verbräuche'!Y218*Emissionsfaktoren!X218/1000, 0)</f>
        <v>0</v>
      </c>
    </row>
    <row r="729" spans="2:24" ht="16.5" hidden="1" x14ac:dyDescent="0.45">
      <c r="B729" s="15">
        <v>159</v>
      </c>
      <c r="C729" s="20">
        <f>'Refsz-Verbräuche'!C219</f>
        <v>0</v>
      </c>
      <c r="D729" t="s">
        <v>208</v>
      </c>
      <c r="E729" s="124">
        <f>IF(ISNUMBER('Klisz-Verbräuche'!F219), 'Klisz-Verbräuche'!F219*Emissionsfaktoren!E219/1000, 0)</f>
        <v>0</v>
      </c>
      <c r="F729" s="124">
        <f>IF(ISNUMBER('Klisz-Verbräuche'!G219), 'Klisz-Verbräuche'!G219*Emissionsfaktoren!F219/1000, 0)</f>
        <v>0</v>
      </c>
      <c r="G729" s="124">
        <f>IF(ISNUMBER('Klisz-Verbräuche'!H219), 'Klisz-Verbräuche'!H219*Emissionsfaktoren!G219/1000, 0)</f>
        <v>0</v>
      </c>
      <c r="H729" s="124">
        <f>IF(ISNUMBER('Klisz-Verbräuche'!I219), 'Klisz-Verbräuche'!I219*Emissionsfaktoren!H219/1000, 0)</f>
        <v>0</v>
      </c>
      <c r="I729" s="124">
        <f>IF(ISNUMBER('Klisz-Verbräuche'!J219), 'Klisz-Verbräuche'!J219*Emissionsfaktoren!I219/1000, 0)</f>
        <v>0</v>
      </c>
      <c r="J729" s="124">
        <f>IF(ISNUMBER('Klisz-Verbräuche'!K219), 'Klisz-Verbräuche'!K219*Emissionsfaktoren!J219/1000, 0)</f>
        <v>0</v>
      </c>
      <c r="K729" s="124">
        <f>IF(ISNUMBER('Klisz-Verbräuche'!L219), 'Klisz-Verbräuche'!L219*Emissionsfaktoren!K219/1000, 0)</f>
        <v>0</v>
      </c>
      <c r="L729" s="124">
        <f>IF(ISNUMBER('Klisz-Verbräuche'!M219), 'Klisz-Verbräuche'!M219*Emissionsfaktoren!L219/1000, 0)</f>
        <v>0</v>
      </c>
      <c r="M729" s="124">
        <f>IF(ISNUMBER('Klisz-Verbräuche'!N219), 'Klisz-Verbräuche'!N219*Emissionsfaktoren!M219/1000, 0)</f>
        <v>0</v>
      </c>
      <c r="N729" s="124">
        <f>IF(ISNUMBER('Klisz-Verbräuche'!O219), 'Klisz-Verbräuche'!O219*Emissionsfaktoren!N219/1000, 0)</f>
        <v>0</v>
      </c>
      <c r="O729" s="124">
        <f>IF(ISNUMBER('Klisz-Verbräuche'!P219), 'Klisz-Verbräuche'!P219*Emissionsfaktoren!O219/1000, 0)</f>
        <v>0</v>
      </c>
      <c r="P729" s="124">
        <f>IF(ISNUMBER('Klisz-Verbräuche'!Q219), 'Klisz-Verbräuche'!Q219*Emissionsfaktoren!P219/1000, 0)</f>
        <v>0</v>
      </c>
      <c r="Q729" s="124">
        <f>IF(ISNUMBER('Klisz-Verbräuche'!R219), 'Klisz-Verbräuche'!R219*Emissionsfaktoren!Q219/1000, 0)</f>
        <v>0</v>
      </c>
      <c r="R729" s="124">
        <f>IF(ISNUMBER('Klisz-Verbräuche'!S219), 'Klisz-Verbräuche'!S219*Emissionsfaktoren!R219/1000, 0)</f>
        <v>0</v>
      </c>
      <c r="S729" s="124">
        <f>IF(ISNUMBER('Klisz-Verbräuche'!T219), 'Klisz-Verbräuche'!T219*Emissionsfaktoren!S219/1000, 0)</f>
        <v>0</v>
      </c>
      <c r="T729" s="124">
        <f>IF(ISNUMBER('Klisz-Verbräuche'!U219), 'Klisz-Verbräuche'!U219*Emissionsfaktoren!T219/1000, 0)</f>
        <v>0</v>
      </c>
      <c r="U729" s="124">
        <f>IF(ISNUMBER('Klisz-Verbräuche'!V219), 'Klisz-Verbräuche'!V219*Emissionsfaktoren!U219/1000, 0)</f>
        <v>0</v>
      </c>
      <c r="V729" s="124">
        <f>IF(ISNUMBER('Klisz-Verbräuche'!W219), 'Klisz-Verbräuche'!W219*Emissionsfaktoren!V219/1000, 0)</f>
        <v>0</v>
      </c>
      <c r="W729" s="124">
        <f>IF(ISNUMBER('Klisz-Verbräuche'!X219), 'Klisz-Verbräuche'!X219*Emissionsfaktoren!W219/1000, 0)</f>
        <v>0</v>
      </c>
      <c r="X729" s="124">
        <f>IF(ISNUMBER('Klisz-Verbräuche'!Y219), 'Klisz-Verbräuche'!Y219*Emissionsfaktoren!X219/1000, 0)</f>
        <v>0</v>
      </c>
    </row>
    <row r="730" spans="2:24" ht="16.5" hidden="1" x14ac:dyDescent="0.45">
      <c r="B730" s="15">
        <v>160</v>
      </c>
      <c r="C730" s="20">
        <f>'Refsz-Verbräuche'!C220</f>
        <v>0</v>
      </c>
      <c r="D730" t="s">
        <v>208</v>
      </c>
      <c r="E730" s="124">
        <f>IF(ISNUMBER('Klisz-Verbräuche'!F220), 'Klisz-Verbräuche'!F220*Emissionsfaktoren!E220/1000, 0)</f>
        <v>0</v>
      </c>
      <c r="F730" s="124">
        <f>IF(ISNUMBER('Klisz-Verbräuche'!G220), 'Klisz-Verbräuche'!G220*Emissionsfaktoren!F220/1000, 0)</f>
        <v>0</v>
      </c>
      <c r="G730" s="124">
        <f>IF(ISNUMBER('Klisz-Verbräuche'!H220), 'Klisz-Verbräuche'!H220*Emissionsfaktoren!G220/1000, 0)</f>
        <v>0</v>
      </c>
      <c r="H730" s="124">
        <f>IF(ISNUMBER('Klisz-Verbräuche'!I220), 'Klisz-Verbräuche'!I220*Emissionsfaktoren!H220/1000, 0)</f>
        <v>0</v>
      </c>
      <c r="I730" s="124">
        <f>IF(ISNUMBER('Klisz-Verbräuche'!J220), 'Klisz-Verbräuche'!J220*Emissionsfaktoren!I220/1000, 0)</f>
        <v>0</v>
      </c>
      <c r="J730" s="124">
        <f>IF(ISNUMBER('Klisz-Verbräuche'!K220), 'Klisz-Verbräuche'!K220*Emissionsfaktoren!J220/1000, 0)</f>
        <v>0</v>
      </c>
      <c r="K730" s="124">
        <f>IF(ISNUMBER('Klisz-Verbräuche'!L220), 'Klisz-Verbräuche'!L220*Emissionsfaktoren!K220/1000, 0)</f>
        <v>0</v>
      </c>
      <c r="L730" s="124">
        <f>IF(ISNUMBER('Klisz-Verbräuche'!M220), 'Klisz-Verbräuche'!M220*Emissionsfaktoren!L220/1000, 0)</f>
        <v>0</v>
      </c>
      <c r="M730" s="124">
        <f>IF(ISNUMBER('Klisz-Verbräuche'!N220), 'Klisz-Verbräuche'!N220*Emissionsfaktoren!M220/1000, 0)</f>
        <v>0</v>
      </c>
      <c r="N730" s="124">
        <f>IF(ISNUMBER('Klisz-Verbräuche'!O220), 'Klisz-Verbräuche'!O220*Emissionsfaktoren!N220/1000, 0)</f>
        <v>0</v>
      </c>
      <c r="O730" s="124">
        <f>IF(ISNUMBER('Klisz-Verbräuche'!P220), 'Klisz-Verbräuche'!P220*Emissionsfaktoren!O220/1000, 0)</f>
        <v>0</v>
      </c>
      <c r="P730" s="124">
        <f>IF(ISNUMBER('Klisz-Verbräuche'!Q220), 'Klisz-Verbräuche'!Q220*Emissionsfaktoren!P220/1000, 0)</f>
        <v>0</v>
      </c>
      <c r="Q730" s="124">
        <f>IF(ISNUMBER('Klisz-Verbräuche'!R220), 'Klisz-Verbräuche'!R220*Emissionsfaktoren!Q220/1000, 0)</f>
        <v>0</v>
      </c>
      <c r="R730" s="124">
        <f>IF(ISNUMBER('Klisz-Verbräuche'!S220), 'Klisz-Verbräuche'!S220*Emissionsfaktoren!R220/1000, 0)</f>
        <v>0</v>
      </c>
      <c r="S730" s="124">
        <f>IF(ISNUMBER('Klisz-Verbräuche'!T220), 'Klisz-Verbräuche'!T220*Emissionsfaktoren!S220/1000, 0)</f>
        <v>0</v>
      </c>
      <c r="T730" s="124">
        <f>IF(ISNUMBER('Klisz-Verbräuche'!U220), 'Klisz-Verbräuche'!U220*Emissionsfaktoren!T220/1000, 0)</f>
        <v>0</v>
      </c>
      <c r="U730" s="124">
        <f>IF(ISNUMBER('Klisz-Verbräuche'!V220), 'Klisz-Verbräuche'!V220*Emissionsfaktoren!U220/1000, 0)</f>
        <v>0</v>
      </c>
      <c r="V730" s="124">
        <f>IF(ISNUMBER('Klisz-Verbräuche'!W220), 'Klisz-Verbräuche'!W220*Emissionsfaktoren!V220/1000, 0)</f>
        <v>0</v>
      </c>
      <c r="W730" s="124">
        <f>IF(ISNUMBER('Klisz-Verbräuche'!X220), 'Klisz-Verbräuche'!X220*Emissionsfaktoren!W220/1000, 0)</f>
        <v>0</v>
      </c>
      <c r="X730" s="124">
        <f>IF(ISNUMBER('Klisz-Verbräuche'!Y220), 'Klisz-Verbräuche'!Y220*Emissionsfaktoren!X220/1000, 0)</f>
        <v>0</v>
      </c>
    </row>
    <row r="731" spans="2:24" ht="16.5" hidden="1" x14ac:dyDescent="0.45">
      <c r="B731" s="15">
        <v>161</v>
      </c>
      <c r="C731" s="20">
        <f>'Refsz-Verbräuche'!C221</f>
        <v>0</v>
      </c>
      <c r="D731" t="s">
        <v>208</v>
      </c>
      <c r="E731" s="124">
        <f>IF(ISNUMBER('Klisz-Verbräuche'!F221), 'Klisz-Verbräuche'!F221*Emissionsfaktoren!E221/1000, 0)</f>
        <v>0</v>
      </c>
      <c r="F731" s="124">
        <f>IF(ISNUMBER('Klisz-Verbräuche'!G221), 'Klisz-Verbräuche'!G221*Emissionsfaktoren!F221/1000, 0)</f>
        <v>0</v>
      </c>
      <c r="G731" s="124">
        <f>IF(ISNUMBER('Klisz-Verbräuche'!H221), 'Klisz-Verbräuche'!H221*Emissionsfaktoren!G221/1000, 0)</f>
        <v>0</v>
      </c>
      <c r="H731" s="124">
        <f>IF(ISNUMBER('Klisz-Verbräuche'!I221), 'Klisz-Verbräuche'!I221*Emissionsfaktoren!H221/1000, 0)</f>
        <v>0</v>
      </c>
      <c r="I731" s="124">
        <f>IF(ISNUMBER('Klisz-Verbräuche'!J221), 'Klisz-Verbräuche'!J221*Emissionsfaktoren!I221/1000, 0)</f>
        <v>0</v>
      </c>
      <c r="J731" s="124">
        <f>IF(ISNUMBER('Klisz-Verbräuche'!K221), 'Klisz-Verbräuche'!K221*Emissionsfaktoren!J221/1000, 0)</f>
        <v>0</v>
      </c>
      <c r="K731" s="124">
        <f>IF(ISNUMBER('Klisz-Verbräuche'!L221), 'Klisz-Verbräuche'!L221*Emissionsfaktoren!K221/1000, 0)</f>
        <v>0</v>
      </c>
      <c r="L731" s="124">
        <f>IF(ISNUMBER('Klisz-Verbräuche'!M221), 'Klisz-Verbräuche'!M221*Emissionsfaktoren!L221/1000, 0)</f>
        <v>0</v>
      </c>
      <c r="M731" s="124">
        <f>IF(ISNUMBER('Klisz-Verbräuche'!N221), 'Klisz-Verbräuche'!N221*Emissionsfaktoren!M221/1000, 0)</f>
        <v>0</v>
      </c>
      <c r="N731" s="124">
        <f>IF(ISNUMBER('Klisz-Verbräuche'!O221), 'Klisz-Verbräuche'!O221*Emissionsfaktoren!N221/1000, 0)</f>
        <v>0</v>
      </c>
      <c r="O731" s="124">
        <f>IF(ISNUMBER('Klisz-Verbräuche'!P221), 'Klisz-Verbräuche'!P221*Emissionsfaktoren!O221/1000, 0)</f>
        <v>0</v>
      </c>
      <c r="P731" s="124">
        <f>IF(ISNUMBER('Klisz-Verbräuche'!Q221), 'Klisz-Verbräuche'!Q221*Emissionsfaktoren!P221/1000, 0)</f>
        <v>0</v>
      </c>
      <c r="Q731" s="124">
        <f>IF(ISNUMBER('Klisz-Verbräuche'!R221), 'Klisz-Verbräuche'!R221*Emissionsfaktoren!Q221/1000, 0)</f>
        <v>0</v>
      </c>
      <c r="R731" s="124">
        <f>IF(ISNUMBER('Klisz-Verbräuche'!S221), 'Klisz-Verbräuche'!S221*Emissionsfaktoren!R221/1000, 0)</f>
        <v>0</v>
      </c>
      <c r="S731" s="124">
        <f>IF(ISNUMBER('Klisz-Verbräuche'!T221), 'Klisz-Verbräuche'!T221*Emissionsfaktoren!S221/1000, 0)</f>
        <v>0</v>
      </c>
      <c r="T731" s="124">
        <f>IF(ISNUMBER('Klisz-Verbräuche'!U221), 'Klisz-Verbräuche'!U221*Emissionsfaktoren!T221/1000, 0)</f>
        <v>0</v>
      </c>
      <c r="U731" s="124">
        <f>IF(ISNUMBER('Klisz-Verbräuche'!V221), 'Klisz-Verbräuche'!V221*Emissionsfaktoren!U221/1000, 0)</f>
        <v>0</v>
      </c>
      <c r="V731" s="124">
        <f>IF(ISNUMBER('Klisz-Verbräuche'!W221), 'Klisz-Verbräuche'!W221*Emissionsfaktoren!V221/1000, 0)</f>
        <v>0</v>
      </c>
      <c r="W731" s="124">
        <f>IF(ISNUMBER('Klisz-Verbräuche'!X221), 'Klisz-Verbräuche'!X221*Emissionsfaktoren!W221/1000, 0)</f>
        <v>0</v>
      </c>
      <c r="X731" s="124">
        <f>IF(ISNUMBER('Klisz-Verbräuche'!Y221), 'Klisz-Verbräuche'!Y221*Emissionsfaktoren!X221/1000, 0)</f>
        <v>0</v>
      </c>
    </row>
    <row r="732" spans="2:24" hidden="1" x14ac:dyDescent="0.35"/>
    <row r="733" spans="2:24" x14ac:dyDescent="0.35">
      <c r="C733" s="1"/>
    </row>
    <row r="734" spans="2:24" ht="15.5" x14ac:dyDescent="0.35">
      <c r="B734" s="6" t="s">
        <v>452</v>
      </c>
      <c r="C734" s="1"/>
    </row>
    <row r="735" spans="2:24" x14ac:dyDescent="0.35">
      <c r="C735" s="1"/>
    </row>
    <row r="736" spans="2:24" x14ac:dyDescent="0.35">
      <c r="C736" s="1"/>
    </row>
    <row r="737" spans="2:24" x14ac:dyDescent="0.35">
      <c r="C737" s="1"/>
    </row>
    <row r="738" spans="2:24" x14ac:dyDescent="0.35">
      <c r="C738" s="1"/>
    </row>
    <row r="739" spans="2:24" x14ac:dyDescent="0.35">
      <c r="C739" s="1"/>
    </row>
    <row r="740" spans="2:24" x14ac:dyDescent="0.35">
      <c r="C740" s="1"/>
    </row>
    <row r="741" spans="2:24" x14ac:dyDescent="0.35">
      <c r="C741" s="1"/>
    </row>
    <row r="742" spans="2:24" x14ac:dyDescent="0.35">
      <c r="C742" s="1"/>
    </row>
    <row r="743" spans="2:24" x14ac:dyDescent="0.35">
      <c r="C743" s="1"/>
    </row>
    <row r="744" spans="2:24" x14ac:dyDescent="0.35">
      <c r="C744" s="1"/>
    </row>
    <row r="745" spans="2:24" x14ac:dyDescent="0.35">
      <c r="C745" s="1"/>
    </row>
    <row r="746" spans="2:24" ht="15.5" x14ac:dyDescent="0.35">
      <c r="B746" s="6" t="s">
        <v>454</v>
      </c>
      <c r="C746" s="1"/>
    </row>
    <row r="747" spans="2:24" x14ac:dyDescent="0.35">
      <c r="C747" s="1"/>
    </row>
    <row r="748" spans="2:24" x14ac:dyDescent="0.35">
      <c r="C748" t="s">
        <v>28</v>
      </c>
      <c r="D748" t="s">
        <v>2</v>
      </c>
      <c r="E748" t="s">
        <v>3</v>
      </c>
      <c r="F748" t="s">
        <v>4</v>
      </c>
      <c r="G748" t="s">
        <v>5</v>
      </c>
      <c r="H748" t="s">
        <v>6</v>
      </c>
      <c r="I748" t="s">
        <v>7</v>
      </c>
      <c r="J748" t="s">
        <v>8</v>
      </c>
      <c r="K748" t="s">
        <v>9</v>
      </c>
      <c r="L748" t="s">
        <v>10</v>
      </c>
      <c r="M748" t="s">
        <v>11</v>
      </c>
      <c r="N748" t="s">
        <v>12</v>
      </c>
      <c r="O748" t="s">
        <v>13</v>
      </c>
      <c r="P748" t="s">
        <v>14</v>
      </c>
      <c r="Q748" t="s">
        <v>232</v>
      </c>
      <c r="R748" t="s">
        <v>233</v>
      </c>
      <c r="S748" t="s">
        <v>234</v>
      </c>
      <c r="T748" t="s">
        <v>15</v>
      </c>
      <c r="U748" t="s">
        <v>16</v>
      </c>
      <c r="V748" t="s">
        <v>17</v>
      </c>
      <c r="W748" t="s">
        <v>18</v>
      </c>
      <c r="X748" t="s">
        <v>19</v>
      </c>
    </row>
    <row r="749" spans="2:24" ht="16.5" x14ac:dyDescent="0.45">
      <c r="C749" t="s">
        <v>211</v>
      </c>
      <c r="D749" t="s">
        <v>208</v>
      </c>
      <c r="E749">
        <f>SUM('Klisz-Emissionen'!E61)</f>
        <v>0</v>
      </c>
      <c r="F749">
        <f>SUM('Klisz-Emissionen'!F61)</f>
        <v>0</v>
      </c>
      <c r="G749">
        <f>SUM('Klisz-Emissionen'!G61)</f>
        <v>0</v>
      </c>
      <c r="H749">
        <f>SUM('Klisz-Emissionen'!H61)</f>
        <v>0</v>
      </c>
      <c r="I749">
        <f>SUM('Klisz-Emissionen'!I61)</f>
        <v>0</v>
      </c>
      <c r="J749">
        <f>SUM('Klisz-Emissionen'!J61)</f>
        <v>0</v>
      </c>
      <c r="K749">
        <f>SUM('Klisz-Emissionen'!K61)</f>
        <v>0</v>
      </c>
      <c r="L749">
        <f>SUM('Klisz-Emissionen'!L61)</f>
        <v>0</v>
      </c>
      <c r="M749">
        <f>SUM('Klisz-Emissionen'!M61)</f>
        <v>0</v>
      </c>
      <c r="N749">
        <f>SUM('Klisz-Emissionen'!N61)</f>
        <v>0</v>
      </c>
      <c r="O749">
        <f>SUM('Klisz-Emissionen'!O61)</f>
        <v>0</v>
      </c>
      <c r="P749">
        <f>SUM('Klisz-Emissionen'!P61)</f>
        <v>0</v>
      </c>
      <c r="Q749">
        <f>SUM('Klisz-Emissionen'!Q61)</f>
        <v>0</v>
      </c>
      <c r="R749">
        <f>SUM('Klisz-Emissionen'!R61)</f>
        <v>0</v>
      </c>
      <c r="S749">
        <f>SUM('Klisz-Emissionen'!S61)</f>
        <v>0</v>
      </c>
      <c r="T749">
        <f>SUM('Klisz-Emissionen'!T61)</f>
        <v>0</v>
      </c>
      <c r="U749">
        <f>SUM('Klisz-Emissionen'!U61)</f>
        <v>0</v>
      </c>
      <c r="V749">
        <f>SUM('Klisz-Emissionen'!V61)</f>
        <v>0</v>
      </c>
      <c r="W749">
        <f>SUM('Klisz-Emissionen'!W61)</f>
        <v>0</v>
      </c>
      <c r="X749">
        <f>SUM('Klisz-Emissionen'!X61)</f>
        <v>0</v>
      </c>
    </row>
    <row r="750" spans="2:24" ht="16.5" x14ac:dyDescent="0.45">
      <c r="C750" t="s">
        <v>212</v>
      </c>
      <c r="D750" t="s">
        <v>208</v>
      </c>
      <c r="E750">
        <f>SUM('Klisz-Emissionen'!E72:E85)</f>
        <v>0</v>
      </c>
      <c r="F750">
        <f>SUM('Klisz-Emissionen'!F72:F85)</f>
        <v>0</v>
      </c>
      <c r="G750">
        <f>SUM('Klisz-Emissionen'!G72:G85)</f>
        <v>0</v>
      </c>
      <c r="H750">
        <f>SUM('Klisz-Emissionen'!H72:H85)</f>
        <v>0</v>
      </c>
      <c r="I750">
        <f>SUM('Klisz-Emissionen'!I72:I85)</f>
        <v>0</v>
      </c>
      <c r="J750">
        <f>SUM('Klisz-Emissionen'!J72:J85)</f>
        <v>0</v>
      </c>
      <c r="K750">
        <f>SUM('Klisz-Emissionen'!K72:K85)</f>
        <v>0</v>
      </c>
      <c r="L750">
        <f>SUM('Klisz-Emissionen'!L72:L85)</f>
        <v>0</v>
      </c>
      <c r="M750">
        <f>SUM('Klisz-Emissionen'!M72:M85)</f>
        <v>0</v>
      </c>
      <c r="N750">
        <f>SUM('Klisz-Emissionen'!N72:N85)</f>
        <v>0</v>
      </c>
      <c r="O750">
        <f>SUM('Klisz-Emissionen'!O72:O85)</f>
        <v>0</v>
      </c>
      <c r="P750">
        <f>SUM('Klisz-Emissionen'!P72:P85)</f>
        <v>0</v>
      </c>
      <c r="Q750">
        <f>SUM('Klisz-Emissionen'!Q72:Q85)</f>
        <v>0</v>
      </c>
      <c r="R750">
        <f>SUM('Klisz-Emissionen'!R72:R85)</f>
        <v>0</v>
      </c>
      <c r="S750">
        <f>SUM('Klisz-Emissionen'!S72:S85)</f>
        <v>0</v>
      </c>
      <c r="T750">
        <f>SUM('Klisz-Emissionen'!T72:T85)</f>
        <v>0</v>
      </c>
      <c r="U750">
        <f>SUM('Klisz-Emissionen'!U72:U85)</f>
        <v>0</v>
      </c>
      <c r="V750">
        <f>SUM('Klisz-Emissionen'!V72:V85)</f>
        <v>0</v>
      </c>
      <c r="W750">
        <f>SUM('Klisz-Emissionen'!W72:W85)</f>
        <v>0</v>
      </c>
      <c r="X750">
        <f>SUM('Klisz-Emissionen'!X72:X85)</f>
        <v>0</v>
      </c>
    </row>
    <row r="751" spans="2:24" ht="16.5" x14ac:dyDescent="0.45">
      <c r="C751" t="s">
        <v>213</v>
      </c>
      <c r="D751" t="s">
        <v>208</v>
      </c>
      <c r="E751">
        <f>SUM('Klisz-Emissionen'!E86:E89)</f>
        <v>0</v>
      </c>
      <c r="F751">
        <f>SUM('Klisz-Emissionen'!F86:F89)</f>
        <v>0</v>
      </c>
      <c r="G751">
        <f>SUM('Klisz-Emissionen'!G86:G89)</f>
        <v>0</v>
      </c>
      <c r="H751">
        <f>SUM('Klisz-Emissionen'!H86:H89)</f>
        <v>0</v>
      </c>
      <c r="I751">
        <f>SUM('Klisz-Emissionen'!I86:I89)</f>
        <v>0</v>
      </c>
      <c r="J751">
        <f>SUM('Klisz-Emissionen'!J86:J89)</f>
        <v>0</v>
      </c>
      <c r="K751">
        <f>SUM('Klisz-Emissionen'!K86:K89)</f>
        <v>0</v>
      </c>
      <c r="L751">
        <f>SUM('Klisz-Emissionen'!L86:L89)</f>
        <v>0</v>
      </c>
      <c r="M751">
        <f>SUM('Klisz-Emissionen'!M86:M89)</f>
        <v>0</v>
      </c>
      <c r="N751">
        <f>SUM('Klisz-Emissionen'!N86:N89)</f>
        <v>0</v>
      </c>
      <c r="O751">
        <f>SUM('Klisz-Emissionen'!O86:O89)</f>
        <v>0</v>
      </c>
      <c r="P751">
        <f>SUM('Klisz-Emissionen'!P86:P89)</f>
        <v>0</v>
      </c>
      <c r="Q751">
        <f>SUM('Klisz-Emissionen'!Q86:Q89)</f>
        <v>0</v>
      </c>
      <c r="R751">
        <f>SUM('Klisz-Emissionen'!R86:R89)</f>
        <v>0</v>
      </c>
      <c r="S751">
        <f>SUM('Klisz-Emissionen'!S86:S89)</f>
        <v>0</v>
      </c>
      <c r="T751">
        <f>SUM('Klisz-Emissionen'!T86:T89)</f>
        <v>0</v>
      </c>
      <c r="U751">
        <f>SUM('Klisz-Emissionen'!U86:U89)</f>
        <v>0</v>
      </c>
      <c r="V751">
        <f>SUM('Klisz-Emissionen'!V86:V89)</f>
        <v>0</v>
      </c>
      <c r="W751">
        <f>SUM('Klisz-Emissionen'!W86:W89)</f>
        <v>0</v>
      </c>
      <c r="X751">
        <f>SUM('Klisz-Emissionen'!X86:X89)</f>
        <v>0</v>
      </c>
    </row>
    <row r="752" spans="2:24" ht="16.5" x14ac:dyDescent="0.45">
      <c r="C752" t="str">
        <f>_xlfn.CONCAT("Mobilität der Institution (", 'Refsz-Verbräuche'!C46,", ", 'Refsz-Verbräuche'!C47,", ", 'Refsz-Verbräuche'!C48,", ", 'Refsz-Verbräuche'!C49,")")</f>
        <v>Mobilität der Institution (Fuhrpark, DR, Studierendenreisen (Outgoing), Exkursionen)</v>
      </c>
      <c r="D752" t="s">
        <v>208</v>
      </c>
      <c r="E752">
        <f>SUM('Klisz-Emissionen'!E91:E96)+SUM('Klisz-Emissionen'!E98:E113)+SUM('Klisz-Emissionen'!E115:E117)+SUM('Klisz-Emissionen'!E119:E121)</f>
        <v>0</v>
      </c>
      <c r="F752">
        <f>SUM('Klisz-Emissionen'!F91:F96)+SUM('Klisz-Emissionen'!F98:F113)+SUM('Klisz-Emissionen'!F115:F117)+SUM('Klisz-Emissionen'!F119:F121)</f>
        <v>0</v>
      </c>
      <c r="G752">
        <f>SUM('Klisz-Emissionen'!G91:G96)+SUM('Klisz-Emissionen'!G98:G113)+SUM('Klisz-Emissionen'!G115:G117)+SUM('Klisz-Emissionen'!G119:G121)</f>
        <v>0</v>
      </c>
      <c r="H752">
        <f>SUM('Klisz-Emissionen'!H91:H96)+SUM('Klisz-Emissionen'!H98:H113)+SUM('Klisz-Emissionen'!H115:H117)+SUM('Klisz-Emissionen'!H119:H121)</f>
        <v>0</v>
      </c>
      <c r="I752">
        <f>SUM('Klisz-Emissionen'!I91:I96)+SUM('Klisz-Emissionen'!I98:I113)+SUM('Klisz-Emissionen'!I115:I117)+SUM('Klisz-Emissionen'!I119:I121)</f>
        <v>0</v>
      </c>
      <c r="J752">
        <f>SUM('Klisz-Emissionen'!J91:J96)+SUM('Klisz-Emissionen'!J98:J113)+SUM('Klisz-Emissionen'!J115:J117)+SUM('Klisz-Emissionen'!J119:J121)</f>
        <v>0</v>
      </c>
      <c r="K752">
        <f>SUM('Klisz-Emissionen'!K91:K96)+SUM('Klisz-Emissionen'!K98:K113)+SUM('Klisz-Emissionen'!K115:K117)+SUM('Klisz-Emissionen'!K119:K121)</f>
        <v>0</v>
      </c>
      <c r="L752">
        <f>SUM('Klisz-Emissionen'!L91:L96)+SUM('Klisz-Emissionen'!L98:L113)+SUM('Klisz-Emissionen'!L115:L117)+SUM('Klisz-Emissionen'!L119:L121)</f>
        <v>0</v>
      </c>
      <c r="M752">
        <f>SUM('Klisz-Emissionen'!M91:M96)+SUM('Klisz-Emissionen'!M98:M113)+SUM('Klisz-Emissionen'!M115:M117)+SUM('Klisz-Emissionen'!M119:M121)</f>
        <v>0</v>
      </c>
      <c r="N752">
        <f>SUM('Klisz-Emissionen'!N91:N96)+SUM('Klisz-Emissionen'!N98:N113)+SUM('Klisz-Emissionen'!N115:N117)+SUM('Klisz-Emissionen'!N119:N121)</f>
        <v>0</v>
      </c>
      <c r="O752">
        <f>SUM('Klisz-Emissionen'!O91:O96)+SUM('Klisz-Emissionen'!O98:O113)+SUM('Klisz-Emissionen'!O115:O117)+SUM('Klisz-Emissionen'!O119:O121)</f>
        <v>0</v>
      </c>
      <c r="P752">
        <f>SUM('Klisz-Emissionen'!P91:P96)+SUM('Klisz-Emissionen'!P98:P113)+SUM('Klisz-Emissionen'!P115:P117)+SUM('Klisz-Emissionen'!P119:P121)</f>
        <v>0</v>
      </c>
      <c r="Q752">
        <f>SUM('Klisz-Emissionen'!Q91:Q96)+SUM('Klisz-Emissionen'!Q98:Q113)+SUM('Klisz-Emissionen'!Q115:Q117)+SUM('Klisz-Emissionen'!Q119:Q121)</f>
        <v>0</v>
      </c>
      <c r="R752">
        <f>SUM('Klisz-Emissionen'!R91:R96)+SUM('Klisz-Emissionen'!R98:R113)+SUM('Klisz-Emissionen'!R115:R117)+SUM('Klisz-Emissionen'!R119:R121)</f>
        <v>0</v>
      </c>
      <c r="S752">
        <f>SUM('Klisz-Emissionen'!S91:S96)+SUM('Klisz-Emissionen'!S98:S113)+SUM('Klisz-Emissionen'!S115:S117)+SUM('Klisz-Emissionen'!S119:S121)</f>
        <v>0</v>
      </c>
      <c r="T752">
        <f>SUM('Klisz-Emissionen'!T91:T96)+SUM('Klisz-Emissionen'!T98:T113)+SUM('Klisz-Emissionen'!T115:T117)+SUM('Klisz-Emissionen'!T119:T121)</f>
        <v>0</v>
      </c>
      <c r="U752">
        <f>SUM('Klisz-Emissionen'!U91:U96)+SUM('Klisz-Emissionen'!U98:U113)+SUM('Klisz-Emissionen'!U115:U117)+SUM('Klisz-Emissionen'!U119:U121)</f>
        <v>0</v>
      </c>
      <c r="V752">
        <f>SUM('Klisz-Emissionen'!V91:V96)+SUM('Klisz-Emissionen'!V98:V113)+SUM('Klisz-Emissionen'!V115:V117)+SUM('Klisz-Emissionen'!V119:V121)</f>
        <v>0</v>
      </c>
      <c r="W752">
        <f>SUM('Klisz-Emissionen'!W91:W96)+SUM('Klisz-Emissionen'!W98:W113)+SUM('Klisz-Emissionen'!W115:W117)+SUM('Klisz-Emissionen'!W119:W121)</f>
        <v>0</v>
      </c>
      <c r="X752">
        <f>SUM('Klisz-Emissionen'!X91:X96)+SUM('Klisz-Emissionen'!X98:X113)+SUM('Klisz-Emissionen'!X115:X117)+SUM('Klisz-Emissionen'!X119:X121)</f>
        <v>0</v>
      </c>
    </row>
    <row r="753" spans="2:24" ht="16.5" x14ac:dyDescent="0.45">
      <c r="C753" t="str">
        <f>_xlfn.CONCAT("Mobilität außerhalb des Betriebs (", 'Refsz-Verbräuche'!C50,", ", 'Refsz-Verbräuche'!C51,", ", 'Refsz-Verbräuche'!C52,")")</f>
        <v>Mobilität außerhalb des Betriebs (Pendeln, Studierendenreisen (Incoming), An- und Abreise von Gästen)</v>
      </c>
      <c r="D753" t="s">
        <v>208</v>
      </c>
      <c r="E753">
        <f>SUM('Klisz-Emissionen'!E123:E136)+SUM('Klisz-Emissionen'!E138:E140)+SUM('Klisz-Emissionen'!E142:E144)</f>
        <v>0</v>
      </c>
      <c r="F753">
        <f>SUM('Klisz-Emissionen'!F123:F136)+SUM('Klisz-Emissionen'!F138:F140)+SUM('Klisz-Emissionen'!F142:F144)</f>
        <v>0</v>
      </c>
      <c r="G753">
        <f>SUM('Klisz-Emissionen'!G123:G136)+SUM('Klisz-Emissionen'!G138:G140)+SUM('Klisz-Emissionen'!G142:G144)</f>
        <v>0</v>
      </c>
      <c r="H753">
        <f>SUM('Klisz-Emissionen'!H123:H136)+SUM('Klisz-Emissionen'!H138:H140)+SUM('Klisz-Emissionen'!H142:H144)</f>
        <v>0</v>
      </c>
      <c r="I753">
        <f>SUM('Klisz-Emissionen'!I123:I136)+SUM('Klisz-Emissionen'!I138:I140)+SUM('Klisz-Emissionen'!I142:I144)</f>
        <v>0</v>
      </c>
      <c r="J753">
        <f>SUM('Klisz-Emissionen'!J123:J136)+SUM('Klisz-Emissionen'!J138:J140)+SUM('Klisz-Emissionen'!J142:J144)</f>
        <v>0</v>
      </c>
      <c r="K753">
        <f>SUM('Klisz-Emissionen'!K123:K136)+SUM('Klisz-Emissionen'!K138:K140)+SUM('Klisz-Emissionen'!K142:K144)</f>
        <v>0</v>
      </c>
      <c r="L753">
        <f>SUM('Klisz-Emissionen'!L123:L136)+SUM('Klisz-Emissionen'!L138:L140)+SUM('Klisz-Emissionen'!L142:L144)</f>
        <v>0</v>
      </c>
      <c r="M753">
        <f>SUM('Klisz-Emissionen'!M123:M136)+SUM('Klisz-Emissionen'!M138:M140)+SUM('Klisz-Emissionen'!M142:M144)</f>
        <v>0</v>
      </c>
      <c r="N753">
        <f>SUM('Klisz-Emissionen'!N123:N136)+SUM('Klisz-Emissionen'!N138:N140)+SUM('Klisz-Emissionen'!N142:N144)</f>
        <v>0</v>
      </c>
      <c r="O753">
        <f>SUM('Klisz-Emissionen'!O123:O136)+SUM('Klisz-Emissionen'!O138:O140)+SUM('Klisz-Emissionen'!O142:O144)</f>
        <v>0</v>
      </c>
      <c r="P753">
        <f>SUM('Klisz-Emissionen'!P123:P136)+SUM('Klisz-Emissionen'!P138:P140)+SUM('Klisz-Emissionen'!P142:P144)</f>
        <v>0</v>
      </c>
      <c r="Q753">
        <f>SUM('Klisz-Emissionen'!Q123:Q136)+SUM('Klisz-Emissionen'!Q138:Q140)+SUM('Klisz-Emissionen'!Q142:Q144)</f>
        <v>0</v>
      </c>
      <c r="R753">
        <f>SUM('Klisz-Emissionen'!R123:R136)+SUM('Klisz-Emissionen'!R138:R140)+SUM('Klisz-Emissionen'!R142:R144)</f>
        <v>0</v>
      </c>
      <c r="S753">
        <f>SUM('Klisz-Emissionen'!S123:S136)+SUM('Klisz-Emissionen'!S138:S140)+SUM('Klisz-Emissionen'!S142:S144)</f>
        <v>0</v>
      </c>
      <c r="T753">
        <f>SUM('Klisz-Emissionen'!T123:T136)+SUM('Klisz-Emissionen'!T138:T140)+SUM('Klisz-Emissionen'!T142:T144)</f>
        <v>0</v>
      </c>
      <c r="U753">
        <f>SUM('Klisz-Emissionen'!U123:U136)+SUM('Klisz-Emissionen'!U138:U140)+SUM('Klisz-Emissionen'!U142:U144)</f>
        <v>0</v>
      </c>
      <c r="V753">
        <f>SUM('Klisz-Emissionen'!V123:V136)+SUM('Klisz-Emissionen'!V138:V140)+SUM('Klisz-Emissionen'!V142:V144)</f>
        <v>0</v>
      </c>
      <c r="W753">
        <f>SUM('Klisz-Emissionen'!W123:W136)+SUM('Klisz-Emissionen'!W138:W140)+SUM('Klisz-Emissionen'!W142:W144)</f>
        <v>0</v>
      </c>
      <c r="X753">
        <f>SUM('Klisz-Emissionen'!X123:X136)+SUM('Klisz-Emissionen'!X138:X140)+SUM('Klisz-Emissionen'!X142:X144)</f>
        <v>0</v>
      </c>
    </row>
    <row r="754" spans="2:24" ht="16.5" x14ac:dyDescent="0.45">
      <c r="C754" t="s">
        <v>217</v>
      </c>
      <c r="D754" t="s">
        <v>208</v>
      </c>
      <c r="E754">
        <f>SUM('Klisz-Emissionen'!E146:E147)</f>
        <v>0</v>
      </c>
      <c r="F754">
        <f>SUM('Klisz-Emissionen'!F146:F147)</f>
        <v>0</v>
      </c>
      <c r="G754">
        <f>SUM('Klisz-Emissionen'!G146:G147)</f>
        <v>0</v>
      </c>
      <c r="H754">
        <f>SUM('Klisz-Emissionen'!H146:H147)</f>
        <v>0</v>
      </c>
      <c r="I754">
        <f>SUM('Klisz-Emissionen'!I146:I147)</f>
        <v>0</v>
      </c>
      <c r="J754">
        <f>SUM('Klisz-Emissionen'!J146:J147)</f>
        <v>0</v>
      </c>
      <c r="K754">
        <f>SUM('Klisz-Emissionen'!K146:K147)</f>
        <v>0</v>
      </c>
      <c r="L754">
        <f>SUM('Klisz-Emissionen'!L146:L147)</f>
        <v>0</v>
      </c>
      <c r="M754">
        <f>SUM('Klisz-Emissionen'!M146:M147)</f>
        <v>0</v>
      </c>
      <c r="N754">
        <f>SUM('Klisz-Emissionen'!N146:N147)</f>
        <v>0</v>
      </c>
      <c r="O754">
        <f>SUM('Klisz-Emissionen'!O146:O147)</f>
        <v>0</v>
      </c>
      <c r="P754">
        <f>SUM('Klisz-Emissionen'!P146:P147)</f>
        <v>0</v>
      </c>
      <c r="Q754">
        <f>SUM('Klisz-Emissionen'!Q146:Q147)</f>
        <v>0</v>
      </c>
      <c r="R754">
        <f>SUM('Klisz-Emissionen'!R146:R147)</f>
        <v>0</v>
      </c>
      <c r="S754">
        <f>SUM('Klisz-Emissionen'!S146:S147)</f>
        <v>0</v>
      </c>
      <c r="T754">
        <f>SUM('Klisz-Emissionen'!T146:T147)</f>
        <v>0</v>
      </c>
      <c r="U754">
        <f>SUM('Klisz-Emissionen'!U146:U147)</f>
        <v>0</v>
      </c>
      <c r="V754">
        <f>SUM('Klisz-Emissionen'!V146:V147)</f>
        <v>0</v>
      </c>
      <c r="W754">
        <f>SUM('Klisz-Emissionen'!W146:W147)</f>
        <v>0</v>
      </c>
      <c r="X754">
        <f>SUM('Klisz-Emissionen'!X146:X147)</f>
        <v>0</v>
      </c>
    </row>
    <row r="755" spans="2:24" ht="16.5" x14ac:dyDescent="0.45">
      <c r="C755" t="s">
        <v>214</v>
      </c>
      <c r="D755" t="s">
        <v>208</v>
      </c>
      <c r="E755">
        <f>SUM('Klisz-Emissionen'!E165:E175)</f>
        <v>0</v>
      </c>
      <c r="F755">
        <f>SUM('Klisz-Emissionen'!F165:F175)</f>
        <v>0</v>
      </c>
      <c r="G755">
        <f>SUM('Klisz-Emissionen'!G165:G175)</f>
        <v>0</v>
      </c>
      <c r="H755">
        <f>SUM('Klisz-Emissionen'!H165:H175)</f>
        <v>0</v>
      </c>
      <c r="I755">
        <f>SUM('Klisz-Emissionen'!I165:I175)</f>
        <v>0</v>
      </c>
      <c r="J755">
        <f>SUM('Klisz-Emissionen'!J165:J175)</f>
        <v>0</v>
      </c>
      <c r="K755">
        <f>SUM('Klisz-Emissionen'!K165:K175)</f>
        <v>0</v>
      </c>
      <c r="L755">
        <f>SUM('Klisz-Emissionen'!L165:L175)</f>
        <v>0</v>
      </c>
      <c r="M755">
        <f>SUM('Klisz-Emissionen'!M165:M175)</f>
        <v>0</v>
      </c>
      <c r="N755">
        <f>SUM('Klisz-Emissionen'!N165:N175)</f>
        <v>0</v>
      </c>
      <c r="O755">
        <f>SUM('Klisz-Emissionen'!O165:O175)</f>
        <v>0</v>
      </c>
      <c r="P755">
        <f>SUM('Klisz-Emissionen'!P165:P175)</f>
        <v>0</v>
      </c>
      <c r="Q755">
        <f>SUM('Klisz-Emissionen'!Q165:Q175)</f>
        <v>0</v>
      </c>
      <c r="R755">
        <f>SUM('Klisz-Emissionen'!R165:R175)</f>
        <v>0</v>
      </c>
      <c r="S755">
        <f>SUM('Klisz-Emissionen'!S165:S175)</f>
        <v>0</v>
      </c>
      <c r="T755">
        <f>SUM('Klisz-Emissionen'!T165:T175)</f>
        <v>0</v>
      </c>
      <c r="U755">
        <f>SUM('Klisz-Emissionen'!U165:U175)</f>
        <v>0</v>
      </c>
      <c r="V755">
        <f>SUM('Klisz-Emissionen'!V165:V175)</f>
        <v>0</v>
      </c>
      <c r="W755">
        <f>SUM('Klisz-Emissionen'!W165:W175)</f>
        <v>0</v>
      </c>
      <c r="X755">
        <f>SUM('Klisz-Emissionen'!X165:X175)</f>
        <v>0</v>
      </c>
    </row>
    <row r="756" spans="2:24" ht="16.5" x14ac:dyDescent="0.45">
      <c r="C756" t="s">
        <v>215</v>
      </c>
      <c r="D756" t="s">
        <v>208</v>
      </c>
      <c r="E756">
        <f>SUM('Klisz-Emissionen'!E149:E152)+SUM('Klisz-Emissionen'!E154:E163)</f>
        <v>0</v>
      </c>
      <c r="F756">
        <f>SUM('Klisz-Emissionen'!F149:F152)+SUM('Klisz-Emissionen'!F154:F163)</f>
        <v>0</v>
      </c>
      <c r="G756">
        <f>SUM('Klisz-Emissionen'!G149:G152)+SUM('Klisz-Emissionen'!G154:G163)</f>
        <v>0</v>
      </c>
      <c r="H756">
        <f>SUM('Klisz-Emissionen'!H149:H152)+SUM('Klisz-Emissionen'!H154:H163)</f>
        <v>0</v>
      </c>
      <c r="I756">
        <f>SUM('Klisz-Emissionen'!I149:I152)+SUM('Klisz-Emissionen'!I154:I163)</f>
        <v>0</v>
      </c>
      <c r="J756">
        <f>SUM('Klisz-Emissionen'!J149:J152)+SUM('Klisz-Emissionen'!J154:J163)</f>
        <v>0</v>
      </c>
      <c r="K756">
        <f>SUM('Klisz-Emissionen'!K149:K152)+SUM('Klisz-Emissionen'!K154:K163)</f>
        <v>0</v>
      </c>
      <c r="L756">
        <f>SUM('Klisz-Emissionen'!L149:L152)+SUM('Klisz-Emissionen'!L154:L163)</f>
        <v>0</v>
      </c>
      <c r="M756">
        <f>SUM('Klisz-Emissionen'!M149:M152)+SUM('Klisz-Emissionen'!M154:M163)</f>
        <v>0</v>
      </c>
      <c r="N756">
        <f>SUM('Klisz-Emissionen'!N149:N152)+SUM('Klisz-Emissionen'!N154:N163)</f>
        <v>0</v>
      </c>
      <c r="O756">
        <f>SUM('Klisz-Emissionen'!O149:O152)+SUM('Klisz-Emissionen'!O154:O163)</f>
        <v>0</v>
      </c>
      <c r="P756">
        <f>SUM('Klisz-Emissionen'!P149:P152)+SUM('Klisz-Emissionen'!P154:P163)</f>
        <v>0</v>
      </c>
      <c r="Q756">
        <f>SUM('Klisz-Emissionen'!Q149:Q152)+SUM('Klisz-Emissionen'!Q154:Q163)</f>
        <v>0</v>
      </c>
      <c r="R756">
        <f>SUM('Klisz-Emissionen'!R149:R152)+SUM('Klisz-Emissionen'!R154:R163)</f>
        <v>0</v>
      </c>
      <c r="S756">
        <f>SUM('Klisz-Emissionen'!S149:S152)+SUM('Klisz-Emissionen'!S154:S163)</f>
        <v>0</v>
      </c>
      <c r="T756">
        <f>SUM('Klisz-Emissionen'!T149:T152)+SUM('Klisz-Emissionen'!T154:T163)</f>
        <v>0</v>
      </c>
      <c r="U756">
        <f>SUM('Klisz-Emissionen'!U149:U152)+SUM('Klisz-Emissionen'!U154:U163)</f>
        <v>0</v>
      </c>
      <c r="V756">
        <f>SUM('Klisz-Emissionen'!V149:V152)+SUM('Klisz-Emissionen'!V154:V163)</f>
        <v>0</v>
      </c>
      <c r="W756">
        <f>SUM('Klisz-Emissionen'!W149:W152)+SUM('Klisz-Emissionen'!W154:W163)</f>
        <v>0</v>
      </c>
      <c r="X756">
        <f>SUM('Klisz-Emissionen'!X149:X152)+SUM('Klisz-Emissionen'!X154:X163)</f>
        <v>0</v>
      </c>
    </row>
    <row r="757" spans="2:24" ht="16.5" x14ac:dyDescent="0.45">
      <c r="C757" t="s">
        <v>216</v>
      </c>
      <c r="D757" t="s">
        <v>208</v>
      </c>
      <c r="E757">
        <f>SUM('Klisz-Emissionen'!E177:E204)</f>
        <v>0</v>
      </c>
      <c r="F757">
        <f>SUM('Klisz-Emissionen'!F177:F204)</f>
        <v>0</v>
      </c>
      <c r="G757">
        <f>SUM('Klisz-Emissionen'!G177:G204)</f>
        <v>0</v>
      </c>
      <c r="H757">
        <f>SUM('Klisz-Emissionen'!H177:H204)</f>
        <v>0</v>
      </c>
      <c r="I757">
        <f>SUM('Klisz-Emissionen'!I177:I204)</f>
        <v>0</v>
      </c>
      <c r="J757">
        <f>SUM('Klisz-Emissionen'!J177:J204)</f>
        <v>0</v>
      </c>
      <c r="K757">
        <f>SUM('Klisz-Emissionen'!K177:K204)</f>
        <v>0</v>
      </c>
      <c r="L757">
        <f>SUM('Klisz-Emissionen'!L177:L204)</f>
        <v>0</v>
      </c>
      <c r="M757">
        <f>SUM('Klisz-Emissionen'!M177:M204)</f>
        <v>0</v>
      </c>
      <c r="N757">
        <f>SUM('Klisz-Emissionen'!N177:N204)</f>
        <v>0</v>
      </c>
      <c r="O757">
        <f>SUM('Klisz-Emissionen'!O177:O204)</f>
        <v>0</v>
      </c>
      <c r="P757">
        <f>SUM('Klisz-Emissionen'!P177:P204)</f>
        <v>0</v>
      </c>
      <c r="Q757">
        <f>SUM('Klisz-Emissionen'!Q177:Q204)</f>
        <v>0</v>
      </c>
      <c r="R757">
        <f>SUM('Klisz-Emissionen'!R177:R204)</f>
        <v>0</v>
      </c>
      <c r="S757">
        <f>SUM('Klisz-Emissionen'!S177:S204)</f>
        <v>0</v>
      </c>
      <c r="T757">
        <f>SUM('Klisz-Emissionen'!T177:T204)</f>
        <v>0</v>
      </c>
      <c r="U757">
        <f>SUM('Klisz-Emissionen'!U177:U204)</f>
        <v>0</v>
      </c>
      <c r="V757">
        <f>SUM('Klisz-Emissionen'!V177:V204)</f>
        <v>0</v>
      </c>
      <c r="W757">
        <f>SUM('Klisz-Emissionen'!W177:W204)</f>
        <v>0</v>
      </c>
      <c r="X757">
        <f>SUM('Klisz-Emissionen'!X177:X204)</f>
        <v>0</v>
      </c>
    </row>
    <row r="758" spans="2:24" ht="16.5" x14ac:dyDescent="0.45">
      <c r="C758" t="s">
        <v>273</v>
      </c>
      <c r="D758" t="s">
        <v>208</v>
      </c>
      <c r="E758">
        <f>'Klisz-Emissionen'!E206</f>
        <v>0</v>
      </c>
      <c r="F758">
        <f>'Klisz-Emissionen'!F206</f>
        <v>0</v>
      </c>
      <c r="G758">
        <f>'Klisz-Emissionen'!G206</f>
        <v>0</v>
      </c>
      <c r="H758">
        <f>'Klisz-Emissionen'!H206</f>
        <v>0</v>
      </c>
      <c r="I758">
        <f>'Klisz-Emissionen'!I206</f>
        <v>0</v>
      </c>
      <c r="J758">
        <f>'Klisz-Emissionen'!J206</f>
        <v>0</v>
      </c>
      <c r="K758">
        <f>'Klisz-Emissionen'!K206</f>
        <v>0</v>
      </c>
      <c r="L758">
        <f>'Klisz-Emissionen'!L206</f>
        <v>0</v>
      </c>
      <c r="M758">
        <f>'Klisz-Emissionen'!M206</f>
        <v>0</v>
      </c>
      <c r="N758">
        <f>'Klisz-Emissionen'!N206</f>
        <v>0</v>
      </c>
      <c r="O758">
        <f>'Klisz-Emissionen'!O206</f>
        <v>0</v>
      </c>
      <c r="P758">
        <f>'Klisz-Emissionen'!P206</f>
        <v>0</v>
      </c>
      <c r="Q758">
        <f>'Klisz-Emissionen'!Q206</f>
        <v>0</v>
      </c>
      <c r="R758">
        <f>'Klisz-Emissionen'!R206</f>
        <v>0</v>
      </c>
      <c r="S758">
        <f>'Klisz-Emissionen'!S206</f>
        <v>0</v>
      </c>
      <c r="T758">
        <f>'Klisz-Emissionen'!T206</f>
        <v>0</v>
      </c>
      <c r="U758">
        <f>'Klisz-Emissionen'!U206</f>
        <v>0</v>
      </c>
      <c r="V758">
        <f>'Klisz-Emissionen'!V206</f>
        <v>0</v>
      </c>
      <c r="W758">
        <f>'Klisz-Emissionen'!W206</f>
        <v>0</v>
      </c>
      <c r="X758">
        <f>'Klisz-Emissionen'!X206</f>
        <v>0</v>
      </c>
    </row>
    <row r="759" spans="2:24" ht="16.5" x14ac:dyDescent="0.45">
      <c r="C759" t="s">
        <v>72</v>
      </c>
      <c r="D759" t="s">
        <v>208</v>
      </c>
      <c r="E759">
        <f>'Klisz-Emissionen'!E208</f>
        <v>0</v>
      </c>
      <c r="F759">
        <f>'Klisz-Emissionen'!F208</f>
        <v>0</v>
      </c>
      <c r="G759">
        <f>'Klisz-Emissionen'!G208</f>
        <v>0</v>
      </c>
      <c r="H759">
        <f>'Klisz-Emissionen'!H208</f>
        <v>0</v>
      </c>
      <c r="I759">
        <f>'Klisz-Emissionen'!I208</f>
        <v>0</v>
      </c>
      <c r="J759">
        <f>'Klisz-Emissionen'!J208</f>
        <v>0</v>
      </c>
      <c r="K759">
        <f>'Klisz-Emissionen'!K208</f>
        <v>0</v>
      </c>
      <c r="L759">
        <f>'Klisz-Emissionen'!L208</f>
        <v>0</v>
      </c>
      <c r="M759">
        <f>'Klisz-Emissionen'!M208</f>
        <v>0</v>
      </c>
      <c r="N759">
        <f>'Klisz-Emissionen'!N208</f>
        <v>0</v>
      </c>
      <c r="O759">
        <f>'Klisz-Emissionen'!O208</f>
        <v>0</v>
      </c>
      <c r="P759">
        <f>'Klisz-Emissionen'!P208</f>
        <v>0</v>
      </c>
      <c r="Q759">
        <f>'Klisz-Emissionen'!Q208</f>
        <v>0</v>
      </c>
      <c r="R759">
        <f>'Klisz-Emissionen'!R208</f>
        <v>0</v>
      </c>
      <c r="S759">
        <f>'Klisz-Emissionen'!S208</f>
        <v>0</v>
      </c>
      <c r="T759">
        <f>'Klisz-Emissionen'!T208</f>
        <v>0</v>
      </c>
      <c r="U759">
        <f>'Klisz-Emissionen'!U208</f>
        <v>0</v>
      </c>
      <c r="V759">
        <f>'Klisz-Emissionen'!V208</f>
        <v>0</v>
      </c>
      <c r="W759">
        <f>'Klisz-Emissionen'!W208</f>
        <v>0</v>
      </c>
      <c r="X759">
        <f>'Klisz-Emissionen'!X208</f>
        <v>0</v>
      </c>
    </row>
    <row r="760" spans="2:24" ht="16.5" x14ac:dyDescent="0.45">
      <c r="C760" s="25" t="s">
        <v>43</v>
      </c>
      <c r="D760" s="25" t="s">
        <v>208</v>
      </c>
      <c r="E760" s="168">
        <f>SUBTOTAL(109,Klisz_Bundesmix_Handlungsfelder[2015])</f>
        <v>0</v>
      </c>
      <c r="F760" s="168">
        <f>SUBTOTAL(109,Klisz_Bundesmix_Handlungsfelder[2016])</f>
        <v>0</v>
      </c>
      <c r="G760" s="168">
        <f>SUBTOTAL(109,Klisz_Bundesmix_Handlungsfelder[2017])</f>
        <v>0</v>
      </c>
      <c r="H760" s="168">
        <f>SUBTOTAL(109,Klisz_Bundesmix_Handlungsfelder[2018])</f>
        <v>0</v>
      </c>
      <c r="I760" s="168">
        <f>SUBTOTAL(109,Klisz_Bundesmix_Handlungsfelder[2019])</f>
        <v>0</v>
      </c>
      <c r="J760" s="168">
        <f>SUBTOTAL(109,Klisz_Bundesmix_Handlungsfelder[2020])</f>
        <v>0</v>
      </c>
      <c r="K760" s="168">
        <f>SUBTOTAL(109,Klisz_Bundesmix_Handlungsfelder[2021])</f>
        <v>0</v>
      </c>
      <c r="L760" s="168">
        <f>SUBTOTAL(109,Klisz_Bundesmix_Handlungsfelder[2022])</f>
        <v>0</v>
      </c>
      <c r="M760" s="168">
        <f>SUBTOTAL(109,Klisz_Bundesmix_Handlungsfelder[2023])</f>
        <v>0</v>
      </c>
      <c r="N760" s="168">
        <f>SUBTOTAL(109,Klisz_Bundesmix_Handlungsfelder[2024])</f>
        <v>0</v>
      </c>
      <c r="O760" s="168">
        <f>SUBTOTAL(109,Klisz_Bundesmix_Handlungsfelder[2025])</f>
        <v>0</v>
      </c>
      <c r="P760" s="168">
        <f>SUBTOTAL(109,Klisz_Bundesmix_Handlungsfelder[2026])</f>
        <v>0</v>
      </c>
      <c r="Q760" s="168">
        <f>SUBTOTAL(109,Klisz_Bundesmix_Handlungsfelder[2027])</f>
        <v>0</v>
      </c>
      <c r="R760" s="168">
        <f>SUBTOTAL(109,Klisz_Bundesmix_Handlungsfelder[2028])</f>
        <v>0</v>
      </c>
      <c r="S760" s="168">
        <f>SUBTOTAL(109,Klisz_Bundesmix_Handlungsfelder[2029])</f>
        <v>0</v>
      </c>
      <c r="T760" s="168">
        <f>SUBTOTAL(109,Klisz_Bundesmix_Handlungsfelder[2030])</f>
        <v>0</v>
      </c>
      <c r="U760" s="168">
        <f>SUBTOTAL(109,Klisz_Bundesmix_Handlungsfelder[2035])</f>
        <v>0</v>
      </c>
      <c r="V760" s="168">
        <f>SUBTOTAL(109,Klisz_Bundesmix_Handlungsfelder[2040])</f>
        <v>0</v>
      </c>
      <c r="W760" s="168">
        <f>SUBTOTAL(109,Klisz_Bundesmix_Handlungsfelder[2045])</f>
        <v>0</v>
      </c>
      <c r="X760" s="168">
        <f>SUBTOTAL(109,Klisz_Bundesmix_Handlungsfelder[2050])</f>
        <v>0</v>
      </c>
    </row>
    <row r="762" spans="2:24" x14ac:dyDescent="0.35">
      <c r="C762" t="s">
        <v>411</v>
      </c>
      <c r="D762" t="s">
        <v>2</v>
      </c>
      <c r="E762" t="s">
        <v>3</v>
      </c>
      <c r="F762" t="s">
        <v>4</v>
      </c>
      <c r="G762" t="s">
        <v>5</v>
      </c>
      <c r="H762" t="s">
        <v>6</v>
      </c>
      <c r="I762" t="s">
        <v>7</v>
      </c>
      <c r="J762" t="s">
        <v>8</v>
      </c>
      <c r="K762" t="s">
        <v>9</v>
      </c>
      <c r="L762" t="s">
        <v>10</v>
      </c>
      <c r="M762" t="s">
        <v>11</v>
      </c>
      <c r="N762" t="s">
        <v>12</v>
      </c>
      <c r="O762" t="s">
        <v>13</v>
      </c>
      <c r="P762" t="s">
        <v>14</v>
      </c>
      <c r="Q762" t="s">
        <v>232</v>
      </c>
      <c r="R762" t="s">
        <v>233</v>
      </c>
      <c r="S762" t="s">
        <v>234</v>
      </c>
      <c r="T762" t="s">
        <v>15</v>
      </c>
      <c r="U762" t="s">
        <v>16</v>
      </c>
      <c r="V762" t="s">
        <v>17</v>
      </c>
      <c r="W762" t="s">
        <v>18</v>
      </c>
      <c r="X762" t="s">
        <v>19</v>
      </c>
    </row>
    <row r="763" spans="2:24" ht="16.5" x14ac:dyDescent="0.45">
      <c r="C763" t="s">
        <v>222</v>
      </c>
      <c r="D763" t="s">
        <v>224</v>
      </c>
      <c r="E763" t="str">
        <f>IF(ISERROR('KliMax-Auswertung'!D$19+'KliMax-Auswertung'!D$18), "Personenanzahl fehlt", IF('KliMax-Auswertung'!D$18+'KliMax-Auswertung'!D$19=0, "Personenanzahl fehlt", Klisz_Bundesmix_Handlungsfelder[[#Totals],[2015]]/('KliMax-Auswertung'!D$18+'KliMax-Auswertung'!D$19)))</f>
        <v>Personenanzahl fehlt</v>
      </c>
      <c r="F763" t="str">
        <f>IF(ISERROR('KliMax-Auswertung'!E$19+'KliMax-Auswertung'!E$18), "Personenanzahl fehlt", IF('KliMax-Auswertung'!E$18+'KliMax-Auswertung'!E$19=0, "Personenanzahl fehlt", Klisz_Bundesmix_Handlungsfelder[[#Totals],[2016]]/('KliMax-Auswertung'!E$18+'KliMax-Auswertung'!E$19)))</f>
        <v>Personenanzahl fehlt</v>
      </c>
      <c r="G763" t="str">
        <f>IF(ISERROR('KliMax-Auswertung'!F$19+'KliMax-Auswertung'!F$18), "Personenanzahl fehlt", IF('KliMax-Auswertung'!F$18+'KliMax-Auswertung'!F$19=0, "Personenanzahl fehlt", Klisz_Bundesmix_Handlungsfelder[[#Totals],[2017]]/('KliMax-Auswertung'!F$18+'KliMax-Auswertung'!F$19)))</f>
        <v>Personenanzahl fehlt</v>
      </c>
      <c r="H763" t="str">
        <f>IF(ISERROR('KliMax-Auswertung'!G$19+'KliMax-Auswertung'!G$18), "Personenanzahl fehlt", IF('KliMax-Auswertung'!G$18+'KliMax-Auswertung'!G$19=0, "Personenanzahl fehlt", Klisz_Bundesmix_Handlungsfelder[[#Totals],[2018]]/('KliMax-Auswertung'!G$18+'KliMax-Auswertung'!G$19)))</f>
        <v>Personenanzahl fehlt</v>
      </c>
      <c r="I763" t="str">
        <f>IF(ISERROR('KliMax-Auswertung'!H$19+'KliMax-Auswertung'!H$18), "Personenanzahl fehlt", IF('KliMax-Auswertung'!H$18+'KliMax-Auswertung'!H$19=0, "Personenanzahl fehlt", Klisz_Bundesmix_Handlungsfelder[[#Totals],[2019]]/('KliMax-Auswertung'!H$18+'KliMax-Auswertung'!H$19)))</f>
        <v>Personenanzahl fehlt</v>
      </c>
      <c r="J763" t="str">
        <f>IF(ISERROR('KliMax-Auswertung'!I$19+'KliMax-Auswertung'!I$18), "Personenanzahl fehlt", IF('KliMax-Auswertung'!I$18+'KliMax-Auswertung'!I$19=0, "Personenanzahl fehlt", Klisz_Bundesmix_Handlungsfelder[[#Totals],[2020]]/('KliMax-Auswertung'!I$18+'KliMax-Auswertung'!I$19)))</f>
        <v>Personenanzahl fehlt</v>
      </c>
      <c r="K763" t="str">
        <f>IF(ISERROR('KliMax-Auswertung'!J$19+'KliMax-Auswertung'!J$18), "Personenanzahl fehlt", IF('KliMax-Auswertung'!J$18+'KliMax-Auswertung'!J$19=0, "Personenanzahl fehlt", Klisz_Bundesmix_Handlungsfelder[[#Totals],[2021]]/('KliMax-Auswertung'!J$18+'KliMax-Auswertung'!J$19)))</f>
        <v>Personenanzahl fehlt</v>
      </c>
      <c r="L763" t="str">
        <f>IF(ISERROR('KliMax-Auswertung'!K$19+'KliMax-Auswertung'!K$18), "Personenanzahl fehlt", IF('KliMax-Auswertung'!K$18+'KliMax-Auswertung'!K$19=0, "Personenanzahl fehlt", Klisz_Bundesmix_Handlungsfelder[[#Totals],[2022]]/('KliMax-Auswertung'!K$18+'KliMax-Auswertung'!K$19)))</f>
        <v>Personenanzahl fehlt</v>
      </c>
      <c r="M763" t="str">
        <f>IF(ISERROR('KliMax-Auswertung'!L$19+'KliMax-Auswertung'!L$18), "Personenanzahl fehlt", IF('KliMax-Auswertung'!L$18+'KliMax-Auswertung'!L$19=0, "Personenanzahl fehlt", Klisz_Bundesmix_Handlungsfelder[[#Totals],[2023]]/('KliMax-Auswertung'!L$18+'KliMax-Auswertung'!L$19)))</f>
        <v>Personenanzahl fehlt</v>
      </c>
      <c r="N763" t="str">
        <f>IF(ISERROR('KliMax-Auswertung'!M$19+'KliMax-Auswertung'!M$18), "Personenanzahl fehlt", IF('KliMax-Auswertung'!M$18+'KliMax-Auswertung'!M$19=0, "Personenanzahl fehlt", Klisz_Bundesmix_Handlungsfelder[[#Totals],[2024]]/('KliMax-Auswertung'!M$18+'KliMax-Auswertung'!M$19)))</f>
        <v>Personenanzahl fehlt</v>
      </c>
      <c r="O763" t="str">
        <f>IF(ISERROR('KliMax-Auswertung'!N$19+'KliMax-Auswertung'!N$18), "Personenanzahl fehlt", IF('KliMax-Auswertung'!N$18+'KliMax-Auswertung'!N$19=0, "Personenanzahl fehlt", Klisz_Bundesmix_Handlungsfelder[[#Totals],[2025]]/('KliMax-Auswertung'!N$18+'KliMax-Auswertung'!N$19)))</f>
        <v>Personenanzahl fehlt</v>
      </c>
      <c r="P763" t="str">
        <f>IF(ISERROR('KliMax-Auswertung'!O$19+'KliMax-Auswertung'!O$18), "Personenanzahl fehlt", IF('KliMax-Auswertung'!O$18+'KliMax-Auswertung'!O$19=0, "Personenanzahl fehlt", Klisz_Bundesmix_Handlungsfelder[[#Totals],[2026]]/('KliMax-Auswertung'!O$18+'KliMax-Auswertung'!O$19)))</f>
        <v>Personenanzahl fehlt</v>
      </c>
      <c r="Q763" t="str">
        <f>IF(ISERROR('KliMax-Auswertung'!P$19+'KliMax-Auswertung'!P$18), "Personenanzahl fehlt", IF('KliMax-Auswertung'!P$18+'KliMax-Auswertung'!P$19=0, "Personenanzahl fehlt", Klisz_Bundesmix_Handlungsfelder[[#Totals],[2027]]/('KliMax-Auswertung'!P$18+'KliMax-Auswertung'!P$19)))</f>
        <v>Personenanzahl fehlt</v>
      </c>
      <c r="R763" t="str">
        <f>IF(ISERROR('KliMax-Auswertung'!Q$19+'KliMax-Auswertung'!Q$18), "Personenanzahl fehlt", IF('KliMax-Auswertung'!Q$18+'KliMax-Auswertung'!Q$19=0, "Personenanzahl fehlt", Klisz_Bundesmix_Handlungsfelder[[#Totals],[2028]]/('KliMax-Auswertung'!Q$18+'KliMax-Auswertung'!Q$19)))</f>
        <v>Personenanzahl fehlt</v>
      </c>
      <c r="S763" t="str">
        <f>IF(ISERROR('KliMax-Auswertung'!R$19+'KliMax-Auswertung'!R$18), "Personenanzahl fehlt", IF('KliMax-Auswertung'!R$18+'KliMax-Auswertung'!R$19=0, "Personenanzahl fehlt", Klisz_Bundesmix_Handlungsfelder[[#Totals],[2029]]/('KliMax-Auswertung'!R$18+'KliMax-Auswertung'!R$19)))</f>
        <v>Personenanzahl fehlt</v>
      </c>
      <c r="T763" t="str">
        <f>IF(ISERROR('KliMax-Auswertung'!S$19+'KliMax-Auswertung'!S$18), "Personenanzahl fehlt", IF('KliMax-Auswertung'!S$18+'KliMax-Auswertung'!S$19=0, "Personenanzahl fehlt", Klisz_Bundesmix_Handlungsfelder[[#Totals],[2030]]/('KliMax-Auswertung'!S$18+'KliMax-Auswertung'!S$19)))</f>
        <v>Personenanzahl fehlt</v>
      </c>
      <c r="U763" t="str">
        <f>IF(ISERROR('KliMax-Auswertung'!T$19+'KliMax-Auswertung'!T$18), "Personenanzahl fehlt", IF('KliMax-Auswertung'!T$18+'KliMax-Auswertung'!T$19=0, "Personenanzahl fehlt", Klisz_Bundesmix_Handlungsfelder[[#Totals],[2035]]/('KliMax-Auswertung'!T$18+'KliMax-Auswertung'!T$19)))</f>
        <v>Personenanzahl fehlt</v>
      </c>
      <c r="V763" t="str">
        <f>IF(ISERROR('KliMax-Auswertung'!U$19+'KliMax-Auswertung'!U$18), "Personenanzahl fehlt", IF('KliMax-Auswertung'!U$18+'KliMax-Auswertung'!U$19=0, "Personenanzahl fehlt", Klisz_Bundesmix_Handlungsfelder[[#Totals],[2040]]/('KliMax-Auswertung'!U$18+'KliMax-Auswertung'!U$19)))</f>
        <v>Personenanzahl fehlt</v>
      </c>
      <c r="W763" t="str">
        <f>IF(ISERROR('KliMax-Auswertung'!V$19+'KliMax-Auswertung'!V$18), "Personenanzahl fehlt", IF('KliMax-Auswertung'!V$18+'KliMax-Auswertung'!V$19=0, "Personenanzahl fehlt", Klisz_Bundesmix_Handlungsfelder[[#Totals],[2045]]/('KliMax-Auswertung'!V$18+'KliMax-Auswertung'!V$19)))</f>
        <v>Personenanzahl fehlt</v>
      </c>
      <c r="X763" t="str">
        <f>IF(ISERROR('KliMax-Auswertung'!W$19+'KliMax-Auswertung'!W$18), "Personenanzahl fehlt", IF('KliMax-Auswertung'!W$18+'KliMax-Auswertung'!W$19=0, "Personenanzahl fehlt", Klisz_Bundesmix_Handlungsfelder[[#Totals],[2050]]/('KliMax-Auswertung'!W$18+'KliMax-Auswertung'!W$19)))</f>
        <v>Personenanzahl fehlt</v>
      </c>
    </row>
    <row r="764" spans="2:24" ht="16.5" x14ac:dyDescent="0.45">
      <c r="C764" t="s">
        <v>223</v>
      </c>
      <c r="D764" t="s">
        <v>225</v>
      </c>
      <c r="E764" t="str">
        <f>IF(ISERROR(Klisz_Bundesmix_Handlungsfelder[[#Totals],[2015]]/'KliMax-Auswertung'!D$17), "Fläche fehlt", IF('KliMax-Auswertung'!D$17&lt;&gt;0, Klisz_Bundesmix_Handlungsfelder[[#Totals],[2015]]/'KliMax-Auswertung'!D$17, "Fläche fehlt"))</f>
        <v>Fläche fehlt</v>
      </c>
      <c r="F764" t="str">
        <f>IF(ISERROR(Klisz_Bundesmix_Handlungsfelder[[#Totals],[2016]]/'KliMax-Auswertung'!E$17), "Fläche fehlt", IF('KliMax-Auswertung'!E$17&lt;&gt;0, Klisz_Bundesmix_Handlungsfelder[[#Totals],[2016]]/'KliMax-Auswertung'!E$17, "Fläche fehlt"))</f>
        <v>Fläche fehlt</v>
      </c>
      <c r="G764" t="str">
        <f>IF(ISERROR(Klisz_Bundesmix_Handlungsfelder[[#Totals],[2017]]/'KliMax-Auswertung'!F$17), "Fläche fehlt", IF('KliMax-Auswertung'!F$17&lt;&gt;0, Klisz_Bundesmix_Handlungsfelder[[#Totals],[2017]]/'KliMax-Auswertung'!F$17, "Fläche fehlt"))</f>
        <v>Fläche fehlt</v>
      </c>
      <c r="H764" t="str">
        <f>IF(ISERROR(Klisz_Bundesmix_Handlungsfelder[[#Totals],[2018]]/'KliMax-Auswertung'!G$17), "Fläche fehlt", IF('KliMax-Auswertung'!G$17&lt;&gt;0, Klisz_Bundesmix_Handlungsfelder[[#Totals],[2018]]/'KliMax-Auswertung'!G$17, "Fläche fehlt"))</f>
        <v>Fläche fehlt</v>
      </c>
      <c r="I764" t="str">
        <f>IF(ISERROR(Klisz_Bundesmix_Handlungsfelder[[#Totals],[2019]]/'KliMax-Auswertung'!H$17), "Fläche fehlt", IF('KliMax-Auswertung'!H$17&lt;&gt;0, Klisz_Bundesmix_Handlungsfelder[[#Totals],[2019]]/'KliMax-Auswertung'!H$17, "Fläche fehlt"))</f>
        <v>Fläche fehlt</v>
      </c>
      <c r="J764" t="str">
        <f>IF(ISERROR(Klisz_Bundesmix_Handlungsfelder[[#Totals],[2020]]/'KliMax-Auswertung'!I$17), "Fläche fehlt", IF('KliMax-Auswertung'!I$17&lt;&gt;0, Klisz_Bundesmix_Handlungsfelder[[#Totals],[2020]]/'KliMax-Auswertung'!I$17, "Fläche fehlt"))</f>
        <v>Fläche fehlt</v>
      </c>
      <c r="K764" t="str">
        <f>IF(ISERROR(Klisz_Bundesmix_Handlungsfelder[[#Totals],[2021]]/'KliMax-Auswertung'!J$17), "Fläche fehlt", IF('KliMax-Auswertung'!J$17&lt;&gt;0, Klisz_Bundesmix_Handlungsfelder[[#Totals],[2021]]/'KliMax-Auswertung'!J$17, "Fläche fehlt"))</f>
        <v>Fläche fehlt</v>
      </c>
      <c r="L764" t="str">
        <f>IF(ISERROR(Klisz_Bundesmix_Handlungsfelder[[#Totals],[2022]]/'KliMax-Auswertung'!K$17), "Fläche fehlt", IF('KliMax-Auswertung'!K$17&lt;&gt;0, Klisz_Bundesmix_Handlungsfelder[[#Totals],[2022]]/'KliMax-Auswertung'!K$17, "Fläche fehlt"))</f>
        <v>Fläche fehlt</v>
      </c>
      <c r="M764" t="str">
        <f>IF(ISERROR(Klisz_Bundesmix_Handlungsfelder[[#Totals],[2023]]/'KliMax-Auswertung'!L$17), "Fläche fehlt", IF('KliMax-Auswertung'!L$17&lt;&gt;0, Klisz_Bundesmix_Handlungsfelder[[#Totals],[2023]]/'KliMax-Auswertung'!L$17, "Fläche fehlt"))</f>
        <v>Fläche fehlt</v>
      </c>
      <c r="N764" t="str">
        <f>IF(ISERROR(Klisz_Bundesmix_Handlungsfelder[[#Totals],[2024]]/'KliMax-Auswertung'!M$17), "Fläche fehlt", IF('KliMax-Auswertung'!M$17&lt;&gt;0, Klisz_Bundesmix_Handlungsfelder[[#Totals],[2024]]/'KliMax-Auswertung'!M$17, "Fläche fehlt"))</f>
        <v>Fläche fehlt</v>
      </c>
      <c r="O764" t="str">
        <f>IF(ISERROR(Klisz_Bundesmix_Handlungsfelder[[#Totals],[2025]]/'KliMax-Auswertung'!N$17), "Fläche fehlt", IF('KliMax-Auswertung'!N$17&lt;&gt;0, Klisz_Bundesmix_Handlungsfelder[[#Totals],[2025]]/'KliMax-Auswertung'!N$17, "Fläche fehlt"))</f>
        <v>Fläche fehlt</v>
      </c>
      <c r="P764" t="str">
        <f>IF(ISERROR(Klisz_Bundesmix_Handlungsfelder[[#Totals],[2026]]/'KliMax-Auswertung'!O$17), "Fläche fehlt", IF('KliMax-Auswertung'!O$17&lt;&gt;0, Klisz_Bundesmix_Handlungsfelder[[#Totals],[2026]]/'KliMax-Auswertung'!O$17, "Fläche fehlt"))</f>
        <v>Fläche fehlt</v>
      </c>
      <c r="Q764" t="str">
        <f>IF(ISERROR(Klisz_Bundesmix_Handlungsfelder[[#Totals],[2027]]/'KliMax-Auswertung'!P$17), "Fläche fehlt", IF('KliMax-Auswertung'!P$17&lt;&gt;0, Klisz_Bundesmix_Handlungsfelder[[#Totals],[2027]]/'KliMax-Auswertung'!P$17, "Fläche fehlt"))</f>
        <v>Fläche fehlt</v>
      </c>
      <c r="R764" t="str">
        <f>IF(ISERROR(Klisz_Bundesmix_Handlungsfelder[[#Totals],[2028]]/'KliMax-Auswertung'!Q$17), "Fläche fehlt", IF('KliMax-Auswertung'!Q$17&lt;&gt;0, Klisz_Bundesmix_Handlungsfelder[[#Totals],[2028]]/'KliMax-Auswertung'!Q$17, "Fläche fehlt"))</f>
        <v>Fläche fehlt</v>
      </c>
      <c r="S764" t="str">
        <f>IF(ISERROR(Klisz_Bundesmix_Handlungsfelder[[#Totals],[2029]]/'KliMax-Auswertung'!R$17), "Fläche fehlt", IF('KliMax-Auswertung'!R$17&lt;&gt;0, Klisz_Bundesmix_Handlungsfelder[[#Totals],[2029]]/'KliMax-Auswertung'!R$17, "Fläche fehlt"))</f>
        <v>Fläche fehlt</v>
      </c>
      <c r="T764" t="str">
        <f>IF(ISERROR(Klisz_Bundesmix_Handlungsfelder[[#Totals],[2030]]/'KliMax-Auswertung'!S$17), "Fläche fehlt", IF('KliMax-Auswertung'!S$17&lt;&gt;0, Klisz_Bundesmix_Handlungsfelder[[#Totals],[2030]]/'KliMax-Auswertung'!S$17, "Fläche fehlt"))</f>
        <v>Fläche fehlt</v>
      </c>
      <c r="U764" t="str">
        <f>IF(ISERROR(Klisz_Bundesmix_Handlungsfelder[[#Totals],[2035]]/'KliMax-Auswertung'!T$17), "Fläche fehlt", IF('KliMax-Auswertung'!T$17&lt;&gt;0, Klisz_Bundesmix_Handlungsfelder[[#Totals],[2035]]/'KliMax-Auswertung'!T$17, "Fläche fehlt"))</f>
        <v>Fläche fehlt</v>
      </c>
      <c r="V764" t="str">
        <f>IF(ISERROR(Klisz_Bundesmix_Handlungsfelder[[#Totals],[2040]]/'KliMax-Auswertung'!U$17), "Fläche fehlt", IF('KliMax-Auswertung'!U$17&lt;&gt;0, Klisz_Bundesmix_Handlungsfelder[[#Totals],[2040]]/'KliMax-Auswertung'!U$17, "Fläche fehlt"))</f>
        <v>Fläche fehlt</v>
      </c>
      <c r="W764" t="str">
        <f>IF(ISERROR(Klisz_Bundesmix_Handlungsfelder[[#Totals],[2045]]/'KliMax-Auswertung'!V$17), "Fläche fehlt", IF('KliMax-Auswertung'!V$17&lt;&gt;0, Klisz_Bundesmix_Handlungsfelder[[#Totals],[2045]]/'KliMax-Auswertung'!V$17, "Fläche fehlt"))</f>
        <v>Fläche fehlt</v>
      </c>
      <c r="X764" t="str">
        <f>IF(ISERROR(Klisz_Bundesmix_Handlungsfelder[[#Totals],[2050]]/'KliMax-Auswertung'!W$17), "Fläche fehlt", IF('KliMax-Auswertung'!W$17&lt;&gt;0, Klisz_Bundesmix_Handlungsfelder[[#Totals],[2050]]/'KliMax-Auswertung'!W$17, "Fläche fehlt"))</f>
        <v>Fläche fehlt</v>
      </c>
    </row>
    <row r="767" spans="2:24" ht="15.5" x14ac:dyDescent="0.35">
      <c r="B767" s="6" t="s">
        <v>455</v>
      </c>
    </row>
    <row r="768" spans="2:24" x14ac:dyDescent="0.35">
      <c r="C768" s="1"/>
    </row>
    <row r="769" spans="3:24" x14ac:dyDescent="0.35">
      <c r="C769" t="s">
        <v>28</v>
      </c>
      <c r="D769" t="s">
        <v>2</v>
      </c>
      <c r="E769" t="s">
        <v>3</v>
      </c>
      <c r="F769" t="s">
        <v>4</v>
      </c>
      <c r="G769" t="s">
        <v>5</v>
      </c>
      <c r="H769" t="s">
        <v>6</v>
      </c>
      <c r="I769" t="s">
        <v>7</v>
      </c>
      <c r="J769" t="s">
        <v>8</v>
      </c>
      <c r="K769" t="s">
        <v>9</v>
      </c>
      <c r="L769" t="s">
        <v>10</v>
      </c>
      <c r="M769" t="s">
        <v>11</v>
      </c>
      <c r="N769" t="s">
        <v>12</v>
      </c>
      <c r="O769" t="s">
        <v>13</v>
      </c>
      <c r="P769" t="s">
        <v>14</v>
      </c>
      <c r="Q769" t="s">
        <v>232</v>
      </c>
      <c r="R769" t="s">
        <v>233</v>
      </c>
      <c r="S769" t="s">
        <v>234</v>
      </c>
      <c r="T769" t="s">
        <v>15</v>
      </c>
      <c r="U769" t="s">
        <v>16</v>
      </c>
      <c r="V769" t="s">
        <v>17</v>
      </c>
      <c r="W769" t="s">
        <v>18</v>
      </c>
      <c r="X769" t="s">
        <v>19</v>
      </c>
    </row>
    <row r="770" spans="3:24" ht="16.5" x14ac:dyDescent="0.45">
      <c r="C770" t="s">
        <v>211</v>
      </c>
      <c r="D770" t="s">
        <v>208</v>
      </c>
      <c r="E770">
        <f>SUM('Klisz-Emissionen'!E227)</f>
        <v>0</v>
      </c>
      <c r="F770">
        <f>SUM('Klisz-Emissionen'!F227)</f>
        <v>0</v>
      </c>
      <c r="G770">
        <f>SUM('Klisz-Emissionen'!G227)</f>
        <v>0</v>
      </c>
      <c r="H770">
        <f>SUM('Klisz-Emissionen'!H227)</f>
        <v>0</v>
      </c>
      <c r="I770">
        <f>SUM('Klisz-Emissionen'!I227)</f>
        <v>0</v>
      </c>
      <c r="J770">
        <f>SUM('Klisz-Emissionen'!J227)</f>
        <v>0</v>
      </c>
      <c r="K770">
        <f>SUM('Klisz-Emissionen'!K227)</f>
        <v>0</v>
      </c>
      <c r="L770">
        <f>SUM('Klisz-Emissionen'!L227)</f>
        <v>0</v>
      </c>
      <c r="M770">
        <f>SUM('Klisz-Emissionen'!M227)</f>
        <v>0</v>
      </c>
      <c r="N770">
        <f>SUM('Klisz-Emissionen'!N227)</f>
        <v>0</v>
      </c>
      <c r="O770">
        <f>SUM('Klisz-Emissionen'!O227)</f>
        <v>0</v>
      </c>
      <c r="P770">
        <f>SUM('Klisz-Emissionen'!P227)</f>
        <v>0</v>
      </c>
      <c r="Q770">
        <f>SUM('Klisz-Emissionen'!Q227)</f>
        <v>0</v>
      </c>
      <c r="R770">
        <f>SUM('Klisz-Emissionen'!R227)</f>
        <v>0</v>
      </c>
      <c r="S770">
        <f>SUM('Klisz-Emissionen'!S227)</f>
        <v>0</v>
      </c>
      <c r="T770">
        <f>SUM('Klisz-Emissionen'!T227)</f>
        <v>0</v>
      </c>
      <c r="U770">
        <f>SUM('Klisz-Emissionen'!U227)</f>
        <v>0</v>
      </c>
      <c r="V770">
        <f>SUM('Klisz-Emissionen'!V227)</f>
        <v>0</v>
      </c>
      <c r="W770">
        <f>SUM('Klisz-Emissionen'!W227)</f>
        <v>0</v>
      </c>
      <c r="X770">
        <f>SUM('Klisz-Emissionen'!X227)</f>
        <v>0</v>
      </c>
    </row>
    <row r="771" spans="3:24" ht="16.5" x14ac:dyDescent="0.45">
      <c r="C771" t="s">
        <v>212</v>
      </c>
      <c r="D771" t="s">
        <v>208</v>
      </c>
      <c r="E771">
        <f>SUM('Klisz-Emissionen'!E237:E250)</f>
        <v>0</v>
      </c>
      <c r="F771">
        <f>SUM('Klisz-Emissionen'!F237:F250)</f>
        <v>0</v>
      </c>
      <c r="G771">
        <f>SUM('Klisz-Emissionen'!G237:G250)</f>
        <v>0</v>
      </c>
      <c r="H771">
        <f>SUM('Klisz-Emissionen'!H237:H250)</f>
        <v>0</v>
      </c>
      <c r="I771">
        <f>SUM('Klisz-Emissionen'!I237:I250)</f>
        <v>0</v>
      </c>
      <c r="J771">
        <f>SUM('Klisz-Emissionen'!J237:J250)</f>
        <v>0</v>
      </c>
      <c r="K771">
        <f>SUM('Klisz-Emissionen'!K237:K250)</f>
        <v>0</v>
      </c>
      <c r="L771">
        <f>SUM('Klisz-Emissionen'!L237:L250)</f>
        <v>0</v>
      </c>
      <c r="M771">
        <f>SUM('Klisz-Emissionen'!M237:M250)</f>
        <v>0</v>
      </c>
      <c r="N771">
        <f>SUM('Klisz-Emissionen'!N237:N250)</f>
        <v>0</v>
      </c>
      <c r="O771">
        <f>SUM('Klisz-Emissionen'!O237:O250)</f>
        <v>0</v>
      </c>
      <c r="P771">
        <f>SUM('Klisz-Emissionen'!P237:P250)</f>
        <v>0</v>
      </c>
      <c r="Q771">
        <f>SUM('Klisz-Emissionen'!Q237:Q250)</f>
        <v>0</v>
      </c>
      <c r="R771">
        <f>SUM('Klisz-Emissionen'!R237:R250)</f>
        <v>0</v>
      </c>
      <c r="S771">
        <f>SUM('Klisz-Emissionen'!S237:S250)</f>
        <v>0</v>
      </c>
      <c r="T771">
        <f>SUM('Klisz-Emissionen'!T237:T250)</f>
        <v>0</v>
      </c>
      <c r="U771">
        <f>SUM('Klisz-Emissionen'!U237:U250)</f>
        <v>0</v>
      </c>
      <c r="V771">
        <f>SUM('Klisz-Emissionen'!V237:V250)</f>
        <v>0</v>
      </c>
      <c r="W771">
        <f>SUM('Klisz-Emissionen'!W237:W250)</f>
        <v>0</v>
      </c>
      <c r="X771">
        <f>SUM('Klisz-Emissionen'!X237:X250)</f>
        <v>0</v>
      </c>
    </row>
    <row r="772" spans="3:24" ht="16.5" x14ac:dyDescent="0.45">
      <c r="C772" t="s">
        <v>213</v>
      </c>
      <c r="D772" t="s">
        <v>208</v>
      </c>
      <c r="E772">
        <f>SUM('Klisz-Emissionen'!E251:E254)</f>
        <v>0</v>
      </c>
      <c r="F772">
        <f>SUM('Klisz-Emissionen'!F251:F254)</f>
        <v>0</v>
      </c>
      <c r="G772">
        <f>SUM('Klisz-Emissionen'!G251:G254)</f>
        <v>0</v>
      </c>
      <c r="H772">
        <f>SUM('Klisz-Emissionen'!H251:H254)</f>
        <v>0</v>
      </c>
      <c r="I772">
        <f>SUM('Klisz-Emissionen'!I251:I254)</f>
        <v>0</v>
      </c>
      <c r="J772">
        <f>SUM('Klisz-Emissionen'!J251:J254)</f>
        <v>0</v>
      </c>
      <c r="K772">
        <f>SUM('Klisz-Emissionen'!K251:K254)</f>
        <v>0</v>
      </c>
      <c r="L772">
        <f>SUM('Klisz-Emissionen'!L251:L254)</f>
        <v>0</v>
      </c>
      <c r="M772">
        <f>SUM('Klisz-Emissionen'!M251:M254)</f>
        <v>0</v>
      </c>
      <c r="N772">
        <f>SUM('Klisz-Emissionen'!N251:N254)</f>
        <v>0</v>
      </c>
      <c r="O772">
        <f>SUM('Klisz-Emissionen'!O251:O254)</f>
        <v>0</v>
      </c>
      <c r="P772">
        <f>SUM('Klisz-Emissionen'!P251:P254)</f>
        <v>0</v>
      </c>
      <c r="Q772">
        <f>SUM('Klisz-Emissionen'!Q251:Q254)</f>
        <v>0</v>
      </c>
      <c r="R772">
        <f>SUM('Klisz-Emissionen'!R251:R254)</f>
        <v>0</v>
      </c>
      <c r="S772">
        <f>SUM('Klisz-Emissionen'!S251:S254)</f>
        <v>0</v>
      </c>
      <c r="T772">
        <f>SUM('Klisz-Emissionen'!T251:T254)</f>
        <v>0</v>
      </c>
      <c r="U772">
        <f>SUM('Klisz-Emissionen'!U251:U254)</f>
        <v>0</v>
      </c>
      <c r="V772">
        <f>SUM('Klisz-Emissionen'!V251:V254)</f>
        <v>0</v>
      </c>
      <c r="W772">
        <f>SUM('Klisz-Emissionen'!W251:W254)</f>
        <v>0</v>
      </c>
      <c r="X772">
        <f>SUM('Klisz-Emissionen'!X251:X254)</f>
        <v>0</v>
      </c>
    </row>
    <row r="773" spans="3:24" ht="16.5" x14ac:dyDescent="0.45">
      <c r="C773" t="str">
        <f>_xlfn.CONCAT("Mobilität der Institution (", 'Refsz-Verbräuche'!C46,", ", 'Refsz-Verbräuche'!C47,", ", 'Refsz-Verbräuche'!C48,", ", 'Refsz-Verbräuche'!C49,")")</f>
        <v>Mobilität der Institution (Fuhrpark, DR, Studierendenreisen (Outgoing), Exkursionen)</v>
      </c>
      <c r="D773" t="s">
        <v>208</v>
      </c>
      <c r="E773">
        <f>SUM('Klisz-Emissionen'!E256:E261)+SUM('Klisz-Emissionen'!E263:E278)+SUM('Klisz-Emissionen'!E280:E282)+SUM('Klisz-Emissionen'!E284:E286)</f>
        <v>0</v>
      </c>
      <c r="F773">
        <f>SUM('Klisz-Emissionen'!F256:F261)+SUM('Klisz-Emissionen'!F263:F278)+SUM('Klisz-Emissionen'!F280:F282)+SUM('Klisz-Emissionen'!F284:F286)</f>
        <v>0</v>
      </c>
      <c r="G773">
        <f>SUM('Klisz-Emissionen'!G256:G261)+SUM('Klisz-Emissionen'!G263:G278)+SUM('Klisz-Emissionen'!G280:G282)+SUM('Klisz-Emissionen'!G284:G286)</f>
        <v>0</v>
      </c>
      <c r="H773">
        <f>SUM('Klisz-Emissionen'!H256:H261)+SUM('Klisz-Emissionen'!H263:H278)+SUM('Klisz-Emissionen'!H280:H282)+SUM('Klisz-Emissionen'!H284:H286)</f>
        <v>0</v>
      </c>
      <c r="I773">
        <f>SUM('Klisz-Emissionen'!I256:I261)+SUM('Klisz-Emissionen'!I263:I278)+SUM('Klisz-Emissionen'!I280:I282)+SUM('Klisz-Emissionen'!I284:I286)</f>
        <v>0</v>
      </c>
      <c r="J773">
        <f>SUM('Klisz-Emissionen'!J256:J261)+SUM('Klisz-Emissionen'!J263:J278)+SUM('Klisz-Emissionen'!J280:J282)+SUM('Klisz-Emissionen'!J284:J286)</f>
        <v>0</v>
      </c>
      <c r="K773">
        <f>SUM('Klisz-Emissionen'!K256:K261)+SUM('Klisz-Emissionen'!K263:K278)+SUM('Klisz-Emissionen'!K280:K282)+SUM('Klisz-Emissionen'!K284:K286)</f>
        <v>0</v>
      </c>
      <c r="L773">
        <f>SUM('Klisz-Emissionen'!L256:L261)+SUM('Klisz-Emissionen'!L263:L278)+SUM('Klisz-Emissionen'!L280:L282)+SUM('Klisz-Emissionen'!L284:L286)</f>
        <v>0</v>
      </c>
      <c r="M773">
        <f>SUM('Klisz-Emissionen'!M256:M261)+SUM('Klisz-Emissionen'!M263:M278)+SUM('Klisz-Emissionen'!M280:M282)+SUM('Klisz-Emissionen'!M284:M286)</f>
        <v>0</v>
      </c>
      <c r="N773">
        <f>SUM('Klisz-Emissionen'!N256:N261)+SUM('Klisz-Emissionen'!N263:N278)+SUM('Klisz-Emissionen'!N280:N282)+SUM('Klisz-Emissionen'!N284:N286)</f>
        <v>0</v>
      </c>
      <c r="O773">
        <f>SUM('Klisz-Emissionen'!O256:O261)+SUM('Klisz-Emissionen'!O263:O278)+SUM('Klisz-Emissionen'!O280:O282)+SUM('Klisz-Emissionen'!O284:O286)</f>
        <v>0</v>
      </c>
      <c r="P773">
        <f>SUM('Klisz-Emissionen'!P256:P261)+SUM('Klisz-Emissionen'!P263:P278)+SUM('Klisz-Emissionen'!P280:P282)+SUM('Klisz-Emissionen'!P284:P286)</f>
        <v>0</v>
      </c>
      <c r="Q773">
        <f>SUM('Klisz-Emissionen'!Q256:Q261)+SUM('Klisz-Emissionen'!Q263:Q278)+SUM('Klisz-Emissionen'!Q280:Q282)+SUM('Klisz-Emissionen'!Q284:Q286)</f>
        <v>0</v>
      </c>
      <c r="R773">
        <f>SUM('Klisz-Emissionen'!R256:R261)+SUM('Klisz-Emissionen'!R263:R278)+SUM('Klisz-Emissionen'!R280:R282)+SUM('Klisz-Emissionen'!R284:R286)</f>
        <v>0</v>
      </c>
      <c r="S773">
        <f>SUM('Klisz-Emissionen'!S256:S261)+SUM('Klisz-Emissionen'!S263:S278)+SUM('Klisz-Emissionen'!S280:S282)+SUM('Klisz-Emissionen'!S284:S286)</f>
        <v>0</v>
      </c>
      <c r="T773">
        <f>SUM('Klisz-Emissionen'!T256:T261)+SUM('Klisz-Emissionen'!T263:T278)+SUM('Klisz-Emissionen'!T280:T282)+SUM('Klisz-Emissionen'!T284:T286)</f>
        <v>0</v>
      </c>
      <c r="U773">
        <f>SUM('Klisz-Emissionen'!U256:U261)+SUM('Klisz-Emissionen'!U263:U278)+SUM('Klisz-Emissionen'!U280:U282)+SUM('Klisz-Emissionen'!U284:U286)</f>
        <v>0</v>
      </c>
      <c r="V773">
        <f>SUM('Klisz-Emissionen'!V256:V261)+SUM('Klisz-Emissionen'!V263:V278)+SUM('Klisz-Emissionen'!V280:V282)+SUM('Klisz-Emissionen'!V284:V286)</f>
        <v>0</v>
      </c>
      <c r="W773">
        <f>SUM('Klisz-Emissionen'!W256:W261)+SUM('Klisz-Emissionen'!W263:W278)+SUM('Klisz-Emissionen'!W280:W282)+SUM('Klisz-Emissionen'!W284:W286)</f>
        <v>0</v>
      </c>
      <c r="X773">
        <f>SUM('Klisz-Emissionen'!X256:X261)+SUM('Klisz-Emissionen'!X263:X278)+SUM('Klisz-Emissionen'!X280:X282)+SUM('Klisz-Emissionen'!X284:X286)</f>
        <v>0</v>
      </c>
    </row>
    <row r="774" spans="3:24" ht="16.5" x14ac:dyDescent="0.45">
      <c r="C774" t="str">
        <f>_xlfn.CONCAT("Mobilität außerhalb des Betriebs (", 'Refsz-Verbräuche'!C50,", ", 'Refsz-Verbräuche'!C51,", ", 'Refsz-Verbräuche'!C52,")")</f>
        <v>Mobilität außerhalb des Betriebs (Pendeln, Studierendenreisen (Incoming), An- und Abreise von Gästen)</v>
      </c>
      <c r="D774" t="s">
        <v>208</v>
      </c>
      <c r="E774">
        <f>SUM('Klisz-Emissionen'!E288:E301)+SUM('Klisz-Emissionen'!E303:E305)+SUM('Klisz-Emissionen'!E307:E309)</f>
        <v>0</v>
      </c>
      <c r="F774">
        <f>SUM('Klisz-Emissionen'!F288:F301)+SUM('Klisz-Emissionen'!F303:F305)+SUM('Klisz-Emissionen'!F307:F309)</f>
        <v>0</v>
      </c>
      <c r="G774">
        <f>SUM('Klisz-Emissionen'!G288:G301)+SUM('Klisz-Emissionen'!G303:G305)+SUM('Klisz-Emissionen'!G307:G309)</f>
        <v>0</v>
      </c>
      <c r="H774">
        <f>SUM('Klisz-Emissionen'!H288:H301)+SUM('Klisz-Emissionen'!H303:H305)+SUM('Klisz-Emissionen'!H307:H309)</f>
        <v>0</v>
      </c>
      <c r="I774">
        <f>SUM('Klisz-Emissionen'!I288:I301)+SUM('Klisz-Emissionen'!I303:I305)+SUM('Klisz-Emissionen'!I307:I309)</f>
        <v>0</v>
      </c>
      <c r="J774">
        <f>SUM('Klisz-Emissionen'!J288:J301)+SUM('Klisz-Emissionen'!J303:J305)+SUM('Klisz-Emissionen'!J307:J309)</f>
        <v>0</v>
      </c>
      <c r="K774">
        <f>SUM('Klisz-Emissionen'!K288:K301)+SUM('Klisz-Emissionen'!K303:K305)+SUM('Klisz-Emissionen'!K307:K309)</f>
        <v>0</v>
      </c>
      <c r="L774">
        <f>SUM('Klisz-Emissionen'!L288:L301)+SUM('Klisz-Emissionen'!L303:L305)+SUM('Klisz-Emissionen'!L307:L309)</f>
        <v>0</v>
      </c>
      <c r="M774">
        <f>SUM('Klisz-Emissionen'!M288:M301)+SUM('Klisz-Emissionen'!M303:M305)+SUM('Klisz-Emissionen'!M307:M309)</f>
        <v>0</v>
      </c>
      <c r="N774">
        <f>SUM('Klisz-Emissionen'!N288:N301)+SUM('Klisz-Emissionen'!N303:N305)+SUM('Klisz-Emissionen'!N307:N309)</f>
        <v>0</v>
      </c>
      <c r="O774">
        <f>SUM('Klisz-Emissionen'!O288:O301)+SUM('Klisz-Emissionen'!O303:O305)+SUM('Klisz-Emissionen'!O307:O309)</f>
        <v>0</v>
      </c>
      <c r="P774">
        <f>SUM('Klisz-Emissionen'!P288:P301)+SUM('Klisz-Emissionen'!P303:P305)+SUM('Klisz-Emissionen'!P307:P309)</f>
        <v>0</v>
      </c>
      <c r="Q774">
        <f>SUM('Klisz-Emissionen'!Q288:Q301)+SUM('Klisz-Emissionen'!Q303:Q305)+SUM('Klisz-Emissionen'!Q307:Q309)</f>
        <v>0</v>
      </c>
      <c r="R774">
        <f>SUM('Klisz-Emissionen'!R288:R301)+SUM('Klisz-Emissionen'!R303:R305)+SUM('Klisz-Emissionen'!R307:R309)</f>
        <v>0</v>
      </c>
      <c r="S774">
        <f>SUM('Klisz-Emissionen'!S288:S301)+SUM('Klisz-Emissionen'!S303:S305)+SUM('Klisz-Emissionen'!S307:S309)</f>
        <v>0</v>
      </c>
      <c r="T774">
        <f>SUM('Klisz-Emissionen'!T288:T301)+SUM('Klisz-Emissionen'!T303:T305)+SUM('Klisz-Emissionen'!T307:T309)</f>
        <v>0</v>
      </c>
      <c r="U774">
        <f>SUM('Klisz-Emissionen'!U288:U301)+SUM('Klisz-Emissionen'!U303:U305)+SUM('Klisz-Emissionen'!U307:U309)</f>
        <v>0</v>
      </c>
      <c r="V774">
        <f>SUM('Klisz-Emissionen'!V288:V301)+SUM('Klisz-Emissionen'!V303:V305)+SUM('Klisz-Emissionen'!V307:V309)</f>
        <v>0</v>
      </c>
      <c r="W774">
        <f>SUM('Klisz-Emissionen'!W288:W301)+SUM('Klisz-Emissionen'!W303:W305)+SUM('Klisz-Emissionen'!W307:W309)</f>
        <v>0</v>
      </c>
      <c r="X774">
        <f>SUM('Klisz-Emissionen'!X288:X301)+SUM('Klisz-Emissionen'!X303:X305)+SUM('Klisz-Emissionen'!X307:X309)</f>
        <v>0</v>
      </c>
    </row>
    <row r="775" spans="3:24" ht="16.5" x14ac:dyDescent="0.45">
      <c r="C775" t="s">
        <v>217</v>
      </c>
      <c r="D775" t="s">
        <v>208</v>
      </c>
      <c r="E775">
        <f>SUM('Klisz-Emissionen'!E311:E312)</f>
        <v>0</v>
      </c>
      <c r="F775">
        <f>SUM('Klisz-Emissionen'!F311:F312)</f>
        <v>0</v>
      </c>
      <c r="G775">
        <f>SUM('Klisz-Emissionen'!G311:G312)</f>
        <v>0</v>
      </c>
      <c r="H775">
        <f>SUM('Klisz-Emissionen'!H311:H312)</f>
        <v>0</v>
      </c>
      <c r="I775">
        <f>SUM('Klisz-Emissionen'!I311:I312)</f>
        <v>0</v>
      </c>
      <c r="J775">
        <f>SUM('Klisz-Emissionen'!J311:J312)</f>
        <v>0</v>
      </c>
      <c r="K775">
        <f>SUM('Klisz-Emissionen'!K311:K312)</f>
        <v>0</v>
      </c>
      <c r="L775">
        <f>SUM('Klisz-Emissionen'!L311:L312)</f>
        <v>0</v>
      </c>
      <c r="M775">
        <f>SUM('Klisz-Emissionen'!M311:M312)</f>
        <v>0</v>
      </c>
      <c r="N775">
        <f>SUM('Klisz-Emissionen'!N311:N312)</f>
        <v>0</v>
      </c>
      <c r="O775">
        <f>SUM('Klisz-Emissionen'!O311:O312)</f>
        <v>0</v>
      </c>
      <c r="P775">
        <f>SUM('Klisz-Emissionen'!P311:P312)</f>
        <v>0</v>
      </c>
      <c r="Q775">
        <f>SUM('Klisz-Emissionen'!Q311:Q312)</f>
        <v>0</v>
      </c>
      <c r="R775">
        <f>SUM('Klisz-Emissionen'!R311:R312)</f>
        <v>0</v>
      </c>
      <c r="S775">
        <f>SUM('Klisz-Emissionen'!S311:S312)</f>
        <v>0</v>
      </c>
      <c r="T775">
        <f>SUM('Klisz-Emissionen'!T311:T312)</f>
        <v>0</v>
      </c>
      <c r="U775">
        <f>SUM('Klisz-Emissionen'!U311:U312)</f>
        <v>0</v>
      </c>
      <c r="V775">
        <f>SUM('Klisz-Emissionen'!V311:V312)</f>
        <v>0</v>
      </c>
      <c r="W775">
        <f>SUM('Klisz-Emissionen'!W311:W312)</f>
        <v>0</v>
      </c>
      <c r="X775">
        <f>SUM('Klisz-Emissionen'!X311:X312)</f>
        <v>0</v>
      </c>
    </row>
    <row r="776" spans="3:24" ht="16.5" x14ac:dyDescent="0.45">
      <c r="C776" t="s">
        <v>214</v>
      </c>
      <c r="D776" t="s">
        <v>208</v>
      </c>
      <c r="E776">
        <f>SUM('Klisz-Emissionen'!E330:E340)</f>
        <v>0</v>
      </c>
      <c r="F776">
        <f>SUM('Klisz-Emissionen'!F330:F340)</f>
        <v>0</v>
      </c>
      <c r="G776">
        <f>SUM('Klisz-Emissionen'!G330:G340)</f>
        <v>0</v>
      </c>
      <c r="H776">
        <f>SUM('Klisz-Emissionen'!H330:H340)</f>
        <v>0</v>
      </c>
      <c r="I776">
        <f>SUM('Klisz-Emissionen'!I330:I340)</f>
        <v>0</v>
      </c>
      <c r="J776">
        <f>SUM('Klisz-Emissionen'!J330:J340)</f>
        <v>0</v>
      </c>
      <c r="K776">
        <f>SUM('Klisz-Emissionen'!K330:K340)</f>
        <v>0</v>
      </c>
      <c r="L776">
        <f>SUM('Klisz-Emissionen'!L330:L340)</f>
        <v>0</v>
      </c>
      <c r="M776">
        <f>SUM('Klisz-Emissionen'!M330:M340)</f>
        <v>0</v>
      </c>
      <c r="N776">
        <f>SUM('Klisz-Emissionen'!N330:N340)</f>
        <v>0</v>
      </c>
      <c r="O776">
        <f>SUM('Klisz-Emissionen'!O330:O340)</f>
        <v>0</v>
      </c>
      <c r="P776">
        <f>SUM('Klisz-Emissionen'!P330:P340)</f>
        <v>0</v>
      </c>
      <c r="Q776">
        <f>SUM('Klisz-Emissionen'!Q330:Q340)</f>
        <v>0</v>
      </c>
      <c r="R776">
        <f>SUM('Klisz-Emissionen'!R330:R340)</f>
        <v>0</v>
      </c>
      <c r="S776">
        <f>SUM('Klisz-Emissionen'!S330:S340)</f>
        <v>0</v>
      </c>
      <c r="T776">
        <f>SUM('Klisz-Emissionen'!T330:T340)</f>
        <v>0</v>
      </c>
      <c r="U776">
        <f>SUM('Klisz-Emissionen'!U330:U340)</f>
        <v>0</v>
      </c>
      <c r="V776">
        <f>SUM('Klisz-Emissionen'!V330:V340)</f>
        <v>0</v>
      </c>
      <c r="W776">
        <f>SUM('Klisz-Emissionen'!W330:W340)</f>
        <v>0</v>
      </c>
      <c r="X776">
        <f>SUM('Klisz-Emissionen'!X330:X340)</f>
        <v>0</v>
      </c>
    </row>
    <row r="777" spans="3:24" ht="16.5" x14ac:dyDescent="0.45">
      <c r="C777" t="s">
        <v>215</v>
      </c>
      <c r="D777" t="s">
        <v>208</v>
      </c>
      <c r="E777">
        <f>SUM('Klisz-Emissionen'!E314:E317)+SUM('Klisz-Emissionen'!E319:E328)</f>
        <v>0</v>
      </c>
      <c r="F777">
        <f>SUM('Klisz-Emissionen'!F314:F317)+SUM('Klisz-Emissionen'!F319:F328)</f>
        <v>0</v>
      </c>
      <c r="G777">
        <f>SUM('Klisz-Emissionen'!G314:G317)+SUM('Klisz-Emissionen'!G319:G328)</f>
        <v>0</v>
      </c>
      <c r="H777">
        <f>SUM('Klisz-Emissionen'!H314:H317)+SUM('Klisz-Emissionen'!H319:H328)</f>
        <v>0</v>
      </c>
      <c r="I777">
        <f>SUM('Klisz-Emissionen'!I314:I317)+SUM('Klisz-Emissionen'!I319:I328)</f>
        <v>0</v>
      </c>
      <c r="J777">
        <f>SUM('Klisz-Emissionen'!J314:J317)+SUM('Klisz-Emissionen'!J319:J328)</f>
        <v>0</v>
      </c>
      <c r="K777">
        <f>SUM('Klisz-Emissionen'!K314:K317)+SUM('Klisz-Emissionen'!K319:K328)</f>
        <v>0</v>
      </c>
      <c r="L777">
        <f>SUM('Klisz-Emissionen'!L314:L317)+SUM('Klisz-Emissionen'!L319:L328)</f>
        <v>0</v>
      </c>
      <c r="M777">
        <f>SUM('Klisz-Emissionen'!M314:M317)+SUM('Klisz-Emissionen'!M319:M328)</f>
        <v>0</v>
      </c>
      <c r="N777">
        <f>SUM('Klisz-Emissionen'!N314:N317)+SUM('Klisz-Emissionen'!N319:N328)</f>
        <v>0</v>
      </c>
      <c r="O777">
        <f>SUM('Klisz-Emissionen'!O314:O317)+SUM('Klisz-Emissionen'!O319:O328)</f>
        <v>0</v>
      </c>
      <c r="P777">
        <f>SUM('Klisz-Emissionen'!P314:P317)+SUM('Klisz-Emissionen'!P319:P328)</f>
        <v>0</v>
      </c>
      <c r="Q777">
        <f>SUM('Klisz-Emissionen'!Q314:Q317)+SUM('Klisz-Emissionen'!Q319:Q328)</f>
        <v>0</v>
      </c>
      <c r="R777">
        <f>SUM('Klisz-Emissionen'!R314:R317)+SUM('Klisz-Emissionen'!R319:R328)</f>
        <v>0</v>
      </c>
      <c r="S777">
        <f>SUM('Klisz-Emissionen'!S314:S317)+SUM('Klisz-Emissionen'!S319:S328)</f>
        <v>0</v>
      </c>
      <c r="T777">
        <f>SUM('Klisz-Emissionen'!T314:T317)+SUM('Klisz-Emissionen'!T319:T328)</f>
        <v>0</v>
      </c>
      <c r="U777">
        <f>SUM('Klisz-Emissionen'!U314:U317)+SUM('Klisz-Emissionen'!U319:U328)</f>
        <v>0</v>
      </c>
      <c r="V777">
        <f>SUM('Klisz-Emissionen'!V314:V317)+SUM('Klisz-Emissionen'!V319:V328)</f>
        <v>0</v>
      </c>
      <c r="W777">
        <f>SUM('Klisz-Emissionen'!W314:W317)+SUM('Klisz-Emissionen'!W319:W328)</f>
        <v>0</v>
      </c>
      <c r="X777">
        <f>SUM('Klisz-Emissionen'!X314:X317)+SUM('Klisz-Emissionen'!X319:X328)</f>
        <v>0</v>
      </c>
    </row>
    <row r="778" spans="3:24" ht="16.5" x14ac:dyDescent="0.45">
      <c r="C778" t="s">
        <v>216</v>
      </c>
      <c r="D778" t="s">
        <v>208</v>
      </c>
      <c r="E778">
        <f>SUM('Klisz-Emissionen'!E342:E369)</f>
        <v>0</v>
      </c>
      <c r="F778">
        <f>SUM('Klisz-Emissionen'!F342:F369)</f>
        <v>0</v>
      </c>
      <c r="G778">
        <f>SUM('Klisz-Emissionen'!G342:G369)</f>
        <v>0</v>
      </c>
      <c r="H778">
        <f>SUM('Klisz-Emissionen'!H342:H369)</f>
        <v>0</v>
      </c>
      <c r="I778">
        <f>SUM('Klisz-Emissionen'!I342:I369)</f>
        <v>0</v>
      </c>
      <c r="J778">
        <f>SUM('Klisz-Emissionen'!J342:J369)</f>
        <v>0</v>
      </c>
      <c r="K778">
        <f>SUM('Klisz-Emissionen'!K342:K369)</f>
        <v>0</v>
      </c>
      <c r="L778">
        <f>SUM('Klisz-Emissionen'!L342:L369)</f>
        <v>0</v>
      </c>
      <c r="M778">
        <f>SUM('Klisz-Emissionen'!M342:M369)</f>
        <v>0</v>
      </c>
      <c r="N778">
        <f>SUM('Klisz-Emissionen'!N342:N369)</f>
        <v>0</v>
      </c>
      <c r="O778">
        <f>SUM('Klisz-Emissionen'!O342:O369)</f>
        <v>0</v>
      </c>
      <c r="P778">
        <f>SUM('Klisz-Emissionen'!P342:P369)</f>
        <v>0</v>
      </c>
      <c r="Q778">
        <f>SUM('Klisz-Emissionen'!Q342:Q369)</f>
        <v>0</v>
      </c>
      <c r="R778">
        <f>SUM('Klisz-Emissionen'!R342:R369)</f>
        <v>0</v>
      </c>
      <c r="S778">
        <f>SUM('Klisz-Emissionen'!S342:S369)</f>
        <v>0</v>
      </c>
      <c r="T778">
        <f>SUM('Klisz-Emissionen'!T342:T369)</f>
        <v>0</v>
      </c>
      <c r="U778">
        <f>SUM('Klisz-Emissionen'!U342:U369)</f>
        <v>0</v>
      </c>
      <c r="V778">
        <f>SUM('Klisz-Emissionen'!V342:V369)</f>
        <v>0</v>
      </c>
      <c r="W778">
        <f>SUM('Klisz-Emissionen'!W342:W369)</f>
        <v>0</v>
      </c>
      <c r="X778">
        <f>SUM('Klisz-Emissionen'!X342:X369)</f>
        <v>0</v>
      </c>
    </row>
    <row r="779" spans="3:24" ht="16.5" x14ac:dyDescent="0.45">
      <c r="C779" t="s">
        <v>273</v>
      </c>
      <c r="D779" t="s">
        <v>208</v>
      </c>
      <c r="E779">
        <f>'Klisz-Emissionen'!E371</f>
        <v>0</v>
      </c>
      <c r="F779">
        <f>'Klisz-Emissionen'!F371</f>
        <v>0</v>
      </c>
      <c r="G779">
        <f>'Klisz-Emissionen'!G371</f>
        <v>0</v>
      </c>
      <c r="H779">
        <f>'Klisz-Emissionen'!H371</f>
        <v>0</v>
      </c>
      <c r="I779">
        <f>'Klisz-Emissionen'!I371</f>
        <v>0</v>
      </c>
      <c r="J779">
        <f>'Klisz-Emissionen'!J371</f>
        <v>0</v>
      </c>
      <c r="K779">
        <f>'Klisz-Emissionen'!K371</f>
        <v>0</v>
      </c>
      <c r="L779">
        <f>'Klisz-Emissionen'!L371</f>
        <v>0</v>
      </c>
      <c r="M779">
        <f>'Klisz-Emissionen'!M371</f>
        <v>0</v>
      </c>
      <c r="N779">
        <f>'Klisz-Emissionen'!N371</f>
        <v>0</v>
      </c>
      <c r="O779">
        <f>'Klisz-Emissionen'!O371</f>
        <v>0</v>
      </c>
      <c r="P779">
        <f>'Klisz-Emissionen'!P371</f>
        <v>0</v>
      </c>
      <c r="Q779">
        <f>'Klisz-Emissionen'!Q371</f>
        <v>0</v>
      </c>
      <c r="R779">
        <f>'Klisz-Emissionen'!R371</f>
        <v>0</v>
      </c>
      <c r="S779">
        <f>'Klisz-Emissionen'!S371</f>
        <v>0</v>
      </c>
      <c r="T779">
        <f>'Klisz-Emissionen'!T371</f>
        <v>0</v>
      </c>
      <c r="U779">
        <f>'Klisz-Emissionen'!U371</f>
        <v>0</v>
      </c>
      <c r="V779">
        <f>'Klisz-Emissionen'!V371</f>
        <v>0</v>
      </c>
      <c r="W779">
        <f>'Klisz-Emissionen'!W371</f>
        <v>0</v>
      </c>
      <c r="X779">
        <f>'Klisz-Emissionen'!X371</f>
        <v>0</v>
      </c>
    </row>
    <row r="780" spans="3:24" ht="16.5" x14ac:dyDescent="0.45">
      <c r="C780" t="s">
        <v>72</v>
      </c>
      <c r="D780" t="s">
        <v>208</v>
      </c>
      <c r="E780">
        <f>'Klisz-Emissionen'!E373</f>
        <v>0</v>
      </c>
      <c r="F780">
        <f>'Klisz-Emissionen'!F373</f>
        <v>0</v>
      </c>
      <c r="G780">
        <f>'Klisz-Emissionen'!G373</f>
        <v>0</v>
      </c>
      <c r="H780">
        <f>'Klisz-Emissionen'!H373</f>
        <v>0</v>
      </c>
      <c r="I780">
        <f>'Klisz-Emissionen'!I373</f>
        <v>0</v>
      </c>
      <c r="J780">
        <f>'Klisz-Emissionen'!J373</f>
        <v>0</v>
      </c>
      <c r="K780">
        <f>'Klisz-Emissionen'!K373</f>
        <v>0</v>
      </c>
      <c r="L780">
        <f>'Klisz-Emissionen'!L373</f>
        <v>0</v>
      </c>
      <c r="M780">
        <f>'Klisz-Emissionen'!M373</f>
        <v>0</v>
      </c>
      <c r="N780">
        <f>'Klisz-Emissionen'!N373</f>
        <v>0</v>
      </c>
      <c r="O780">
        <f>'Klisz-Emissionen'!O373</f>
        <v>0</v>
      </c>
      <c r="P780">
        <f>'Klisz-Emissionen'!P373</f>
        <v>0</v>
      </c>
      <c r="Q780">
        <f>'Klisz-Emissionen'!Q373</f>
        <v>0</v>
      </c>
      <c r="R780">
        <f>'Klisz-Emissionen'!R373</f>
        <v>0</v>
      </c>
      <c r="S780">
        <f>'Klisz-Emissionen'!S373</f>
        <v>0</v>
      </c>
      <c r="T780">
        <f>'Klisz-Emissionen'!T373</f>
        <v>0</v>
      </c>
      <c r="U780">
        <f>'Klisz-Emissionen'!U373</f>
        <v>0</v>
      </c>
      <c r="V780">
        <f>'Klisz-Emissionen'!V373</f>
        <v>0</v>
      </c>
      <c r="W780">
        <f>'Klisz-Emissionen'!W373</f>
        <v>0</v>
      </c>
      <c r="X780">
        <f>'Klisz-Emissionen'!X373</f>
        <v>0</v>
      </c>
    </row>
    <row r="781" spans="3:24" ht="16.5" x14ac:dyDescent="0.45">
      <c r="C781" s="25" t="s">
        <v>43</v>
      </c>
      <c r="D781" s="25" t="s">
        <v>208</v>
      </c>
      <c r="E781" s="168">
        <f>SUBTOTAL(109,Klisz_Bundesmix_KS80_Handlungsfelder[2015])</f>
        <v>0</v>
      </c>
      <c r="F781" s="168">
        <f>SUBTOTAL(109,Klisz_Bundesmix_KS80_Handlungsfelder[2016])</f>
        <v>0</v>
      </c>
      <c r="G781" s="168">
        <f>SUBTOTAL(109,Klisz_Bundesmix_KS80_Handlungsfelder[2017])</f>
        <v>0</v>
      </c>
      <c r="H781" s="168">
        <f>SUBTOTAL(109,Klisz_Bundesmix_KS80_Handlungsfelder[2018])</f>
        <v>0</v>
      </c>
      <c r="I781" s="168">
        <f>SUBTOTAL(109,Klisz_Bundesmix_KS80_Handlungsfelder[2019])</f>
        <v>0</v>
      </c>
      <c r="J781" s="168">
        <f>SUBTOTAL(109,Klisz_Bundesmix_KS80_Handlungsfelder[2020])</f>
        <v>0</v>
      </c>
      <c r="K781" s="168">
        <f>SUBTOTAL(109,Klisz_Bundesmix_KS80_Handlungsfelder[2021])</f>
        <v>0</v>
      </c>
      <c r="L781" s="168">
        <f>SUBTOTAL(109,Klisz_Bundesmix_KS80_Handlungsfelder[2022])</f>
        <v>0</v>
      </c>
      <c r="M781" s="168">
        <f>SUBTOTAL(109,Klisz_Bundesmix_KS80_Handlungsfelder[2023])</f>
        <v>0</v>
      </c>
      <c r="N781" s="168">
        <f>SUBTOTAL(109,Klisz_Bundesmix_KS80_Handlungsfelder[2024])</f>
        <v>0</v>
      </c>
      <c r="O781" s="168">
        <f>SUBTOTAL(109,Klisz_Bundesmix_KS80_Handlungsfelder[2025])</f>
        <v>0</v>
      </c>
      <c r="P781" s="168">
        <f>SUBTOTAL(109,Klisz_Bundesmix_KS80_Handlungsfelder[2026])</f>
        <v>0</v>
      </c>
      <c r="Q781" s="168">
        <f>SUBTOTAL(109,Klisz_Bundesmix_KS80_Handlungsfelder[2027])</f>
        <v>0</v>
      </c>
      <c r="R781" s="168">
        <f>SUBTOTAL(109,Klisz_Bundesmix_KS80_Handlungsfelder[2028])</f>
        <v>0</v>
      </c>
      <c r="S781" s="168">
        <f>SUBTOTAL(109,Klisz_Bundesmix_KS80_Handlungsfelder[2029])</f>
        <v>0</v>
      </c>
      <c r="T781" s="168">
        <f>SUBTOTAL(109,Klisz_Bundesmix_KS80_Handlungsfelder[2030])</f>
        <v>0</v>
      </c>
      <c r="U781" s="168">
        <f>SUBTOTAL(109,Klisz_Bundesmix_KS80_Handlungsfelder[2035])</f>
        <v>0</v>
      </c>
      <c r="V781" s="168">
        <f>SUBTOTAL(109,Klisz_Bundesmix_KS80_Handlungsfelder[2040])</f>
        <v>0</v>
      </c>
      <c r="W781" s="168">
        <f>SUBTOTAL(109,Klisz_Bundesmix_KS80_Handlungsfelder[2045])</f>
        <v>0</v>
      </c>
      <c r="X781" s="168">
        <f>SUBTOTAL(109,Klisz_Bundesmix_KS80_Handlungsfelder[2050])</f>
        <v>0</v>
      </c>
    </row>
    <row r="783" spans="3:24" x14ac:dyDescent="0.35">
      <c r="C783" t="s">
        <v>411</v>
      </c>
      <c r="D783" t="s">
        <v>2</v>
      </c>
      <c r="E783" t="s">
        <v>3</v>
      </c>
      <c r="F783" t="s">
        <v>4</v>
      </c>
      <c r="G783" t="s">
        <v>5</v>
      </c>
      <c r="H783" t="s">
        <v>6</v>
      </c>
      <c r="I783" t="s">
        <v>7</v>
      </c>
      <c r="J783" t="s">
        <v>8</v>
      </c>
      <c r="K783" t="s">
        <v>9</v>
      </c>
      <c r="L783" t="s">
        <v>10</v>
      </c>
      <c r="M783" t="s">
        <v>11</v>
      </c>
      <c r="N783" t="s">
        <v>12</v>
      </c>
      <c r="O783" t="s">
        <v>13</v>
      </c>
      <c r="P783" t="s">
        <v>14</v>
      </c>
      <c r="Q783" t="s">
        <v>232</v>
      </c>
      <c r="R783" t="s">
        <v>233</v>
      </c>
      <c r="S783" t="s">
        <v>234</v>
      </c>
      <c r="T783" t="s">
        <v>15</v>
      </c>
      <c r="U783" t="s">
        <v>16</v>
      </c>
      <c r="V783" t="s">
        <v>17</v>
      </c>
      <c r="W783" t="s">
        <v>18</v>
      </c>
      <c r="X783" t="s">
        <v>19</v>
      </c>
    </row>
    <row r="784" spans="3:24" ht="16.5" x14ac:dyDescent="0.45">
      <c r="C784" t="s">
        <v>222</v>
      </c>
      <c r="D784" t="s">
        <v>224</v>
      </c>
      <c r="E784" t="str">
        <f>IF(ISERROR('KliMax-Auswertung'!D$19+'KliMax-Auswertung'!D$18), "Personenanzahl fehlt", IF('KliMax-Auswertung'!D$18+'KliMax-Auswertung'!D$19=0, "Personenanzahl fehlt", Klisz_Bundesmix_KS80_Handlungsfelder[[#Totals],[2015]]/('KliMax-Auswertung'!D$18+'KliMax-Auswertung'!D$19)))</f>
        <v>Personenanzahl fehlt</v>
      </c>
      <c r="F784" t="str">
        <f>IF(ISERROR('KliMax-Auswertung'!E$19+'KliMax-Auswertung'!E$18), "Personenanzahl fehlt", IF('KliMax-Auswertung'!E$18+'KliMax-Auswertung'!E$19=0, "Personenanzahl fehlt", Klisz_Bundesmix_KS80_Handlungsfelder[[#Totals],[2016]]/('KliMax-Auswertung'!E$18+'KliMax-Auswertung'!E$19)))</f>
        <v>Personenanzahl fehlt</v>
      </c>
      <c r="G784" t="str">
        <f>IF(ISERROR('KliMax-Auswertung'!F$19+'KliMax-Auswertung'!F$18), "Personenanzahl fehlt", IF('KliMax-Auswertung'!F$18+'KliMax-Auswertung'!F$19=0, "Personenanzahl fehlt", Klisz_Bundesmix_KS80_Handlungsfelder[[#Totals],[2017]]/('KliMax-Auswertung'!F$18+'KliMax-Auswertung'!F$19)))</f>
        <v>Personenanzahl fehlt</v>
      </c>
      <c r="H784" t="str">
        <f>IF(ISERROR('KliMax-Auswertung'!G$19+'KliMax-Auswertung'!G$18), "Personenanzahl fehlt", IF('KliMax-Auswertung'!G$18+'KliMax-Auswertung'!G$19=0, "Personenanzahl fehlt", Klisz_Bundesmix_KS80_Handlungsfelder[[#Totals],[2018]]/('KliMax-Auswertung'!G$18+'KliMax-Auswertung'!G$19)))</f>
        <v>Personenanzahl fehlt</v>
      </c>
      <c r="I784" t="str">
        <f>IF(ISERROR('KliMax-Auswertung'!H$19+'KliMax-Auswertung'!H$18), "Personenanzahl fehlt", IF('KliMax-Auswertung'!H$18+'KliMax-Auswertung'!H$19=0, "Personenanzahl fehlt", Klisz_Bundesmix_KS80_Handlungsfelder[[#Totals],[2019]]/('KliMax-Auswertung'!H$18+'KliMax-Auswertung'!H$19)))</f>
        <v>Personenanzahl fehlt</v>
      </c>
      <c r="J784" t="str">
        <f>IF(ISERROR('KliMax-Auswertung'!I$19+'KliMax-Auswertung'!I$18), "Personenanzahl fehlt", IF('KliMax-Auswertung'!I$18+'KliMax-Auswertung'!I$19=0, "Personenanzahl fehlt", Klisz_Bundesmix_KS80_Handlungsfelder[[#Totals],[2020]]/('KliMax-Auswertung'!I$18+'KliMax-Auswertung'!I$19)))</f>
        <v>Personenanzahl fehlt</v>
      </c>
      <c r="K784" t="str">
        <f>IF(ISERROR('KliMax-Auswertung'!J$19+'KliMax-Auswertung'!J$18), "Personenanzahl fehlt", IF('KliMax-Auswertung'!J$18+'KliMax-Auswertung'!J$19=0, "Personenanzahl fehlt", Klisz_Bundesmix_KS80_Handlungsfelder[[#Totals],[2021]]/('KliMax-Auswertung'!J$18+'KliMax-Auswertung'!J$19)))</f>
        <v>Personenanzahl fehlt</v>
      </c>
      <c r="L784" t="str">
        <f>IF(ISERROR('KliMax-Auswertung'!K$19+'KliMax-Auswertung'!K$18), "Personenanzahl fehlt", IF('KliMax-Auswertung'!K$18+'KliMax-Auswertung'!K$19=0, "Personenanzahl fehlt", Klisz_Bundesmix_KS80_Handlungsfelder[[#Totals],[2022]]/('KliMax-Auswertung'!K$18+'KliMax-Auswertung'!K$19)))</f>
        <v>Personenanzahl fehlt</v>
      </c>
      <c r="M784" t="str">
        <f>IF(ISERROR('KliMax-Auswertung'!L$19+'KliMax-Auswertung'!L$18), "Personenanzahl fehlt", IF('KliMax-Auswertung'!L$18+'KliMax-Auswertung'!L$19=0, "Personenanzahl fehlt", Klisz_Bundesmix_KS80_Handlungsfelder[[#Totals],[2023]]/('KliMax-Auswertung'!L$18+'KliMax-Auswertung'!L$19)))</f>
        <v>Personenanzahl fehlt</v>
      </c>
      <c r="N784" t="str">
        <f>IF(ISERROR('KliMax-Auswertung'!M$19+'KliMax-Auswertung'!M$18), "Personenanzahl fehlt", IF('KliMax-Auswertung'!M$18+'KliMax-Auswertung'!M$19=0, "Personenanzahl fehlt", Klisz_Bundesmix_KS80_Handlungsfelder[[#Totals],[2024]]/('KliMax-Auswertung'!M$18+'KliMax-Auswertung'!M$19)))</f>
        <v>Personenanzahl fehlt</v>
      </c>
      <c r="O784" t="str">
        <f>IF(ISERROR('KliMax-Auswertung'!N$19+'KliMax-Auswertung'!N$18), "Personenanzahl fehlt", IF('KliMax-Auswertung'!N$18+'KliMax-Auswertung'!N$19=0, "Personenanzahl fehlt", Klisz_Bundesmix_KS80_Handlungsfelder[[#Totals],[2025]]/('KliMax-Auswertung'!N$18+'KliMax-Auswertung'!N$19)))</f>
        <v>Personenanzahl fehlt</v>
      </c>
      <c r="P784" t="str">
        <f>IF(ISERROR('KliMax-Auswertung'!O$19+'KliMax-Auswertung'!O$18), "Personenanzahl fehlt", IF('KliMax-Auswertung'!O$18+'KliMax-Auswertung'!O$19=0, "Personenanzahl fehlt", Klisz_Bundesmix_KS80_Handlungsfelder[[#Totals],[2026]]/('KliMax-Auswertung'!O$18+'KliMax-Auswertung'!O$19)))</f>
        <v>Personenanzahl fehlt</v>
      </c>
      <c r="Q784" t="str">
        <f>IF(ISERROR('KliMax-Auswertung'!P$19+'KliMax-Auswertung'!P$18), "Personenanzahl fehlt", IF('KliMax-Auswertung'!P$18+'KliMax-Auswertung'!P$19=0, "Personenanzahl fehlt", Klisz_Bundesmix_KS80_Handlungsfelder[[#Totals],[2027]]/('KliMax-Auswertung'!P$18+'KliMax-Auswertung'!P$19)))</f>
        <v>Personenanzahl fehlt</v>
      </c>
      <c r="R784" t="str">
        <f>IF(ISERROR('KliMax-Auswertung'!Q$19+'KliMax-Auswertung'!Q$18), "Personenanzahl fehlt", IF('KliMax-Auswertung'!Q$18+'KliMax-Auswertung'!Q$19=0, "Personenanzahl fehlt", Klisz_Bundesmix_KS80_Handlungsfelder[[#Totals],[2028]]/('KliMax-Auswertung'!Q$18+'KliMax-Auswertung'!Q$19)))</f>
        <v>Personenanzahl fehlt</v>
      </c>
      <c r="S784" t="str">
        <f>IF(ISERROR('KliMax-Auswertung'!R$19+'KliMax-Auswertung'!R$18), "Personenanzahl fehlt", IF('KliMax-Auswertung'!R$18+'KliMax-Auswertung'!R$19=0, "Personenanzahl fehlt", Klisz_Bundesmix_KS80_Handlungsfelder[[#Totals],[2029]]/('KliMax-Auswertung'!R$18+'KliMax-Auswertung'!R$19)))</f>
        <v>Personenanzahl fehlt</v>
      </c>
      <c r="T784" t="str">
        <f>IF(ISERROR('KliMax-Auswertung'!S$19+'KliMax-Auswertung'!S$18), "Personenanzahl fehlt", IF('KliMax-Auswertung'!S$18+'KliMax-Auswertung'!S$19=0, "Personenanzahl fehlt", Klisz_Bundesmix_KS80_Handlungsfelder[[#Totals],[2030]]/('KliMax-Auswertung'!S$18+'KliMax-Auswertung'!S$19)))</f>
        <v>Personenanzahl fehlt</v>
      </c>
      <c r="U784" t="str">
        <f>IF(ISERROR('KliMax-Auswertung'!T$19+'KliMax-Auswertung'!T$18), "Personenanzahl fehlt", IF('KliMax-Auswertung'!T$18+'KliMax-Auswertung'!T$19=0, "Personenanzahl fehlt", Klisz_Bundesmix_KS80_Handlungsfelder[[#Totals],[2035]]/('KliMax-Auswertung'!T$18+'KliMax-Auswertung'!T$19)))</f>
        <v>Personenanzahl fehlt</v>
      </c>
      <c r="V784" t="str">
        <f>IF(ISERROR('KliMax-Auswertung'!U$19+'KliMax-Auswertung'!U$18), "Personenanzahl fehlt", IF('KliMax-Auswertung'!U$18+'KliMax-Auswertung'!U$19=0, "Personenanzahl fehlt", Klisz_Bundesmix_KS80_Handlungsfelder[[#Totals],[2040]]/('KliMax-Auswertung'!U$18+'KliMax-Auswertung'!U$19)))</f>
        <v>Personenanzahl fehlt</v>
      </c>
      <c r="W784" t="str">
        <f>IF(ISERROR('KliMax-Auswertung'!V$19+'KliMax-Auswertung'!V$18), "Personenanzahl fehlt", IF('KliMax-Auswertung'!V$18+'KliMax-Auswertung'!V$19=0, "Personenanzahl fehlt", Klisz_Bundesmix_KS80_Handlungsfelder[[#Totals],[2045]]/('KliMax-Auswertung'!V$18+'KliMax-Auswertung'!V$19)))</f>
        <v>Personenanzahl fehlt</v>
      </c>
      <c r="X784" t="str">
        <f>IF(ISERROR('KliMax-Auswertung'!W$19+'KliMax-Auswertung'!W$18), "Personenanzahl fehlt", IF('KliMax-Auswertung'!W$18+'KliMax-Auswertung'!W$19=0, "Personenanzahl fehlt", Klisz_Bundesmix_KS80_Handlungsfelder[[#Totals],[2050]]/('KliMax-Auswertung'!W$18+'KliMax-Auswertung'!W$19)))</f>
        <v>Personenanzahl fehlt</v>
      </c>
    </row>
    <row r="785" spans="2:24" ht="16.5" x14ac:dyDescent="0.45">
      <c r="C785" t="s">
        <v>223</v>
      </c>
      <c r="D785" t="s">
        <v>225</v>
      </c>
      <c r="E785" t="str">
        <f>IF(ISERROR(Klisz_Bundesmix_KS80_Handlungsfelder[[#Totals],[2015]]/'KliMax-Auswertung'!D$17), "Fläche fehlt", IF('KliMax-Auswertung'!D$17&lt;&gt;0, Klisz_Bundesmix_KS80_Handlungsfelder[[#Totals],[2015]]/'KliMax-Auswertung'!D$17, "Fläche fehlt"))</f>
        <v>Fläche fehlt</v>
      </c>
      <c r="F785" t="str">
        <f>IF(ISERROR(Klisz_Bundesmix_KS80_Handlungsfelder[[#Totals],[2016]]/'KliMax-Auswertung'!E$17), "Fläche fehlt", IF('KliMax-Auswertung'!E$17&lt;&gt;0, Klisz_Bundesmix_KS80_Handlungsfelder[[#Totals],[2016]]/'KliMax-Auswertung'!E$17, "Fläche fehlt"))</f>
        <v>Fläche fehlt</v>
      </c>
      <c r="G785" t="str">
        <f>IF(ISERROR(Klisz_Bundesmix_KS80_Handlungsfelder[[#Totals],[2017]]/'KliMax-Auswertung'!F$17), "Fläche fehlt", IF('KliMax-Auswertung'!F$17&lt;&gt;0, Klisz_Bundesmix_KS80_Handlungsfelder[[#Totals],[2017]]/'KliMax-Auswertung'!F$17, "Fläche fehlt"))</f>
        <v>Fläche fehlt</v>
      </c>
      <c r="H785" t="str">
        <f>IF(ISERROR(Klisz_Bundesmix_KS80_Handlungsfelder[[#Totals],[2018]]/'KliMax-Auswertung'!G$17), "Fläche fehlt", IF('KliMax-Auswertung'!G$17&lt;&gt;0, Klisz_Bundesmix_KS80_Handlungsfelder[[#Totals],[2018]]/'KliMax-Auswertung'!G$17, "Fläche fehlt"))</f>
        <v>Fläche fehlt</v>
      </c>
      <c r="I785" t="str">
        <f>IF(ISERROR(Klisz_Bundesmix_KS80_Handlungsfelder[[#Totals],[2019]]/'KliMax-Auswertung'!H$17), "Fläche fehlt", IF('KliMax-Auswertung'!H$17&lt;&gt;0, Klisz_Bundesmix_KS80_Handlungsfelder[[#Totals],[2019]]/'KliMax-Auswertung'!H$17, "Fläche fehlt"))</f>
        <v>Fläche fehlt</v>
      </c>
      <c r="J785" t="str">
        <f>IF(ISERROR(Klisz_Bundesmix_KS80_Handlungsfelder[[#Totals],[2020]]/'KliMax-Auswertung'!I$17), "Fläche fehlt", IF('KliMax-Auswertung'!I$17&lt;&gt;0, Klisz_Bundesmix_KS80_Handlungsfelder[[#Totals],[2020]]/'KliMax-Auswertung'!I$17, "Fläche fehlt"))</f>
        <v>Fläche fehlt</v>
      </c>
      <c r="K785" t="str">
        <f>IF(ISERROR(Klisz_Bundesmix_KS80_Handlungsfelder[[#Totals],[2021]]/'KliMax-Auswertung'!J$17), "Fläche fehlt", IF('KliMax-Auswertung'!J$17&lt;&gt;0, Klisz_Bundesmix_KS80_Handlungsfelder[[#Totals],[2021]]/'KliMax-Auswertung'!J$17, "Fläche fehlt"))</f>
        <v>Fläche fehlt</v>
      </c>
      <c r="L785" t="str">
        <f>IF(ISERROR(Klisz_Bundesmix_KS80_Handlungsfelder[[#Totals],[2022]]/'KliMax-Auswertung'!K$17), "Fläche fehlt", IF('KliMax-Auswertung'!K$17&lt;&gt;0, Klisz_Bundesmix_KS80_Handlungsfelder[[#Totals],[2022]]/'KliMax-Auswertung'!K$17, "Fläche fehlt"))</f>
        <v>Fläche fehlt</v>
      </c>
      <c r="M785" t="str">
        <f>IF(ISERROR(Klisz_Bundesmix_KS80_Handlungsfelder[[#Totals],[2023]]/'KliMax-Auswertung'!L$17), "Fläche fehlt", IF('KliMax-Auswertung'!L$17&lt;&gt;0, Klisz_Bundesmix_KS80_Handlungsfelder[[#Totals],[2023]]/'KliMax-Auswertung'!L$17, "Fläche fehlt"))</f>
        <v>Fläche fehlt</v>
      </c>
      <c r="N785" t="str">
        <f>IF(ISERROR(Klisz_Bundesmix_KS80_Handlungsfelder[[#Totals],[2024]]/'KliMax-Auswertung'!M$17), "Fläche fehlt", IF('KliMax-Auswertung'!M$17&lt;&gt;0, Klisz_Bundesmix_KS80_Handlungsfelder[[#Totals],[2024]]/'KliMax-Auswertung'!M$17, "Fläche fehlt"))</f>
        <v>Fläche fehlt</v>
      </c>
      <c r="O785" t="str">
        <f>IF(ISERROR(Klisz_Bundesmix_KS80_Handlungsfelder[[#Totals],[2025]]/'KliMax-Auswertung'!N$17), "Fläche fehlt", IF('KliMax-Auswertung'!N$17&lt;&gt;0, Klisz_Bundesmix_KS80_Handlungsfelder[[#Totals],[2025]]/'KliMax-Auswertung'!N$17, "Fläche fehlt"))</f>
        <v>Fläche fehlt</v>
      </c>
      <c r="P785" t="str">
        <f>IF(ISERROR(Klisz_Bundesmix_KS80_Handlungsfelder[[#Totals],[2026]]/'KliMax-Auswertung'!O$17), "Fläche fehlt", IF('KliMax-Auswertung'!O$17&lt;&gt;0, Klisz_Bundesmix_KS80_Handlungsfelder[[#Totals],[2026]]/'KliMax-Auswertung'!O$17, "Fläche fehlt"))</f>
        <v>Fläche fehlt</v>
      </c>
      <c r="Q785" t="str">
        <f>IF(ISERROR(Klisz_Bundesmix_KS80_Handlungsfelder[[#Totals],[2027]]/'KliMax-Auswertung'!P$17), "Fläche fehlt", IF('KliMax-Auswertung'!P$17&lt;&gt;0, Klisz_Bundesmix_KS80_Handlungsfelder[[#Totals],[2027]]/'KliMax-Auswertung'!P$17, "Fläche fehlt"))</f>
        <v>Fläche fehlt</v>
      </c>
      <c r="R785" t="str">
        <f>IF(ISERROR(Klisz_Bundesmix_KS80_Handlungsfelder[[#Totals],[2028]]/'KliMax-Auswertung'!Q$17), "Fläche fehlt", IF('KliMax-Auswertung'!Q$17&lt;&gt;0, Klisz_Bundesmix_KS80_Handlungsfelder[[#Totals],[2028]]/'KliMax-Auswertung'!Q$17, "Fläche fehlt"))</f>
        <v>Fläche fehlt</v>
      </c>
      <c r="S785" t="str">
        <f>IF(ISERROR(Klisz_Bundesmix_KS80_Handlungsfelder[[#Totals],[2029]]/'KliMax-Auswertung'!R$17), "Fläche fehlt", IF('KliMax-Auswertung'!R$17&lt;&gt;0, Klisz_Bundesmix_KS80_Handlungsfelder[[#Totals],[2029]]/'KliMax-Auswertung'!R$17, "Fläche fehlt"))</f>
        <v>Fläche fehlt</v>
      </c>
      <c r="T785" t="str">
        <f>IF(ISERROR(Klisz_Bundesmix_KS80_Handlungsfelder[[#Totals],[2030]]/'KliMax-Auswertung'!S$17), "Fläche fehlt", IF('KliMax-Auswertung'!S$17&lt;&gt;0, Klisz_Bundesmix_KS80_Handlungsfelder[[#Totals],[2030]]/'KliMax-Auswertung'!S$17, "Fläche fehlt"))</f>
        <v>Fläche fehlt</v>
      </c>
      <c r="U785" t="str">
        <f>IF(ISERROR(Klisz_Bundesmix_KS80_Handlungsfelder[[#Totals],[2035]]/'KliMax-Auswertung'!T$17), "Fläche fehlt", IF('KliMax-Auswertung'!T$17&lt;&gt;0, Klisz_Bundesmix_KS80_Handlungsfelder[[#Totals],[2035]]/'KliMax-Auswertung'!T$17, "Fläche fehlt"))</f>
        <v>Fläche fehlt</v>
      </c>
      <c r="V785" t="str">
        <f>IF(ISERROR(Klisz_Bundesmix_KS80_Handlungsfelder[[#Totals],[2040]]/'KliMax-Auswertung'!U$17), "Fläche fehlt", IF('KliMax-Auswertung'!U$17&lt;&gt;0, Klisz_Bundesmix_KS80_Handlungsfelder[[#Totals],[2040]]/'KliMax-Auswertung'!U$17, "Fläche fehlt"))</f>
        <v>Fläche fehlt</v>
      </c>
      <c r="W785" t="str">
        <f>IF(ISERROR(Klisz_Bundesmix_KS80_Handlungsfelder[[#Totals],[2045]]/'KliMax-Auswertung'!V$17), "Fläche fehlt", IF('KliMax-Auswertung'!V$17&lt;&gt;0, Klisz_Bundesmix_KS80_Handlungsfelder[[#Totals],[2045]]/'KliMax-Auswertung'!V$17, "Fläche fehlt"))</f>
        <v>Fläche fehlt</v>
      </c>
      <c r="X785" t="str">
        <f>IF(ISERROR(Klisz_Bundesmix_KS80_Handlungsfelder[[#Totals],[2050]]/'KliMax-Auswertung'!W$17), "Fläche fehlt", IF('KliMax-Auswertung'!W$17&lt;&gt;0, Klisz_Bundesmix_KS80_Handlungsfelder[[#Totals],[2050]]/'KliMax-Auswertung'!W$17, "Fläche fehlt"))</f>
        <v>Fläche fehlt</v>
      </c>
    </row>
    <row r="788" spans="2:24" ht="15.5" x14ac:dyDescent="0.35">
      <c r="B788" s="6" t="s">
        <v>456</v>
      </c>
    </row>
    <row r="789" spans="2:24" x14ac:dyDescent="0.35">
      <c r="C789" s="1"/>
    </row>
    <row r="790" spans="2:24" x14ac:dyDescent="0.35">
      <c r="C790" t="s">
        <v>28</v>
      </c>
      <c r="D790" t="s">
        <v>2</v>
      </c>
      <c r="E790" t="s">
        <v>3</v>
      </c>
      <c r="F790" t="s">
        <v>4</v>
      </c>
      <c r="G790" t="s">
        <v>5</v>
      </c>
      <c r="H790" t="s">
        <v>6</v>
      </c>
      <c r="I790" t="s">
        <v>7</v>
      </c>
      <c r="J790" t="s">
        <v>8</v>
      </c>
      <c r="K790" t="s">
        <v>9</v>
      </c>
      <c r="L790" t="s">
        <v>10</v>
      </c>
      <c r="M790" t="s">
        <v>11</v>
      </c>
      <c r="N790" t="s">
        <v>12</v>
      </c>
      <c r="O790" t="s">
        <v>13</v>
      </c>
      <c r="P790" t="s">
        <v>14</v>
      </c>
      <c r="Q790" t="s">
        <v>232</v>
      </c>
      <c r="R790" t="s">
        <v>233</v>
      </c>
      <c r="S790" t="s">
        <v>234</v>
      </c>
      <c r="T790" t="s">
        <v>15</v>
      </c>
      <c r="U790" t="s">
        <v>16</v>
      </c>
      <c r="V790" t="s">
        <v>17</v>
      </c>
      <c r="W790" t="s">
        <v>18</v>
      </c>
      <c r="X790" t="s">
        <v>19</v>
      </c>
    </row>
    <row r="791" spans="2:24" ht="16.5" x14ac:dyDescent="0.45">
      <c r="C791" t="s">
        <v>211</v>
      </c>
      <c r="D791" t="s">
        <v>208</v>
      </c>
      <c r="E791">
        <f>SUM('Klisz-Emissionen'!E391:E401)</f>
        <v>0</v>
      </c>
      <c r="F791">
        <f>SUM('Klisz-Emissionen'!F391:F401)</f>
        <v>0</v>
      </c>
      <c r="G791">
        <f>SUM('Klisz-Emissionen'!G391:G401)</f>
        <v>0</v>
      </c>
      <c r="H791">
        <f>SUM('Klisz-Emissionen'!H391:H401)</f>
        <v>0</v>
      </c>
      <c r="I791">
        <f>SUM('Klisz-Emissionen'!I391:I401)</f>
        <v>0</v>
      </c>
      <c r="J791">
        <f>SUM('Klisz-Emissionen'!J391:J401)</f>
        <v>0</v>
      </c>
      <c r="K791">
        <f>SUM('Klisz-Emissionen'!K391:K401)</f>
        <v>0</v>
      </c>
      <c r="L791">
        <f>SUM('Klisz-Emissionen'!L391:L401)</f>
        <v>0</v>
      </c>
      <c r="M791">
        <f>SUM('Klisz-Emissionen'!M391:M401)</f>
        <v>0</v>
      </c>
      <c r="N791">
        <f>SUM('Klisz-Emissionen'!N391:N401)</f>
        <v>0</v>
      </c>
      <c r="O791">
        <f>SUM('Klisz-Emissionen'!O391:O401)</f>
        <v>0</v>
      </c>
      <c r="P791">
        <f>SUM('Klisz-Emissionen'!P391:P401)</f>
        <v>0</v>
      </c>
      <c r="Q791">
        <f>SUM('Klisz-Emissionen'!Q391:Q401)</f>
        <v>0</v>
      </c>
      <c r="R791">
        <f>SUM('Klisz-Emissionen'!R391:R401)</f>
        <v>0</v>
      </c>
      <c r="S791">
        <f>SUM('Klisz-Emissionen'!S391:S401)</f>
        <v>0</v>
      </c>
      <c r="T791">
        <f>SUM('Klisz-Emissionen'!T391:T401)</f>
        <v>0</v>
      </c>
      <c r="U791">
        <f>SUM('Klisz-Emissionen'!U391:U401)</f>
        <v>0</v>
      </c>
      <c r="V791">
        <f>SUM('Klisz-Emissionen'!V391:V401)</f>
        <v>0</v>
      </c>
      <c r="W791">
        <f>SUM('Klisz-Emissionen'!W391:W401)</f>
        <v>0</v>
      </c>
      <c r="X791">
        <f>SUM('Klisz-Emissionen'!X391:X401)</f>
        <v>0</v>
      </c>
    </row>
    <row r="792" spans="2:24" ht="16.5" x14ac:dyDescent="0.45">
      <c r="C792" t="s">
        <v>212</v>
      </c>
      <c r="D792" t="s">
        <v>208</v>
      </c>
      <c r="E792">
        <f>SUM('Klisz-Emissionen'!E402:E415)</f>
        <v>0</v>
      </c>
      <c r="F792">
        <f>SUM('Klisz-Emissionen'!F402:F415)</f>
        <v>0</v>
      </c>
      <c r="G792">
        <f>SUM('Klisz-Emissionen'!G402:G415)</f>
        <v>0</v>
      </c>
      <c r="H792">
        <f>SUM('Klisz-Emissionen'!H402:H415)</f>
        <v>0</v>
      </c>
      <c r="I792">
        <f>SUM('Klisz-Emissionen'!I402:I415)</f>
        <v>0</v>
      </c>
      <c r="J792">
        <f>SUM('Klisz-Emissionen'!J402:J415)</f>
        <v>0</v>
      </c>
      <c r="K792">
        <f>SUM('Klisz-Emissionen'!K402:K415)</f>
        <v>0</v>
      </c>
      <c r="L792">
        <f>SUM('Klisz-Emissionen'!L402:L415)</f>
        <v>0</v>
      </c>
      <c r="M792">
        <f>SUM('Klisz-Emissionen'!M402:M415)</f>
        <v>0</v>
      </c>
      <c r="N792">
        <f>SUM('Klisz-Emissionen'!N402:N415)</f>
        <v>0</v>
      </c>
      <c r="O792">
        <f>SUM('Klisz-Emissionen'!O402:O415)</f>
        <v>0</v>
      </c>
      <c r="P792">
        <f>SUM('Klisz-Emissionen'!P402:P415)</f>
        <v>0</v>
      </c>
      <c r="Q792">
        <f>SUM('Klisz-Emissionen'!Q402:Q415)</f>
        <v>0</v>
      </c>
      <c r="R792">
        <f>SUM('Klisz-Emissionen'!R402:R415)</f>
        <v>0</v>
      </c>
      <c r="S792">
        <f>SUM('Klisz-Emissionen'!S402:S415)</f>
        <v>0</v>
      </c>
      <c r="T792">
        <f>SUM('Klisz-Emissionen'!T402:T415)</f>
        <v>0</v>
      </c>
      <c r="U792">
        <f>SUM('Klisz-Emissionen'!U402:U415)</f>
        <v>0</v>
      </c>
      <c r="V792">
        <f>SUM('Klisz-Emissionen'!V402:V415)</f>
        <v>0</v>
      </c>
      <c r="W792">
        <f>SUM('Klisz-Emissionen'!W402:W415)</f>
        <v>0</v>
      </c>
      <c r="X792">
        <f>SUM('Klisz-Emissionen'!X402:X415)</f>
        <v>0</v>
      </c>
    </row>
    <row r="793" spans="2:24" ht="16.5" x14ac:dyDescent="0.45">
      <c r="C793" t="s">
        <v>213</v>
      </c>
      <c r="D793" t="s">
        <v>208</v>
      </c>
      <c r="E793">
        <f>SUM('Klisz-Emissionen'!E416:E419)</f>
        <v>0</v>
      </c>
      <c r="F793">
        <f>SUM('Klisz-Emissionen'!F416:F419)</f>
        <v>0</v>
      </c>
      <c r="G793">
        <f>SUM('Klisz-Emissionen'!G416:G419)</f>
        <v>0</v>
      </c>
      <c r="H793">
        <f>SUM('Klisz-Emissionen'!H416:H419)</f>
        <v>0</v>
      </c>
      <c r="I793">
        <f>SUM('Klisz-Emissionen'!I416:I419)</f>
        <v>0</v>
      </c>
      <c r="J793">
        <f>SUM('Klisz-Emissionen'!J416:J419)</f>
        <v>0</v>
      </c>
      <c r="K793">
        <f>SUM('Klisz-Emissionen'!K416:K419)</f>
        <v>0</v>
      </c>
      <c r="L793">
        <f>SUM('Klisz-Emissionen'!L416:L419)</f>
        <v>0</v>
      </c>
      <c r="M793">
        <f>SUM('Klisz-Emissionen'!M416:M419)</f>
        <v>0</v>
      </c>
      <c r="N793">
        <f>SUM('Klisz-Emissionen'!N416:N419)</f>
        <v>0</v>
      </c>
      <c r="O793">
        <f>SUM('Klisz-Emissionen'!O416:O419)</f>
        <v>0</v>
      </c>
      <c r="P793">
        <f>SUM('Klisz-Emissionen'!P416:P419)</f>
        <v>0</v>
      </c>
      <c r="Q793">
        <f>SUM('Klisz-Emissionen'!Q416:Q419)</f>
        <v>0</v>
      </c>
      <c r="R793">
        <f>SUM('Klisz-Emissionen'!R416:R419)</f>
        <v>0</v>
      </c>
      <c r="S793">
        <f>SUM('Klisz-Emissionen'!S416:S419)</f>
        <v>0</v>
      </c>
      <c r="T793">
        <f>SUM('Klisz-Emissionen'!T416:T419)</f>
        <v>0</v>
      </c>
      <c r="U793">
        <f>SUM('Klisz-Emissionen'!U416:U419)</f>
        <v>0</v>
      </c>
      <c r="V793">
        <f>SUM('Klisz-Emissionen'!V416:V419)</f>
        <v>0</v>
      </c>
      <c r="W793">
        <f>SUM('Klisz-Emissionen'!W416:W419)</f>
        <v>0</v>
      </c>
      <c r="X793">
        <f>SUM('Klisz-Emissionen'!X416:X419)</f>
        <v>0</v>
      </c>
    </row>
    <row r="794" spans="2:24" ht="16.5" x14ac:dyDescent="0.45">
      <c r="C794" t="str">
        <f>_xlfn.CONCAT("Mobilität der Institution (", 'Refsz-Verbräuche'!C46,", ", 'Refsz-Verbräuche'!C47,", ", 'Refsz-Verbräuche'!C48,", ", 'Refsz-Verbräuche'!C49,")")</f>
        <v>Mobilität der Institution (Fuhrpark, DR, Studierendenreisen (Outgoing), Exkursionen)</v>
      </c>
      <c r="D794" t="s">
        <v>208</v>
      </c>
      <c r="E794">
        <f>SUM('Klisz-Emissionen'!E421:E426)+SUM('Klisz-Emissionen'!E428:E443)+SUM('Klisz-Emissionen'!E445:E447)+SUM('Klisz-Emissionen'!E449:E451)</f>
        <v>0</v>
      </c>
      <c r="F794">
        <f>SUM('Klisz-Emissionen'!F421:F426)+SUM('Klisz-Emissionen'!F428:F443)+SUM('Klisz-Emissionen'!F445:F447)+SUM('Klisz-Emissionen'!F449:F451)</f>
        <v>0</v>
      </c>
      <c r="G794">
        <f>SUM('Klisz-Emissionen'!G421:G426)+SUM('Klisz-Emissionen'!G428:G443)+SUM('Klisz-Emissionen'!G445:G447)+SUM('Klisz-Emissionen'!G449:G451)</f>
        <v>0</v>
      </c>
      <c r="H794">
        <f>SUM('Klisz-Emissionen'!H421:H426)+SUM('Klisz-Emissionen'!H428:H443)+SUM('Klisz-Emissionen'!H445:H447)+SUM('Klisz-Emissionen'!H449:H451)</f>
        <v>0</v>
      </c>
      <c r="I794">
        <f>SUM('Klisz-Emissionen'!I421:I426)+SUM('Klisz-Emissionen'!I428:I443)+SUM('Klisz-Emissionen'!I445:I447)+SUM('Klisz-Emissionen'!I449:I451)</f>
        <v>0</v>
      </c>
      <c r="J794">
        <f>SUM('Klisz-Emissionen'!J421:J426)+SUM('Klisz-Emissionen'!J428:J443)+SUM('Klisz-Emissionen'!J445:J447)+SUM('Klisz-Emissionen'!J449:J451)</f>
        <v>0</v>
      </c>
      <c r="K794">
        <f>SUM('Klisz-Emissionen'!K421:K426)+SUM('Klisz-Emissionen'!K428:K443)+SUM('Klisz-Emissionen'!K445:K447)+SUM('Klisz-Emissionen'!K449:K451)</f>
        <v>0</v>
      </c>
      <c r="L794">
        <f>SUM('Klisz-Emissionen'!L421:L426)+SUM('Klisz-Emissionen'!L428:L443)+SUM('Klisz-Emissionen'!L445:L447)+SUM('Klisz-Emissionen'!L449:L451)</f>
        <v>0</v>
      </c>
      <c r="M794">
        <f>SUM('Klisz-Emissionen'!M421:M426)+SUM('Klisz-Emissionen'!M428:M443)+SUM('Klisz-Emissionen'!M445:M447)+SUM('Klisz-Emissionen'!M449:M451)</f>
        <v>0</v>
      </c>
      <c r="N794">
        <f>SUM('Klisz-Emissionen'!N421:N426)+SUM('Klisz-Emissionen'!N428:N443)+SUM('Klisz-Emissionen'!N445:N447)+SUM('Klisz-Emissionen'!N449:N451)</f>
        <v>0</v>
      </c>
      <c r="O794">
        <f>SUM('Klisz-Emissionen'!O421:O426)+SUM('Klisz-Emissionen'!O428:O443)+SUM('Klisz-Emissionen'!O445:O447)+SUM('Klisz-Emissionen'!O449:O451)</f>
        <v>0</v>
      </c>
      <c r="P794">
        <f>SUM('Klisz-Emissionen'!P421:P426)+SUM('Klisz-Emissionen'!P428:P443)+SUM('Klisz-Emissionen'!P445:P447)+SUM('Klisz-Emissionen'!P449:P451)</f>
        <v>0</v>
      </c>
      <c r="Q794">
        <f>SUM('Klisz-Emissionen'!Q421:Q426)+SUM('Klisz-Emissionen'!Q428:Q443)+SUM('Klisz-Emissionen'!Q445:Q447)+SUM('Klisz-Emissionen'!Q449:Q451)</f>
        <v>0</v>
      </c>
      <c r="R794">
        <f>SUM('Klisz-Emissionen'!R421:R426)+SUM('Klisz-Emissionen'!R428:R443)+SUM('Klisz-Emissionen'!R445:R447)+SUM('Klisz-Emissionen'!R449:R451)</f>
        <v>0</v>
      </c>
      <c r="S794">
        <f>SUM('Klisz-Emissionen'!S421:S426)+SUM('Klisz-Emissionen'!S428:S443)+SUM('Klisz-Emissionen'!S445:S447)+SUM('Klisz-Emissionen'!S449:S451)</f>
        <v>0</v>
      </c>
      <c r="T794">
        <f>SUM('Klisz-Emissionen'!T421:T426)+SUM('Klisz-Emissionen'!T428:T443)+SUM('Klisz-Emissionen'!T445:T447)+SUM('Klisz-Emissionen'!T449:T451)</f>
        <v>0</v>
      </c>
      <c r="U794">
        <f>SUM('Klisz-Emissionen'!U421:U426)+SUM('Klisz-Emissionen'!U428:U443)+SUM('Klisz-Emissionen'!U445:U447)+SUM('Klisz-Emissionen'!U449:U451)</f>
        <v>0</v>
      </c>
      <c r="V794">
        <f>SUM('Klisz-Emissionen'!V421:V426)+SUM('Klisz-Emissionen'!V428:V443)+SUM('Klisz-Emissionen'!V445:V447)+SUM('Klisz-Emissionen'!V449:V451)</f>
        <v>0</v>
      </c>
      <c r="W794">
        <f>SUM('Klisz-Emissionen'!W421:W426)+SUM('Klisz-Emissionen'!W428:W443)+SUM('Klisz-Emissionen'!W445:W447)+SUM('Klisz-Emissionen'!W449:W451)</f>
        <v>0</v>
      </c>
      <c r="X794">
        <f>SUM('Klisz-Emissionen'!X421:X426)+SUM('Klisz-Emissionen'!X428:X443)+SUM('Klisz-Emissionen'!X445:X447)+SUM('Klisz-Emissionen'!X449:X451)</f>
        <v>0</v>
      </c>
    </row>
    <row r="795" spans="2:24" ht="16.5" x14ac:dyDescent="0.45">
      <c r="C795" t="str">
        <f>_xlfn.CONCAT("Mobilität außerhalb des Betriebs (", 'Refsz-Verbräuche'!C50,", ", 'Refsz-Verbräuche'!C51,", ", 'Refsz-Verbräuche'!C52,")")</f>
        <v>Mobilität außerhalb des Betriebs (Pendeln, Studierendenreisen (Incoming), An- und Abreise von Gästen)</v>
      </c>
      <c r="D795" t="s">
        <v>208</v>
      </c>
      <c r="E795">
        <f>SUM('Klisz-Emissionen'!E453:E466)+SUM('Klisz-Emissionen'!E468:E470)+SUM('Klisz-Emissionen'!E472:E474)</f>
        <v>0</v>
      </c>
      <c r="F795">
        <f>SUM('Klisz-Emissionen'!F453:F466)+SUM('Klisz-Emissionen'!F468:F470)+SUM('Klisz-Emissionen'!F472:F474)</f>
        <v>0</v>
      </c>
      <c r="G795">
        <f>SUM('Klisz-Emissionen'!G453:G466)+SUM('Klisz-Emissionen'!G468:G470)+SUM('Klisz-Emissionen'!G472:G474)</f>
        <v>0</v>
      </c>
      <c r="H795">
        <f>SUM('Klisz-Emissionen'!H453:H466)+SUM('Klisz-Emissionen'!H468:H470)+SUM('Klisz-Emissionen'!H472:H474)</f>
        <v>0</v>
      </c>
      <c r="I795">
        <f>SUM('Klisz-Emissionen'!I453:I466)+SUM('Klisz-Emissionen'!I468:I470)+SUM('Klisz-Emissionen'!I472:I474)</f>
        <v>0</v>
      </c>
      <c r="J795">
        <f>SUM('Klisz-Emissionen'!J453:J466)+SUM('Klisz-Emissionen'!J468:J470)+SUM('Klisz-Emissionen'!J472:J474)</f>
        <v>0</v>
      </c>
      <c r="K795">
        <f>SUM('Klisz-Emissionen'!K453:K466)+SUM('Klisz-Emissionen'!K468:K470)+SUM('Klisz-Emissionen'!K472:K474)</f>
        <v>0</v>
      </c>
      <c r="L795">
        <f>SUM('Klisz-Emissionen'!L453:L466)+SUM('Klisz-Emissionen'!L468:L470)+SUM('Klisz-Emissionen'!L472:L474)</f>
        <v>0</v>
      </c>
      <c r="M795">
        <f>SUM('Klisz-Emissionen'!M453:M466)+SUM('Klisz-Emissionen'!M468:M470)+SUM('Klisz-Emissionen'!M472:M474)</f>
        <v>0</v>
      </c>
      <c r="N795">
        <f>SUM('Klisz-Emissionen'!N453:N466)+SUM('Klisz-Emissionen'!N468:N470)+SUM('Klisz-Emissionen'!N472:N474)</f>
        <v>0</v>
      </c>
      <c r="O795">
        <f>SUM('Klisz-Emissionen'!O453:O466)+SUM('Klisz-Emissionen'!O468:O470)+SUM('Klisz-Emissionen'!O472:O474)</f>
        <v>0</v>
      </c>
      <c r="P795">
        <f>SUM('Klisz-Emissionen'!P453:P466)+SUM('Klisz-Emissionen'!P468:P470)+SUM('Klisz-Emissionen'!P472:P474)</f>
        <v>0</v>
      </c>
      <c r="Q795">
        <f>SUM('Klisz-Emissionen'!Q453:Q466)+SUM('Klisz-Emissionen'!Q468:Q470)+SUM('Klisz-Emissionen'!Q472:Q474)</f>
        <v>0</v>
      </c>
      <c r="R795">
        <f>SUM('Klisz-Emissionen'!R453:R466)+SUM('Klisz-Emissionen'!R468:R470)+SUM('Klisz-Emissionen'!R472:R474)</f>
        <v>0</v>
      </c>
      <c r="S795">
        <f>SUM('Klisz-Emissionen'!S453:S466)+SUM('Klisz-Emissionen'!S468:S470)+SUM('Klisz-Emissionen'!S472:S474)</f>
        <v>0</v>
      </c>
      <c r="T795">
        <f>SUM('Klisz-Emissionen'!T453:T466)+SUM('Klisz-Emissionen'!T468:T470)+SUM('Klisz-Emissionen'!T472:T474)</f>
        <v>0</v>
      </c>
      <c r="U795">
        <f>SUM('Klisz-Emissionen'!U453:U466)+SUM('Klisz-Emissionen'!U468:U470)+SUM('Klisz-Emissionen'!U472:U474)</f>
        <v>0</v>
      </c>
      <c r="V795">
        <f>SUM('Klisz-Emissionen'!V453:V466)+SUM('Klisz-Emissionen'!V468:V470)+SUM('Klisz-Emissionen'!V472:V474)</f>
        <v>0</v>
      </c>
      <c r="W795">
        <f>SUM('Klisz-Emissionen'!W453:W466)+SUM('Klisz-Emissionen'!W468:W470)+SUM('Klisz-Emissionen'!W472:W474)</f>
        <v>0</v>
      </c>
      <c r="X795">
        <f>SUM('Klisz-Emissionen'!X453:X466)+SUM('Klisz-Emissionen'!X468:X470)+SUM('Klisz-Emissionen'!X472:X474)</f>
        <v>0</v>
      </c>
    </row>
    <row r="796" spans="2:24" ht="16.5" x14ac:dyDescent="0.45">
      <c r="C796" t="s">
        <v>217</v>
      </c>
      <c r="D796" t="s">
        <v>208</v>
      </c>
      <c r="E796">
        <f>SUM('Klisz-Emissionen'!E476:E477)</f>
        <v>0</v>
      </c>
      <c r="F796">
        <f>SUM('Klisz-Emissionen'!F476:F477)</f>
        <v>0</v>
      </c>
      <c r="G796">
        <f>SUM('Klisz-Emissionen'!G476:G477)</f>
        <v>0</v>
      </c>
      <c r="H796">
        <f>SUM('Klisz-Emissionen'!H476:H477)</f>
        <v>0</v>
      </c>
      <c r="I796">
        <f>SUM('Klisz-Emissionen'!I476:I477)</f>
        <v>0</v>
      </c>
      <c r="J796">
        <f>SUM('Klisz-Emissionen'!J476:J477)</f>
        <v>0</v>
      </c>
      <c r="K796">
        <f>SUM('Klisz-Emissionen'!K476:K477)</f>
        <v>0</v>
      </c>
      <c r="L796">
        <f>SUM('Klisz-Emissionen'!L476:L477)</f>
        <v>0</v>
      </c>
      <c r="M796">
        <f>SUM('Klisz-Emissionen'!M476:M477)</f>
        <v>0</v>
      </c>
      <c r="N796">
        <f>SUM('Klisz-Emissionen'!N476:N477)</f>
        <v>0</v>
      </c>
      <c r="O796">
        <f>SUM('Klisz-Emissionen'!O476:O477)</f>
        <v>0</v>
      </c>
      <c r="P796">
        <f>SUM('Klisz-Emissionen'!P476:P477)</f>
        <v>0</v>
      </c>
      <c r="Q796">
        <f>SUM('Klisz-Emissionen'!Q476:Q477)</f>
        <v>0</v>
      </c>
      <c r="R796">
        <f>SUM('Klisz-Emissionen'!R476:R477)</f>
        <v>0</v>
      </c>
      <c r="S796">
        <f>SUM('Klisz-Emissionen'!S476:S477)</f>
        <v>0</v>
      </c>
      <c r="T796">
        <f>SUM('Klisz-Emissionen'!T476:T477)</f>
        <v>0</v>
      </c>
      <c r="U796">
        <f>SUM('Klisz-Emissionen'!U476:U477)</f>
        <v>0</v>
      </c>
      <c r="V796">
        <f>SUM('Klisz-Emissionen'!V476:V477)</f>
        <v>0</v>
      </c>
      <c r="W796">
        <f>SUM('Klisz-Emissionen'!W476:W477)</f>
        <v>0</v>
      </c>
      <c r="X796">
        <f>SUM('Klisz-Emissionen'!X476:X477)</f>
        <v>0</v>
      </c>
    </row>
    <row r="797" spans="2:24" ht="16.5" x14ac:dyDescent="0.45">
      <c r="C797" t="s">
        <v>214</v>
      </c>
      <c r="D797" t="s">
        <v>208</v>
      </c>
      <c r="E797">
        <f>SUM('Klisz-Emissionen'!E495:E505)</f>
        <v>0</v>
      </c>
      <c r="F797">
        <f>SUM('Klisz-Emissionen'!F495:F505)</f>
        <v>0</v>
      </c>
      <c r="G797">
        <f>SUM('Klisz-Emissionen'!G495:G505)</f>
        <v>0</v>
      </c>
      <c r="H797">
        <f>SUM('Klisz-Emissionen'!H495:H505)</f>
        <v>0</v>
      </c>
      <c r="I797">
        <f>SUM('Klisz-Emissionen'!I495:I505)</f>
        <v>0</v>
      </c>
      <c r="J797">
        <f>SUM('Klisz-Emissionen'!J495:J505)</f>
        <v>0</v>
      </c>
      <c r="K797">
        <f>SUM('Klisz-Emissionen'!K495:K505)</f>
        <v>0</v>
      </c>
      <c r="L797">
        <f>SUM('Klisz-Emissionen'!L495:L505)</f>
        <v>0</v>
      </c>
      <c r="M797">
        <f>SUM('Klisz-Emissionen'!M495:M505)</f>
        <v>0</v>
      </c>
      <c r="N797">
        <f>SUM('Klisz-Emissionen'!N495:N505)</f>
        <v>0</v>
      </c>
      <c r="O797">
        <f>SUM('Klisz-Emissionen'!O495:O505)</f>
        <v>0</v>
      </c>
      <c r="P797">
        <f>SUM('Klisz-Emissionen'!P495:P505)</f>
        <v>0</v>
      </c>
      <c r="Q797">
        <f>SUM('Klisz-Emissionen'!Q495:Q505)</f>
        <v>0</v>
      </c>
      <c r="R797">
        <f>SUM('Klisz-Emissionen'!R495:R505)</f>
        <v>0</v>
      </c>
      <c r="S797">
        <f>SUM('Klisz-Emissionen'!S495:S505)</f>
        <v>0</v>
      </c>
      <c r="T797">
        <f>SUM('Klisz-Emissionen'!T495:T505)</f>
        <v>0</v>
      </c>
      <c r="U797">
        <f>SUM('Klisz-Emissionen'!U495:U505)</f>
        <v>0</v>
      </c>
      <c r="V797">
        <f>SUM('Klisz-Emissionen'!V495:V505)</f>
        <v>0</v>
      </c>
      <c r="W797">
        <f>SUM('Klisz-Emissionen'!W495:W505)</f>
        <v>0</v>
      </c>
      <c r="X797">
        <f>SUM('Klisz-Emissionen'!X495:X505)</f>
        <v>0</v>
      </c>
    </row>
    <row r="798" spans="2:24" ht="16.5" x14ac:dyDescent="0.45">
      <c r="C798" t="s">
        <v>215</v>
      </c>
      <c r="D798" t="s">
        <v>208</v>
      </c>
      <c r="E798">
        <f>SUM('Klisz-Emissionen'!E479:E482)+SUM('Klisz-Emissionen'!E484:E493)</f>
        <v>0</v>
      </c>
      <c r="F798">
        <f>SUM('Klisz-Emissionen'!F479:F482)+SUM('Klisz-Emissionen'!F484:F493)</f>
        <v>0</v>
      </c>
      <c r="G798">
        <f>SUM('Klisz-Emissionen'!G479:G482)+SUM('Klisz-Emissionen'!G484:G493)</f>
        <v>0</v>
      </c>
      <c r="H798">
        <f>SUM('Klisz-Emissionen'!H479:H482)+SUM('Klisz-Emissionen'!H484:H493)</f>
        <v>0</v>
      </c>
      <c r="I798">
        <f>SUM('Klisz-Emissionen'!I479:I482)+SUM('Klisz-Emissionen'!I484:I493)</f>
        <v>0</v>
      </c>
      <c r="J798">
        <f>SUM('Klisz-Emissionen'!J479:J482)+SUM('Klisz-Emissionen'!J484:J493)</f>
        <v>0</v>
      </c>
      <c r="K798">
        <f>SUM('Klisz-Emissionen'!K479:K482)+SUM('Klisz-Emissionen'!K484:K493)</f>
        <v>0</v>
      </c>
      <c r="L798">
        <f>SUM('Klisz-Emissionen'!L479:L482)+SUM('Klisz-Emissionen'!L484:L493)</f>
        <v>0</v>
      </c>
      <c r="M798">
        <f>SUM('Klisz-Emissionen'!M479:M482)+SUM('Klisz-Emissionen'!M484:M493)</f>
        <v>0</v>
      </c>
      <c r="N798">
        <f>SUM('Klisz-Emissionen'!N479:N482)+SUM('Klisz-Emissionen'!N484:N493)</f>
        <v>0</v>
      </c>
      <c r="O798">
        <f>SUM('Klisz-Emissionen'!O479:O482)+SUM('Klisz-Emissionen'!O484:O493)</f>
        <v>0</v>
      </c>
      <c r="P798">
        <f>SUM('Klisz-Emissionen'!P479:P482)+SUM('Klisz-Emissionen'!P484:P493)</f>
        <v>0</v>
      </c>
      <c r="Q798">
        <f>SUM('Klisz-Emissionen'!Q479:Q482)+SUM('Klisz-Emissionen'!Q484:Q493)</f>
        <v>0</v>
      </c>
      <c r="R798">
        <f>SUM('Klisz-Emissionen'!R479:R482)+SUM('Klisz-Emissionen'!R484:R493)</f>
        <v>0</v>
      </c>
      <c r="S798">
        <f>SUM('Klisz-Emissionen'!S479:S482)+SUM('Klisz-Emissionen'!S484:S493)</f>
        <v>0</v>
      </c>
      <c r="T798">
        <f>SUM('Klisz-Emissionen'!T479:T482)+SUM('Klisz-Emissionen'!T484:T493)</f>
        <v>0</v>
      </c>
      <c r="U798">
        <f>SUM('Klisz-Emissionen'!U479:U482)+SUM('Klisz-Emissionen'!U484:U493)</f>
        <v>0</v>
      </c>
      <c r="V798">
        <f>SUM('Klisz-Emissionen'!V479:V482)+SUM('Klisz-Emissionen'!V484:V493)</f>
        <v>0</v>
      </c>
      <c r="W798">
        <f>SUM('Klisz-Emissionen'!W479:W482)+SUM('Klisz-Emissionen'!W484:W493)</f>
        <v>0</v>
      </c>
      <c r="X798">
        <f>SUM('Klisz-Emissionen'!X479:X482)+SUM('Klisz-Emissionen'!X484:X493)</f>
        <v>0</v>
      </c>
    </row>
    <row r="799" spans="2:24" ht="16.5" x14ac:dyDescent="0.45">
      <c r="C799" t="s">
        <v>216</v>
      </c>
      <c r="D799" t="s">
        <v>208</v>
      </c>
      <c r="E799">
        <f>SUM('Klisz-Emissionen'!E507:E534)</f>
        <v>0</v>
      </c>
      <c r="F799">
        <f>SUM('Klisz-Emissionen'!F507:F534)</f>
        <v>0</v>
      </c>
      <c r="G799">
        <f>SUM('Klisz-Emissionen'!G507:G534)</f>
        <v>0</v>
      </c>
      <c r="H799">
        <f>SUM('Klisz-Emissionen'!H507:H534)</f>
        <v>0</v>
      </c>
      <c r="I799">
        <f>SUM('Klisz-Emissionen'!I507:I534)</f>
        <v>0</v>
      </c>
      <c r="J799">
        <f>SUM('Klisz-Emissionen'!J507:J534)</f>
        <v>0</v>
      </c>
      <c r="K799">
        <f>SUM('Klisz-Emissionen'!K507:K534)</f>
        <v>0</v>
      </c>
      <c r="L799">
        <f>SUM('Klisz-Emissionen'!L507:L534)</f>
        <v>0</v>
      </c>
      <c r="M799">
        <f>SUM('Klisz-Emissionen'!M507:M534)</f>
        <v>0</v>
      </c>
      <c r="N799">
        <f>SUM('Klisz-Emissionen'!N507:N534)</f>
        <v>0</v>
      </c>
      <c r="O799">
        <f>SUM('Klisz-Emissionen'!O507:O534)</f>
        <v>0</v>
      </c>
      <c r="P799">
        <f>SUM('Klisz-Emissionen'!P507:P534)</f>
        <v>0</v>
      </c>
      <c r="Q799">
        <f>SUM('Klisz-Emissionen'!Q507:Q534)</f>
        <v>0</v>
      </c>
      <c r="R799">
        <f>SUM('Klisz-Emissionen'!R507:R534)</f>
        <v>0</v>
      </c>
      <c r="S799">
        <f>SUM('Klisz-Emissionen'!S507:S534)</f>
        <v>0</v>
      </c>
      <c r="T799">
        <f>SUM('Klisz-Emissionen'!T507:T534)</f>
        <v>0</v>
      </c>
      <c r="U799">
        <f>SUM('Klisz-Emissionen'!U507:U534)</f>
        <v>0</v>
      </c>
      <c r="V799">
        <f>SUM('Klisz-Emissionen'!V507:V534)</f>
        <v>0</v>
      </c>
      <c r="W799">
        <f>SUM('Klisz-Emissionen'!W507:W534)</f>
        <v>0</v>
      </c>
      <c r="X799">
        <f>SUM('Klisz-Emissionen'!X507:X534)</f>
        <v>0</v>
      </c>
    </row>
    <row r="800" spans="2:24" ht="16.5" x14ac:dyDescent="0.45">
      <c r="C800" t="s">
        <v>273</v>
      </c>
      <c r="D800" t="s">
        <v>208</v>
      </c>
      <c r="E800">
        <f>'Klisz-Emissionen'!E536</f>
        <v>0</v>
      </c>
      <c r="F800">
        <f>'Klisz-Emissionen'!F536</f>
        <v>0</v>
      </c>
      <c r="G800">
        <f>'Klisz-Emissionen'!G536</f>
        <v>0</v>
      </c>
      <c r="H800">
        <f>'Klisz-Emissionen'!H536</f>
        <v>0</v>
      </c>
      <c r="I800">
        <f>'Klisz-Emissionen'!I536</f>
        <v>0</v>
      </c>
      <c r="J800">
        <f>'Klisz-Emissionen'!J536</f>
        <v>0</v>
      </c>
      <c r="K800">
        <f>'Klisz-Emissionen'!K536</f>
        <v>0</v>
      </c>
      <c r="L800">
        <f>'Klisz-Emissionen'!L536</f>
        <v>0</v>
      </c>
      <c r="M800">
        <f>'Klisz-Emissionen'!M536</f>
        <v>0</v>
      </c>
      <c r="N800">
        <f>'Klisz-Emissionen'!N536</f>
        <v>0</v>
      </c>
      <c r="O800">
        <f>'Klisz-Emissionen'!O536</f>
        <v>0</v>
      </c>
      <c r="P800">
        <f>'Klisz-Emissionen'!P536</f>
        <v>0</v>
      </c>
      <c r="Q800">
        <f>'Klisz-Emissionen'!Q536</f>
        <v>0</v>
      </c>
      <c r="R800">
        <f>'Klisz-Emissionen'!R536</f>
        <v>0</v>
      </c>
      <c r="S800">
        <f>'Klisz-Emissionen'!S536</f>
        <v>0</v>
      </c>
      <c r="T800">
        <f>'Klisz-Emissionen'!T536</f>
        <v>0</v>
      </c>
      <c r="U800">
        <f>'Klisz-Emissionen'!U536</f>
        <v>0</v>
      </c>
      <c r="V800">
        <f>'Klisz-Emissionen'!V536</f>
        <v>0</v>
      </c>
      <c r="W800">
        <f>'Klisz-Emissionen'!W536</f>
        <v>0</v>
      </c>
      <c r="X800">
        <f>'Klisz-Emissionen'!X536</f>
        <v>0</v>
      </c>
    </row>
    <row r="801" spans="2:24" ht="16.5" x14ac:dyDescent="0.45">
      <c r="C801" t="s">
        <v>72</v>
      </c>
      <c r="D801" t="s">
        <v>208</v>
      </c>
      <c r="E801">
        <f>'Klisz-Emissionen'!E538</f>
        <v>0</v>
      </c>
      <c r="F801">
        <f>'Klisz-Emissionen'!F538</f>
        <v>0</v>
      </c>
      <c r="G801">
        <f>'Klisz-Emissionen'!G538</f>
        <v>0</v>
      </c>
      <c r="H801">
        <f>'Klisz-Emissionen'!H538</f>
        <v>0</v>
      </c>
      <c r="I801">
        <f>'Klisz-Emissionen'!I538</f>
        <v>0</v>
      </c>
      <c r="J801">
        <f>'Klisz-Emissionen'!J538</f>
        <v>0</v>
      </c>
      <c r="K801">
        <f>'Klisz-Emissionen'!K538</f>
        <v>0</v>
      </c>
      <c r="L801">
        <f>'Klisz-Emissionen'!L538</f>
        <v>0</v>
      </c>
      <c r="M801">
        <f>'Klisz-Emissionen'!M538</f>
        <v>0</v>
      </c>
      <c r="N801">
        <f>'Klisz-Emissionen'!N538</f>
        <v>0</v>
      </c>
      <c r="O801">
        <f>'Klisz-Emissionen'!O538</f>
        <v>0</v>
      </c>
      <c r="P801">
        <f>'Klisz-Emissionen'!P538</f>
        <v>0</v>
      </c>
      <c r="Q801">
        <f>'Klisz-Emissionen'!Q538</f>
        <v>0</v>
      </c>
      <c r="R801">
        <f>'Klisz-Emissionen'!R538</f>
        <v>0</v>
      </c>
      <c r="S801">
        <f>'Klisz-Emissionen'!S538</f>
        <v>0</v>
      </c>
      <c r="T801">
        <f>'Klisz-Emissionen'!T538</f>
        <v>0</v>
      </c>
      <c r="U801">
        <f>'Klisz-Emissionen'!U538</f>
        <v>0</v>
      </c>
      <c r="V801">
        <f>'Klisz-Emissionen'!V538</f>
        <v>0</v>
      </c>
      <c r="W801">
        <f>'Klisz-Emissionen'!W538</f>
        <v>0</v>
      </c>
      <c r="X801">
        <f>'Klisz-Emissionen'!X538</f>
        <v>0</v>
      </c>
    </row>
    <row r="802" spans="2:24" ht="16.5" x14ac:dyDescent="0.45">
      <c r="C802" s="25" t="s">
        <v>43</v>
      </c>
      <c r="D802" s="25" t="s">
        <v>208</v>
      </c>
      <c r="E802" s="168">
        <f>SUBTOTAL(109,Klisz_Regiomix_Handlungsfelder[2015])</f>
        <v>0</v>
      </c>
      <c r="F802" s="168">
        <f>SUBTOTAL(109,Klisz_Regiomix_Handlungsfelder[2016])</f>
        <v>0</v>
      </c>
      <c r="G802" s="168">
        <f>SUBTOTAL(109,Klisz_Regiomix_Handlungsfelder[2017])</f>
        <v>0</v>
      </c>
      <c r="H802" s="168">
        <f>SUBTOTAL(109,Klisz_Regiomix_Handlungsfelder[2018])</f>
        <v>0</v>
      </c>
      <c r="I802" s="168">
        <f>SUBTOTAL(109,Klisz_Regiomix_Handlungsfelder[2019])</f>
        <v>0</v>
      </c>
      <c r="J802" s="168">
        <f>SUBTOTAL(109,Klisz_Regiomix_Handlungsfelder[2020])</f>
        <v>0</v>
      </c>
      <c r="K802" s="168">
        <f>SUBTOTAL(109,Klisz_Regiomix_Handlungsfelder[2021])</f>
        <v>0</v>
      </c>
      <c r="L802" s="168">
        <f>SUBTOTAL(109,Klisz_Regiomix_Handlungsfelder[2022])</f>
        <v>0</v>
      </c>
      <c r="M802" s="168">
        <f>SUBTOTAL(109,Klisz_Regiomix_Handlungsfelder[2023])</f>
        <v>0</v>
      </c>
      <c r="N802" s="168">
        <f>SUBTOTAL(109,Klisz_Regiomix_Handlungsfelder[2024])</f>
        <v>0</v>
      </c>
      <c r="O802" s="168">
        <f>SUBTOTAL(109,Klisz_Regiomix_Handlungsfelder[2025])</f>
        <v>0</v>
      </c>
      <c r="P802" s="168">
        <f>SUBTOTAL(109,Klisz_Regiomix_Handlungsfelder[2026])</f>
        <v>0</v>
      </c>
      <c r="Q802" s="168">
        <f>SUBTOTAL(109,Klisz_Regiomix_Handlungsfelder[2027])</f>
        <v>0</v>
      </c>
      <c r="R802" s="168">
        <f>SUBTOTAL(109,Klisz_Regiomix_Handlungsfelder[2028])</f>
        <v>0</v>
      </c>
      <c r="S802" s="168">
        <f>SUBTOTAL(109,Klisz_Regiomix_Handlungsfelder[2029])</f>
        <v>0</v>
      </c>
      <c r="T802" s="168">
        <f>SUBTOTAL(109,Klisz_Regiomix_Handlungsfelder[2030])</f>
        <v>0</v>
      </c>
      <c r="U802" s="168">
        <f>SUBTOTAL(109,Klisz_Regiomix_Handlungsfelder[2035])</f>
        <v>0</v>
      </c>
      <c r="V802" s="168">
        <f>SUBTOTAL(109,Klisz_Regiomix_Handlungsfelder[2040])</f>
        <v>0</v>
      </c>
      <c r="W802" s="168">
        <f>SUBTOTAL(109,Klisz_Regiomix_Handlungsfelder[2045])</f>
        <v>0</v>
      </c>
      <c r="X802" s="168">
        <f>SUBTOTAL(109,Klisz_Regiomix_Handlungsfelder[2050])</f>
        <v>0</v>
      </c>
    </row>
    <row r="804" spans="2:24" x14ac:dyDescent="0.35">
      <c r="C804" t="s">
        <v>411</v>
      </c>
      <c r="D804" t="s">
        <v>2</v>
      </c>
      <c r="E804" t="s">
        <v>3</v>
      </c>
      <c r="F804" t="s">
        <v>4</v>
      </c>
      <c r="G804" t="s">
        <v>5</v>
      </c>
      <c r="H804" t="s">
        <v>6</v>
      </c>
      <c r="I804" t="s">
        <v>7</v>
      </c>
      <c r="J804" t="s">
        <v>8</v>
      </c>
      <c r="K804" t="s">
        <v>9</v>
      </c>
      <c r="L804" t="s">
        <v>10</v>
      </c>
      <c r="M804" t="s">
        <v>11</v>
      </c>
      <c r="N804" t="s">
        <v>12</v>
      </c>
      <c r="O804" t="s">
        <v>13</v>
      </c>
      <c r="P804" t="s">
        <v>14</v>
      </c>
      <c r="Q804" t="s">
        <v>232</v>
      </c>
      <c r="R804" t="s">
        <v>233</v>
      </c>
      <c r="S804" t="s">
        <v>234</v>
      </c>
      <c r="T804" t="s">
        <v>15</v>
      </c>
      <c r="U804" t="s">
        <v>16</v>
      </c>
      <c r="V804" t="s">
        <v>17</v>
      </c>
      <c r="W804" t="s">
        <v>18</v>
      </c>
      <c r="X804" t="s">
        <v>19</v>
      </c>
    </row>
    <row r="805" spans="2:24" ht="16.5" x14ac:dyDescent="0.45">
      <c r="C805" t="s">
        <v>222</v>
      </c>
      <c r="D805" t="s">
        <v>224</v>
      </c>
      <c r="E805" t="str">
        <f>IF(ISERROR('KliMax-Auswertung'!D$19+'KliMax-Auswertung'!D$18), "Personenanzahl fehlt", IF('KliMax-Auswertung'!D$18+'KliMax-Auswertung'!D$19=0, "Personenanzahl fehlt", Klisz_Regiomix_Handlungsfelder[[#Totals],[2015]]/('KliMax-Auswertung'!D$18+'KliMax-Auswertung'!D$19)))</f>
        <v>Personenanzahl fehlt</v>
      </c>
      <c r="F805" t="str">
        <f>IF(ISERROR('KliMax-Auswertung'!E$19+'KliMax-Auswertung'!E$18), "Personenanzahl fehlt", IF('KliMax-Auswertung'!E$18+'KliMax-Auswertung'!E$19=0, "Personenanzahl fehlt", Klisz_Regiomix_Handlungsfelder[[#Totals],[2016]]/('KliMax-Auswertung'!E$18+'KliMax-Auswertung'!E$19)))</f>
        <v>Personenanzahl fehlt</v>
      </c>
      <c r="G805" t="str">
        <f>IF(ISERROR('KliMax-Auswertung'!F$19+'KliMax-Auswertung'!F$18), "Personenanzahl fehlt", IF('KliMax-Auswertung'!F$18+'KliMax-Auswertung'!F$19=0, "Personenanzahl fehlt", Klisz_Regiomix_Handlungsfelder[[#Totals],[2017]]/('KliMax-Auswertung'!F$18+'KliMax-Auswertung'!F$19)))</f>
        <v>Personenanzahl fehlt</v>
      </c>
      <c r="H805" t="str">
        <f>IF(ISERROR('KliMax-Auswertung'!G$19+'KliMax-Auswertung'!G$18), "Personenanzahl fehlt", IF('KliMax-Auswertung'!G$18+'KliMax-Auswertung'!G$19=0, "Personenanzahl fehlt", Klisz_Regiomix_Handlungsfelder[[#Totals],[2018]]/('KliMax-Auswertung'!G$18+'KliMax-Auswertung'!G$19)))</f>
        <v>Personenanzahl fehlt</v>
      </c>
      <c r="I805" t="str">
        <f>IF(ISERROR('KliMax-Auswertung'!H$19+'KliMax-Auswertung'!H$18), "Personenanzahl fehlt", IF('KliMax-Auswertung'!H$18+'KliMax-Auswertung'!H$19=0, "Personenanzahl fehlt", Klisz_Regiomix_Handlungsfelder[[#Totals],[2019]]/('KliMax-Auswertung'!H$18+'KliMax-Auswertung'!H$19)))</f>
        <v>Personenanzahl fehlt</v>
      </c>
      <c r="J805" t="str">
        <f>IF(ISERROR('KliMax-Auswertung'!I$19+'KliMax-Auswertung'!I$18), "Personenanzahl fehlt", IF('KliMax-Auswertung'!I$18+'KliMax-Auswertung'!I$19=0, "Personenanzahl fehlt", Klisz_Regiomix_Handlungsfelder[[#Totals],[2020]]/('KliMax-Auswertung'!I$18+'KliMax-Auswertung'!I$19)))</f>
        <v>Personenanzahl fehlt</v>
      </c>
      <c r="K805" t="str">
        <f>IF(ISERROR('KliMax-Auswertung'!J$19+'KliMax-Auswertung'!J$18), "Personenanzahl fehlt", IF('KliMax-Auswertung'!J$18+'KliMax-Auswertung'!J$19=0, "Personenanzahl fehlt", Klisz_Regiomix_Handlungsfelder[[#Totals],[2021]]/('KliMax-Auswertung'!J$18+'KliMax-Auswertung'!J$19)))</f>
        <v>Personenanzahl fehlt</v>
      </c>
      <c r="L805" t="str">
        <f>IF(ISERROR('KliMax-Auswertung'!K$19+'KliMax-Auswertung'!K$18), "Personenanzahl fehlt", IF('KliMax-Auswertung'!K$18+'KliMax-Auswertung'!K$19=0, "Personenanzahl fehlt", Klisz_Regiomix_Handlungsfelder[[#Totals],[2022]]/('KliMax-Auswertung'!K$18+'KliMax-Auswertung'!K$19)))</f>
        <v>Personenanzahl fehlt</v>
      </c>
      <c r="M805" t="str">
        <f>IF(ISERROR('KliMax-Auswertung'!L$19+'KliMax-Auswertung'!L$18), "Personenanzahl fehlt", IF('KliMax-Auswertung'!L$18+'KliMax-Auswertung'!L$19=0, "Personenanzahl fehlt", Klisz_Regiomix_Handlungsfelder[[#Totals],[2023]]/('KliMax-Auswertung'!L$18+'KliMax-Auswertung'!L$19)))</f>
        <v>Personenanzahl fehlt</v>
      </c>
      <c r="N805" t="str">
        <f>IF(ISERROR('KliMax-Auswertung'!M$19+'KliMax-Auswertung'!M$18), "Personenanzahl fehlt", IF('KliMax-Auswertung'!M$18+'KliMax-Auswertung'!M$19=0, "Personenanzahl fehlt", Klisz_Regiomix_Handlungsfelder[[#Totals],[2024]]/('KliMax-Auswertung'!M$18+'KliMax-Auswertung'!M$19)))</f>
        <v>Personenanzahl fehlt</v>
      </c>
      <c r="O805" t="str">
        <f>IF(ISERROR('KliMax-Auswertung'!N$19+'KliMax-Auswertung'!N$18), "Personenanzahl fehlt", IF('KliMax-Auswertung'!N$18+'KliMax-Auswertung'!N$19=0, "Personenanzahl fehlt", Klisz_Regiomix_Handlungsfelder[[#Totals],[2025]]/('KliMax-Auswertung'!N$18+'KliMax-Auswertung'!N$19)))</f>
        <v>Personenanzahl fehlt</v>
      </c>
      <c r="P805" t="str">
        <f>IF(ISERROR('KliMax-Auswertung'!O$19+'KliMax-Auswertung'!O$18), "Personenanzahl fehlt", IF('KliMax-Auswertung'!O$18+'KliMax-Auswertung'!O$19=0, "Personenanzahl fehlt", Klisz_Regiomix_Handlungsfelder[[#Totals],[2026]]/('KliMax-Auswertung'!O$18+'KliMax-Auswertung'!O$19)))</f>
        <v>Personenanzahl fehlt</v>
      </c>
      <c r="Q805" t="str">
        <f>IF(ISERROR('KliMax-Auswertung'!P$19+'KliMax-Auswertung'!P$18), "Personenanzahl fehlt", IF('KliMax-Auswertung'!P$18+'KliMax-Auswertung'!P$19=0, "Personenanzahl fehlt", Klisz_Regiomix_Handlungsfelder[[#Totals],[2027]]/('KliMax-Auswertung'!P$18+'KliMax-Auswertung'!P$19)))</f>
        <v>Personenanzahl fehlt</v>
      </c>
      <c r="R805" t="str">
        <f>IF(ISERROR('KliMax-Auswertung'!Q$19+'KliMax-Auswertung'!Q$18), "Personenanzahl fehlt", IF('KliMax-Auswertung'!Q$18+'KliMax-Auswertung'!Q$19=0, "Personenanzahl fehlt", Klisz_Regiomix_Handlungsfelder[[#Totals],[2028]]/('KliMax-Auswertung'!Q$18+'KliMax-Auswertung'!Q$19)))</f>
        <v>Personenanzahl fehlt</v>
      </c>
      <c r="S805" t="str">
        <f>IF(ISERROR('KliMax-Auswertung'!R$19+'KliMax-Auswertung'!R$18), "Personenanzahl fehlt", IF('KliMax-Auswertung'!R$18+'KliMax-Auswertung'!R$19=0, "Personenanzahl fehlt", Klisz_Regiomix_Handlungsfelder[[#Totals],[2029]]/('KliMax-Auswertung'!R$18+'KliMax-Auswertung'!R$19)))</f>
        <v>Personenanzahl fehlt</v>
      </c>
      <c r="T805" t="str">
        <f>IF(ISERROR('KliMax-Auswertung'!S$19+'KliMax-Auswertung'!S$18), "Personenanzahl fehlt", IF('KliMax-Auswertung'!S$18+'KliMax-Auswertung'!S$19=0, "Personenanzahl fehlt", Klisz_Regiomix_Handlungsfelder[[#Totals],[2030]]/('KliMax-Auswertung'!S$18+'KliMax-Auswertung'!S$19)))</f>
        <v>Personenanzahl fehlt</v>
      </c>
      <c r="U805" t="str">
        <f>IF(ISERROR('KliMax-Auswertung'!T$19+'KliMax-Auswertung'!T$18), "Personenanzahl fehlt", IF('KliMax-Auswertung'!T$18+'KliMax-Auswertung'!T$19=0, "Personenanzahl fehlt", Klisz_Regiomix_Handlungsfelder[[#Totals],[2035]]/('KliMax-Auswertung'!T$18+'KliMax-Auswertung'!T$19)))</f>
        <v>Personenanzahl fehlt</v>
      </c>
      <c r="V805" t="str">
        <f>IF(ISERROR('KliMax-Auswertung'!U$19+'KliMax-Auswertung'!U$18), "Personenanzahl fehlt", IF('KliMax-Auswertung'!U$18+'KliMax-Auswertung'!U$19=0, "Personenanzahl fehlt", Klisz_Regiomix_Handlungsfelder[[#Totals],[2040]]/('KliMax-Auswertung'!U$18+'KliMax-Auswertung'!U$19)))</f>
        <v>Personenanzahl fehlt</v>
      </c>
      <c r="W805" t="str">
        <f>IF(ISERROR('KliMax-Auswertung'!V$19+'KliMax-Auswertung'!V$18), "Personenanzahl fehlt", IF('KliMax-Auswertung'!V$18+'KliMax-Auswertung'!V$19=0, "Personenanzahl fehlt", Klisz_Regiomix_Handlungsfelder[[#Totals],[2045]]/('KliMax-Auswertung'!V$18+'KliMax-Auswertung'!V$19)))</f>
        <v>Personenanzahl fehlt</v>
      </c>
      <c r="X805" t="str">
        <f>IF(ISERROR('KliMax-Auswertung'!W$19+'KliMax-Auswertung'!W$18), "Personenanzahl fehlt", IF('KliMax-Auswertung'!W$18+'KliMax-Auswertung'!W$19=0, "Personenanzahl fehlt", Klisz_Regiomix_Handlungsfelder[[#Totals],[2050]]/('KliMax-Auswertung'!W$18+'KliMax-Auswertung'!W$19)))</f>
        <v>Personenanzahl fehlt</v>
      </c>
    </row>
    <row r="806" spans="2:24" ht="16.5" x14ac:dyDescent="0.45">
      <c r="C806" t="s">
        <v>223</v>
      </c>
      <c r="D806" t="s">
        <v>225</v>
      </c>
      <c r="E806" t="str">
        <f>IF(ISERROR(Klisz_Regiomix_Handlungsfelder[[#Totals],[2015]]/'KliMax-Auswertung'!D$17), "Fläche fehlt", IF('KliMax-Auswertung'!D$17&lt;&gt;0, Klisz_Regiomix_Handlungsfelder[[#Totals],[2015]]/'KliMax-Auswertung'!D$17, "Fläche fehlt"))</f>
        <v>Fläche fehlt</v>
      </c>
      <c r="F806" t="str">
        <f>IF(ISERROR(Klisz_Regiomix_Handlungsfelder[[#Totals],[2016]]/'KliMax-Auswertung'!E$17), "Fläche fehlt", IF('KliMax-Auswertung'!E$17&lt;&gt;0, Klisz_Regiomix_Handlungsfelder[[#Totals],[2016]]/'KliMax-Auswertung'!E$17, "Fläche fehlt"))</f>
        <v>Fläche fehlt</v>
      </c>
      <c r="G806" t="str">
        <f>IF(ISERROR(Klisz_Regiomix_Handlungsfelder[[#Totals],[2017]]/'KliMax-Auswertung'!F$17), "Fläche fehlt", IF('KliMax-Auswertung'!F$17&lt;&gt;0, Klisz_Regiomix_Handlungsfelder[[#Totals],[2017]]/'KliMax-Auswertung'!F$17, "Fläche fehlt"))</f>
        <v>Fläche fehlt</v>
      </c>
      <c r="H806" t="str">
        <f>IF(ISERROR(Klisz_Regiomix_Handlungsfelder[[#Totals],[2018]]/'KliMax-Auswertung'!G$17), "Fläche fehlt", IF('KliMax-Auswertung'!G$17&lt;&gt;0, Klisz_Regiomix_Handlungsfelder[[#Totals],[2018]]/'KliMax-Auswertung'!G$17, "Fläche fehlt"))</f>
        <v>Fläche fehlt</v>
      </c>
      <c r="I806" t="str">
        <f>IF(ISERROR(Klisz_Regiomix_Handlungsfelder[[#Totals],[2019]]/'KliMax-Auswertung'!H$17), "Fläche fehlt", IF('KliMax-Auswertung'!H$17&lt;&gt;0, Klisz_Regiomix_Handlungsfelder[[#Totals],[2019]]/'KliMax-Auswertung'!H$17, "Fläche fehlt"))</f>
        <v>Fläche fehlt</v>
      </c>
      <c r="J806" t="str">
        <f>IF(ISERROR(Klisz_Regiomix_Handlungsfelder[[#Totals],[2020]]/'KliMax-Auswertung'!I$17), "Fläche fehlt", IF('KliMax-Auswertung'!I$17&lt;&gt;0, Klisz_Regiomix_Handlungsfelder[[#Totals],[2020]]/'KliMax-Auswertung'!I$17, "Fläche fehlt"))</f>
        <v>Fläche fehlt</v>
      </c>
      <c r="K806" t="str">
        <f>IF(ISERROR(Klisz_Regiomix_Handlungsfelder[[#Totals],[2021]]/'KliMax-Auswertung'!J$17), "Fläche fehlt", IF('KliMax-Auswertung'!J$17&lt;&gt;0, Klisz_Regiomix_Handlungsfelder[[#Totals],[2021]]/'KliMax-Auswertung'!J$17, "Fläche fehlt"))</f>
        <v>Fläche fehlt</v>
      </c>
      <c r="L806" t="str">
        <f>IF(ISERROR(Klisz_Regiomix_Handlungsfelder[[#Totals],[2022]]/'KliMax-Auswertung'!K$17), "Fläche fehlt", IF('KliMax-Auswertung'!K$17&lt;&gt;0, Klisz_Regiomix_Handlungsfelder[[#Totals],[2022]]/'KliMax-Auswertung'!K$17, "Fläche fehlt"))</f>
        <v>Fläche fehlt</v>
      </c>
      <c r="M806" t="str">
        <f>IF(ISERROR(Klisz_Regiomix_Handlungsfelder[[#Totals],[2023]]/'KliMax-Auswertung'!L$17), "Fläche fehlt", IF('KliMax-Auswertung'!L$17&lt;&gt;0, Klisz_Regiomix_Handlungsfelder[[#Totals],[2023]]/'KliMax-Auswertung'!L$17, "Fläche fehlt"))</f>
        <v>Fläche fehlt</v>
      </c>
      <c r="N806" t="str">
        <f>IF(ISERROR(Klisz_Regiomix_Handlungsfelder[[#Totals],[2024]]/'KliMax-Auswertung'!M$17), "Fläche fehlt", IF('KliMax-Auswertung'!M$17&lt;&gt;0, Klisz_Regiomix_Handlungsfelder[[#Totals],[2024]]/'KliMax-Auswertung'!M$17, "Fläche fehlt"))</f>
        <v>Fläche fehlt</v>
      </c>
      <c r="O806" t="str">
        <f>IF(ISERROR(Klisz_Regiomix_Handlungsfelder[[#Totals],[2025]]/'KliMax-Auswertung'!N$17), "Fläche fehlt", IF('KliMax-Auswertung'!N$17&lt;&gt;0, Klisz_Regiomix_Handlungsfelder[[#Totals],[2025]]/'KliMax-Auswertung'!N$17, "Fläche fehlt"))</f>
        <v>Fläche fehlt</v>
      </c>
      <c r="P806" t="str">
        <f>IF(ISERROR(Klisz_Regiomix_Handlungsfelder[[#Totals],[2026]]/'KliMax-Auswertung'!O$17), "Fläche fehlt", IF('KliMax-Auswertung'!O$17&lt;&gt;0, Klisz_Regiomix_Handlungsfelder[[#Totals],[2026]]/'KliMax-Auswertung'!O$17, "Fläche fehlt"))</f>
        <v>Fläche fehlt</v>
      </c>
      <c r="Q806" t="str">
        <f>IF(ISERROR(Klisz_Regiomix_Handlungsfelder[[#Totals],[2027]]/'KliMax-Auswertung'!P$17), "Fläche fehlt", IF('KliMax-Auswertung'!P$17&lt;&gt;0, Klisz_Regiomix_Handlungsfelder[[#Totals],[2027]]/'KliMax-Auswertung'!P$17, "Fläche fehlt"))</f>
        <v>Fläche fehlt</v>
      </c>
      <c r="R806" t="str">
        <f>IF(ISERROR(Klisz_Regiomix_Handlungsfelder[[#Totals],[2028]]/'KliMax-Auswertung'!Q$17), "Fläche fehlt", IF('KliMax-Auswertung'!Q$17&lt;&gt;0, Klisz_Regiomix_Handlungsfelder[[#Totals],[2028]]/'KliMax-Auswertung'!Q$17, "Fläche fehlt"))</f>
        <v>Fläche fehlt</v>
      </c>
      <c r="S806" t="str">
        <f>IF(ISERROR(Klisz_Regiomix_Handlungsfelder[[#Totals],[2029]]/'KliMax-Auswertung'!R$17), "Fläche fehlt", IF('KliMax-Auswertung'!R$17&lt;&gt;0, Klisz_Regiomix_Handlungsfelder[[#Totals],[2029]]/'KliMax-Auswertung'!R$17, "Fläche fehlt"))</f>
        <v>Fläche fehlt</v>
      </c>
      <c r="T806" t="str">
        <f>IF(ISERROR(Klisz_Regiomix_Handlungsfelder[[#Totals],[2030]]/'KliMax-Auswertung'!S$17), "Fläche fehlt", IF('KliMax-Auswertung'!S$17&lt;&gt;0, Klisz_Regiomix_Handlungsfelder[[#Totals],[2030]]/'KliMax-Auswertung'!S$17, "Fläche fehlt"))</f>
        <v>Fläche fehlt</v>
      </c>
      <c r="U806" t="str">
        <f>IF(ISERROR(Klisz_Regiomix_Handlungsfelder[[#Totals],[2035]]/'KliMax-Auswertung'!T$17), "Fläche fehlt", IF('KliMax-Auswertung'!T$17&lt;&gt;0, Klisz_Regiomix_Handlungsfelder[[#Totals],[2035]]/'KliMax-Auswertung'!T$17, "Fläche fehlt"))</f>
        <v>Fläche fehlt</v>
      </c>
      <c r="V806" t="str">
        <f>IF(ISERROR(Klisz_Regiomix_Handlungsfelder[[#Totals],[2040]]/'KliMax-Auswertung'!U$17), "Fläche fehlt", IF('KliMax-Auswertung'!U$17&lt;&gt;0, Klisz_Regiomix_Handlungsfelder[[#Totals],[2040]]/'KliMax-Auswertung'!U$17, "Fläche fehlt"))</f>
        <v>Fläche fehlt</v>
      </c>
      <c r="W806" t="str">
        <f>IF(ISERROR(Klisz_Regiomix_Handlungsfelder[[#Totals],[2045]]/'KliMax-Auswertung'!V$17), "Fläche fehlt", IF('KliMax-Auswertung'!V$17&lt;&gt;0, Klisz_Regiomix_Handlungsfelder[[#Totals],[2045]]/'KliMax-Auswertung'!V$17, "Fläche fehlt"))</f>
        <v>Fläche fehlt</v>
      </c>
      <c r="X806" t="str">
        <f>IF(ISERROR(Klisz_Regiomix_Handlungsfelder[[#Totals],[2050]]/'KliMax-Auswertung'!W$17), "Fläche fehlt", IF('KliMax-Auswertung'!W$17&lt;&gt;0, Klisz_Regiomix_Handlungsfelder[[#Totals],[2050]]/'KliMax-Auswertung'!W$17, "Fläche fehlt"))</f>
        <v>Fläche fehlt</v>
      </c>
    </row>
    <row r="809" spans="2:24" ht="15.5" x14ac:dyDescent="0.35">
      <c r="B809" s="6" t="s">
        <v>457</v>
      </c>
    </row>
    <row r="810" spans="2:24" ht="15.5" x14ac:dyDescent="0.35">
      <c r="C810" s="30" t="s">
        <v>255</v>
      </c>
      <c r="D810" s="111" t="str">
        <f>'Klisz-Emissionen'!C560</f>
        <v>Beispiel: Umstellung der Landesliegenschaften auf Windkraft</v>
      </c>
    </row>
    <row r="811" spans="2:24" x14ac:dyDescent="0.35">
      <c r="C811" t="s">
        <v>28</v>
      </c>
      <c r="D811" t="s">
        <v>2</v>
      </c>
      <c r="E811" t="s">
        <v>3</v>
      </c>
      <c r="F811" t="s">
        <v>4</v>
      </c>
      <c r="G811" t="s">
        <v>5</v>
      </c>
      <c r="H811" t="s">
        <v>6</v>
      </c>
      <c r="I811" t="s">
        <v>7</v>
      </c>
      <c r="J811" t="s">
        <v>8</v>
      </c>
      <c r="K811" t="s">
        <v>9</v>
      </c>
      <c r="L811" t="s">
        <v>10</v>
      </c>
      <c r="M811" t="s">
        <v>11</v>
      </c>
      <c r="N811" t="s">
        <v>12</v>
      </c>
      <c r="O811" t="s">
        <v>13</v>
      </c>
      <c r="P811" t="s">
        <v>14</v>
      </c>
      <c r="Q811" t="s">
        <v>232</v>
      </c>
      <c r="R811" t="s">
        <v>233</v>
      </c>
      <c r="S811" t="s">
        <v>234</v>
      </c>
      <c r="T811" t="s">
        <v>15</v>
      </c>
      <c r="U811" t="s">
        <v>16</v>
      </c>
      <c r="V811" t="s">
        <v>17</v>
      </c>
      <c r="W811" t="s">
        <v>18</v>
      </c>
      <c r="X811" t="s">
        <v>19</v>
      </c>
    </row>
    <row r="812" spans="2:24" ht="16.5" x14ac:dyDescent="0.45">
      <c r="C812" t="s">
        <v>211</v>
      </c>
      <c r="D812" t="s">
        <v>208</v>
      </c>
      <c r="E812">
        <f>SUM('Klisz-Emissionen'!E571:E581)</f>
        <v>0</v>
      </c>
      <c r="F812">
        <f>SUM('Klisz-Emissionen'!F571:F581)</f>
        <v>0</v>
      </c>
      <c r="G812">
        <f>SUM('Klisz-Emissionen'!G571:G581)</f>
        <v>0</v>
      </c>
      <c r="H812">
        <f>SUM('Klisz-Emissionen'!H571:H581)</f>
        <v>0</v>
      </c>
      <c r="I812">
        <f>SUM('Klisz-Emissionen'!I571:I581)</f>
        <v>0</v>
      </c>
      <c r="J812">
        <f>SUM('Klisz-Emissionen'!J571:J581)</f>
        <v>0</v>
      </c>
      <c r="K812">
        <f>SUM('Klisz-Emissionen'!K571:K581)</f>
        <v>0</v>
      </c>
      <c r="L812">
        <f>SUM('Klisz-Emissionen'!L571:L581)</f>
        <v>0</v>
      </c>
      <c r="M812">
        <f>SUM('Klisz-Emissionen'!M571:M581)</f>
        <v>0</v>
      </c>
      <c r="N812">
        <f>SUM('Klisz-Emissionen'!N571:N581)</f>
        <v>0</v>
      </c>
      <c r="O812">
        <f>SUM('Klisz-Emissionen'!O571:O581)</f>
        <v>0</v>
      </c>
      <c r="P812">
        <f>SUM('Klisz-Emissionen'!P571:P581)</f>
        <v>0</v>
      </c>
      <c r="Q812">
        <f>SUM('Klisz-Emissionen'!Q571:Q581)</f>
        <v>0</v>
      </c>
      <c r="R812">
        <f>SUM('Klisz-Emissionen'!R571:R581)</f>
        <v>0</v>
      </c>
      <c r="S812">
        <f>SUM('Klisz-Emissionen'!S571:S581)</f>
        <v>0</v>
      </c>
      <c r="T812">
        <f>SUM('Klisz-Emissionen'!T571:T581)</f>
        <v>0</v>
      </c>
      <c r="U812">
        <f>SUM('Klisz-Emissionen'!U571:U581)</f>
        <v>0</v>
      </c>
      <c r="V812">
        <f>SUM('Klisz-Emissionen'!V571:V581)</f>
        <v>0</v>
      </c>
      <c r="W812">
        <f>SUM('Klisz-Emissionen'!W571:W581)</f>
        <v>0</v>
      </c>
      <c r="X812">
        <f>SUM('Klisz-Emissionen'!X571:X581)</f>
        <v>0</v>
      </c>
    </row>
    <row r="813" spans="2:24" ht="16.5" x14ac:dyDescent="0.45">
      <c r="C813" t="s">
        <v>212</v>
      </c>
      <c r="D813" t="s">
        <v>208</v>
      </c>
      <c r="E813">
        <f>SUM('Klisz-Emissionen'!E582:E595)</f>
        <v>0</v>
      </c>
      <c r="F813">
        <f>SUM('Klisz-Emissionen'!F582:F595)</f>
        <v>0</v>
      </c>
      <c r="G813">
        <f>SUM('Klisz-Emissionen'!G582:G595)</f>
        <v>0</v>
      </c>
      <c r="H813">
        <f>SUM('Klisz-Emissionen'!H582:H595)</f>
        <v>0</v>
      </c>
      <c r="I813">
        <f>SUM('Klisz-Emissionen'!I582:I595)</f>
        <v>0</v>
      </c>
      <c r="J813">
        <f>SUM('Klisz-Emissionen'!J582:J595)</f>
        <v>0</v>
      </c>
      <c r="K813">
        <f>SUM('Klisz-Emissionen'!K582:K595)</f>
        <v>0</v>
      </c>
      <c r="L813">
        <f>SUM('Klisz-Emissionen'!L582:L595)</f>
        <v>0</v>
      </c>
      <c r="M813">
        <f>SUM('Klisz-Emissionen'!M582:M595)</f>
        <v>0</v>
      </c>
      <c r="N813">
        <f>SUM('Klisz-Emissionen'!N582:N595)</f>
        <v>0</v>
      </c>
      <c r="O813">
        <f>SUM('Klisz-Emissionen'!O582:O595)</f>
        <v>0</v>
      </c>
      <c r="P813">
        <f>SUM('Klisz-Emissionen'!P582:P595)</f>
        <v>0</v>
      </c>
      <c r="Q813">
        <f>SUM('Klisz-Emissionen'!Q582:Q595)</f>
        <v>0</v>
      </c>
      <c r="R813">
        <f>SUM('Klisz-Emissionen'!R582:R595)</f>
        <v>0</v>
      </c>
      <c r="S813">
        <f>SUM('Klisz-Emissionen'!S582:S595)</f>
        <v>0</v>
      </c>
      <c r="T813">
        <f>SUM('Klisz-Emissionen'!T582:T595)</f>
        <v>0</v>
      </c>
      <c r="U813">
        <f>SUM('Klisz-Emissionen'!U582:U595)</f>
        <v>0</v>
      </c>
      <c r="V813">
        <f>SUM('Klisz-Emissionen'!V582:V595)</f>
        <v>0</v>
      </c>
      <c r="W813">
        <f>SUM('Klisz-Emissionen'!W582:W595)</f>
        <v>0</v>
      </c>
      <c r="X813">
        <f>SUM('Klisz-Emissionen'!X582:X595)</f>
        <v>0</v>
      </c>
    </row>
    <row r="814" spans="2:24" ht="16.5" x14ac:dyDescent="0.45">
      <c r="C814" t="s">
        <v>213</v>
      </c>
      <c r="D814" t="s">
        <v>208</v>
      </c>
      <c r="E814">
        <f>SUM('Klisz-Emissionen'!E596:E599)</f>
        <v>0</v>
      </c>
      <c r="F814">
        <f>SUM('Klisz-Emissionen'!F596:F599)</f>
        <v>0</v>
      </c>
      <c r="G814">
        <f>SUM('Klisz-Emissionen'!G596:G599)</f>
        <v>0</v>
      </c>
      <c r="H814">
        <f>SUM('Klisz-Emissionen'!H596:H599)</f>
        <v>0</v>
      </c>
      <c r="I814">
        <f>SUM('Klisz-Emissionen'!I596:I599)</f>
        <v>0</v>
      </c>
      <c r="J814">
        <f>SUM('Klisz-Emissionen'!J596:J599)</f>
        <v>0</v>
      </c>
      <c r="K814">
        <f>SUM('Klisz-Emissionen'!K596:K599)</f>
        <v>0</v>
      </c>
      <c r="L814">
        <f>SUM('Klisz-Emissionen'!L596:L599)</f>
        <v>0</v>
      </c>
      <c r="M814">
        <f>SUM('Klisz-Emissionen'!M596:M599)</f>
        <v>0</v>
      </c>
      <c r="N814">
        <f>SUM('Klisz-Emissionen'!N596:N599)</f>
        <v>0</v>
      </c>
      <c r="O814">
        <f>SUM('Klisz-Emissionen'!O596:O599)</f>
        <v>0</v>
      </c>
      <c r="P814">
        <f>SUM('Klisz-Emissionen'!P596:P599)</f>
        <v>0</v>
      </c>
      <c r="Q814">
        <f>SUM('Klisz-Emissionen'!Q596:Q599)</f>
        <v>0</v>
      </c>
      <c r="R814">
        <f>SUM('Klisz-Emissionen'!R596:R599)</f>
        <v>0</v>
      </c>
      <c r="S814">
        <f>SUM('Klisz-Emissionen'!S596:S599)</f>
        <v>0</v>
      </c>
      <c r="T814">
        <f>SUM('Klisz-Emissionen'!T596:T599)</f>
        <v>0</v>
      </c>
      <c r="U814">
        <f>SUM('Klisz-Emissionen'!U596:U599)</f>
        <v>0</v>
      </c>
      <c r="V814">
        <f>SUM('Klisz-Emissionen'!V596:V599)</f>
        <v>0</v>
      </c>
      <c r="W814">
        <f>SUM('Klisz-Emissionen'!W596:W599)</f>
        <v>0</v>
      </c>
      <c r="X814">
        <f>SUM('Klisz-Emissionen'!X596:X599)</f>
        <v>0</v>
      </c>
    </row>
    <row r="815" spans="2:24" ht="16.5" x14ac:dyDescent="0.45">
      <c r="C815" t="str">
        <f>_xlfn.CONCAT("Mobilität der Institution (", 'Refsz-Verbräuche'!C46,", ", 'Refsz-Verbräuche'!C47,", ", 'Refsz-Verbräuche'!C48,", ", 'Refsz-Verbräuche'!C49,")")</f>
        <v>Mobilität der Institution (Fuhrpark, DR, Studierendenreisen (Outgoing), Exkursionen)</v>
      </c>
      <c r="D815" t="s">
        <v>208</v>
      </c>
      <c r="E815">
        <f>SUM('Klisz-Emissionen'!E601:E606)+SUM('Klisz-Emissionen'!E608:E623)+SUM('Klisz-Emissionen'!E625:E627)+SUM('Klisz-Emissionen'!E629:E631)</f>
        <v>0</v>
      </c>
      <c r="F815">
        <f>SUM('Klisz-Emissionen'!F601:F606)+SUM('Klisz-Emissionen'!F608:F623)+SUM('Klisz-Emissionen'!F625:F627)+SUM('Klisz-Emissionen'!F629:F631)</f>
        <v>0</v>
      </c>
      <c r="G815">
        <f>SUM('Klisz-Emissionen'!G601:G606)+SUM('Klisz-Emissionen'!G608:G623)+SUM('Klisz-Emissionen'!G625:G627)+SUM('Klisz-Emissionen'!G629:G631)</f>
        <v>0</v>
      </c>
      <c r="H815">
        <f>SUM('Klisz-Emissionen'!H601:H606)+SUM('Klisz-Emissionen'!H608:H623)+SUM('Klisz-Emissionen'!H625:H627)+SUM('Klisz-Emissionen'!H629:H631)</f>
        <v>0</v>
      </c>
      <c r="I815">
        <f>SUM('Klisz-Emissionen'!I601:I606)+SUM('Klisz-Emissionen'!I608:I623)+SUM('Klisz-Emissionen'!I625:I627)+SUM('Klisz-Emissionen'!I629:I631)</f>
        <v>0</v>
      </c>
      <c r="J815">
        <f>SUM('Klisz-Emissionen'!J601:J606)+SUM('Klisz-Emissionen'!J608:J623)+SUM('Klisz-Emissionen'!J625:J627)+SUM('Klisz-Emissionen'!J629:J631)</f>
        <v>0</v>
      </c>
      <c r="K815">
        <f>SUM('Klisz-Emissionen'!K601:K606)+SUM('Klisz-Emissionen'!K608:K623)+SUM('Klisz-Emissionen'!K625:K627)+SUM('Klisz-Emissionen'!K629:K631)</f>
        <v>0</v>
      </c>
      <c r="L815">
        <f>SUM('Klisz-Emissionen'!L601:L606)+SUM('Klisz-Emissionen'!L608:L623)+SUM('Klisz-Emissionen'!L625:L627)+SUM('Klisz-Emissionen'!L629:L631)</f>
        <v>0</v>
      </c>
      <c r="M815">
        <f>SUM('Klisz-Emissionen'!M601:M606)+SUM('Klisz-Emissionen'!M608:M623)+SUM('Klisz-Emissionen'!M625:M627)+SUM('Klisz-Emissionen'!M629:M631)</f>
        <v>0</v>
      </c>
      <c r="N815">
        <f>SUM('Klisz-Emissionen'!N601:N606)+SUM('Klisz-Emissionen'!N608:N623)+SUM('Klisz-Emissionen'!N625:N627)+SUM('Klisz-Emissionen'!N629:N631)</f>
        <v>0</v>
      </c>
      <c r="O815">
        <f>SUM('Klisz-Emissionen'!O601:O606)+SUM('Klisz-Emissionen'!O608:O623)+SUM('Klisz-Emissionen'!O625:O627)+SUM('Klisz-Emissionen'!O629:O631)</f>
        <v>0</v>
      </c>
      <c r="P815">
        <f>SUM('Klisz-Emissionen'!P601:P606)+SUM('Klisz-Emissionen'!P608:P623)+SUM('Klisz-Emissionen'!P625:P627)+SUM('Klisz-Emissionen'!P629:P631)</f>
        <v>0</v>
      </c>
      <c r="Q815">
        <f>SUM('Klisz-Emissionen'!Q601:Q606)+SUM('Klisz-Emissionen'!Q608:Q623)+SUM('Klisz-Emissionen'!Q625:Q627)+SUM('Klisz-Emissionen'!Q629:Q631)</f>
        <v>0</v>
      </c>
      <c r="R815">
        <f>SUM('Klisz-Emissionen'!R601:R606)+SUM('Klisz-Emissionen'!R608:R623)+SUM('Klisz-Emissionen'!R625:R627)+SUM('Klisz-Emissionen'!R629:R631)</f>
        <v>0</v>
      </c>
      <c r="S815">
        <f>SUM('Klisz-Emissionen'!S601:S606)+SUM('Klisz-Emissionen'!S608:S623)+SUM('Klisz-Emissionen'!S625:S627)+SUM('Klisz-Emissionen'!S629:S631)</f>
        <v>0</v>
      </c>
      <c r="T815">
        <f>SUM('Klisz-Emissionen'!T601:T606)+SUM('Klisz-Emissionen'!T608:T623)+SUM('Klisz-Emissionen'!T625:T627)+SUM('Klisz-Emissionen'!T629:T631)</f>
        <v>0</v>
      </c>
      <c r="U815">
        <f>SUM('Klisz-Emissionen'!U601:U606)+SUM('Klisz-Emissionen'!U608:U623)+SUM('Klisz-Emissionen'!U625:U627)+SUM('Klisz-Emissionen'!U629:U631)</f>
        <v>0</v>
      </c>
      <c r="V815">
        <f>SUM('Klisz-Emissionen'!V601:V606)+SUM('Klisz-Emissionen'!V608:V623)+SUM('Klisz-Emissionen'!V625:V627)+SUM('Klisz-Emissionen'!V629:V631)</f>
        <v>0</v>
      </c>
      <c r="W815">
        <f>SUM('Klisz-Emissionen'!W601:W606)+SUM('Klisz-Emissionen'!W608:W623)+SUM('Klisz-Emissionen'!W625:W627)+SUM('Klisz-Emissionen'!W629:W631)</f>
        <v>0</v>
      </c>
      <c r="X815">
        <f>SUM('Klisz-Emissionen'!X601:X606)+SUM('Klisz-Emissionen'!X608:X623)+SUM('Klisz-Emissionen'!X625:X627)+SUM('Klisz-Emissionen'!X629:X631)</f>
        <v>0</v>
      </c>
    </row>
    <row r="816" spans="2:24" ht="16.5" x14ac:dyDescent="0.45">
      <c r="C816" t="str">
        <f>_xlfn.CONCAT("Mobilität außerhalb des Betriebs (", 'Refsz-Verbräuche'!C50,", ", 'Refsz-Verbräuche'!C51,", ", 'Refsz-Verbräuche'!C52,")")</f>
        <v>Mobilität außerhalb des Betriebs (Pendeln, Studierendenreisen (Incoming), An- und Abreise von Gästen)</v>
      </c>
      <c r="D816" t="s">
        <v>208</v>
      </c>
      <c r="E816">
        <f>SUM('Klisz-Emissionen'!E633:E646)+SUM('Klisz-Emissionen'!E648:E650)+SUM('Klisz-Emissionen'!E652:E654)</f>
        <v>0</v>
      </c>
      <c r="F816">
        <f>SUM('Klisz-Emissionen'!F633:F646)+SUM('Klisz-Emissionen'!F648:F650)+SUM('Klisz-Emissionen'!F652:F654)</f>
        <v>0</v>
      </c>
      <c r="G816">
        <f>SUM('Klisz-Emissionen'!G633:G646)+SUM('Klisz-Emissionen'!G648:G650)+SUM('Klisz-Emissionen'!G652:G654)</f>
        <v>0</v>
      </c>
      <c r="H816">
        <f>SUM('Klisz-Emissionen'!H633:H646)+SUM('Klisz-Emissionen'!H648:H650)+SUM('Klisz-Emissionen'!H652:H654)</f>
        <v>0</v>
      </c>
      <c r="I816">
        <f>SUM('Klisz-Emissionen'!I633:I646)+SUM('Klisz-Emissionen'!I648:I650)+SUM('Klisz-Emissionen'!I652:I654)</f>
        <v>0</v>
      </c>
      <c r="J816">
        <f>SUM('Klisz-Emissionen'!J633:J646)+SUM('Klisz-Emissionen'!J648:J650)+SUM('Klisz-Emissionen'!J652:J654)</f>
        <v>0</v>
      </c>
      <c r="K816">
        <f>SUM('Klisz-Emissionen'!K633:K646)+SUM('Klisz-Emissionen'!K648:K650)+SUM('Klisz-Emissionen'!K652:K654)</f>
        <v>0</v>
      </c>
      <c r="L816">
        <f>SUM('Klisz-Emissionen'!L633:L646)+SUM('Klisz-Emissionen'!L648:L650)+SUM('Klisz-Emissionen'!L652:L654)</f>
        <v>0</v>
      </c>
      <c r="M816">
        <f>SUM('Klisz-Emissionen'!M633:M646)+SUM('Klisz-Emissionen'!M648:M650)+SUM('Klisz-Emissionen'!M652:M654)</f>
        <v>0</v>
      </c>
      <c r="N816">
        <f>SUM('Klisz-Emissionen'!N633:N646)+SUM('Klisz-Emissionen'!N648:N650)+SUM('Klisz-Emissionen'!N652:N654)</f>
        <v>0</v>
      </c>
      <c r="O816">
        <f>SUM('Klisz-Emissionen'!O633:O646)+SUM('Klisz-Emissionen'!O648:O650)+SUM('Klisz-Emissionen'!O652:O654)</f>
        <v>0</v>
      </c>
      <c r="P816">
        <f>SUM('Klisz-Emissionen'!P633:P646)+SUM('Klisz-Emissionen'!P648:P650)+SUM('Klisz-Emissionen'!P652:P654)</f>
        <v>0</v>
      </c>
      <c r="Q816">
        <f>SUM('Klisz-Emissionen'!Q633:Q646)+SUM('Klisz-Emissionen'!Q648:Q650)+SUM('Klisz-Emissionen'!Q652:Q654)</f>
        <v>0</v>
      </c>
      <c r="R816">
        <f>SUM('Klisz-Emissionen'!R633:R646)+SUM('Klisz-Emissionen'!R648:R650)+SUM('Klisz-Emissionen'!R652:R654)</f>
        <v>0</v>
      </c>
      <c r="S816">
        <f>SUM('Klisz-Emissionen'!S633:S646)+SUM('Klisz-Emissionen'!S648:S650)+SUM('Klisz-Emissionen'!S652:S654)</f>
        <v>0</v>
      </c>
      <c r="T816">
        <f>SUM('Klisz-Emissionen'!T633:T646)+SUM('Klisz-Emissionen'!T648:T650)+SUM('Klisz-Emissionen'!T652:T654)</f>
        <v>0</v>
      </c>
      <c r="U816">
        <f>SUM('Klisz-Emissionen'!U633:U646)+SUM('Klisz-Emissionen'!U648:U650)+SUM('Klisz-Emissionen'!U652:U654)</f>
        <v>0</v>
      </c>
      <c r="V816">
        <f>SUM('Klisz-Emissionen'!V633:V646)+SUM('Klisz-Emissionen'!V648:V650)+SUM('Klisz-Emissionen'!V652:V654)</f>
        <v>0</v>
      </c>
      <c r="W816">
        <f>SUM('Klisz-Emissionen'!W633:W646)+SUM('Klisz-Emissionen'!W648:W650)+SUM('Klisz-Emissionen'!W652:W654)</f>
        <v>0</v>
      </c>
      <c r="X816">
        <f>SUM('Klisz-Emissionen'!X633:X646)+SUM('Klisz-Emissionen'!X648:X650)+SUM('Klisz-Emissionen'!X652:X654)</f>
        <v>0</v>
      </c>
    </row>
    <row r="817" spans="3:24" ht="16.5" x14ac:dyDescent="0.45">
      <c r="C817" t="s">
        <v>217</v>
      </c>
      <c r="D817" t="s">
        <v>208</v>
      </c>
      <c r="E817">
        <f>SUM('Klisz-Emissionen'!E656:E657)</f>
        <v>0</v>
      </c>
      <c r="F817">
        <f>SUM('Klisz-Emissionen'!F656:F657)</f>
        <v>0</v>
      </c>
      <c r="G817">
        <f>SUM('Klisz-Emissionen'!G656:G657)</f>
        <v>0</v>
      </c>
      <c r="H817">
        <f>SUM('Klisz-Emissionen'!H656:H657)</f>
        <v>0</v>
      </c>
      <c r="I817">
        <f>SUM('Klisz-Emissionen'!I656:I657)</f>
        <v>0</v>
      </c>
      <c r="J817">
        <f>SUM('Klisz-Emissionen'!J656:J657)</f>
        <v>0</v>
      </c>
      <c r="K817">
        <f>SUM('Klisz-Emissionen'!K656:K657)</f>
        <v>0</v>
      </c>
      <c r="L817">
        <f>SUM('Klisz-Emissionen'!L656:L657)</f>
        <v>0</v>
      </c>
      <c r="M817">
        <f>SUM('Klisz-Emissionen'!M656:M657)</f>
        <v>0</v>
      </c>
      <c r="N817">
        <f>SUM('Klisz-Emissionen'!N656:N657)</f>
        <v>0</v>
      </c>
      <c r="O817">
        <f>SUM('Klisz-Emissionen'!O656:O657)</f>
        <v>0</v>
      </c>
      <c r="P817">
        <f>SUM('Klisz-Emissionen'!P656:P657)</f>
        <v>0</v>
      </c>
      <c r="Q817">
        <f>SUM('Klisz-Emissionen'!Q656:Q657)</f>
        <v>0</v>
      </c>
      <c r="R817">
        <f>SUM('Klisz-Emissionen'!R656:R657)</f>
        <v>0</v>
      </c>
      <c r="S817">
        <f>SUM('Klisz-Emissionen'!S656:S657)</f>
        <v>0</v>
      </c>
      <c r="T817">
        <f>SUM('Klisz-Emissionen'!T656:T657)</f>
        <v>0</v>
      </c>
      <c r="U817">
        <f>SUM('Klisz-Emissionen'!U656:U657)</f>
        <v>0</v>
      </c>
      <c r="V817">
        <f>SUM('Klisz-Emissionen'!V656:V657)</f>
        <v>0</v>
      </c>
      <c r="W817">
        <f>SUM('Klisz-Emissionen'!W656:W657)</f>
        <v>0</v>
      </c>
      <c r="X817">
        <f>SUM('Klisz-Emissionen'!X656:X657)</f>
        <v>0</v>
      </c>
    </row>
    <row r="818" spans="3:24" ht="16.5" x14ac:dyDescent="0.45">
      <c r="C818" t="s">
        <v>214</v>
      </c>
      <c r="D818" t="s">
        <v>208</v>
      </c>
      <c r="E818">
        <f>SUM('Klisz-Emissionen'!E675:E685)</f>
        <v>0</v>
      </c>
      <c r="F818">
        <f>SUM('Klisz-Emissionen'!F675:F685)</f>
        <v>0</v>
      </c>
      <c r="G818">
        <f>SUM('Klisz-Emissionen'!G675:G685)</f>
        <v>0</v>
      </c>
      <c r="H818">
        <f>SUM('Klisz-Emissionen'!H675:H685)</f>
        <v>0</v>
      </c>
      <c r="I818">
        <f>SUM('Klisz-Emissionen'!I675:I685)</f>
        <v>0</v>
      </c>
      <c r="J818">
        <f>SUM('Klisz-Emissionen'!J675:J685)</f>
        <v>0</v>
      </c>
      <c r="K818">
        <f>SUM('Klisz-Emissionen'!K675:K685)</f>
        <v>0</v>
      </c>
      <c r="L818">
        <f>SUM('Klisz-Emissionen'!L675:L685)</f>
        <v>0</v>
      </c>
      <c r="M818">
        <f>SUM('Klisz-Emissionen'!M675:M685)</f>
        <v>0</v>
      </c>
      <c r="N818">
        <f>SUM('Klisz-Emissionen'!N675:N685)</f>
        <v>0</v>
      </c>
      <c r="O818">
        <f>SUM('Klisz-Emissionen'!O675:O685)</f>
        <v>0</v>
      </c>
      <c r="P818">
        <f>SUM('Klisz-Emissionen'!P675:P685)</f>
        <v>0</v>
      </c>
      <c r="Q818">
        <f>SUM('Klisz-Emissionen'!Q675:Q685)</f>
        <v>0</v>
      </c>
      <c r="R818">
        <f>SUM('Klisz-Emissionen'!R675:R685)</f>
        <v>0</v>
      </c>
      <c r="S818">
        <f>SUM('Klisz-Emissionen'!S675:S685)</f>
        <v>0</v>
      </c>
      <c r="T818">
        <f>SUM('Klisz-Emissionen'!T675:T685)</f>
        <v>0</v>
      </c>
      <c r="U818">
        <f>SUM('Klisz-Emissionen'!U675:U685)</f>
        <v>0</v>
      </c>
      <c r="V818">
        <f>SUM('Klisz-Emissionen'!V675:V685)</f>
        <v>0</v>
      </c>
      <c r="W818">
        <f>SUM('Klisz-Emissionen'!W675:W685)</f>
        <v>0</v>
      </c>
      <c r="X818">
        <f>SUM('Klisz-Emissionen'!X675:X685)</f>
        <v>0</v>
      </c>
    </row>
    <row r="819" spans="3:24" ht="16.5" x14ac:dyDescent="0.45">
      <c r="C819" t="s">
        <v>215</v>
      </c>
      <c r="D819" t="s">
        <v>208</v>
      </c>
      <c r="E819">
        <f>SUM('Klisz-Emissionen'!E659:E662)+SUM('Klisz-Emissionen'!E664:E673)</f>
        <v>0</v>
      </c>
      <c r="F819">
        <f>SUM('Klisz-Emissionen'!F659:F662)+SUM('Klisz-Emissionen'!F664:F673)</f>
        <v>0</v>
      </c>
      <c r="G819">
        <f>SUM('Klisz-Emissionen'!G659:G662)+SUM('Klisz-Emissionen'!G664:G673)</f>
        <v>0</v>
      </c>
      <c r="H819">
        <f>SUM('Klisz-Emissionen'!H659:H662)+SUM('Klisz-Emissionen'!H664:H673)</f>
        <v>0</v>
      </c>
      <c r="I819">
        <f>SUM('Klisz-Emissionen'!I659:I662)+SUM('Klisz-Emissionen'!I664:I673)</f>
        <v>0</v>
      </c>
      <c r="J819">
        <f>SUM('Klisz-Emissionen'!J659:J662)+SUM('Klisz-Emissionen'!J664:J673)</f>
        <v>0</v>
      </c>
      <c r="K819">
        <f>SUM('Klisz-Emissionen'!K659:K662)+SUM('Klisz-Emissionen'!K664:K673)</f>
        <v>0</v>
      </c>
      <c r="L819">
        <f>SUM('Klisz-Emissionen'!L659:L662)+SUM('Klisz-Emissionen'!L664:L673)</f>
        <v>0</v>
      </c>
      <c r="M819">
        <f>SUM('Klisz-Emissionen'!M659:M662)+SUM('Klisz-Emissionen'!M664:M673)</f>
        <v>0</v>
      </c>
      <c r="N819">
        <f>SUM('Klisz-Emissionen'!N659:N662)+SUM('Klisz-Emissionen'!N664:N673)</f>
        <v>0</v>
      </c>
      <c r="O819">
        <f>SUM('Klisz-Emissionen'!O659:O662)+SUM('Klisz-Emissionen'!O664:O673)</f>
        <v>0</v>
      </c>
      <c r="P819">
        <f>SUM('Klisz-Emissionen'!P659:P662)+SUM('Klisz-Emissionen'!P664:P673)</f>
        <v>0</v>
      </c>
      <c r="Q819">
        <f>SUM('Klisz-Emissionen'!Q659:Q662)+SUM('Klisz-Emissionen'!Q664:Q673)</f>
        <v>0</v>
      </c>
      <c r="R819">
        <f>SUM('Klisz-Emissionen'!R659:R662)+SUM('Klisz-Emissionen'!R664:R673)</f>
        <v>0</v>
      </c>
      <c r="S819">
        <f>SUM('Klisz-Emissionen'!S659:S662)+SUM('Klisz-Emissionen'!S664:S673)</f>
        <v>0</v>
      </c>
      <c r="T819">
        <f>SUM('Klisz-Emissionen'!T659:T662)+SUM('Klisz-Emissionen'!T664:T673)</f>
        <v>0</v>
      </c>
      <c r="U819">
        <f>SUM('Klisz-Emissionen'!U659:U662)+SUM('Klisz-Emissionen'!U664:U673)</f>
        <v>0</v>
      </c>
      <c r="V819">
        <f>SUM('Klisz-Emissionen'!V659:V662)+SUM('Klisz-Emissionen'!V664:V673)</f>
        <v>0</v>
      </c>
      <c r="W819">
        <f>SUM('Klisz-Emissionen'!W659:W662)+SUM('Klisz-Emissionen'!W664:W673)</f>
        <v>0</v>
      </c>
      <c r="X819">
        <f>SUM('Klisz-Emissionen'!X659:X662)+SUM('Klisz-Emissionen'!X664:X673)</f>
        <v>0</v>
      </c>
    </row>
    <row r="820" spans="3:24" ht="16.5" x14ac:dyDescent="0.45">
      <c r="C820" t="s">
        <v>216</v>
      </c>
      <c r="D820" t="s">
        <v>208</v>
      </c>
      <c r="E820">
        <f>SUM('Klisz-Emissionen'!E687:E714)</f>
        <v>0</v>
      </c>
      <c r="F820">
        <f>SUM('Klisz-Emissionen'!F687:F714)</f>
        <v>0</v>
      </c>
      <c r="G820">
        <f>SUM('Klisz-Emissionen'!G687:G714)</f>
        <v>0</v>
      </c>
      <c r="H820">
        <f>SUM('Klisz-Emissionen'!H687:H714)</f>
        <v>0</v>
      </c>
      <c r="I820">
        <f>SUM('Klisz-Emissionen'!I687:I714)</f>
        <v>0</v>
      </c>
      <c r="J820">
        <f>SUM('Klisz-Emissionen'!J687:J714)</f>
        <v>0</v>
      </c>
      <c r="K820">
        <f>SUM('Klisz-Emissionen'!K687:K714)</f>
        <v>0</v>
      </c>
      <c r="L820">
        <f>SUM('Klisz-Emissionen'!L687:L714)</f>
        <v>0</v>
      </c>
      <c r="M820">
        <f>SUM('Klisz-Emissionen'!M687:M714)</f>
        <v>0</v>
      </c>
      <c r="N820">
        <f>SUM('Klisz-Emissionen'!N687:N714)</f>
        <v>0</v>
      </c>
      <c r="O820">
        <f>SUM('Klisz-Emissionen'!O687:O714)</f>
        <v>0</v>
      </c>
      <c r="P820">
        <f>SUM('Klisz-Emissionen'!P687:P714)</f>
        <v>0</v>
      </c>
      <c r="Q820">
        <f>SUM('Klisz-Emissionen'!Q687:Q714)</f>
        <v>0</v>
      </c>
      <c r="R820">
        <f>SUM('Klisz-Emissionen'!R687:R714)</f>
        <v>0</v>
      </c>
      <c r="S820">
        <f>SUM('Klisz-Emissionen'!S687:S714)</f>
        <v>0</v>
      </c>
      <c r="T820">
        <f>SUM('Klisz-Emissionen'!T687:T714)</f>
        <v>0</v>
      </c>
      <c r="U820">
        <f>SUM('Klisz-Emissionen'!U687:U714)</f>
        <v>0</v>
      </c>
      <c r="V820">
        <f>SUM('Klisz-Emissionen'!V687:V714)</f>
        <v>0</v>
      </c>
      <c r="W820">
        <f>SUM('Klisz-Emissionen'!W687:W714)</f>
        <v>0</v>
      </c>
      <c r="X820">
        <f>SUM('Klisz-Emissionen'!X687:X714)</f>
        <v>0</v>
      </c>
    </row>
    <row r="821" spans="3:24" ht="16.5" x14ac:dyDescent="0.45">
      <c r="C821" t="s">
        <v>273</v>
      </c>
      <c r="D821" t="s">
        <v>208</v>
      </c>
      <c r="E821">
        <f>'Klisz-Emissionen'!E716</f>
        <v>0</v>
      </c>
      <c r="F821">
        <f>'Klisz-Emissionen'!F716</f>
        <v>0</v>
      </c>
      <c r="G821">
        <f>'Klisz-Emissionen'!G716</f>
        <v>0</v>
      </c>
      <c r="H821">
        <f>'Klisz-Emissionen'!H716</f>
        <v>0</v>
      </c>
      <c r="I821">
        <f>'Klisz-Emissionen'!I716</f>
        <v>0</v>
      </c>
      <c r="J821">
        <f>'Klisz-Emissionen'!J716</f>
        <v>0</v>
      </c>
      <c r="K821">
        <f>'Klisz-Emissionen'!K716</f>
        <v>0</v>
      </c>
      <c r="L821">
        <f>'Klisz-Emissionen'!L716</f>
        <v>0</v>
      </c>
      <c r="M821">
        <f>'Klisz-Emissionen'!M716</f>
        <v>0</v>
      </c>
      <c r="N821">
        <f>'Klisz-Emissionen'!N716</f>
        <v>0</v>
      </c>
      <c r="O821">
        <f>'Klisz-Emissionen'!O716</f>
        <v>0</v>
      </c>
      <c r="P821">
        <f>'Klisz-Emissionen'!P716</f>
        <v>0</v>
      </c>
      <c r="Q821">
        <f>'Klisz-Emissionen'!Q716</f>
        <v>0</v>
      </c>
      <c r="R821">
        <f>'Klisz-Emissionen'!R716</f>
        <v>0</v>
      </c>
      <c r="S821">
        <f>'Klisz-Emissionen'!S716</f>
        <v>0</v>
      </c>
      <c r="T821">
        <f>'Klisz-Emissionen'!T716</f>
        <v>0</v>
      </c>
      <c r="U821">
        <f>'Klisz-Emissionen'!U716</f>
        <v>0</v>
      </c>
      <c r="V821">
        <f>'Klisz-Emissionen'!V716</f>
        <v>0</v>
      </c>
      <c r="W821">
        <f>'Klisz-Emissionen'!W716</f>
        <v>0</v>
      </c>
      <c r="X821">
        <f>'Klisz-Emissionen'!X716</f>
        <v>0</v>
      </c>
    </row>
    <row r="822" spans="3:24" ht="16.5" x14ac:dyDescent="0.45">
      <c r="C822" t="s">
        <v>72</v>
      </c>
      <c r="D822" t="s">
        <v>208</v>
      </c>
      <c r="E822">
        <f>'Klisz-Emissionen'!E718</f>
        <v>0</v>
      </c>
      <c r="F822">
        <f>'Klisz-Emissionen'!F718</f>
        <v>0</v>
      </c>
      <c r="G822">
        <f>'Klisz-Emissionen'!G718</f>
        <v>0</v>
      </c>
      <c r="H822">
        <f>'Klisz-Emissionen'!H718</f>
        <v>0</v>
      </c>
      <c r="I822">
        <f>'Klisz-Emissionen'!I718</f>
        <v>0</v>
      </c>
      <c r="J822">
        <f>'Klisz-Emissionen'!J718</f>
        <v>0</v>
      </c>
      <c r="K822">
        <f>'Klisz-Emissionen'!K718</f>
        <v>0</v>
      </c>
      <c r="L822">
        <f>'Klisz-Emissionen'!L718</f>
        <v>0</v>
      </c>
      <c r="M822">
        <f>'Klisz-Emissionen'!M718</f>
        <v>0</v>
      </c>
      <c r="N822">
        <f>'Klisz-Emissionen'!N718</f>
        <v>0</v>
      </c>
      <c r="O822">
        <f>'Klisz-Emissionen'!O718</f>
        <v>0</v>
      </c>
      <c r="P822">
        <f>'Klisz-Emissionen'!P718</f>
        <v>0</v>
      </c>
      <c r="Q822">
        <f>'Klisz-Emissionen'!Q718</f>
        <v>0</v>
      </c>
      <c r="R822">
        <f>'Klisz-Emissionen'!R718</f>
        <v>0</v>
      </c>
      <c r="S822">
        <f>'Klisz-Emissionen'!S718</f>
        <v>0</v>
      </c>
      <c r="T822">
        <f>'Klisz-Emissionen'!T718</f>
        <v>0</v>
      </c>
      <c r="U822">
        <f>'Klisz-Emissionen'!U718</f>
        <v>0</v>
      </c>
      <c r="V822">
        <f>'Klisz-Emissionen'!V718</f>
        <v>0</v>
      </c>
      <c r="W822">
        <f>'Klisz-Emissionen'!W718</f>
        <v>0</v>
      </c>
      <c r="X822">
        <f>'Klisz-Emissionen'!X718</f>
        <v>0</v>
      </c>
    </row>
    <row r="823" spans="3:24" ht="16.5" x14ac:dyDescent="0.45">
      <c r="C823" s="25" t="s">
        <v>43</v>
      </c>
      <c r="D823" s="25" t="s">
        <v>208</v>
      </c>
      <c r="E823" s="168">
        <f>SUBTOTAL(109,Klisz_Eigenes_Klimaschutzszenario_Handlungsfelder[2015])</f>
        <v>0</v>
      </c>
      <c r="F823" s="168">
        <f>SUBTOTAL(109,Klisz_Eigenes_Klimaschutzszenario_Handlungsfelder[2016])</f>
        <v>0</v>
      </c>
      <c r="G823" s="168">
        <f>SUBTOTAL(109,Klisz_Eigenes_Klimaschutzszenario_Handlungsfelder[2017])</f>
        <v>0</v>
      </c>
      <c r="H823" s="168">
        <f>SUBTOTAL(109,Klisz_Eigenes_Klimaschutzszenario_Handlungsfelder[2018])</f>
        <v>0</v>
      </c>
      <c r="I823" s="168">
        <f>SUBTOTAL(109,Klisz_Eigenes_Klimaschutzszenario_Handlungsfelder[2019])</f>
        <v>0</v>
      </c>
      <c r="J823" s="168">
        <f>SUBTOTAL(109,Klisz_Eigenes_Klimaschutzszenario_Handlungsfelder[2020])</f>
        <v>0</v>
      </c>
      <c r="K823" s="168">
        <f>SUBTOTAL(109,Klisz_Eigenes_Klimaschutzszenario_Handlungsfelder[2021])</f>
        <v>0</v>
      </c>
      <c r="L823" s="168">
        <f>SUBTOTAL(109,Klisz_Eigenes_Klimaschutzszenario_Handlungsfelder[2022])</f>
        <v>0</v>
      </c>
      <c r="M823" s="168">
        <f>SUBTOTAL(109,Klisz_Eigenes_Klimaschutzszenario_Handlungsfelder[2023])</f>
        <v>0</v>
      </c>
      <c r="N823" s="168">
        <f>SUBTOTAL(109,Klisz_Eigenes_Klimaschutzszenario_Handlungsfelder[2024])</f>
        <v>0</v>
      </c>
      <c r="O823" s="168">
        <f>SUBTOTAL(109,Klisz_Eigenes_Klimaschutzszenario_Handlungsfelder[2025])</f>
        <v>0</v>
      </c>
      <c r="P823" s="168">
        <f>SUBTOTAL(109,Klisz_Eigenes_Klimaschutzszenario_Handlungsfelder[2026])</f>
        <v>0</v>
      </c>
      <c r="Q823" s="168">
        <f>SUBTOTAL(109,Klisz_Eigenes_Klimaschutzszenario_Handlungsfelder[2027])</f>
        <v>0</v>
      </c>
      <c r="R823" s="168">
        <f>SUBTOTAL(109,Klisz_Eigenes_Klimaschutzszenario_Handlungsfelder[2028])</f>
        <v>0</v>
      </c>
      <c r="S823" s="168">
        <f>SUBTOTAL(109,Klisz_Eigenes_Klimaschutzszenario_Handlungsfelder[2029])</f>
        <v>0</v>
      </c>
      <c r="T823" s="168">
        <f>SUBTOTAL(109,Klisz_Eigenes_Klimaschutzszenario_Handlungsfelder[2030])</f>
        <v>0</v>
      </c>
      <c r="U823" s="168">
        <f>SUBTOTAL(109,Klisz_Eigenes_Klimaschutzszenario_Handlungsfelder[2035])</f>
        <v>0</v>
      </c>
      <c r="V823" s="168">
        <f>SUBTOTAL(109,Klisz_Eigenes_Klimaschutzszenario_Handlungsfelder[2040])</f>
        <v>0</v>
      </c>
      <c r="W823" s="168">
        <f>SUBTOTAL(109,Klisz_Eigenes_Klimaschutzszenario_Handlungsfelder[2045])</f>
        <v>0</v>
      </c>
      <c r="X823" s="168">
        <f>SUBTOTAL(109,Klisz_Eigenes_Klimaschutzszenario_Handlungsfelder[2050])</f>
        <v>0</v>
      </c>
    </row>
    <row r="825" spans="3:24" x14ac:dyDescent="0.35">
      <c r="C825" t="s">
        <v>411</v>
      </c>
      <c r="D825" t="s">
        <v>2</v>
      </c>
      <c r="E825" t="s">
        <v>3</v>
      </c>
      <c r="F825" t="s">
        <v>4</v>
      </c>
      <c r="G825" t="s">
        <v>5</v>
      </c>
      <c r="H825" t="s">
        <v>6</v>
      </c>
      <c r="I825" t="s">
        <v>7</v>
      </c>
      <c r="J825" t="s">
        <v>8</v>
      </c>
      <c r="K825" t="s">
        <v>9</v>
      </c>
      <c r="L825" t="s">
        <v>10</v>
      </c>
      <c r="M825" t="s">
        <v>11</v>
      </c>
      <c r="N825" t="s">
        <v>12</v>
      </c>
      <c r="O825" t="s">
        <v>13</v>
      </c>
      <c r="P825" t="s">
        <v>14</v>
      </c>
      <c r="Q825" t="s">
        <v>232</v>
      </c>
      <c r="R825" t="s">
        <v>233</v>
      </c>
      <c r="S825" t="s">
        <v>234</v>
      </c>
      <c r="T825" t="s">
        <v>15</v>
      </c>
      <c r="U825" t="s">
        <v>16</v>
      </c>
      <c r="V825" t="s">
        <v>17</v>
      </c>
      <c r="W825" t="s">
        <v>18</v>
      </c>
      <c r="X825" t="s">
        <v>19</v>
      </c>
    </row>
    <row r="826" spans="3:24" ht="16.5" x14ac:dyDescent="0.45">
      <c r="C826" t="s">
        <v>222</v>
      </c>
      <c r="D826" t="s">
        <v>224</v>
      </c>
      <c r="E826" t="str">
        <f>IF(ISERROR('KliMax-Auswertung'!D$19+'KliMax-Auswertung'!D$18), "Personenanzahl fehlt", IF('KliMax-Auswertung'!D$18+'KliMax-Auswertung'!D$19=0, "Personenanzahl fehlt", Klisz_Eigenes_Klimaschutzszenario_Handlungsfelder[[#Totals],[2015]]/('KliMax-Auswertung'!D$18+'KliMax-Auswertung'!D$19)))</f>
        <v>Personenanzahl fehlt</v>
      </c>
      <c r="F826" t="str">
        <f>IF(ISERROR('KliMax-Auswertung'!E$19+'KliMax-Auswertung'!E$18), "Personenanzahl fehlt", IF('KliMax-Auswertung'!E$18+'KliMax-Auswertung'!E$19=0, "Personenanzahl fehlt", Klisz_Eigenes_Klimaschutzszenario_Handlungsfelder[[#Totals],[2016]]/('KliMax-Auswertung'!E$18+'KliMax-Auswertung'!E$19)))</f>
        <v>Personenanzahl fehlt</v>
      </c>
      <c r="G826" t="str">
        <f>IF(ISERROR('KliMax-Auswertung'!F$19+'KliMax-Auswertung'!F$18), "Personenanzahl fehlt", IF('KliMax-Auswertung'!F$18+'KliMax-Auswertung'!F$19=0, "Personenanzahl fehlt", Klisz_Eigenes_Klimaschutzszenario_Handlungsfelder[[#Totals],[2017]]/('KliMax-Auswertung'!F$18+'KliMax-Auswertung'!F$19)))</f>
        <v>Personenanzahl fehlt</v>
      </c>
      <c r="H826" t="str">
        <f>IF(ISERROR('KliMax-Auswertung'!G$19+'KliMax-Auswertung'!G$18), "Personenanzahl fehlt", IF('KliMax-Auswertung'!G$18+'KliMax-Auswertung'!G$19=0, "Personenanzahl fehlt", Klisz_Eigenes_Klimaschutzszenario_Handlungsfelder[[#Totals],[2018]]/('KliMax-Auswertung'!G$18+'KliMax-Auswertung'!G$19)))</f>
        <v>Personenanzahl fehlt</v>
      </c>
      <c r="I826" t="str">
        <f>IF(ISERROR('KliMax-Auswertung'!H$19+'KliMax-Auswertung'!H$18), "Personenanzahl fehlt", IF('KliMax-Auswertung'!H$18+'KliMax-Auswertung'!H$19=0, "Personenanzahl fehlt", Klisz_Eigenes_Klimaschutzszenario_Handlungsfelder[[#Totals],[2019]]/('KliMax-Auswertung'!H$18+'KliMax-Auswertung'!H$19)))</f>
        <v>Personenanzahl fehlt</v>
      </c>
      <c r="J826" t="str">
        <f>IF(ISERROR('KliMax-Auswertung'!I$19+'KliMax-Auswertung'!I$18), "Personenanzahl fehlt", IF('KliMax-Auswertung'!I$18+'KliMax-Auswertung'!I$19=0, "Personenanzahl fehlt", Klisz_Eigenes_Klimaschutzszenario_Handlungsfelder[[#Totals],[2020]]/('KliMax-Auswertung'!I$18+'KliMax-Auswertung'!I$19)))</f>
        <v>Personenanzahl fehlt</v>
      </c>
      <c r="K826" t="str">
        <f>IF(ISERROR('KliMax-Auswertung'!J$19+'KliMax-Auswertung'!J$18), "Personenanzahl fehlt", IF('KliMax-Auswertung'!J$18+'KliMax-Auswertung'!J$19=0, "Personenanzahl fehlt", Klisz_Eigenes_Klimaschutzszenario_Handlungsfelder[[#Totals],[2021]]/('KliMax-Auswertung'!J$18+'KliMax-Auswertung'!J$19)))</f>
        <v>Personenanzahl fehlt</v>
      </c>
      <c r="L826" t="str">
        <f>IF(ISERROR('KliMax-Auswertung'!K$19+'KliMax-Auswertung'!K$18), "Personenanzahl fehlt", IF('KliMax-Auswertung'!K$18+'KliMax-Auswertung'!K$19=0, "Personenanzahl fehlt", Klisz_Eigenes_Klimaschutzszenario_Handlungsfelder[[#Totals],[2022]]/('KliMax-Auswertung'!K$18+'KliMax-Auswertung'!K$19)))</f>
        <v>Personenanzahl fehlt</v>
      </c>
      <c r="M826" t="str">
        <f>IF(ISERROR('KliMax-Auswertung'!L$19+'KliMax-Auswertung'!L$18), "Personenanzahl fehlt", IF('KliMax-Auswertung'!L$18+'KliMax-Auswertung'!L$19=0, "Personenanzahl fehlt", Klisz_Eigenes_Klimaschutzszenario_Handlungsfelder[[#Totals],[2023]]/('KliMax-Auswertung'!L$18+'KliMax-Auswertung'!L$19)))</f>
        <v>Personenanzahl fehlt</v>
      </c>
      <c r="N826" t="str">
        <f>IF(ISERROR('KliMax-Auswertung'!M$19+'KliMax-Auswertung'!M$18), "Personenanzahl fehlt", IF('KliMax-Auswertung'!M$18+'KliMax-Auswertung'!M$19=0, "Personenanzahl fehlt", Klisz_Eigenes_Klimaschutzszenario_Handlungsfelder[[#Totals],[2024]]/('KliMax-Auswertung'!M$18+'KliMax-Auswertung'!M$19)))</f>
        <v>Personenanzahl fehlt</v>
      </c>
      <c r="O826" t="str">
        <f>IF(ISERROR('KliMax-Auswertung'!N$19+'KliMax-Auswertung'!N$18), "Personenanzahl fehlt", IF('KliMax-Auswertung'!N$18+'KliMax-Auswertung'!N$19=0, "Personenanzahl fehlt", Klisz_Eigenes_Klimaschutzszenario_Handlungsfelder[[#Totals],[2025]]/('KliMax-Auswertung'!N$18+'KliMax-Auswertung'!N$19)))</f>
        <v>Personenanzahl fehlt</v>
      </c>
      <c r="P826" t="str">
        <f>IF(ISERROR('KliMax-Auswertung'!O$19+'KliMax-Auswertung'!O$18), "Personenanzahl fehlt", IF('KliMax-Auswertung'!O$18+'KliMax-Auswertung'!O$19=0, "Personenanzahl fehlt", Klisz_Eigenes_Klimaschutzszenario_Handlungsfelder[[#Totals],[2026]]/('KliMax-Auswertung'!O$18+'KliMax-Auswertung'!O$19)))</f>
        <v>Personenanzahl fehlt</v>
      </c>
      <c r="Q826" t="str">
        <f>IF(ISERROR('KliMax-Auswertung'!P$19+'KliMax-Auswertung'!P$18), "Personenanzahl fehlt", IF('KliMax-Auswertung'!P$18+'KliMax-Auswertung'!P$19=0, "Personenanzahl fehlt", Klisz_Eigenes_Klimaschutzszenario_Handlungsfelder[[#Totals],[2027]]/('KliMax-Auswertung'!P$18+'KliMax-Auswertung'!P$19)))</f>
        <v>Personenanzahl fehlt</v>
      </c>
      <c r="R826" t="str">
        <f>IF(ISERROR('KliMax-Auswertung'!Q$19+'KliMax-Auswertung'!Q$18), "Personenanzahl fehlt", IF('KliMax-Auswertung'!Q$18+'KliMax-Auswertung'!Q$19=0, "Personenanzahl fehlt", Klisz_Eigenes_Klimaschutzszenario_Handlungsfelder[[#Totals],[2028]]/('KliMax-Auswertung'!Q$18+'KliMax-Auswertung'!Q$19)))</f>
        <v>Personenanzahl fehlt</v>
      </c>
      <c r="S826" t="str">
        <f>IF(ISERROR('KliMax-Auswertung'!R$19+'KliMax-Auswertung'!R$18), "Personenanzahl fehlt", IF('KliMax-Auswertung'!R$18+'KliMax-Auswertung'!R$19=0, "Personenanzahl fehlt", Klisz_Eigenes_Klimaschutzszenario_Handlungsfelder[[#Totals],[2029]]/('KliMax-Auswertung'!R$18+'KliMax-Auswertung'!R$19)))</f>
        <v>Personenanzahl fehlt</v>
      </c>
      <c r="T826" t="str">
        <f>IF(ISERROR('KliMax-Auswertung'!S$19+'KliMax-Auswertung'!S$18), "Personenanzahl fehlt", IF('KliMax-Auswertung'!S$18+'KliMax-Auswertung'!S$19=0, "Personenanzahl fehlt", Klisz_Eigenes_Klimaschutzszenario_Handlungsfelder[[#Totals],[2030]]/('KliMax-Auswertung'!S$18+'KliMax-Auswertung'!S$19)))</f>
        <v>Personenanzahl fehlt</v>
      </c>
      <c r="U826" t="str">
        <f>IF(ISERROR('KliMax-Auswertung'!T$19+'KliMax-Auswertung'!T$18), "Personenanzahl fehlt", IF('KliMax-Auswertung'!T$18+'KliMax-Auswertung'!T$19=0, "Personenanzahl fehlt", Klisz_Eigenes_Klimaschutzszenario_Handlungsfelder[[#Totals],[2035]]/('KliMax-Auswertung'!T$18+'KliMax-Auswertung'!T$19)))</f>
        <v>Personenanzahl fehlt</v>
      </c>
      <c r="V826" t="str">
        <f>IF(ISERROR('KliMax-Auswertung'!U$19+'KliMax-Auswertung'!U$18), "Personenanzahl fehlt", IF('KliMax-Auswertung'!U$18+'KliMax-Auswertung'!U$19=0, "Personenanzahl fehlt", Klisz_Eigenes_Klimaschutzszenario_Handlungsfelder[[#Totals],[2040]]/('KliMax-Auswertung'!U$18+'KliMax-Auswertung'!U$19)))</f>
        <v>Personenanzahl fehlt</v>
      </c>
      <c r="W826" t="str">
        <f>IF(ISERROR('KliMax-Auswertung'!V$19+'KliMax-Auswertung'!V$18), "Personenanzahl fehlt", IF('KliMax-Auswertung'!V$18+'KliMax-Auswertung'!V$19=0, "Personenanzahl fehlt", Klisz_Eigenes_Klimaschutzszenario_Handlungsfelder[[#Totals],[2045]]/('KliMax-Auswertung'!V$18+'KliMax-Auswertung'!V$19)))</f>
        <v>Personenanzahl fehlt</v>
      </c>
      <c r="X826" t="str">
        <f>IF(ISERROR('KliMax-Auswertung'!W$19+'KliMax-Auswertung'!W$18), "Personenanzahl fehlt", IF('KliMax-Auswertung'!W$18+'KliMax-Auswertung'!W$19=0, "Personenanzahl fehlt", Klisz_Eigenes_Klimaschutzszenario_Handlungsfelder[[#Totals],[2050]]/('KliMax-Auswertung'!W$18+'KliMax-Auswertung'!W$19)))</f>
        <v>Personenanzahl fehlt</v>
      </c>
    </row>
    <row r="827" spans="3:24" ht="16.5" x14ac:dyDescent="0.45">
      <c r="C827" t="s">
        <v>223</v>
      </c>
      <c r="D827" t="s">
        <v>225</v>
      </c>
      <c r="E827" t="str">
        <f>IF(ISERROR(Klisz_Eigenes_Klimaschutzszenario_Handlungsfelder[[#Totals],[2015]]/'KliMax-Auswertung'!D$17), "Fläche fehlt", IF('KliMax-Auswertung'!D$17&lt;&gt;0, Klisz_Eigenes_Klimaschutzszenario_Handlungsfelder[[#Totals],[2015]]/'KliMax-Auswertung'!D$17, "Fläche fehlt"))</f>
        <v>Fläche fehlt</v>
      </c>
      <c r="F827" t="str">
        <f>IF(ISERROR(Klisz_Eigenes_Klimaschutzszenario_Handlungsfelder[[#Totals],[2016]]/'KliMax-Auswertung'!E$17), "Fläche fehlt", IF('KliMax-Auswertung'!E$17&lt;&gt;0, Klisz_Eigenes_Klimaschutzszenario_Handlungsfelder[[#Totals],[2016]]/'KliMax-Auswertung'!E$17, "Fläche fehlt"))</f>
        <v>Fläche fehlt</v>
      </c>
      <c r="G827" t="str">
        <f>IF(ISERROR(Klisz_Eigenes_Klimaschutzszenario_Handlungsfelder[[#Totals],[2017]]/'KliMax-Auswertung'!F$17), "Fläche fehlt", IF('KliMax-Auswertung'!F$17&lt;&gt;0, Klisz_Eigenes_Klimaschutzszenario_Handlungsfelder[[#Totals],[2017]]/'KliMax-Auswertung'!F$17, "Fläche fehlt"))</f>
        <v>Fläche fehlt</v>
      </c>
      <c r="H827" t="str">
        <f>IF(ISERROR(Klisz_Eigenes_Klimaschutzszenario_Handlungsfelder[[#Totals],[2018]]/'KliMax-Auswertung'!G$17), "Fläche fehlt", IF('KliMax-Auswertung'!G$17&lt;&gt;0, Klisz_Eigenes_Klimaschutzszenario_Handlungsfelder[[#Totals],[2018]]/'KliMax-Auswertung'!G$17, "Fläche fehlt"))</f>
        <v>Fläche fehlt</v>
      </c>
      <c r="I827" t="str">
        <f>IF(ISERROR(Klisz_Eigenes_Klimaschutzszenario_Handlungsfelder[[#Totals],[2019]]/'KliMax-Auswertung'!H$17), "Fläche fehlt", IF('KliMax-Auswertung'!H$17&lt;&gt;0, Klisz_Eigenes_Klimaschutzszenario_Handlungsfelder[[#Totals],[2019]]/'KliMax-Auswertung'!H$17, "Fläche fehlt"))</f>
        <v>Fläche fehlt</v>
      </c>
      <c r="J827" t="str">
        <f>IF(ISERROR(Klisz_Eigenes_Klimaschutzszenario_Handlungsfelder[[#Totals],[2020]]/'KliMax-Auswertung'!I$17), "Fläche fehlt", IF('KliMax-Auswertung'!I$17&lt;&gt;0, Klisz_Eigenes_Klimaschutzszenario_Handlungsfelder[[#Totals],[2020]]/'KliMax-Auswertung'!I$17, "Fläche fehlt"))</f>
        <v>Fläche fehlt</v>
      </c>
      <c r="K827" t="str">
        <f>IF(ISERROR(Klisz_Eigenes_Klimaschutzszenario_Handlungsfelder[[#Totals],[2021]]/'KliMax-Auswertung'!J$17), "Fläche fehlt", IF('KliMax-Auswertung'!J$17&lt;&gt;0, Klisz_Eigenes_Klimaschutzszenario_Handlungsfelder[[#Totals],[2021]]/'KliMax-Auswertung'!J$17, "Fläche fehlt"))</f>
        <v>Fläche fehlt</v>
      </c>
      <c r="L827" t="str">
        <f>IF(ISERROR(Klisz_Eigenes_Klimaschutzszenario_Handlungsfelder[[#Totals],[2022]]/'KliMax-Auswertung'!K$17), "Fläche fehlt", IF('KliMax-Auswertung'!K$17&lt;&gt;0, Klisz_Eigenes_Klimaschutzszenario_Handlungsfelder[[#Totals],[2022]]/'KliMax-Auswertung'!K$17, "Fläche fehlt"))</f>
        <v>Fläche fehlt</v>
      </c>
      <c r="M827" t="str">
        <f>IF(ISERROR(Klisz_Eigenes_Klimaschutzszenario_Handlungsfelder[[#Totals],[2023]]/'KliMax-Auswertung'!L$17), "Fläche fehlt", IF('KliMax-Auswertung'!L$17&lt;&gt;0, Klisz_Eigenes_Klimaschutzszenario_Handlungsfelder[[#Totals],[2023]]/'KliMax-Auswertung'!L$17, "Fläche fehlt"))</f>
        <v>Fläche fehlt</v>
      </c>
      <c r="N827" t="str">
        <f>IF(ISERROR(Klisz_Eigenes_Klimaschutzszenario_Handlungsfelder[[#Totals],[2024]]/'KliMax-Auswertung'!M$17), "Fläche fehlt", IF('KliMax-Auswertung'!M$17&lt;&gt;0, Klisz_Eigenes_Klimaschutzszenario_Handlungsfelder[[#Totals],[2024]]/'KliMax-Auswertung'!M$17, "Fläche fehlt"))</f>
        <v>Fläche fehlt</v>
      </c>
      <c r="O827" t="str">
        <f>IF(ISERROR(Klisz_Eigenes_Klimaschutzszenario_Handlungsfelder[[#Totals],[2025]]/'KliMax-Auswertung'!N$17), "Fläche fehlt", IF('KliMax-Auswertung'!N$17&lt;&gt;0, Klisz_Eigenes_Klimaschutzszenario_Handlungsfelder[[#Totals],[2025]]/'KliMax-Auswertung'!N$17, "Fläche fehlt"))</f>
        <v>Fläche fehlt</v>
      </c>
      <c r="P827" t="str">
        <f>IF(ISERROR(Klisz_Eigenes_Klimaschutzszenario_Handlungsfelder[[#Totals],[2026]]/'KliMax-Auswertung'!O$17), "Fläche fehlt", IF('KliMax-Auswertung'!O$17&lt;&gt;0, Klisz_Eigenes_Klimaschutzszenario_Handlungsfelder[[#Totals],[2026]]/'KliMax-Auswertung'!O$17, "Fläche fehlt"))</f>
        <v>Fläche fehlt</v>
      </c>
      <c r="Q827" t="str">
        <f>IF(ISERROR(Klisz_Eigenes_Klimaschutzszenario_Handlungsfelder[[#Totals],[2027]]/'KliMax-Auswertung'!P$17), "Fläche fehlt", IF('KliMax-Auswertung'!P$17&lt;&gt;0, Klisz_Eigenes_Klimaschutzszenario_Handlungsfelder[[#Totals],[2027]]/'KliMax-Auswertung'!P$17, "Fläche fehlt"))</f>
        <v>Fläche fehlt</v>
      </c>
      <c r="R827" t="str">
        <f>IF(ISERROR(Klisz_Eigenes_Klimaschutzszenario_Handlungsfelder[[#Totals],[2028]]/'KliMax-Auswertung'!Q$17), "Fläche fehlt", IF('KliMax-Auswertung'!Q$17&lt;&gt;0, Klisz_Eigenes_Klimaschutzszenario_Handlungsfelder[[#Totals],[2028]]/'KliMax-Auswertung'!Q$17, "Fläche fehlt"))</f>
        <v>Fläche fehlt</v>
      </c>
      <c r="S827" t="str">
        <f>IF(ISERROR(Klisz_Eigenes_Klimaschutzszenario_Handlungsfelder[[#Totals],[2029]]/'KliMax-Auswertung'!R$17), "Fläche fehlt", IF('KliMax-Auswertung'!R$17&lt;&gt;0, Klisz_Eigenes_Klimaschutzszenario_Handlungsfelder[[#Totals],[2029]]/'KliMax-Auswertung'!R$17, "Fläche fehlt"))</f>
        <v>Fläche fehlt</v>
      </c>
      <c r="T827" t="str">
        <f>IF(ISERROR(Klisz_Eigenes_Klimaschutzszenario_Handlungsfelder[[#Totals],[2030]]/'KliMax-Auswertung'!S$17), "Fläche fehlt", IF('KliMax-Auswertung'!S$17&lt;&gt;0, Klisz_Eigenes_Klimaschutzszenario_Handlungsfelder[[#Totals],[2030]]/'KliMax-Auswertung'!S$17, "Fläche fehlt"))</f>
        <v>Fläche fehlt</v>
      </c>
      <c r="U827" t="str">
        <f>IF(ISERROR(Klisz_Eigenes_Klimaschutzszenario_Handlungsfelder[[#Totals],[2035]]/'KliMax-Auswertung'!T$17), "Fläche fehlt", IF('KliMax-Auswertung'!T$17&lt;&gt;0, Klisz_Eigenes_Klimaschutzszenario_Handlungsfelder[[#Totals],[2035]]/'KliMax-Auswertung'!T$17, "Fläche fehlt"))</f>
        <v>Fläche fehlt</v>
      </c>
      <c r="V827" t="str">
        <f>IF(ISERROR(Klisz_Eigenes_Klimaschutzszenario_Handlungsfelder[[#Totals],[2040]]/'KliMax-Auswertung'!U$17), "Fläche fehlt", IF('KliMax-Auswertung'!U$17&lt;&gt;0, Klisz_Eigenes_Klimaschutzszenario_Handlungsfelder[[#Totals],[2040]]/'KliMax-Auswertung'!U$17, "Fläche fehlt"))</f>
        <v>Fläche fehlt</v>
      </c>
      <c r="W827" t="str">
        <f>IF(ISERROR(Klisz_Eigenes_Klimaschutzszenario_Handlungsfelder[[#Totals],[2045]]/'KliMax-Auswertung'!V$17), "Fläche fehlt", IF('KliMax-Auswertung'!V$17&lt;&gt;0, Klisz_Eigenes_Klimaschutzszenario_Handlungsfelder[[#Totals],[2045]]/'KliMax-Auswertung'!V$17, "Fläche fehlt"))</f>
        <v>Fläche fehlt</v>
      </c>
      <c r="X827" t="str">
        <f>IF(ISERROR(Klisz_Eigenes_Klimaschutzszenario_Handlungsfelder[[#Totals],[2050]]/'KliMax-Auswertung'!W$17), "Fläche fehlt", IF('KliMax-Auswertung'!W$17&lt;&gt;0, Klisz_Eigenes_Klimaschutzszenario_Handlungsfelder[[#Totals],[2050]]/'KliMax-Auswertung'!W$17, "Fläche fehlt"))</f>
        <v>Fläche fehlt</v>
      </c>
    </row>
  </sheetData>
  <conditionalFormatting sqref="B56:C56 E571:X731">
    <cfRule type="cellIs" dxfId="764" priority="11" operator="equal">
      <formula>0</formula>
    </cfRule>
  </conditionalFormatting>
  <conditionalFormatting sqref="B60:Y60 B61:B221 E61:Y221 E226:Y237 B226:B386 Y238 E239:Y386 B391:B551 E391:Y551">
    <cfRule type="cellIs" dxfId="763" priority="19" operator="equal">
      <formula>"x"</formula>
    </cfRule>
  </conditionalFormatting>
  <conditionalFormatting sqref="B225:Y225">
    <cfRule type="cellIs" dxfId="762" priority="16" operator="equal">
      <formula>"x"</formula>
    </cfRule>
  </conditionalFormatting>
  <conditionalFormatting sqref="B390:Y390">
    <cfRule type="cellIs" dxfId="761" priority="12" operator="equal">
      <formula>"x"</formula>
    </cfRule>
  </conditionalFormatting>
  <conditionalFormatting sqref="E61:X221 E226:X237 E239:X386 E391:X551">
    <cfRule type="cellIs" dxfId="760" priority="21" operator="equal">
      <formula>0</formula>
    </cfRule>
  </conditionalFormatting>
  <conditionalFormatting sqref="E61:X221 E391:X551">
    <cfRule type="cellIs" dxfId="759" priority="20" operator="equal">
      <formula>"n.e."</formula>
    </cfRule>
  </conditionalFormatting>
  <conditionalFormatting sqref="E226:X386">
    <cfRule type="cellIs" dxfId="758" priority="6" operator="equal">
      <formula>"n.e."</formula>
    </cfRule>
  </conditionalFormatting>
  <conditionalFormatting sqref="E238:X238">
    <cfRule type="cellIs" dxfId="757" priority="5" operator="equal">
      <formula>"x"</formula>
    </cfRule>
    <cfRule type="cellIs" dxfId="756" priority="7" operator="equal">
      <formula>0</formula>
    </cfRule>
  </conditionalFormatting>
  <hyperlinks>
    <hyperlink ref="B7" location="'Klisz-Emissionen'!B58" display="      1.1 Klimaschutzszenario Bundesmix" xr:uid="{9269C0D5-7FC0-42A9-B9BD-FEAC2D88C705}"/>
    <hyperlink ref="B8" location="'Klisz-Emissionen'!B224" display="      1.2 Klimaschutzszenario Bundesmix (KS80)" xr:uid="{9E67FF4E-09E3-4950-B10D-E250D69F4F95}"/>
    <hyperlink ref="B9" location="'Klisz-Emissionen'!B389" display="      1.3 Klimaschutzszenario Regiomix" xr:uid="{B9F3EFD7-0025-4323-BB60-3209BC4FA301}"/>
    <hyperlink ref="B10" location="'Klisz-Emissionen'!B554" display="      1.4 Eigenes Klimaszenario" xr:uid="{5F2BA7E6-D34F-48D7-BB3C-FB8D10EEF7F2}"/>
    <hyperlink ref="B12" location="'Klisz-Emissionen'!B746" display="      2.1 Klimaschutzszenario Bundesmix" xr:uid="{E171BC95-5110-4836-A807-ACFB0AFD8DD6}"/>
    <hyperlink ref="B13" location="'Klisz-Emissionen'!B767" display="      2.2 KlimaschutzszenarioBundesmix (KS80)" xr:uid="{FF7523AE-E8AD-4529-9565-8A641BA50F9F}"/>
    <hyperlink ref="B14" location="'Klisz-Emissionen'!B788" display="      2.3 Klimaschutzszenario Regiomix" xr:uid="{EEABB713-C1D8-41ED-85C4-452A2A9A3D31}"/>
    <hyperlink ref="B15" location="'Klisz-Emissionen'!B809" display="      2.4 Eigenes Klimaschutzszenario" xr:uid="{C4B9AB25-A56B-4F6E-B37D-31EB75D72239}"/>
    <hyperlink ref="B1" location="Startseite!B1" tooltip="Zurück zur Einleitung" display="Zur Startseite" xr:uid="{2D10FF86-D19D-4022-81F7-D5ACC8D96F35}"/>
    <hyperlink ref="E1" r:id="rId1" tooltip="Kontakt zur Autorin" display="Kontakt zur Autorin" xr:uid="{64ACE804-1D16-4F01-8890-A962209BF847}"/>
  </hyperlinks>
  <pageMargins left="0.7" right="0.7" top="0.78740157499999996" bottom="0.78740157499999996" header="0.3" footer="0.3"/>
  <pageSetup paperSize="9" orientation="portrait" r:id="rId2"/>
  <ignoredErrors>
    <ignoredError sqref="C391" calculatedColumn="1"/>
  </ignoredErrors>
  <drawing r:id="rId3"/>
  <legacyDrawing r:id="rId4"/>
  <tableParts count="13">
    <tablePart r:id="rId5"/>
    <tablePart r:id="rId6"/>
    <tablePart r:id="rId7"/>
    <tablePart r:id="rId8"/>
    <tablePart r:id="rId9"/>
    <tablePart r:id="rId10"/>
    <tablePart r:id="rId11"/>
    <tablePart r:id="rId12"/>
    <tablePart r:id="rId13"/>
    <tablePart r:id="rId14"/>
    <tablePart r:id="rId15"/>
    <tablePart r:id="rId16"/>
    <tablePart r:id="rId17"/>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01323-7FD7-41F1-B2B4-C38A9905FDEF}">
  <sheetPr>
    <tabColor rgb="FF7030A0"/>
  </sheetPr>
  <dimension ref="B1:X55"/>
  <sheetViews>
    <sheetView showGridLines="0" zoomScale="85" zoomScaleNormal="85" workbookViewId="0">
      <pane xSplit="2" ySplit="1" topLeftCell="C2" activePane="bottomRight" state="frozen"/>
      <selection pane="topRight" activeCell="C1" sqref="C1"/>
      <selection pane="bottomLeft" activeCell="A2" sqref="A2"/>
      <selection pane="bottomRight" activeCell="B1" sqref="B1"/>
    </sheetView>
  </sheetViews>
  <sheetFormatPr baseColWidth="10" defaultRowHeight="14.5" x14ac:dyDescent="0.35"/>
  <cols>
    <col min="1" max="1" width="2.81640625" customWidth="1"/>
    <col min="2" max="2" width="21" customWidth="1"/>
    <col min="3" max="3" width="14.26953125" customWidth="1"/>
    <col min="4" max="4" width="12" customWidth="1"/>
    <col min="5" max="8" width="12.453125" bestFit="1" customWidth="1"/>
    <col min="9" max="20" width="11.1796875" bestFit="1" customWidth="1"/>
    <col min="21" max="21" width="10" customWidth="1"/>
    <col min="24" max="24" width="21" customWidth="1"/>
  </cols>
  <sheetData>
    <row r="1" spans="2:24" x14ac:dyDescent="0.35">
      <c r="B1" s="4" t="s">
        <v>553</v>
      </c>
      <c r="C1" s="5"/>
      <c r="D1" s="3"/>
      <c r="E1" s="3" t="s">
        <v>590</v>
      </c>
      <c r="F1" s="5"/>
      <c r="J1" s="28"/>
    </row>
    <row r="3" spans="2:24" ht="18.5" x14ac:dyDescent="0.45">
      <c r="B3" s="26" t="s">
        <v>231</v>
      </c>
    </row>
    <row r="4" spans="2:24" ht="15.5" x14ac:dyDescent="0.35">
      <c r="B4" s="6"/>
    </row>
    <row r="5" spans="2:24" ht="15.5" x14ac:dyDescent="0.35">
      <c r="B5" s="6" t="s">
        <v>0</v>
      </c>
    </row>
    <row r="6" spans="2:24" x14ac:dyDescent="0.35">
      <c r="B6" s="28" t="s">
        <v>549</v>
      </c>
    </row>
    <row r="7" spans="2:24" x14ac:dyDescent="0.35">
      <c r="B7" s="28" t="s">
        <v>550</v>
      </c>
    </row>
    <row r="9" spans="2:24" ht="15.5" x14ac:dyDescent="0.35">
      <c r="B9" s="6" t="s">
        <v>551</v>
      </c>
    </row>
    <row r="10" spans="2:24" x14ac:dyDescent="0.35">
      <c r="B10" t="s">
        <v>541</v>
      </c>
    </row>
    <row r="11" spans="2:24" x14ac:dyDescent="0.35">
      <c r="B11" s="2"/>
    </row>
    <row r="12" spans="2:24" x14ac:dyDescent="0.35">
      <c r="B12" s="2" t="s">
        <v>228</v>
      </c>
      <c r="C12" s="118">
        <v>6.7</v>
      </c>
      <c r="D12" t="s">
        <v>227</v>
      </c>
      <c r="E12" t="s">
        <v>230</v>
      </c>
    </row>
    <row r="13" spans="2:24" x14ac:dyDescent="0.35">
      <c r="B13" t="s">
        <v>257</v>
      </c>
      <c r="C13" t="s">
        <v>2</v>
      </c>
      <c r="D13" t="s">
        <v>3</v>
      </c>
      <c r="E13" t="s">
        <v>4</v>
      </c>
      <c r="F13" t="s">
        <v>5</v>
      </c>
      <c r="G13" t="s">
        <v>6</v>
      </c>
      <c r="H13" t="s">
        <v>7</v>
      </c>
      <c r="I13" t="s">
        <v>8</v>
      </c>
      <c r="J13" t="s">
        <v>9</v>
      </c>
      <c r="K13" t="s">
        <v>10</v>
      </c>
      <c r="L13" t="s">
        <v>11</v>
      </c>
      <c r="M13" t="s">
        <v>12</v>
      </c>
      <c r="N13" t="s">
        <v>13</v>
      </c>
      <c r="O13" t="s">
        <v>14</v>
      </c>
      <c r="P13" t="s">
        <v>232</v>
      </c>
      <c r="Q13" t="s">
        <v>233</v>
      </c>
      <c r="R13" t="s">
        <v>234</v>
      </c>
      <c r="S13" t="s">
        <v>15</v>
      </c>
      <c r="T13" t="s">
        <v>16</v>
      </c>
      <c r="U13" t="s">
        <v>17</v>
      </c>
      <c r="V13" t="s">
        <v>18</v>
      </c>
      <c r="W13" t="s">
        <v>19</v>
      </c>
      <c r="X13" t="s">
        <v>41</v>
      </c>
    </row>
    <row r="14" spans="2:24" x14ac:dyDescent="0.35">
      <c r="B14" t="str">
        <f>'Refsz-Verbräuche'!C91</f>
        <v>Fuhrpark (Diesel)</v>
      </c>
      <c r="C14" t="s">
        <v>20</v>
      </c>
      <c r="D14" s="118"/>
      <c r="E14" s="118"/>
      <c r="F14" s="118"/>
      <c r="G14" s="118"/>
      <c r="H14" s="118"/>
      <c r="I14" s="118"/>
      <c r="J14" s="118"/>
      <c r="K14" s="118"/>
      <c r="L14" s="118"/>
      <c r="M14" s="118"/>
      <c r="N14" s="118"/>
      <c r="O14" s="118"/>
      <c r="P14" s="118"/>
      <c r="Q14" s="118"/>
      <c r="R14" s="118"/>
      <c r="S14" s="118"/>
      <c r="T14" s="118"/>
      <c r="U14" s="118"/>
      <c r="V14" s="118"/>
      <c r="W14" s="118"/>
    </row>
    <row r="15" spans="2:24" x14ac:dyDescent="0.35">
      <c r="B15" t="str">
        <f>'Refsz-Verbräuche'!C104</f>
        <v>DR - Privater PKW (Diesel)</v>
      </c>
      <c r="C15" t="s">
        <v>20</v>
      </c>
      <c r="D15" s="126"/>
      <c r="E15" s="126"/>
      <c r="F15" s="126"/>
      <c r="G15" s="126"/>
      <c r="H15" s="126"/>
      <c r="I15" s="126"/>
      <c r="J15" s="126"/>
      <c r="K15" s="118"/>
      <c r="L15" s="118"/>
      <c r="M15" s="118"/>
      <c r="N15" s="118"/>
      <c r="O15" s="118"/>
      <c r="P15" s="118"/>
      <c r="Q15" s="118"/>
      <c r="R15" s="118"/>
      <c r="S15" s="118"/>
      <c r="T15" s="118"/>
      <c r="U15" s="118"/>
      <c r="V15" s="118"/>
      <c r="W15" s="118"/>
    </row>
    <row r="16" spans="2:24" x14ac:dyDescent="0.35">
      <c r="B16" t="str">
        <f>'Refsz-Verbräuche'!C106</f>
        <v>DR - Mietwägen (Diesel)</v>
      </c>
      <c r="C16" t="s">
        <v>20</v>
      </c>
      <c r="D16" s="126"/>
      <c r="E16" s="126"/>
      <c r="F16" s="126"/>
      <c r="G16" s="126"/>
      <c r="H16" s="126"/>
      <c r="I16" s="126"/>
      <c r="J16" s="126"/>
      <c r="K16" s="118"/>
      <c r="L16" s="118"/>
      <c r="M16" s="118"/>
      <c r="N16" s="118"/>
      <c r="O16" s="118"/>
      <c r="P16" s="118"/>
      <c r="Q16" s="118"/>
      <c r="R16" s="118"/>
      <c r="S16" s="118"/>
      <c r="T16" s="118"/>
      <c r="U16" s="118"/>
      <c r="V16" s="118"/>
      <c r="W16" s="118"/>
    </row>
    <row r="17" spans="2:24" x14ac:dyDescent="0.35">
      <c r="B17" t="str">
        <f>'Refsz-Verbräuche'!C127</f>
        <v>Pendeln - PKW (Diesel)</v>
      </c>
      <c r="C17" t="s">
        <v>20</v>
      </c>
      <c r="D17" s="118"/>
      <c r="E17" s="118"/>
      <c r="F17" s="118"/>
      <c r="G17" s="118"/>
      <c r="H17" s="118"/>
      <c r="I17" s="118"/>
      <c r="J17" s="118"/>
      <c r="K17" s="118"/>
      <c r="L17" s="118"/>
      <c r="M17" s="118"/>
      <c r="N17" s="118"/>
      <c r="O17" s="118"/>
      <c r="P17" s="118"/>
      <c r="Q17" s="118"/>
      <c r="R17" s="118"/>
      <c r="S17" s="118"/>
      <c r="T17" s="118"/>
      <c r="U17" s="118"/>
      <c r="V17" s="118"/>
      <c r="W17" s="118"/>
    </row>
    <row r="19" spans="2:24" x14ac:dyDescent="0.35">
      <c r="B19" s="2" t="s">
        <v>229</v>
      </c>
      <c r="C19" s="118">
        <v>8.6</v>
      </c>
      <c r="D19" t="s">
        <v>227</v>
      </c>
      <c r="E19" t="s">
        <v>230</v>
      </c>
    </row>
    <row r="20" spans="2:24" x14ac:dyDescent="0.35">
      <c r="B20" t="s">
        <v>258</v>
      </c>
      <c r="C20" t="s">
        <v>2</v>
      </c>
      <c r="D20" t="s">
        <v>3</v>
      </c>
      <c r="E20" t="s">
        <v>4</v>
      </c>
      <c r="F20" t="s">
        <v>5</v>
      </c>
      <c r="G20" t="s">
        <v>6</v>
      </c>
      <c r="H20" t="s">
        <v>7</v>
      </c>
      <c r="I20" t="s">
        <v>8</v>
      </c>
      <c r="J20" t="s">
        <v>9</v>
      </c>
      <c r="K20" t="s">
        <v>10</v>
      </c>
      <c r="L20" t="s">
        <v>11</v>
      </c>
      <c r="M20" t="s">
        <v>12</v>
      </c>
      <c r="N20" t="s">
        <v>13</v>
      </c>
      <c r="O20" t="s">
        <v>14</v>
      </c>
      <c r="P20" t="s">
        <v>232</v>
      </c>
      <c r="Q20" t="s">
        <v>233</v>
      </c>
      <c r="R20" t="s">
        <v>234</v>
      </c>
      <c r="S20" t="s">
        <v>15</v>
      </c>
      <c r="T20" t="s">
        <v>16</v>
      </c>
      <c r="U20" t="s">
        <v>17</v>
      </c>
      <c r="V20" t="s">
        <v>18</v>
      </c>
      <c r="W20" t="s">
        <v>19</v>
      </c>
      <c r="X20" t="s">
        <v>41</v>
      </c>
    </row>
    <row r="21" spans="2:24" x14ac:dyDescent="0.35">
      <c r="B21" t="str">
        <f>'Refsz-Verbräuche'!C92</f>
        <v>Fuhrpark (Benzin)</v>
      </c>
      <c r="C21" t="s">
        <v>20</v>
      </c>
      <c r="D21" s="118"/>
      <c r="E21" s="118"/>
      <c r="F21" s="118"/>
      <c r="G21" s="118"/>
      <c r="H21" s="118"/>
      <c r="I21" s="118"/>
      <c r="J21" s="118"/>
      <c r="K21" s="118"/>
      <c r="L21" s="118"/>
      <c r="M21" s="118"/>
      <c r="N21" s="118"/>
      <c r="O21" s="118"/>
      <c r="P21" s="118"/>
      <c r="Q21" s="118"/>
      <c r="R21" s="118"/>
      <c r="S21" s="118"/>
      <c r="T21" s="118"/>
      <c r="U21" s="118"/>
      <c r="V21" s="118"/>
      <c r="W21" s="118"/>
    </row>
    <row r="22" spans="2:24" x14ac:dyDescent="0.35">
      <c r="B22" t="str">
        <f>'Refsz-Verbräuche'!C105</f>
        <v>DR - Privater PKW (Benzin)</v>
      </c>
      <c r="C22" t="s">
        <v>20</v>
      </c>
      <c r="D22" s="126"/>
      <c r="E22" s="126"/>
      <c r="F22" s="126"/>
      <c r="G22" s="126"/>
      <c r="H22" s="126"/>
      <c r="I22" s="126"/>
      <c r="J22" s="126"/>
      <c r="K22" s="118"/>
      <c r="L22" s="118"/>
      <c r="M22" s="118"/>
      <c r="N22" s="118"/>
      <c r="O22" s="118"/>
      <c r="P22" s="118"/>
      <c r="Q22" s="118"/>
      <c r="R22" s="118"/>
      <c r="S22" s="118"/>
      <c r="T22" s="118"/>
      <c r="U22" s="118"/>
      <c r="V22" s="118"/>
      <c r="W22" s="118"/>
    </row>
    <row r="23" spans="2:24" x14ac:dyDescent="0.35">
      <c r="B23" t="str">
        <f>'Refsz-Verbräuche'!C107</f>
        <v>DR - Mietwägen (Benzin)</v>
      </c>
      <c r="C23" t="s">
        <v>20</v>
      </c>
      <c r="D23" s="118"/>
      <c r="E23" s="118"/>
      <c r="F23" s="118"/>
      <c r="G23" s="118"/>
      <c r="H23" s="118"/>
      <c r="I23" s="118"/>
      <c r="J23" s="118"/>
      <c r="K23" s="118"/>
      <c r="L23" s="118"/>
      <c r="M23" s="118"/>
      <c r="N23" s="118"/>
      <c r="O23" s="118"/>
      <c r="P23" s="118"/>
      <c r="Q23" s="118"/>
      <c r="R23" s="118"/>
      <c r="S23" s="118"/>
      <c r="T23" s="118"/>
      <c r="U23" s="118"/>
      <c r="V23" s="118"/>
      <c r="W23" s="118"/>
    </row>
    <row r="24" spans="2:24" x14ac:dyDescent="0.35">
      <c r="B24" t="str">
        <f>'Refsz-Verbräuche'!C128</f>
        <v>Pendeln - PKW (Benzin)</v>
      </c>
      <c r="C24" t="s">
        <v>20</v>
      </c>
      <c r="D24" s="126"/>
      <c r="E24" s="126"/>
      <c r="F24" s="126"/>
      <c r="G24" s="126"/>
      <c r="H24" s="126"/>
      <c r="I24" s="126"/>
      <c r="J24" s="126"/>
      <c r="K24" s="118"/>
      <c r="L24" s="118"/>
      <c r="M24" s="118"/>
      <c r="N24" s="118"/>
      <c r="O24" s="118"/>
      <c r="P24" s="118"/>
      <c r="Q24" s="118"/>
      <c r="R24" s="118"/>
      <c r="S24" s="118"/>
      <c r="T24" s="118"/>
      <c r="U24" s="118"/>
      <c r="V24" s="118"/>
      <c r="W24" s="118"/>
    </row>
    <row r="26" spans="2:24" x14ac:dyDescent="0.35">
      <c r="B26" t="s">
        <v>259</v>
      </c>
      <c r="C26" t="s">
        <v>2</v>
      </c>
      <c r="D26" t="s">
        <v>3</v>
      </c>
      <c r="E26" t="s">
        <v>4</v>
      </c>
      <c r="F26" t="s">
        <v>5</v>
      </c>
      <c r="G26" t="s">
        <v>6</v>
      </c>
      <c r="H26" t="s">
        <v>7</v>
      </c>
      <c r="I26" t="s">
        <v>8</v>
      </c>
      <c r="J26" t="s">
        <v>9</v>
      </c>
      <c r="K26" t="s">
        <v>10</v>
      </c>
      <c r="L26" t="s">
        <v>11</v>
      </c>
      <c r="M26" t="s">
        <v>12</v>
      </c>
      <c r="N26" t="s">
        <v>13</v>
      </c>
      <c r="O26" t="s">
        <v>14</v>
      </c>
      <c r="P26" t="s">
        <v>232</v>
      </c>
      <c r="Q26" t="s">
        <v>233</v>
      </c>
      <c r="R26" t="s">
        <v>234</v>
      </c>
      <c r="S26" t="s">
        <v>15</v>
      </c>
      <c r="T26" t="s">
        <v>16</v>
      </c>
      <c r="U26" t="s">
        <v>17</v>
      </c>
      <c r="V26" t="s">
        <v>18</v>
      </c>
      <c r="W26" t="s">
        <v>19</v>
      </c>
      <c r="X26" t="s">
        <v>41</v>
      </c>
    </row>
    <row r="27" spans="2:24" x14ac:dyDescent="0.35">
      <c r="B27" t="str">
        <f>B14</f>
        <v>Fuhrpark (Diesel)</v>
      </c>
      <c r="C27" t="s">
        <v>45</v>
      </c>
      <c r="D27" t="str">
        <f t="shared" ref="D27:S30" si="0">IF(ISBLANK(D14),"",D14*(100/$C$12))</f>
        <v/>
      </c>
      <c r="E27" t="str">
        <f t="shared" si="0"/>
        <v/>
      </c>
      <c r="F27" t="str">
        <f t="shared" si="0"/>
        <v/>
      </c>
      <c r="G27" t="str">
        <f t="shared" si="0"/>
        <v/>
      </c>
      <c r="H27" t="str">
        <f t="shared" si="0"/>
        <v/>
      </c>
      <c r="I27" t="str">
        <f t="shared" si="0"/>
        <v/>
      </c>
      <c r="J27" t="str">
        <f t="shared" si="0"/>
        <v/>
      </c>
      <c r="K27" t="str">
        <f t="shared" si="0"/>
        <v/>
      </c>
      <c r="L27" t="str">
        <f t="shared" si="0"/>
        <v/>
      </c>
      <c r="M27" t="str">
        <f t="shared" si="0"/>
        <v/>
      </c>
      <c r="N27" t="str">
        <f t="shared" si="0"/>
        <v/>
      </c>
      <c r="O27" t="str">
        <f t="shared" si="0"/>
        <v/>
      </c>
      <c r="P27" t="str">
        <f t="shared" si="0"/>
        <v/>
      </c>
      <c r="Q27" t="str">
        <f t="shared" si="0"/>
        <v/>
      </c>
      <c r="R27" t="str">
        <f t="shared" si="0"/>
        <v/>
      </c>
      <c r="S27" t="str">
        <f t="shared" si="0"/>
        <v/>
      </c>
      <c r="T27" t="str">
        <f t="shared" ref="T27:W27" si="1">IF(ISBLANK(T14),"",T14*(100/$C$12))</f>
        <v/>
      </c>
      <c r="U27" t="str">
        <f t="shared" si="1"/>
        <v/>
      </c>
      <c r="V27" t="str">
        <f t="shared" si="1"/>
        <v/>
      </c>
      <c r="W27" t="str">
        <f t="shared" si="1"/>
        <v/>
      </c>
    </row>
    <row r="28" spans="2:24" x14ac:dyDescent="0.35">
      <c r="B28" t="str">
        <f>B15</f>
        <v>DR - Privater PKW (Diesel)</v>
      </c>
      <c r="C28" t="s">
        <v>45</v>
      </c>
      <c r="D28" t="str">
        <f t="shared" si="0"/>
        <v/>
      </c>
      <c r="E28" t="str">
        <f t="shared" si="0"/>
        <v/>
      </c>
      <c r="F28" t="str">
        <f t="shared" si="0"/>
        <v/>
      </c>
      <c r="G28" t="str">
        <f t="shared" si="0"/>
        <v/>
      </c>
      <c r="H28" t="str">
        <f t="shared" si="0"/>
        <v/>
      </c>
      <c r="I28" t="str">
        <f t="shared" si="0"/>
        <v/>
      </c>
      <c r="J28" t="str">
        <f t="shared" si="0"/>
        <v/>
      </c>
      <c r="K28" t="str">
        <f t="shared" si="0"/>
        <v/>
      </c>
      <c r="L28" t="str">
        <f t="shared" ref="L28:W28" si="2">IF(ISBLANK(L15),"",L15*(100/$C$12))</f>
        <v/>
      </c>
      <c r="M28" t="str">
        <f t="shared" si="2"/>
        <v/>
      </c>
      <c r="N28" t="str">
        <f t="shared" si="2"/>
        <v/>
      </c>
      <c r="O28" t="str">
        <f t="shared" si="2"/>
        <v/>
      </c>
      <c r="P28" t="str">
        <f t="shared" si="2"/>
        <v/>
      </c>
      <c r="Q28" t="str">
        <f t="shared" si="2"/>
        <v/>
      </c>
      <c r="R28" t="str">
        <f t="shared" si="2"/>
        <v/>
      </c>
      <c r="S28" t="str">
        <f t="shared" si="2"/>
        <v/>
      </c>
      <c r="T28" t="str">
        <f t="shared" si="2"/>
        <v/>
      </c>
      <c r="U28" t="str">
        <f t="shared" si="2"/>
        <v/>
      </c>
      <c r="V28" t="str">
        <f t="shared" si="2"/>
        <v/>
      </c>
      <c r="W28" t="str">
        <f t="shared" si="2"/>
        <v/>
      </c>
    </row>
    <row r="29" spans="2:24" x14ac:dyDescent="0.35">
      <c r="B29" t="str">
        <f>B16</f>
        <v>DR - Mietwägen (Diesel)</v>
      </c>
      <c r="C29" t="s">
        <v>45</v>
      </c>
      <c r="D29" t="str">
        <f t="shared" si="0"/>
        <v/>
      </c>
      <c r="E29" t="str">
        <f t="shared" si="0"/>
        <v/>
      </c>
      <c r="F29" t="str">
        <f t="shared" si="0"/>
        <v/>
      </c>
      <c r="G29" t="str">
        <f t="shared" si="0"/>
        <v/>
      </c>
      <c r="H29" t="str">
        <f t="shared" si="0"/>
        <v/>
      </c>
      <c r="I29" t="str">
        <f t="shared" si="0"/>
        <v/>
      </c>
      <c r="J29" t="str">
        <f t="shared" si="0"/>
        <v/>
      </c>
      <c r="K29" t="str">
        <f t="shared" si="0"/>
        <v/>
      </c>
      <c r="L29" t="str">
        <f t="shared" ref="L29:W29" si="3">IF(ISBLANK(L16),"",L16*(100/$C$12))</f>
        <v/>
      </c>
      <c r="M29" t="str">
        <f t="shared" si="3"/>
        <v/>
      </c>
      <c r="N29" t="str">
        <f t="shared" si="3"/>
        <v/>
      </c>
      <c r="O29" t="str">
        <f t="shared" si="3"/>
        <v/>
      </c>
      <c r="P29" t="str">
        <f t="shared" si="3"/>
        <v/>
      </c>
      <c r="Q29" t="str">
        <f t="shared" si="3"/>
        <v/>
      </c>
      <c r="R29" t="str">
        <f t="shared" si="3"/>
        <v/>
      </c>
      <c r="S29" t="str">
        <f t="shared" si="3"/>
        <v/>
      </c>
      <c r="T29" t="str">
        <f t="shared" si="3"/>
        <v/>
      </c>
      <c r="U29" t="str">
        <f t="shared" si="3"/>
        <v/>
      </c>
      <c r="V29" t="str">
        <f t="shared" si="3"/>
        <v/>
      </c>
      <c r="W29" t="str">
        <f t="shared" si="3"/>
        <v/>
      </c>
    </row>
    <row r="30" spans="2:24" x14ac:dyDescent="0.35">
      <c r="B30" t="str">
        <f>B17</f>
        <v>Pendeln - PKW (Diesel)</v>
      </c>
      <c r="C30" t="s">
        <v>45</v>
      </c>
      <c r="D30" t="str">
        <f t="shared" si="0"/>
        <v/>
      </c>
      <c r="E30" t="str">
        <f t="shared" si="0"/>
        <v/>
      </c>
      <c r="F30" t="str">
        <f t="shared" si="0"/>
        <v/>
      </c>
      <c r="G30" t="str">
        <f t="shared" si="0"/>
        <v/>
      </c>
      <c r="H30" t="str">
        <f t="shared" si="0"/>
        <v/>
      </c>
      <c r="I30" t="str">
        <f t="shared" si="0"/>
        <v/>
      </c>
      <c r="J30" t="str">
        <f t="shared" si="0"/>
        <v/>
      </c>
      <c r="K30" t="str">
        <f t="shared" si="0"/>
        <v/>
      </c>
      <c r="L30" t="str">
        <f t="shared" ref="L30:W30" si="4">IF(ISBLANK(L17),"",L17*(100/$C$12))</f>
        <v/>
      </c>
      <c r="M30" t="str">
        <f t="shared" si="4"/>
        <v/>
      </c>
      <c r="N30" t="str">
        <f t="shared" si="4"/>
        <v/>
      </c>
      <c r="O30" t="str">
        <f t="shared" si="4"/>
        <v/>
      </c>
      <c r="P30" t="str">
        <f t="shared" si="4"/>
        <v/>
      </c>
      <c r="Q30" t="str">
        <f t="shared" si="4"/>
        <v/>
      </c>
      <c r="R30" t="str">
        <f t="shared" si="4"/>
        <v/>
      </c>
      <c r="S30" t="str">
        <f t="shared" si="4"/>
        <v/>
      </c>
      <c r="T30" t="str">
        <f t="shared" si="4"/>
        <v/>
      </c>
      <c r="U30" t="str">
        <f t="shared" si="4"/>
        <v/>
      </c>
      <c r="V30" t="str">
        <f t="shared" si="4"/>
        <v/>
      </c>
      <c r="W30" t="str">
        <f t="shared" si="4"/>
        <v/>
      </c>
    </row>
    <row r="31" spans="2:24" x14ac:dyDescent="0.35">
      <c r="B31" s="1"/>
    </row>
    <row r="32" spans="2:24" x14ac:dyDescent="0.35">
      <c r="B32" t="s">
        <v>260</v>
      </c>
      <c r="C32" t="s">
        <v>2</v>
      </c>
      <c r="D32" t="s">
        <v>3</v>
      </c>
      <c r="E32" t="s">
        <v>4</v>
      </c>
      <c r="F32" t="s">
        <v>5</v>
      </c>
      <c r="G32" t="s">
        <v>6</v>
      </c>
      <c r="H32" t="s">
        <v>7</v>
      </c>
      <c r="I32" t="s">
        <v>8</v>
      </c>
      <c r="J32" t="s">
        <v>9</v>
      </c>
      <c r="K32" t="s">
        <v>10</v>
      </c>
      <c r="L32" t="s">
        <v>11</v>
      </c>
      <c r="M32" t="s">
        <v>12</v>
      </c>
      <c r="N32" t="s">
        <v>13</v>
      </c>
      <c r="O32" t="s">
        <v>14</v>
      </c>
      <c r="P32" t="s">
        <v>232</v>
      </c>
      <c r="Q32" t="s">
        <v>233</v>
      </c>
      <c r="R32" t="s">
        <v>234</v>
      </c>
      <c r="S32" t="s">
        <v>15</v>
      </c>
      <c r="T32" t="s">
        <v>16</v>
      </c>
      <c r="U32" t="s">
        <v>17</v>
      </c>
      <c r="V32" t="s">
        <v>18</v>
      </c>
      <c r="W32" t="s">
        <v>19</v>
      </c>
      <c r="X32" t="s">
        <v>41</v>
      </c>
    </row>
    <row r="33" spans="2:24" x14ac:dyDescent="0.35">
      <c r="B33" t="str">
        <f>B21</f>
        <v>Fuhrpark (Benzin)</v>
      </c>
      <c r="C33" t="s">
        <v>45</v>
      </c>
      <c r="D33" t="str">
        <f t="shared" ref="D33:K36" si="5">IF(ISBLANK(D21),"",D21*(100/$C$19))</f>
        <v/>
      </c>
      <c r="E33" t="str">
        <f t="shared" si="5"/>
        <v/>
      </c>
      <c r="F33" t="str">
        <f t="shared" si="5"/>
        <v/>
      </c>
      <c r="G33" t="str">
        <f t="shared" si="5"/>
        <v/>
      </c>
      <c r="H33" t="str">
        <f t="shared" si="5"/>
        <v/>
      </c>
      <c r="I33" t="str">
        <f t="shared" si="5"/>
        <v/>
      </c>
      <c r="J33" t="str">
        <f t="shared" si="5"/>
        <v/>
      </c>
      <c r="K33" t="str">
        <f t="shared" si="5"/>
        <v/>
      </c>
      <c r="L33" t="str">
        <f t="shared" ref="L33:W33" si="6">IF(ISBLANK(L21),"",L21*(100/$C$19))</f>
        <v/>
      </c>
      <c r="M33" t="str">
        <f t="shared" si="6"/>
        <v/>
      </c>
      <c r="N33" t="str">
        <f t="shared" si="6"/>
        <v/>
      </c>
      <c r="O33" t="str">
        <f t="shared" si="6"/>
        <v/>
      </c>
      <c r="P33" t="str">
        <f t="shared" si="6"/>
        <v/>
      </c>
      <c r="Q33" t="str">
        <f t="shared" si="6"/>
        <v/>
      </c>
      <c r="R33" t="str">
        <f t="shared" si="6"/>
        <v/>
      </c>
      <c r="S33" t="str">
        <f t="shared" si="6"/>
        <v/>
      </c>
      <c r="T33" t="str">
        <f t="shared" si="6"/>
        <v/>
      </c>
      <c r="U33" t="str">
        <f t="shared" si="6"/>
        <v/>
      </c>
      <c r="V33" t="str">
        <f t="shared" si="6"/>
        <v/>
      </c>
      <c r="W33" t="str">
        <f t="shared" si="6"/>
        <v/>
      </c>
    </row>
    <row r="34" spans="2:24" x14ac:dyDescent="0.35">
      <c r="B34" t="str">
        <f>B22</f>
        <v>DR - Privater PKW (Benzin)</v>
      </c>
      <c r="C34" t="s">
        <v>45</v>
      </c>
      <c r="D34" t="str">
        <f t="shared" si="5"/>
        <v/>
      </c>
      <c r="E34" t="str">
        <f t="shared" si="5"/>
        <v/>
      </c>
      <c r="F34" t="str">
        <f t="shared" si="5"/>
        <v/>
      </c>
      <c r="G34" t="str">
        <f t="shared" si="5"/>
        <v/>
      </c>
      <c r="H34" t="str">
        <f t="shared" si="5"/>
        <v/>
      </c>
      <c r="I34" t="str">
        <f t="shared" si="5"/>
        <v/>
      </c>
      <c r="J34" t="str">
        <f t="shared" si="5"/>
        <v/>
      </c>
      <c r="K34" t="str">
        <f t="shared" si="5"/>
        <v/>
      </c>
      <c r="L34" t="str">
        <f t="shared" ref="L34:W34" si="7">IF(ISBLANK(L22),"",L22*(100/$C$19))</f>
        <v/>
      </c>
      <c r="M34" t="str">
        <f t="shared" si="7"/>
        <v/>
      </c>
      <c r="N34" t="str">
        <f t="shared" si="7"/>
        <v/>
      </c>
      <c r="O34" t="str">
        <f t="shared" si="7"/>
        <v/>
      </c>
      <c r="P34" t="str">
        <f t="shared" si="7"/>
        <v/>
      </c>
      <c r="Q34" t="str">
        <f t="shared" si="7"/>
        <v/>
      </c>
      <c r="R34" t="str">
        <f t="shared" si="7"/>
        <v/>
      </c>
      <c r="S34" t="str">
        <f t="shared" si="7"/>
        <v/>
      </c>
      <c r="T34" t="str">
        <f t="shared" si="7"/>
        <v/>
      </c>
      <c r="U34" t="str">
        <f t="shared" si="7"/>
        <v/>
      </c>
      <c r="V34" t="str">
        <f t="shared" si="7"/>
        <v/>
      </c>
      <c r="W34" t="str">
        <f t="shared" si="7"/>
        <v/>
      </c>
    </row>
    <row r="35" spans="2:24" x14ac:dyDescent="0.35">
      <c r="B35" t="str">
        <f>B23</f>
        <v>DR - Mietwägen (Benzin)</v>
      </c>
      <c r="C35" t="s">
        <v>45</v>
      </c>
      <c r="D35" t="str">
        <f t="shared" si="5"/>
        <v/>
      </c>
      <c r="E35" t="str">
        <f t="shared" si="5"/>
        <v/>
      </c>
      <c r="F35" t="str">
        <f t="shared" si="5"/>
        <v/>
      </c>
      <c r="G35" t="str">
        <f t="shared" si="5"/>
        <v/>
      </c>
      <c r="H35" t="str">
        <f t="shared" si="5"/>
        <v/>
      </c>
      <c r="I35" t="str">
        <f t="shared" si="5"/>
        <v/>
      </c>
      <c r="J35" t="str">
        <f t="shared" si="5"/>
        <v/>
      </c>
      <c r="K35" t="str">
        <f t="shared" si="5"/>
        <v/>
      </c>
      <c r="L35" t="str">
        <f t="shared" ref="L35:W35" si="8">IF(ISBLANK(L23),"",L23*(100/$C$19))</f>
        <v/>
      </c>
      <c r="M35" t="str">
        <f t="shared" si="8"/>
        <v/>
      </c>
      <c r="N35" t="str">
        <f t="shared" si="8"/>
        <v/>
      </c>
      <c r="O35" t="str">
        <f t="shared" si="8"/>
        <v/>
      </c>
      <c r="P35" t="str">
        <f t="shared" si="8"/>
        <v/>
      </c>
      <c r="Q35" t="str">
        <f t="shared" si="8"/>
        <v/>
      </c>
      <c r="R35" t="str">
        <f t="shared" si="8"/>
        <v/>
      </c>
      <c r="S35" t="str">
        <f t="shared" si="8"/>
        <v/>
      </c>
      <c r="T35" t="str">
        <f t="shared" si="8"/>
        <v/>
      </c>
      <c r="U35" t="str">
        <f t="shared" si="8"/>
        <v/>
      </c>
      <c r="V35" t="str">
        <f t="shared" si="8"/>
        <v/>
      </c>
      <c r="W35" t="str">
        <f t="shared" si="8"/>
        <v/>
      </c>
    </row>
    <row r="36" spans="2:24" x14ac:dyDescent="0.35">
      <c r="B36" t="str">
        <f>B24</f>
        <v>Pendeln - PKW (Benzin)</v>
      </c>
      <c r="C36" t="s">
        <v>45</v>
      </c>
      <c r="D36" t="str">
        <f t="shared" si="5"/>
        <v/>
      </c>
      <c r="E36" t="str">
        <f t="shared" si="5"/>
        <v/>
      </c>
      <c r="F36" t="str">
        <f t="shared" si="5"/>
        <v/>
      </c>
      <c r="G36" t="str">
        <f t="shared" si="5"/>
        <v/>
      </c>
      <c r="H36" t="str">
        <f t="shared" si="5"/>
        <v/>
      </c>
      <c r="I36" t="str">
        <f t="shared" si="5"/>
        <v/>
      </c>
      <c r="J36" t="str">
        <f t="shared" si="5"/>
        <v/>
      </c>
      <c r="K36" t="str">
        <f t="shared" si="5"/>
        <v/>
      </c>
      <c r="L36" t="str">
        <f t="shared" ref="L36:W36" si="9">IF(ISBLANK(L24),"",L24*(100/$C$19))</f>
        <v/>
      </c>
      <c r="M36" t="str">
        <f t="shared" si="9"/>
        <v/>
      </c>
      <c r="N36" t="str">
        <f t="shared" si="9"/>
        <v/>
      </c>
      <c r="O36" t="str">
        <f t="shared" si="9"/>
        <v/>
      </c>
      <c r="P36" t="str">
        <f t="shared" si="9"/>
        <v/>
      </c>
      <c r="Q36" t="str">
        <f t="shared" si="9"/>
        <v/>
      </c>
      <c r="R36" t="str">
        <f t="shared" si="9"/>
        <v/>
      </c>
      <c r="S36" t="str">
        <f t="shared" si="9"/>
        <v/>
      </c>
      <c r="T36" t="str">
        <f t="shared" si="9"/>
        <v/>
      </c>
      <c r="U36" t="str">
        <f t="shared" si="9"/>
        <v/>
      </c>
      <c r="V36" t="str">
        <f t="shared" si="9"/>
        <v/>
      </c>
      <c r="W36" t="str">
        <f t="shared" si="9"/>
        <v/>
      </c>
    </row>
    <row r="37" spans="2:24" x14ac:dyDescent="0.35">
      <c r="B37" s="29"/>
    </row>
    <row r="38" spans="2:24" x14ac:dyDescent="0.35">
      <c r="B38" s="1"/>
    </row>
    <row r="39" spans="2:24" ht="15.5" x14ac:dyDescent="0.35">
      <c r="B39" s="6" t="s">
        <v>552</v>
      </c>
    </row>
    <row r="41" spans="2:24" x14ac:dyDescent="0.35">
      <c r="B41" t="s">
        <v>23</v>
      </c>
      <c r="C41" t="s">
        <v>2</v>
      </c>
      <c r="D41" t="s">
        <v>3</v>
      </c>
      <c r="E41" t="s">
        <v>4</v>
      </c>
      <c r="F41" t="s">
        <v>5</v>
      </c>
      <c r="G41" t="s">
        <v>6</v>
      </c>
      <c r="H41" t="s">
        <v>7</v>
      </c>
      <c r="I41" t="s">
        <v>8</v>
      </c>
      <c r="J41" t="s">
        <v>9</v>
      </c>
      <c r="K41" t="s">
        <v>10</v>
      </c>
      <c r="L41" t="s">
        <v>11</v>
      </c>
      <c r="M41" t="s">
        <v>12</v>
      </c>
      <c r="N41" t="s">
        <v>13</v>
      </c>
      <c r="O41" t="s">
        <v>14</v>
      </c>
      <c r="P41" t="s">
        <v>232</v>
      </c>
      <c r="Q41" t="s">
        <v>233</v>
      </c>
      <c r="R41" t="s">
        <v>234</v>
      </c>
      <c r="S41" t="s">
        <v>15</v>
      </c>
      <c r="T41" t="s">
        <v>16</v>
      </c>
      <c r="U41" t="s">
        <v>17</v>
      </c>
      <c r="V41" t="s">
        <v>18</v>
      </c>
      <c r="W41" t="s">
        <v>19</v>
      </c>
      <c r="X41" t="s">
        <v>41</v>
      </c>
    </row>
    <row r="42" spans="2:24" x14ac:dyDescent="0.35">
      <c r="B42" t="s">
        <v>23</v>
      </c>
      <c r="C42" t="s">
        <v>22</v>
      </c>
      <c r="D42" s="124"/>
      <c r="E42" s="124"/>
      <c r="F42" s="124"/>
      <c r="G42" s="124"/>
      <c r="H42" s="124"/>
      <c r="I42" s="124"/>
      <c r="J42" s="124"/>
      <c r="K42" s="124"/>
      <c r="L42" s="118"/>
      <c r="M42" s="118"/>
      <c r="N42" s="118"/>
      <c r="O42" s="118"/>
      <c r="P42" s="118"/>
      <c r="Q42" s="118"/>
      <c r="R42" s="118"/>
      <c r="S42" s="118"/>
      <c r="T42" s="118"/>
      <c r="U42" s="118"/>
      <c r="V42" s="118"/>
      <c r="W42" s="118"/>
    </row>
    <row r="43" spans="2:24" x14ac:dyDescent="0.35">
      <c r="B43" t="s">
        <v>23</v>
      </c>
      <c r="C43" t="s">
        <v>24</v>
      </c>
      <c r="D43" s="124"/>
      <c r="E43" s="124"/>
      <c r="F43" s="124"/>
      <c r="G43" s="124"/>
      <c r="H43" s="124"/>
      <c r="I43" s="124"/>
      <c r="J43" s="124"/>
      <c r="K43" s="124"/>
      <c r="L43" s="118"/>
      <c r="M43" s="118"/>
      <c r="N43" s="118"/>
      <c r="O43" s="118"/>
      <c r="P43" s="118"/>
      <c r="Q43" s="118"/>
      <c r="R43" s="118"/>
      <c r="S43" s="118"/>
      <c r="T43" s="118"/>
      <c r="U43" s="118"/>
      <c r="V43" s="118"/>
      <c r="W43" s="118"/>
    </row>
    <row r="44" spans="2:24" x14ac:dyDescent="0.35">
      <c r="B44" t="s">
        <v>23</v>
      </c>
      <c r="C44" t="s">
        <v>26</v>
      </c>
      <c r="D44" s="124"/>
      <c r="E44" s="124"/>
      <c r="F44" s="124"/>
      <c r="G44" s="124"/>
      <c r="H44" s="124"/>
      <c r="I44" s="124"/>
      <c r="J44" s="124"/>
      <c r="K44" s="124"/>
      <c r="L44" s="118"/>
      <c r="M44" s="118"/>
      <c r="N44" s="118"/>
      <c r="O44" s="118"/>
      <c r="P44" s="118"/>
      <c r="Q44" s="118"/>
      <c r="R44" s="118"/>
      <c r="S44" s="118"/>
      <c r="T44" s="118"/>
      <c r="U44" s="118"/>
      <c r="V44" s="118"/>
      <c r="W44" s="118"/>
    </row>
    <row r="45" spans="2:24" x14ac:dyDescent="0.35">
      <c r="B45" s="25" t="s">
        <v>262</v>
      </c>
      <c r="C45" s="25" t="s">
        <v>24</v>
      </c>
      <c r="D45" s="15" t="str">
        <f t="shared" ref="D45:J45" si="10">IF(AND(ISBLANK(D42),ISBLANK(D43),ISBLANK(D44)),"",D43+(D42*2)+(D44/2))</f>
        <v/>
      </c>
      <c r="E45" s="15" t="str">
        <f t="shared" si="10"/>
        <v/>
      </c>
      <c r="F45" s="15" t="str">
        <f t="shared" si="10"/>
        <v/>
      </c>
      <c r="G45" s="15" t="str">
        <f t="shared" si="10"/>
        <v/>
      </c>
      <c r="H45" s="15" t="str">
        <f t="shared" si="10"/>
        <v/>
      </c>
      <c r="I45" s="15" t="str">
        <f t="shared" si="10"/>
        <v/>
      </c>
      <c r="J45" s="15" t="str">
        <f t="shared" si="10"/>
        <v/>
      </c>
      <c r="K45" s="15" t="str">
        <f>IF(AND(ISBLANK(K42),ISBLANK(K43),ISBLANK(K44)),"",K43+(K42*2)+(K44/2))</f>
        <v/>
      </c>
      <c r="L45" s="15" t="str">
        <f t="shared" ref="L45:W45" si="11">IF(AND(ISBLANK(L42),ISBLANK(L43),ISBLANK(L44)),"",L43+(L42*2)+(L44/2))</f>
        <v/>
      </c>
      <c r="M45" s="15" t="str">
        <f t="shared" si="11"/>
        <v/>
      </c>
      <c r="N45" s="15" t="str">
        <f t="shared" si="11"/>
        <v/>
      </c>
      <c r="O45" s="15" t="str">
        <f t="shared" si="11"/>
        <v/>
      </c>
      <c r="P45" s="15" t="str">
        <f t="shared" si="11"/>
        <v/>
      </c>
      <c r="Q45" s="15" t="str">
        <f t="shared" si="11"/>
        <v/>
      </c>
      <c r="R45" s="15" t="str">
        <f t="shared" si="11"/>
        <v/>
      </c>
      <c r="S45" s="15" t="str">
        <f t="shared" si="11"/>
        <v/>
      </c>
      <c r="T45" s="15" t="str">
        <f t="shared" si="11"/>
        <v/>
      </c>
      <c r="U45" s="15" t="str">
        <f t="shared" si="11"/>
        <v/>
      </c>
      <c r="V45" s="15" t="str">
        <f t="shared" si="11"/>
        <v/>
      </c>
      <c r="W45" s="15" t="str">
        <f t="shared" si="11"/>
        <v/>
      </c>
      <c r="X45" s="25"/>
    </row>
    <row r="47" spans="2:24" x14ac:dyDescent="0.35">
      <c r="B47" t="s">
        <v>21</v>
      </c>
      <c r="C47" t="s">
        <v>2</v>
      </c>
      <c r="D47" t="s">
        <v>3</v>
      </c>
      <c r="E47" t="s">
        <v>4</v>
      </c>
      <c r="F47" t="s">
        <v>5</v>
      </c>
      <c r="G47" t="s">
        <v>6</v>
      </c>
      <c r="H47" t="s">
        <v>7</v>
      </c>
      <c r="I47" t="s">
        <v>8</v>
      </c>
      <c r="J47" t="s">
        <v>9</v>
      </c>
      <c r="K47" t="s">
        <v>10</v>
      </c>
      <c r="L47" t="s">
        <v>11</v>
      </c>
      <c r="M47" t="s">
        <v>12</v>
      </c>
      <c r="N47" t="s">
        <v>13</v>
      </c>
      <c r="O47" t="s">
        <v>14</v>
      </c>
      <c r="P47" t="s">
        <v>232</v>
      </c>
      <c r="Q47" t="s">
        <v>233</v>
      </c>
      <c r="R47" t="s">
        <v>234</v>
      </c>
      <c r="S47" t="s">
        <v>15</v>
      </c>
      <c r="T47" t="s">
        <v>16</v>
      </c>
      <c r="U47" t="s">
        <v>17</v>
      </c>
      <c r="V47" t="s">
        <v>18</v>
      </c>
      <c r="W47" t="s">
        <v>19</v>
      </c>
      <c r="X47" t="s">
        <v>41</v>
      </c>
    </row>
    <row r="48" spans="2:24" x14ac:dyDescent="0.35">
      <c r="B48" t="s">
        <v>21</v>
      </c>
      <c r="C48" t="s">
        <v>22</v>
      </c>
      <c r="D48" s="124"/>
      <c r="E48" s="124"/>
      <c r="F48" s="124"/>
      <c r="G48" s="124"/>
      <c r="H48" s="124"/>
      <c r="I48" s="124"/>
      <c r="J48" s="124"/>
      <c r="K48" s="124"/>
      <c r="L48" s="118"/>
      <c r="M48" s="118"/>
      <c r="N48" s="118"/>
      <c r="O48" s="118"/>
      <c r="P48" s="118"/>
      <c r="Q48" s="118"/>
      <c r="R48" s="118"/>
      <c r="S48" s="118"/>
      <c r="T48" s="118"/>
      <c r="U48" s="118"/>
      <c r="V48" s="118"/>
      <c r="W48" s="118"/>
    </row>
    <row r="49" spans="2:24" x14ac:dyDescent="0.35">
      <c r="B49" t="s">
        <v>21</v>
      </c>
      <c r="C49" t="s">
        <v>24</v>
      </c>
      <c r="D49" s="124"/>
      <c r="E49" s="124"/>
      <c r="F49" s="124"/>
      <c r="G49" s="124"/>
      <c r="H49" s="124"/>
      <c r="I49" s="124"/>
      <c r="J49" s="124"/>
      <c r="K49" s="124"/>
      <c r="L49" s="118"/>
      <c r="M49" s="118"/>
      <c r="N49" s="118"/>
      <c r="O49" s="118"/>
      <c r="P49" s="118"/>
      <c r="Q49" s="118"/>
      <c r="R49" s="118"/>
      <c r="S49" s="118"/>
      <c r="T49" s="118"/>
      <c r="U49" s="118"/>
      <c r="V49" s="118"/>
      <c r="W49" s="118"/>
      <c r="X49" t="s">
        <v>25</v>
      </c>
    </row>
    <row r="50" spans="2:24" x14ac:dyDescent="0.35">
      <c r="B50" t="s">
        <v>21</v>
      </c>
      <c r="C50" t="s">
        <v>26</v>
      </c>
      <c r="D50" s="124"/>
      <c r="E50" s="124"/>
      <c r="F50" s="124"/>
      <c r="G50" s="124"/>
      <c r="H50" s="124"/>
      <c r="I50" s="124"/>
      <c r="J50" s="124"/>
      <c r="K50" s="124"/>
      <c r="L50" s="118"/>
      <c r="M50" s="118"/>
      <c r="N50" s="118"/>
      <c r="O50" s="118"/>
      <c r="P50" s="118"/>
      <c r="Q50" s="118"/>
      <c r="R50" s="118"/>
      <c r="S50" s="118"/>
      <c r="T50" s="118"/>
      <c r="U50" s="118"/>
      <c r="V50" s="118"/>
      <c r="W50" s="118"/>
    </row>
    <row r="51" spans="2:24" x14ac:dyDescent="0.35">
      <c r="B51" s="25" t="s">
        <v>262</v>
      </c>
      <c r="C51" s="25" t="s">
        <v>24</v>
      </c>
      <c r="D51" s="15" t="str">
        <f t="shared" ref="D51:J51" si="12">IF(AND(ISBLANK(D48),ISBLANK(D49),ISBLANK(D50)),"",D49+(D48*2)+(D50/2))</f>
        <v/>
      </c>
      <c r="E51" s="15" t="str">
        <f t="shared" si="12"/>
        <v/>
      </c>
      <c r="F51" s="15" t="str">
        <f t="shared" si="12"/>
        <v/>
      </c>
      <c r="G51" s="15" t="str">
        <f t="shared" si="12"/>
        <v/>
      </c>
      <c r="H51" s="15" t="str">
        <f t="shared" si="12"/>
        <v/>
      </c>
      <c r="I51" s="15" t="str">
        <f t="shared" si="12"/>
        <v/>
      </c>
      <c r="J51" s="15" t="str">
        <f t="shared" si="12"/>
        <v/>
      </c>
      <c r="K51" s="15" t="str">
        <f>IF(AND(ISBLANK(K48),ISBLANK(K49),ISBLANK(K50)),"",K49+(K48*2)+(K50/2))</f>
        <v/>
      </c>
      <c r="L51" s="15" t="str">
        <f t="shared" ref="L51:W51" si="13">IF(AND(ISBLANK(L48),ISBLANK(L49),ISBLANK(L50)),"",L49+(L48*2)+(L50/2))</f>
        <v/>
      </c>
      <c r="M51" s="15" t="str">
        <f t="shared" si="13"/>
        <v/>
      </c>
      <c r="N51" s="15" t="str">
        <f t="shared" si="13"/>
        <v/>
      </c>
      <c r="O51" s="15" t="str">
        <f t="shared" si="13"/>
        <v/>
      </c>
      <c r="P51" s="15" t="str">
        <f t="shared" si="13"/>
        <v/>
      </c>
      <c r="Q51" s="15" t="str">
        <f t="shared" si="13"/>
        <v/>
      </c>
      <c r="R51" s="15" t="str">
        <f t="shared" si="13"/>
        <v/>
      </c>
      <c r="S51" s="15" t="str">
        <f t="shared" si="13"/>
        <v/>
      </c>
      <c r="T51" s="15" t="str">
        <f t="shared" si="13"/>
        <v/>
      </c>
      <c r="U51" s="15" t="str">
        <f t="shared" si="13"/>
        <v/>
      </c>
      <c r="V51" s="15" t="str">
        <f t="shared" si="13"/>
        <v/>
      </c>
      <c r="W51" s="15" t="str">
        <f t="shared" si="13"/>
        <v/>
      </c>
      <c r="X51" s="25"/>
    </row>
    <row r="53" spans="2:24" x14ac:dyDescent="0.35">
      <c r="B53" t="s">
        <v>472</v>
      </c>
      <c r="C53" t="s">
        <v>2</v>
      </c>
      <c r="D53" t="s">
        <v>3</v>
      </c>
      <c r="E53" t="s">
        <v>4</v>
      </c>
      <c r="F53" t="s">
        <v>5</v>
      </c>
      <c r="G53" t="s">
        <v>6</v>
      </c>
      <c r="H53" t="s">
        <v>7</v>
      </c>
      <c r="I53" t="s">
        <v>8</v>
      </c>
      <c r="J53" t="s">
        <v>9</v>
      </c>
      <c r="K53" t="s">
        <v>10</v>
      </c>
      <c r="L53" t="s">
        <v>11</v>
      </c>
      <c r="M53" t="s">
        <v>12</v>
      </c>
      <c r="N53" t="s">
        <v>13</v>
      </c>
      <c r="O53" t="s">
        <v>14</v>
      </c>
      <c r="P53" t="s">
        <v>232</v>
      </c>
      <c r="Q53" t="s">
        <v>233</v>
      </c>
      <c r="R53" t="s">
        <v>234</v>
      </c>
      <c r="S53" t="s">
        <v>15</v>
      </c>
      <c r="T53" t="s">
        <v>16</v>
      </c>
      <c r="U53" t="s">
        <v>17</v>
      </c>
      <c r="V53" t="s">
        <v>18</v>
      </c>
      <c r="W53" t="s">
        <v>19</v>
      </c>
      <c r="X53" t="s">
        <v>41</v>
      </c>
    </row>
    <row r="54" spans="2:24" x14ac:dyDescent="0.35">
      <c r="B54" t="s">
        <v>23</v>
      </c>
      <c r="C54" t="s">
        <v>48</v>
      </c>
      <c r="D54" t="str">
        <f>IF(AND(ISBLANK(D42),ISBLANK(D43),ISBLANK(D44)),"",Frischfaserpapier_Anzahl_Blatt[[#Totals],[2015]]*5/1000 )</f>
        <v/>
      </c>
      <c r="E54" t="str">
        <f>IF(AND(ISBLANK(E42),ISBLANK(E43),ISBLANK(E44)),"",Frischfaserpapier_Anzahl_Blatt[[#Totals],[2016]]*5/1000 )</f>
        <v/>
      </c>
      <c r="F54" t="str">
        <f>IF(AND(ISBLANK(F42),ISBLANK(F43),ISBLANK(F44)),"",Frischfaserpapier_Anzahl_Blatt[[#Totals],[2017]]*5/1000 )</f>
        <v/>
      </c>
      <c r="G54" t="str">
        <f>IF(AND(ISBLANK(G42),ISBLANK(G43),ISBLANK(G44)),"",Frischfaserpapier_Anzahl_Blatt[[#Totals],[2018]]*5/1000 )</f>
        <v/>
      </c>
      <c r="H54" t="str">
        <f>IF(AND(ISBLANK(H42),ISBLANK(H43),ISBLANK(H44)),"",Frischfaserpapier_Anzahl_Blatt[[#Totals],[2019]]*5/1000 )</f>
        <v/>
      </c>
      <c r="I54" t="str">
        <f>IF(AND(ISBLANK(I42),ISBLANK(I43),ISBLANK(I44)),"",Frischfaserpapier_Anzahl_Blatt[[#Totals],[2020]]*5/1000 )</f>
        <v/>
      </c>
      <c r="J54" t="str">
        <f>IF(AND(ISBLANK(J42),ISBLANK(J43),ISBLANK(J44)),"",Frischfaserpapier_Anzahl_Blatt[[#Totals],[2021]]*5/1000 )</f>
        <v/>
      </c>
      <c r="K54" t="str">
        <f>IF(AND(ISBLANK(K42),ISBLANK(K43),ISBLANK(K44)),"",Frischfaserpapier_Anzahl_Blatt[[#Totals],[2022]]*5/1000 )</f>
        <v/>
      </c>
      <c r="L54" t="str">
        <f>IF(AND(ISBLANK(L42),ISBLANK(L43),ISBLANK(L44)),"",Frischfaserpapier_Anzahl_Blatt[[#Totals],[2023]]*5/1000 )</f>
        <v/>
      </c>
      <c r="M54" t="str">
        <f>IF(AND(ISBLANK(M42),ISBLANK(M43),ISBLANK(M44)),"",Frischfaserpapier_Anzahl_Blatt[[#Totals],[2024]]*5/1000 )</f>
        <v/>
      </c>
      <c r="N54" t="str">
        <f>IF(AND(ISBLANK(N42),ISBLANK(N43),ISBLANK(N44)),"",Frischfaserpapier_Anzahl_Blatt[[#Totals],[2025]]*5/1000 )</f>
        <v/>
      </c>
      <c r="O54" t="str">
        <f>IF(AND(ISBLANK(O42),ISBLANK(O43),ISBLANK(O44)),"",Frischfaserpapier_Anzahl_Blatt[[#Totals],[2026]]*5/1000 )</f>
        <v/>
      </c>
      <c r="P54" t="str">
        <f>IF(AND(ISBLANK(P42),ISBLANK(P43),ISBLANK(P44)),"",Frischfaserpapier_Anzahl_Blatt[[#Totals],[2027]]*5/1000 )</f>
        <v/>
      </c>
      <c r="Q54" t="str">
        <f>IF(AND(ISBLANK(Q42),ISBLANK(Q43),ISBLANK(Q44)),"",Frischfaserpapier_Anzahl_Blatt[[#Totals],[2028]]*5/1000 )</f>
        <v/>
      </c>
      <c r="R54" t="str">
        <f>IF(AND(ISBLANK(R42),ISBLANK(R43),ISBLANK(R44)),"",Frischfaserpapier_Anzahl_Blatt[[#Totals],[2029]]*5/1000 )</f>
        <v/>
      </c>
      <c r="S54" t="str">
        <f>IF(AND(ISBLANK(S42),ISBLANK(S43),ISBLANK(S44)),"",Frischfaserpapier_Anzahl_Blatt[[#Totals],[2030]]*5/1000 )</f>
        <v/>
      </c>
      <c r="T54" t="str">
        <f>IF(AND(ISBLANK(T42),ISBLANK(T43),ISBLANK(T44)),"",Frischfaserpapier_Anzahl_Blatt[[#Totals],[2035]]*5/1000 )</f>
        <v/>
      </c>
      <c r="U54" t="str">
        <f>IF(AND(ISBLANK(U42),ISBLANK(U43),ISBLANK(U44)),"",Frischfaserpapier_Anzahl_Blatt[[#Totals],[2040]]*5/1000 )</f>
        <v/>
      </c>
      <c r="V54" t="str">
        <f>IF(AND(ISBLANK(V42),ISBLANK(V43),ISBLANK(V44)),"",Frischfaserpapier_Anzahl_Blatt[[#Totals],[2045]]*5/1000 )</f>
        <v/>
      </c>
      <c r="W54" t="str">
        <f>IF(AND(ISBLANK(W42),ISBLANK(W43),ISBLANK(W44)),"",Frischfaserpapier_Anzahl_Blatt[[#Totals],[2050]]*5/1000 )</f>
        <v/>
      </c>
    </row>
    <row r="55" spans="2:24" x14ac:dyDescent="0.35">
      <c r="B55" t="s">
        <v>21</v>
      </c>
      <c r="C55" t="s">
        <v>48</v>
      </c>
      <c r="D55" t="str">
        <f>IF(AND(ISBLANK(D48),ISBLANK(D49),ISBLANK(D50)),"",Recyclingpapier_Anzahl_Blatt[[#Totals],[2015]]*5/1000 )</f>
        <v/>
      </c>
      <c r="E55" t="str">
        <f>IF(AND(ISBLANK(E48),ISBLANK(E49),ISBLANK(E50)),"",Recyclingpapier_Anzahl_Blatt[[#Totals],[2016]]*5/1000 )</f>
        <v/>
      </c>
      <c r="F55" t="str">
        <f>IF(AND(ISBLANK(F48),ISBLANK(F49),ISBLANK(F50)),"",Recyclingpapier_Anzahl_Blatt[[#Totals],[2017]]*5/1000 )</f>
        <v/>
      </c>
      <c r="G55" t="str">
        <f>IF(AND(ISBLANK(G48),ISBLANK(G49),ISBLANK(G50)),"",Recyclingpapier_Anzahl_Blatt[[#Totals],[2018]]*5/1000 )</f>
        <v/>
      </c>
      <c r="H55" t="str">
        <f>IF(AND(ISBLANK(H48),ISBLANK(H49),ISBLANK(H50)),"",Recyclingpapier_Anzahl_Blatt[[#Totals],[2019]]*5/1000 )</f>
        <v/>
      </c>
      <c r="I55" t="str">
        <f>IF(AND(ISBLANK(I48),ISBLANK(I49),ISBLANK(I50)),"",Recyclingpapier_Anzahl_Blatt[[#Totals],[2020]]*5/1000 )</f>
        <v/>
      </c>
      <c r="J55" t="str">
        <f>IF(AND(ISBLANK(J48),ISBLANK(J49),ISBLANK(J50)),"",Recyclingpapier_Anzahl_Blatt[[#Totals],[2021]]*5/1000 )</f>
        <v/>
      </c>
      <c r="K55" t="str">
        <f>IF(AND(ISBLANK(K48),ISBLANK(K49),ISBLANK(K50)),"",Recyclingpapier_Anzahl_Blatt[[#Totals],[2022]]*5/1000 )</f>
        <v/>
      </c>
      <c r="L55" t="str">
        <f>IF(AND(ISBLANK(L48),ISBLANK(L49),ISBLANK(L50)),"",Recyclingpapier_Anzahl_Blatt[[#Totals],[2023]]*5/1000 )</f>
        <v/>
      </c>
      <c r="M55" t="str">
        <f>IF(AND(ISBLANK(M48),ISBLANK(M49),ISBLANK(M50)),"",Recyclingpapier_Anzahl_Blatt[[#Totals],[2024]]*5/1000 )</f>
        <v/>
      </c>
      <c r="N55" t="str">
        <f>IF(AND(ISBLANK(N48),ISBLANK(N49),ISBLANK(N50)),"",Recyclingpapier_Anzahl_Blatt[[#Totals],[2025]]*5/1000 )</f>
        <v/>
      </c>
      <c r="O55" t="str">
        <f>IF(AND(ISBLANK(O48),ISBLANK(O49),ISBLANK(O50)),"",Recyclingpapier_Anzahl_Blatt[[#Totals],[2026]]*5/1000 )</f>
        <v/>
      </c>
      <c r="P55" t="str">
        <f>IF(AND(ISBLANK(P48),ISBLANK(P49),ISBLANK(P50)),"",Recyclingpapier_Anzahl_Blatt[[#Totals],[2027]]*5/1000 )</f>
        <v/>
      </c>
      <c r="Q55" t="str">
        <f>IF(AND(ISBLANK(Q48),ISBLANK(Q49),ISBLANK(Q50)),"",Recyclingpapier_Anzahl_Blatt[[#Totals],[2028]]*5/1000 )</f>
        <v/>
      </c>
      <c r="R55" t="str">
        <f>IF(AND(ISBLANK(R48),ISBLANK(R49),ISBLANK(R50)),"",Recyclingpapier_Anzahl_Blatt[[#Totals],[2029]]*5/1000 )</f>
        <v/>
      </c>
      <c r="S55" t="str">
        <f>IF(AND(ISBLANK(S48),ISBLANK(S49),ISBLANK(S50)),"",Recyclingpapier_Anzahl_Blatt[[#Totals],[2030]]*5/1000 )</f>
        <v/>
      </c>
      <c r="T55" t="str">
        <f>IF(AND(ISBLANK(T48),ISBLANK(T49),ISBLANK(T50)),"",Recyclingpapier_Anzahl_Blatt[[#Totals],[2035]]*5/1000 )</f>
        <v/>
      </c>
      <c r="U55" t="str">
        <f>IF(AND(ISBLANK(U48),ISBLANK(U49),ISBLANK(U50)),"",Recyclingpapier_Anzahl_Blatt[[#Totals],[2040]]*5/1000 )</f>
        <v/>
      </c>
      <c r="V55" t="str">
        <f>IF(AND(ISBLANK(V48),ISBLANK(V49),ISBLANK(V50)),"",Recyclingpapier_Anzahl_Blatt[[#Totals],[2045]]*5/1000 )</f>
        <v/>
      </c>
      <c r="W55" t="str">
        <f>IF(AND(ISBLANK(W48),ISBLANK(W49),ISBLANK(W50)),"",Recyclingpapier_Anzahl_Blatt[[#Totals],[2050]]*5/1000 )</f>
        <v/>
      </c>
      <c r="X55" t="s">
        <v>25</v>
      </c>
    </row>
  </sheetData>
  <hyperlinks>
    <hyperlink ref="B6" location="Umrechnen!B9" display="   1. Mobilität (Liter in Kilometer)" xr:uid="{D2E0494B-BE83-4A08-82BC-FC84EBDC65BA}"/>
    <hyperlink ref="B7" location="Umrechnen!B39" display="   2. Papier (Blatt in Kilogramm)" xr:uid="{C23F8C85-8D98-492D-B60E-D8736CFF3DEC}"/>
    <hyperlink ref="B1" location="Startseite!B1" tooltip="Zurück zur Einleitung" display="Zur Startseite" xr:uid="{07352942-EC08-477D-BEB9-719B1BBA8BB8}"/>
    <hyperlink ref="E1" r:id="rId1" tooltip="Kontakt zur Autorin" display="Kontakt zur Autorin" xr:uid="{76DEE934-A128-41A6-AF1D-3D0495E9AD49}"/>
  </hyperlinks>
  <pageMargins left="0.7" right="0.7" top="0.78740157499999996" bottom="0.78740157499999996" header="0.3" footer="0.3"/>
  <pageSetup paperSize="9" orientation="portrait" r:id="rId2"/>
  <tableParts count="7">
    <tablePart r:id="rId3"/>
    <tablePart r:id="rId4"/>
    <tablePart r:id="rId5"/>
    <tablePart r:id="rId6"/>
    <tablePart r:id="rId7"/>
    <tablePart r:id="rId8"/>
    <tablePart r:id="rId9"/>
  </tableParts>
  <extLst>
    <ext xmlns:x14="http://schemas.microsoft.com/office/spreadsheetml/2009/9/main" uri="{78C0D931-6437-407d-A8EE-F0AAD7539E65}">
      <x14:conditionalFormattings>
        <x14:conditionalFormatting xmlns:xm="http://schemas.microsoft.com/office/excel/2006/main">
          <x14:cfRule type="expression" priority="47" id="{3D8E0A3E-AFAE-4C92-BD74-A7688C97659C}">
            <xm:f>K$13&gt;='Refsz-Verbräuche'!$B$43</xm:f>
            <x14:dxf>
              <fill>
                <patternFill>
                  <bgColor rgb="FFFFC000"/>
                </patternFill>
              </fill>
            </x14:dxf>
          </x14:cfRule>
          <xm:sqref>K14:W17 K21:W24 K42:W44 K48:W50 K27:W30 K33:W36 K54:W55</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31459-F279-4A01-8707-3F6E020ECB4C}">
  <sheetPr>
    <tabColor rgb="FF7030A0"/>
  </sheetPr>
  <dimension ref="B1:X240"/>
  <sheetViews>
    <sheetView showGridLines="0" zoomScaleNormal="100" workbookViewId="0">
      <pane xSplit="2" ySplit="1" topLeftCell="C2" activePane="bottomRight" state="frozen"/>
      <selection pane="topRight" activeCell="C1" sqref="C1"/>
      <selection pane="bottomLeft" activeCell="A2" sqref="A2"/>
      <selection pane="bottomRight" activeCell="B1" sqref="B1"/>
    </sheetView>
  </sheetViews>
  <sheetFormatPr baseColWidth="10" defaultRowHeight="14.5" x14ac:dyDescent="0.35"/>
  <cols>
    <col min="1" max="1" width="3.54296875" customWidth="1"/>
    <col min="2" max="2" width="37.453125" customWidth="1"/>
    <col min="23" max="23" width="10.81640625" customWidth="1"/>
    <col min="24" max="24" width="12.54296875" customWidth="1"/>
  </cols>
  <sheetData>
    <row r="1" spans="2:10" x14ac:dyDescent="0.35">
      <c r="B1" s="4" t="s">
        <v>529</v>
      </c>
      <c r="C1" s="5"/>
      <c r="D1" s="3"/>
      <c r="E1" s="3" t="s">
        <v>590</v>
      </c>
      <c r="F1" s="5"/>
      <c r="J1" s="28"/>
    </row>
    <row r="3" spans="2:10" ht="18.5" x14ac:dyDescent="0.45">
      <c r="B3" s="26" t="s">
        <v>502</v>
      </c>
    </row>
    <row r="5" spans="2:10" ht="15.5" x14ac:dyDescent="0.35">
      <c r="B5" s="6" t="s">
        <v>0</v>
      </c>
    </row>
    <row r="6" spans="2:10" ht="19" customHeight="1" x14ac:dyDescent="0.35">
      <c r="B6" s="28" t="s">
        <v>302</v>
      </c>
    </row>
    <row r="7" spans="2:10" ht="4.5" customHeight="1" x14ac:dyDescent="0.35"/>
    <row r="8" spans="2:10" x14ac:dyDescent="0.35">
      <c r="B8" t="s">
        <v>345</v>
      </c>
    </row>
    <row r="9" spans="2:10" x14ac:dyDescent="0.35">
      <c r="B9" s="28" t="s">
        <v>597</v>
      </c>
    </row>
    <row r="10" spans="2:10" x14ac:dyDescent="0.35">
      <c r="B10" s="28" t="s">
        <v>598</v>
      </c>
    </row>
    <row r="12" spans="2:10" ht="15.5" x14ac:dyDescent="0.35">
      <c r="B12" s="6" t="s">
        <v>302</v>
      </c>
    </row>
    <row r="32" spans="4:4" x14ac:dyDescent="0.35">
      <c r="D32" s="29"/>
    </row>
    <row r="33" spans="2:22" x14ac:dyDescent="0.35">
      <c r="B33" s="1" t="s">
        <v>305</v>
      </c>
      <c r="D33" s="29"/>
    </row>
    <row r="34" spans="2:22" x14ac:dyDescent="0.35">
      <c r="B34" t="s">
        <v>306</v>
      </c>
      <c r="C34" t="s">
        <v>307</v>
      </c>
      <c r="D34" s="29"/>
    </row>
    <row r="35" spans="2:22" x14ac:dyDescent="0.35">
      <c r="B35" s="118" t="s">
        <v>308</v>
      </c>
      <c r="C35" s="15">
        <v>1</v>
      </c>
      <c r="D35" s="29"/>
    </row>
    <row r="36" spans="2:22" x14ac:dyDescent="0.35">
      <c r="B36" s="118" t="s">
        <v>309</v>
      </c>
      <c r="C36" s="15">
        <v>2</v>
      </c>
      <c r="D36" s="29"/>
    </row>
    <row r="37" spans="2:22" x14ac:dyDescent="0.35">
      <c r="B37" s="123" t="s">
        <v>310</v>
      </c>
      <c r="C37" s="15">
        <v>3</v>
      </c>
      <c r="D37" s="29"/>
    </row>
    <row r="38" spans="2:22" x14ac:dyDescent="0.35">
      <c r="B38" s="123" t="s">
        <v>311</v>
      </c>
      <c r="C38" s="15">
        <v>4</v>
      </c>
      <c r="D38" s="29"/>
    </row>
    <row r="39" spans="2:22" x14ac:dyDescent="0.35">
      <c r="B39" s="123" t="s">
        <v>312</v>
      </c>
      <c r="C39" s="15">
        <v>5</v>
      </c>
      <c r="D39" s="29"/>
    </row>
    <row r="40" spans="2:22" x14ac:dyDescent="0.35">
      <c r="B40" s="123" t="s">
        <v>313</v>
      </c>
      <c r="C40" s="15">
        <v>6</v>
      </c>
      <c r="D40" s="29"/>
    </row>
    <row r="41" spans="2:22" x14ac:dyDescent="0.35">
      <c r="B41" s="1"/>
    </row>
    <row r="42" spans="2:22" x14ac:dyDescent="0.35">
      <c r="B42" s="1"/>
    </row>
    <row r="43" spans="2:22" x14ac:dyDescent="0.35">
      <c r="B43" s="1" t="str">
        <f>_xlfn.CONCAT("Tarif ",B35)</f>
        <v>Tarif Einrichtung 1</v>
      </c>
    </row>
    <row r="44" spans="2:22" x14ac:dyDescent="0.35">
      <c r="B44" t="s">
        <v>314</v>
      </c>
      <c r="C44" s="9" t="s">
        <v>3</v>
      </c>
      <c r="D44" s="9" t="s">
        <v>4</v>
      </c>
      <c r="E44" s="9" t="s">
        <v>5</v>
      </c>
      <c r="F44" s="9" t="s">
        <v>6</v>
      </c>
      <c r="G44" s="9" t="s">
        <v>7</v>
      </c>
      <c r="H44" s="9" t="s">
        <v>8</v>
      </c>
      <c r="I44" s="9" t="s">
        <v>9</v>
      </c>
      <c r="J44" s="10" t="s">
        <v>10</v>
      </c>
      <c r="K44" s="10" t="s">
        <v>11</v>
      </c>
      <c r="L44" s="10" t="s">
        <v>12</v>
      </c>
      <c r="M44" s="10" t="s">
        <v>13</v>
      </c>
      <c r="N44" s="10" t="s">
        <v>14</v>
      </c>
      <c r="O44" s="10" t="s">
        <v>232</v>
      </c>
      <c r="P44" s="10" t="s">
        <v>233</v>
      </c>
      <c r="Q44" s="10" t="s">
        <v>234</v>
      </c>
      <c r="R44" s="10" t="s">
        <v>15</v>
      </c>
      <c r="S44" s="10" t="s">
        <v>16</v>
      </c>
      <c r="T44" s="10" t="s">
        <v>17</v>
      </c>
      <c r="U44" s="10" t="s">
        <v>18</v>
      </c>
      <c r="V44" s="10" t="s">
        <v>19</v>
      </c>
    </row>
    <row r="45" spans="2:22" x14ac:dyDescent="0.35">
      <c r="B45" t="s">
        <v>315</v>
      </c>
      <c r="C45" s="122">
        <v>0</v>
      </c>
      <c r="D45" s="122">
        <v>0</v>
      </c>
      <c r="E45" s="122">
        <v>0</v>
      </c>
      <c r="F45" s="122">
        <v>0</v>
      </c>
      <c r="G45" s="122">
        <v>0</v>
      </c>
      <c r="H45" s="122">
        <v>0</v>
      </c>
      <c r="I45" s="122">
        <v>0</v>
      </c>
      <c r="J45" s="122">
        <v>0</v>
      </c>
      <c r="K45" s="122">
        <v>0</v>
      </c>
      <c r="L45" s="122">
        <v>0</v>
      </c>
      <c r="M45" s="122">
        <v>0</v>
      </c>
      <c r="N45" s="122">
        <v>0</v>
      </c>
      <c r="O45" s="122">
        <v>0</v>
      </c>
      <c r="P45" s="122">
        <v>0</v>
      </c>
      <c r="Q45" s="122">
        <v>0</v>
      </c>
      <c r="R45" s="122">
        <v>0</v>
      </c>
      <c r="S45" s="122">
        <v>0</v>
      </c>
      <c r="T45" s="122">
        <v>0</v>
      </c>
      <c r="U45" s="122">
        <v>0</v>
      </c>
      <c r="V45" s="122">
        <v>0</v>
      </c>
    </row>
    <row r="46" spans="2:22" x14ac:dyDescent="0.35">
      <c r="B46" t="s">
        <v>316</v>
      </c>
      <c r="C46" s="122">
        <v>0</v>
      </c>
      <c r="D46" s="122">
        <v>0</v>
      </c>
      <c r="E46" s="122">
        <v>0</v>
      </c>
      <c r="F46" s="122">
        <v>0</v>
      </c>
      <c r="G46" s="122">
        <v>0</v>
      </c>
      <c r="H46" s="122">
        <v>0</v>
      </c>
      <c r="I46" s="122">
        <v>0</v>
      </c>
      <c r="J46" s="122">
        <v>0</v>
      </c>
      <c r="K46" s="122">
        <v>0</v>
      </c>
      <c r="L46" s="122">
        <v>0</v>
      </c>
      <c r="M46" s="122">
        <v>0</v>
      </c>
      <c r="N46" s="122">
        <v>0</v>
      </c>
      <c r="O46" s="122">
        <v>0</v>
      </c>
      <c r="P46" s="122">
        <v>0</v>
      </c>
      <c r="Q46" s="122">
        <v>0</v>
      </c>
      <c r="R46" s="122">
        <v>0</v>
      </c>
      <c r="S46" s="122">
        <v>0</v>
      </c>
      <c r="T46" s="122">
        <v>0</v>
      </c>
      <c r="U46" s="122">
        <v>0</v>
      </c>
      <c r="V46" s="122">
        <v>0</v>
      </c>
    </row>
    <row r="47" spans="2:22" x14ac:dyDescent="0.35">
      <c r="B47" t="s">
        <v>141</v>
      </c>
      <c r="C47" s="122">
        <v>0</v>
      </c>
      <c r="D47" s="122">
        <v>0</v>
      </c>
      <c r="E47" s="122">
        <v>0</v>
      </c>
      <c r="F47" s="122">
        <v>0</v>
      </c>
      <c r="G47" s="122">
        <v>0</v>
      </c>
      <c r="H47" s="122">
        <v>0</v>
      </c>
      <c r="I47" s="122">
        <v>0</v>
      </c>
      <c r="J47" s="122">
        <v>0</v>
      </c>
      <c r="K47" s="122">
        <v>0</v>
      </c>
      <c r="L47" s="122">
        <v>0</v>
      </c>
      <c r="M47" s="122">
        <v>0</v>
      </c>
      <c r="N47" s="122">
        <v>0</v>
      </c>
      <c r="O47" s="122">
        <v>0</v>
      </c>
      <c r="P47" s="122">
        <v>0</v>
      </c>
      <c r="Q47" s="122">
        <v>0</v>
      </c>
      <c r="R47" s="122">
        <v>0</v>
      </c>
      <c r="S47" s="122">
        <v>0</v>
      </c>
      <c r="T47" s="122">
        <v>0</v>
      </c>
      <c r="U47" s="122">
        <v>0</v>
      </c>
      <c r="V47" s="122">
        <v>0</v>
      </c>
    </row>
    <row r="48" spans="2:22" x14ac:dyDescent="0.35">
      <c r="B48" t="s">
        <v>317</v>
      </c>
      <c r="C48" s="122">
        <v>0</v>
      </c>
      <c r="D48" s="122">
        <v>0</v>
      </c>
      <c r="E48" s="122">
        <v>0</v>
      </c>
      <c r="F48" s="122">
        <v>0</v>
      </c>
      <c r="G48" s="122">
        <v>0</v>
      </c>
      <c r="H48" s="122">
        <v>0</v>
      </c>
      <c r="I48" s="122">
        <v>0</v>
      </c>
      <c r="J48" s="122">
        <v>0</v>
      </c>
      <c r="K48" s="122">
        <v>0</v>
      </c>
      <c r="L48" s="122">
        <v>0</v>
      </c>
      <c r="M48" s="122">
        <v>0</v>
      </c>
      <c r="N48" s="122">
        <v>0</v>
      </c>
      <c r="O48" s="122">
        <v>0</v>
      </c>
      <c r="P48" s="122">
        <v>0</v>
      </c>
      <c r="Q48" s="122">
        <v>0</v>
      </c>
      <c r="R48" s="122">
        <v>0</v>
      </c>
      <c r="S48" s="122">
        <v>0</v>
      </c>
      <c r="T48" s="122">
        <v>0</v>
      </c>
      <c r="U48" s="122">
        <v>0</v>
      </c>
      <c r="V48" s="122">
        <v>0</v>
      </c>
    </row>
    <row r="49" spans="2:22" x14ac:dyDescent="0.35">
      <c r="B49" t="s">
        <v>318</v>
      </c>
      <c r="C49" s="122">
        <v>0</v>
      </c>
      <c r="D49" s="122">
        <v>0</v>
      </c>
      <c r="E49" s="122">
        <v>0</v>
      </c>
      <c r="F49" s="122">
        <v>0</v>
      </c>
      <c r="G49" s="122">
        <v>0</v>
      </c>
      <c r="H49" s="122">
        <v>0</v>
      </c>
      <c r="I49" s="122">
        <v>0</v>
      </c>
      <c r="J49" s="122">
        <v>0</v>
      </c>
      <c r="K49" s="122">
        <v>0</v>
      </c>
      <c r="L49" s="122">
        <v>0</v>
      </c>
      <c r="M49" s="122">
        <v>0</v>
      </c>
      <c r="N49" s="122">
        <v>0</v>
      </c>
      <c r="O49" s="122">
        <v>0</v>
      </c>
      <c r="P49" s="122">
        <v>0</v>
      </c>
      <c r="Q49" s="122">
        <v>0</v>
      </c>
      <c r="R49" s="122">
        <v>0</v>
      </c>
      <c r="S49" s="122">
        <v>0</v>
      </c>
      <c r="T49" s="122">
        <v>0</v>
      </c>
      <c r="U49" s="122">
        <v>0</v>
      </c>
      <c r="V49" s="122">
        <v>0</v>
      </c>
    </row>
    <row r="50" spans="2:22" x14ac:dyDescent="0.35">
      <c r="B50" s="25" t="s">
        <v>319</v>
      </c>
      <c r="C50" s="169">
        <f>(C45*C106)+(C46*C107)+(C47*C108)+(C48*C109)+(C49*C110)</f>
        <v>0</v>
      </c>
      <c r="D50" s="169">
        <f t="shared" ref="D50:V50" si="0">(D45*D106)+(D46*D107)+(D47*D108)+(D48*D109)+(D49*D110)</f>
        <v>0</v>
      </c>
      <c r="E50" s="169">
        <f t="shared" si="0"/>
        <v>0</v>
      </c>
      <c r="F50" s="169">
        <f t="shared" si="0"/>
        <v>0</v>
      </c>
      <c r="G50" s="169">
        <f t="shared" si="0"/>
        <v>0</v>
      </c>
      <c r="H50" s="169">
        <f t="shared" si="0"/>
        <v>0</v>
      </c>
      <c r="I50" s="169">
        <f t="shared" si="0"/>
        <v>0</v>
      </c>
      <c r="J50" s="169">
        <f t="shared" si="0"/>
        <v>0</v>
      </c>
      <c r="K50" s="169">
        <f t="shared" si="0"/>
        <v>0</v>
      </c>
      <c r="L50" s="169">
        <f t="shared" si="0"/>
        <v>0</v>
      </c>
      <c r="M50" s="169">
        <f t="shared" si="0"/>
        <v>0</v>
      </c>
      <c r="N50" s="169">
        <f t="shared" si="0"/>
        <v>0</v>
      </c>
      <c r="O50" s="169">
        <f t="shared" si="0"/>
        <v>0</v>
      </c>
      <c r="P50" s="169">
        <f t="shared" si="0"/>
        <v>0</v>
      </c>
      <c r="Q50" s="169">
        <f t="shared" si="0"/>
        <v>0</v>
      </c>
      <c r="R50" s="169">
        <f t="shared" si="0"/>
        <v>0</v>
      </c>
      <c r="S50" s="169">
        <f t="shared" si="0"/>
        <v>0</v>
      </c>
      <c r="T50" s="169">
        <f t="shared" si="0"/>
        <v>0</v>
      </c>
      <c r="U50" s="169">
        <f t="shared" si="0"/>
        <v>0</v>
      </c>
      <c r="V50" s="169">
        <f t="shared" si="0"/>
        <v>0</v>
      </c>
    </row>
    <row r="51" spans="2:22" x14ac:dyDescent="0.35">
      <c r="B51" s="25" t="s">
        <v>320</v>
      </c>
      <c r="C51" s="59">
        <f>C45+C46+C47+C48+C49</f>
        <v>0</v>
      </c>
      <c r="D51" s="59">
        <f t="shared" ref="D51:V51" si="1">D45+D46+D47+D48+D49</f>
        <v>0</v>
      </c>
      <c r="E51" s="59">
        <f t="shared" si="1"/>
        <v>0</v>
      </c>
      <c r="F51" s="59">
        <f t="shared" si="1"/>
        <v>0</v>
      </c>
      <c r="G51" s="59">
        <f t="shared" si="1"/>
        <v>0</v>
      </c>
      <c r="H51" s="59">
        <f t="shared" si="1"/>
        <v>0</v>
      </c>
      <c r="I51" s="59">
        <f t="shared" si="1"/>
        <v>0</v>
      </c>
      <c r="J51" s="59">
        <f t="shared" si="1"/>
        <v>0</v>
      </c>
      <c r="K51" s="59">
        <f t="shared" si="1"/>
        <v>0</v>
      </c>
      <c r="L51" s="59">
        <f t="shared" si="1"/>
        <v>0</v>
      </c>
      <c r="M51" s="59">
        <f t="shared" si="1"/>
        <v>0</v>
      </c>
      <c r="N51" s="59">
        <f t="shared" si="1"/>
        <v>0</v>
      </c>
      <c r="O51" s="59">
        <f t="shared" si="1"/>
        <v>0</v>
      </c>
      <c r="P51" s="59">
        <f t="shared" si="1"/>
        <v>0</v>
      </c>
      <c r="Q51" s="59">
        <f t="shared" si="1"/>
        <v>0</v>
      </c>
      <c r="R51" s="59">
        <f t="shared" si="1"/>
        <v>0</v>
      </c>
      <c r="S51" s="59">
        <f t="shared" si="1"/>
        <v>0</v>
      </c>
      <c r="T51" s="59">
        <f t="shared" si="1"/>
        <v>0</v>
      </c>
      <c r="U51" s="59">
        <f t="shared" si="1"/>
        <v>0</v>
      </c>
      <c r="V51" s="59">
        <f t="shared" si="1"/>
        <v>0</v>
      </c>
    </row>
    <row r="52" spans="2:22" x14ac:dyDescent="0.35">
      <c r="D52" s="29"/>
    </row>
    <row r="53" spans="2:22" x14ac:dyDescent="0.35">
      <c r="B53" s="1" t="str">
        <f>_xlfn.CONCAT("Tarif ",B36)</f>
        <v>Tarif Einrichtung 2</v>
      </c>
      <c r="D53" s="29"/>
    </row>
    <row r="54" spans="2:22" x14ac:dyDescent="0.35">
      <c r="B54" t="s">
        <v>314</v>
      </c>
      <c r="C54" s="9" t="s">
        <v>3</v>
      </c>
      <c r="D54" s="9" t="s">
        <v>4</v>
      </c>
      <c r="E54" s="9" t="s">
        <v>5</v>
      </c>
      <c r="F54" s="9" t="s">
        <v>6</v>
      </c>
      <c r="G54" s="9" t="s">
        <v>7</v>
      </c>
      <c r="H54" s="9" t="s">
        <v>8</v>
      </c>
      <c r="I54" s="9" t="s">
        <v>9</v>
      </c>
      <c r="J54" s="10" t="s">
        <v>10</v>
      </c>
      <c r="K54" s="10" t="s">
        <v>11</v>
      </c>
      <c r="L54" s="10" t="s">
        <v>12</v>
      </c>
      <c r="M54" s="10" t="s">
        <v>13</v>
      </c>
      <c r="N54" s="10" t="s">
        <v>14</v>
      </c>
      <c r="O54" s="10" t="s">
        <v>232</v>
      </c>
      <c r="P54" s="10" t="s">
        <v>233</v>
      </c>
      <c r="Q54" s="10" t="s">
        <v>234</v>
      </c>
      <c r="R54" s="10" t="s">
        <v>15</v>
      </c>
      <c r="S54" s="10" t="s">
        <v>16</v>
      </c>
      <c r="T54" s="10" t="s">
        <v>17</v>
      </c>
      <c r="U54" s="10" t="s">
        <v>18</v>
      </c>
      <c r="V54" s="10" t="s">
        <v>19</v>
      </c>
    </row>
    <row r="55" spans="2:22" x14ac:dyDescent="0.35">
      <c r="B55" t="s">
        <v>315</v>
      </c>
      <c r="C55" s="122">
        <v>0</v>
      </c>
      <c r="D55" s="122">
        <v>0</v>
      </c>
      <c r="E55" s="122">
        <v>0</v>
      </c>
      <c r="F55" s="122">
        <v>0</v>
      </c>
      <c r="G55" s="122">
        <v>0</v>
      </c>
      <c r="H55" s="122">
        <v>0</v>
      </c>
      <c r="I55" s="122">
        <v>0</v>
      </c>
      <c r="J55" s="122">
        <v>0</v>
      </c>
      <c r="K55" s="122">
        <v>0</v>
      </c>
      <c r="L55" s="122">
        <v>0</v>
      </c>
      <c r="M55" s="122">
        <v>0</v>
      </c>
      <c r="N55" s="122">
        <v>0</v>
      </c>
      <c r="O55" s="122">
        <v>0</v>
      </c>
      <c r="P55" s="122">
        <v>0</v>
      </c>
      <c r="Q55" s="122">
        <v>0</v>
      </c>
      <c r="R55" s="122">
        <v>0</v>
      </c>
      <c r="S55" s="122">
        <v>0</v>
      </c>
      <c r="T55" s="122">
        <v>0</v>
      </c>
      <c r="U55" s="122">
        <v>0</v>
      </c>
      <c r="V55" s="122">
        <v>0</v>
      </c>
    </row>
    <row r="56" spans="2:22" x14ac:dyDescent="0.35">
      <c r="B56" t="s">
        <v>316</v>
      </c>
      <c r="C56" s="122">
        <v>0</v>
      </c>
      <c r="D56" s="122">
        <v>0</v>
      </c>
      <c r="E56" s="122">
        <v>0</v>
      </c>
      <c r="F56" s="122">
        <v>0</v>
      </c>
      <c r="G56" s="122">
        <v>0</v>
      </c>
      <c r="H56" s="122">
        <v>0</v>
      </c>
      <c r="I56" s="122">
        <v>0</v>
      </c>
      <c r="J56" s="122">
        <v>0</v>
      </c>
      <c r="K56" s="122">
        <v>0</v>
      </c>
      <c r="L56" s="122">
        <v>0</v>
      </c>
      <c r="M56" s="122">
        <v>0</v>
      </c>
      <c r="N56" s="122">
        <v>0</v>
      </c>
      <c r="O56" s="122">
        <v>0</v>
      </c>
      <c r="P56" s="122">
        <v>0</v>
      </c>
      <c r="Q56" s="122">
        <v>0</v>
      </c>
      <c r="R56" s="122">
        <v>0</v>
      </c>
      <c r="S56" s="122">
        <v>0</v>
      </c>
      <c r="T56" s="122">
        <v>0</v>
      </c>
      <c r="U56" s="122">
        <v>0</v>
      </c>
      <c r="V56" s="122">
        <v>0</v>
      </c>
    </row>
    <row r="57" spans="2:22" x14ac:dyDescent="0.35">
      <c r="B57" t="s">
        <v>141</v>
      </c>
      <c r="C57" s="122">
        <v>0</v>
      </c>
      <c r="D57" s="122">
        <v>0</v>
      </c>
      <c r="E57" s="122">
        <v>0</v>
      </c>
      <c r="F57" s="122">
        <v>0</v>
      </c>
      <c r="G57" s="122">
        <v>0</v>
      </c>
      <c r="H57" s="122">
        <v>0</v>
      </c>
      <c r="I57" s="122">
        <v>0</v>
      </c>
      <c r="J57" s="122">
        <v>0</v>
      </c>
      <c r="K57" s="122">
        <v>0</v>
      </c>
      <c r="L57" s="122">
        <v>0</v>
      </c>
      <c r="M57" s="122">
        <v>0</v>
      </c>
      <c r="N57" s="122">
        <v>0</v>
      </c>
      <c r="O57" s="122">
        <v>0</v>
      </c>
      <c r="P57" s="122">
        <v>0</v>
      </c>
      <c r="Q57" s="122">
        <v>0</v>
      </c>
      <c r="R57" s="122">
        <v>0</v>
      </c>
      <c r="S57" s="122">
        <v>0</v>
      </c>
      <c r="T57" s="122">
        <v>0</v>
      </c>
      <c r="U57" s="122">
        <v>0</v>
      </c>
      <c r="V57" s="122">
        <v>0</v>
      </c>
    </row>
    <row r="58" spans="2:22" x14ac:dyDescent="0.35">
      <c r="B58" t="s">
        <v>317</v>
      </c>
      <c r="C58" s="122">
        <v>0</v>
      </c>
      <c r="D58" s="122">
        <v>0</v>
      </c>
      <c r="E58" s="122">
        <v>0</v>
      </c>
      <c r="F58" s="122">
        <v>0</v>
      </c>
      <c r="G58" s="122">
        <v>0</v>
      </c>
      <c r="H58" s="122">
        <v>0</v>
      </c>
      <c r="I58" s="122">
        <v>0</v>
      </c>
      <c r="J58" s="122">
        <v>0</v>
      </c>
      <c r="K58" s="122">
        <v>0</v>
      </c>
      <c r="L58" s="122">
        <v>0</v>
      </c>
      <c r="M58" s="122">
        <v>0</v>
      </c>
      <c r="N58" s="122">
        <v>0</v>
      </c>
      <c r="O58" s="122">
        <v>0</v>
      </c>
      <c r="P58" s="122">
        <v>0</v>
      </c>
      <c r="Q58" s="122">
        <v>0</v>
      </c>
      <c r="R58" s="122">
        <v>0</v>
      </c>
      <c r="S58" s="122">
        <v>0</v>
      </c>
      <c r="T58" s="122">
        <v>0</v>
      </c>
      <c r="U58" s="122">
        <v>0</v>
      </c>
      <c r="V58" s="122">
        <v>0</v>
      </c>
    </row>
    <row r="59" spans="2:22" x14ac:dyDescent="0.35">
      <c r="B59" t="s">
        <v>318</v>
      </c>
      <c r="C59" s="122">
        <v>0</v>
      </c>
      <c r="D59" s="122">
        <v>0</v>
      </c>
      <c r="E59" s="122">
        <v>0</v>
      </c>
      <c r="F59" s="122">
        <v>0</v>
      </c>
      <c r="G59" s="122">
        <v>0</v>
      </c>
      <c r="H59" s="122">
        <v>0</v>
      </c>
      <c r="I59" s="122">
        <v>0</v>
      </c>
      <c r="J59" s="122">
        <v>0</v>
      </c>
      <c r="K59" s="122">
        <v>0</v>
      </c>
      <c r="L59" s="122">
        <v>0</v>
      </c>
      <c r="M59" s="122">
        <v>0</v>
      </c>
      <c r="N59" s="122">
        <v>0</v>
      </c>
      <c r="O59" s="122">
        <v>0</v>
      </c>
      <c r="P59" s="122">
        <v>0</v>
      </c>
      <c r="Q59" s="122">
        <v>0</v>
      </c>
      <c r="R59" s="122">
        <v>0</v>
      </c>
      <c r="S59" s="122">
        <v>0</v>
      </c>
      <c r="T59" s="122">
        <v>0</v>
      </c>
      <c r="U59" s="122">
        <v>0</v>
      </c>
      <c r="V59" s="122">
        <v>0</v>
      </c>
    </row>
    <row r="60" spans="2:22" x14ac:dyDescent="0.35">
      <c r="B60" s="25" t="s">
        <v>319</v>
      </c>
      <c r="C60" s="25">
        <f>(C55*C106)+(C56*C107)+(C57*C108)+(C58*C109)+(C59*C110)</f>
        <v>0</v>
      </c>
      <c r="D60" s="25">
        <f t="shared" ref="D60:V60" si="2">(D55*D106)+(D56*D107)+(D57*D108)+(D58*D109)+(D59*D110)</f>
        <v>0</v>
      </c>
      <c r="E60" s="25">
        <f t="shared" si="2"/>
        <v>0</v>
      </c>
      <c r="F60" s="25">
        <f t="shared" si="2"/>
        <v>0</v>
      </c>
      <c r="G60" s="25">
        <f t="shared" si="2"/>
        <v>0</v>
      </c>
      <c r="H60" s="25">
        <f t="shared" si="2"/>
        <v>0</v>
      </c>
      <c r="I60" s="25">
        <f t="shared" si="2"/>
        <v>0</v>
      </c>
      <c r="J60" s="25">
        <f t="shared" si="2"/>
        <v>0</v>
      </c>
      <c r="K60" s="25">
        <f t="shared" si="2"/>
        <v>0</v>
      </c>
      <c r="L60" s="25">
        <f t="shared" si="2"/>
        <v>0</v>
      </c>
      <c r="M60" s="25">
        <f t="shared" si="2"/>
        <v>0</v>
      </c>
      <c r="N60" s="25">
        <f t="shared" si="2"/>
        <v>0</v>
      </c>
      <c r="O60" s="25">
        <f t="shared" si="2"/>
        <v>0</v>
      </c>
      <c r="P60" s="25">
        <f t="shared" si="2"/>
        <v>0</v>
      </c>
      <c r="Q60" s="25">
        <f t="shared" si="2"/>
        <v>0</v>
      </c>
      <c r="R60" s="25">
        <f t="shared" si="2"/>
        <v>0</v>
      </c>
      <c r="S60" s="25">
        <f t="shared" si="2"/>
        <v>0</v>
      </c>
      <c r="T60" s="25">
        <f t="shared" si="2"/>
        <v>0</v>
      </c>
      <c r="U60" s="25">
        <f t="shared" si="2"/>
        <v>0</v>
      </c>
      <c r="V60" s="25">
        <f t="shared" si="2"/>
        <v>0</v>
      </c>
    </row>
    <row r="61" spans="2:22" x14ac:dyDescent="0.35">
      <c r="B61" s="25" t="s">
        <v>320</v>
      </c>
      <c r="C61" s="59">
        <f>C55+C56+C57+C58+C59</f>
        <v>0</v>
      </c>
      <c r="D61" s="59">
        <f t="shared" ref="D61:V61" si="3">D55+D56+D57+D58+D59</f>
        <v>0</v>
      </c>
      <c r="E61" s="59">
        <f t="shared" si="3"/>
        <v>0</v>
      </c>
      <c r="F61" s="59">
        <f t="shared" si="3"/>
        <v>0</v>
      </c>
      <c r="G61" s="59">
        <f t="shared" si="3"/>
        <v>0</v>
      </c>
      <c r="H61" s="59">
        <f t="shared" si="3"/>
        <v>0</v>
      </c>
      <c r="I61" s="59">
        <f t="shared" si="3"/>
        <v>0</v>
      </c>
      <c r="J61" s="59">
        <f t="shared" si="3"/>
        <v>0</v>
      </c>
      <c r="K61" s="59">
        <f t="shared" si="3"/>
        <v>0</v>
      </c>
      <c r="L61" s="59">
        <f t="shared" si="3"/>
        <v>0</v>
      </c>
      <c r="M61" s="59">
        <f t="shared" si="3"/>
        <v>0</v>
      </c>
      <c r="N61" s="59">
        <f t="shared" si="3"/>
        <v>0</v>
      </c>
      <c r="O61" s="59">
        <f t="shared" si="3"/>
        <v>0</v>
      </c>
      <c r="P61" s="59">
        <f t="shared" si="3"/>
        <v>0</v>
      </c>
      <c r="Q61" s="59">
        <f t="shared" si="3"/>
        <v>0</v>
      </c>
      <c r="R61" s="59">
        <f t="shared" si="3"/>
        <v>0</v>
      </c>
      <c r="S61" s="59">
        <f t="shared" si="3"/>
        <v>0</v>
      </c>
      <c r="T61" s="59">
        <f t="shared" si="3"/>
        <v>0</v>
      </c>
      <c r="U61" s="59">
        <f t="shared" si="3"/>
        <v>0</v>
      </c>
      <c r="V61" s="59">
        <f t="shared" si="3"/>
        <v>0</v>
      </c>
    </row>
    <row r="62" spans="2:22" x14ac:dyDescent="0.35">
      <c r="D62" s="29"/>
    </row>
    <row r="63" spans="2:22" x14ac:dyDescent="0.35">
      <c r="B63" s="1" t="str">
        <f>_xlfn.CONCAT("Tarif ",B37)</f>
        <v>Tarif Einrichtung 3</v>
      </c>
      <c r="D63" s="29"/>
    </row>
    <row r="64" spans="2:22" x14ac:dyDescent="0.35">
      <c r="B64" t="s">
        <v>314</v>
      </c>
      <c r="C64" s="9" t="s">
        <v>3</v>
      </c>
      <c r="D64" s="9" t="s">
        <v>4</v>
      </c>
      <c r="E64" s="9" t="s">
        <v>5</v>
      </c>
      <c r="F64" s="9" t="s">
        <v>6</v>
      </c>
      <c r="G64" s="9" t="s">
        <v>7</v>
      </c>
      <c r="H64" s="9" t="s">
        <v>8</v>
      </c>
      <c r="I64" s="9" t="s">
        <v>9</v>
      </c>
      <c r="J64" s="10" t="s">
        <v>10</v>
      </c>
      <c r="K64" s="10" t="s">
        <v>11</v>
      </c>
      <c r="L64" s="10" t="s">
        <v>12</v>
      </c>
      <c r="M64" s="10" t="s">
        <v>13</v>
      </c>
      <c r="N64" s="10" t="s">
        <v>14</v>
      </c>
      <c r="O64" s="10" t="s">
        <v>232</v>
      </c>
      <c r="P64" s="10" t="s">
        <v>233</v>
      </c>
      <c r="Q64" s="10" t="s">
        <v>234</v>
      </c>
      <c r="R64" s="10" t="s">
        <v>15</v>
      </c>
      <c r="S64" s="10" t="s">
        <v>16</v>
      </c>
      <c r="T64" s="10" t="s">
        <v>17</v>
      </c>
      <c r="U64" s="10" t="s">
        <v>18</v>
      </c>
      <c r="V64" s="10" t="s">
        <v>19</v>
      </c>
    </row>
    <row r="65" spans="2:22" x14ac:dyDescent="0.35">
      <c r="B65" t="s">
        <v>315</v>
      </c>
      <c r="C65" s="122">
        <v>0</v>
      </c>
      <c r="D65" s="122">
        <v>0</v>
      </c>
      <c r="E65" s="122">
        <v>0</v>
      </c>
      <c r="F65" s="122">
        <v>0</v>
      </c>
      <c r="G65" s="122">
        <v>0</v>
      </c>
      <c r="H65" s="122">
        <v>0</v>
      </c>
      <c r="I65" s="122">
        <v>0</v>
      </c>
      <c r="J65" s="122">
        <v>0</v>
      </c>
      <c r="K65" s="122">
        <v>0</v>
      </c>
      <c r="L65" s="122">
        <v>0</v>
      </c>
      <c r="M65" s="122">
        <v>0</v>
      </c>
      <c r="N65" s="122">
        <v>0</v>
      </c>
      <c r="O65" s="122">
        <v>0</v>
      </c>
      <c r="P65" s="122">
        <v>0</v>
      </c>
      <c r="Q65" s="122">
        <v>0</v>
      </c>
      <c r="R65" s="122">
        <v>0</v>
      </c>
      <c r="S65" s="122">
        <v>0</v>
      </c>
      <c r="T65" s="122">
        <v>0</v>
      </c>
      <c r="U65" s="122">
        <v>0</v>
      </c>
      <c r="V65" s="122">
        <v>0</v>
      </c>
    </row>
    <row r="66" spans="2:22" x14ac:dyDescent="0.35">
      <c r="B66" t="s">
        <v>316</v>
      </c>
      <c r="C66" s="122">
        <v>0</v>
      </c>
      <c r="D66" s="122">
        <v>0</v>
      </c>
      <c r="E66" s="122">
        <v>0</v>
      </c>
      <c r="F66" s="122">
        <v>0</v>
      </c>
      <c r="G66" s="122">
        <v>0</v>
      </c>
      <c r="H66" s="122">
        <v>0</v>
      </c>
      <c r="I66" s="122">
        <v>0</v>
      </c>
      <c r="J66" s="122">
        <v>0</v>
      </c>
      <c r="K66" s="122">
        <v>0</v>
      </c>
      <c r="L66" s="122">
        <v>0</v>
      </c>
      <c r="M66" s="122">
        <v>0</v>
      </c>
      <c r="N66" s="122">
        <v>0</v>
      </c>
      <c r="O66" s="122">
        <v>0</v>
      </c>
      <c r="P66" s="122">
        <v>0</v>
      </c>
      <c r="Q66" s="122">
        <v>0</v>
      </c>
      <c r="R66" s="122">
        <v>0</v>
      </c>
      <c r="S66" s="122">
        <v>0</v>
      </c>
      <c r="T66" s="122">
        <v>0</v>
      </c>
      <c r="U66" s="122">
        <v>0</v>
      </c>
      <c r="V66" s="122">
        <v>0</v>
      </c>
    </row>
    <row r="67" spans="2:22" x14ac:dyDescent="0.35">
      <c r="B67" t="s">
        <v>141</v>
      </c>
      <c r="C67" s="122">
        <v>0</v>
      </c>
      <c r="D67" s="122">
        <v>0</v>
      </c>
      <c r="E67" s="122">
        <v>0</v>
      </c>
      <c r="F67" s="122">
        <v>0</v>
      </c>
      <c r="G67" s="122">
        <v>0</v>
      </c>
      <c r="H67" s="122">
        <v>0</v>
      </c>
      <c r="I67" s="122">
        <v>0</v>
      </c>
      <c r="J67" s="122">
        <v>0</v>
      </c>
      <c r="K67" s="122">
        <v>0</v>
      </c>
      <c r="L67" s="122">
        <v>0</v>
      </c>
      <c r="M67" s="122">
        <v>0</v>
      </c>
      <c r="N67" s="122">
        <v>0</v>
      </c>
      <c r="O67" s="122">
        <v>0</v>
      </c>
      <c r="P67" s="122">
        <v>0</v>
      </c>
      <c r="Q67" s="122">
        <v>0</v>
      </c>
      <c r="R67" s="122">
        <v>0</v>
      </c>
      <c r="S67" s="122">
        <v>0</v>
      </c>
      <c r="T67" s="122">
        <v>0</v>
      </c>
      <c r="U67" s="122">
        <v>0</v>
      </c>
      <c r="V67" s="122">
        <v>0</v>
      </c>
    </row>
    <row r="68" spans="2:22" x14ac:dyDescent="0.35">
      <c r="B68" t="s">
        <v>317</v>
      </c>
      <c r="C68" s="122">
        <v>0</v>
      </c>
      <c r="D68" s="122">
        <v>0</v>
      </c>
      <c r="E68" s="122">
        <v>0</v>
      </c>
      <c r="F68" s="122">
        <v>0</v>
      </c>
      <c r="G68" s="122">
        <v>0</v>
      </c>
      <c r="H68" s="122">
        <v>0</v>
      </c>
      <c r="I68" s="122">
        <v>0</v>
      </c>
      <c r="J68" s="122">
        <v>0</v>
      </c>
      <c r="K68" s="122">
        <v>0</v>
      </c>
      <c r="L68" s="122">
        <v>0</v>
      </c>
      <c r="M68" s="122">
        <v>0</v>
      </c>
      <c r="N68" s="122">
        <v>0</v>
      </c>
      <c r="O68" s="122">
        <v>0</v>
      </c>
      <c r="P68" s="122">
        <v>0</v>
      </c>
      <c r="Q68" s="122">
        <v>0</v>
      </c>
      <c r="R68" s="122">
        <v>0</v>
      </c>
      <c r="S68" s="122">
        <v>0</v>
      </c>
      <c r="T68" s="122">
        <v>0</v>
      </c>
      <c r="U68" s="122">
        <v>0</v>
      </c>
      <c r="V68" s="122">
        <v>0</v>
      </c>
    </row>
    <row r="69" spans="2:22" x14ac:dyDescent="0.35">
      <c r="B69" t="s">
        <v>318</v>
      </c>
      <c r="C69" s="122">
        <v>0</v>
      </c>
      <c r="D69" s="122">
        <v>0</v>
      </c>
      <c r="E69" s="122">
        <v>0</v>
      </c>
      <c r="F69" s="122">
        <v>0</v>
      </c>
      <c r="G69" s="122">
        <v>0</v>
      </c>
      <c r="H69" s="122">
        <v>0</v>
      </c>
      <c r="I69" s="122">
        <v>0</v>
      </c>
      <c r="J69" s="122">
        <v>0</v>
      </c>
      <c r="K69" s="122">
        <v>0</v>
      </c>
      <c r="L69" s="122">
        <v>0</v>
      </c>
      <c r="M69" s="122">
        <v>0</v>
      </c>
      <c r="N69" s="122">
        <v>0</v>
      </c>
      <c r="O69" s="122">
        <v>0</v>
      </c>
      <c r="P69" s="122">
        <v>0</v>
      </c>
      <c r="Q69" s="122">
        <v>0</v>
      </c>
      <c r="R69" s="122">
        <v>0</v>
      </c>
      <c r="S69" s="122">
        <v>0</v>
      </c>
      <c r="T69" s="122">
        <v>0</v>
      </c>
      <c r="U69" s="122">
        <v>0</v>
      </c>
      <c r="V69" s="122">
        <v>0</v>
      </c>
    </row>
    <row r="70" spans="2:22" x14ac:dyDescent="0.35">
      <c r="B70" s="25" t="s">
        <v>319</v>
      </c>
      <c r="C70" s="25">
        <f>(C65*C106)+(C66*C107)+(C67*C108)+(C68*C109)+(C69*C110)</f>
        <v>0</v>
      </c>
      <c r="D70" s="25">
        <f t="shared" ref="D70:N70" si="4">(D65*D106)+(D66*D107)+(D67*D108)+(D68*D109)+(D69*D110)</f>
        <v>0</v>
      </c>
      <c r="E70" s="25">
        <f t="shared" si="4"/>
        <v>0</v>
      </c>
      <c r="F70" s="25">
        <f t="shared" si="4"/>
        <v>0</v>
      </c>
      <c r="G70" s="25">
        <f t="shared" si="4"/>
        <v>0</v>
      </c>
      <c r="H70" s="25">
        <f t="shared" si="4"/>
        <v>0</v>
      </c>
      <c r="I70" s="25">
        <f t="shared" si="4"/>
        <v>0</v>
      </c>
      <c r="J70" s="25">
        <f t="shared" si="4"/>
        <v>0</v>
      </c>
      <c r="K70" s="25">
        <f t="shared" si="4"/>
        <v>0</v>
      </c>
      <c r="L70" s="25">
        <f t="shared" si="4"/>
        <v>0</v>
      </c>
      <c r="M70" s="25">
        <f t="shared" si="4"/>
        <v>0</v>
      </c>
      <c r="N70" s="25">
        <f t="shared" si="4"/>
        <v>0</v>
      </c>
      <c r="O70" s="25">
        <f>(O65*R106)+(O66*R107)+(O67*R108)+(O68*R109)+(O69*R110)</f>
        <v>0</v>
      </c>
      <c r="P70" s="25">
        <f>(P65*S106)+(P66*S107)+(P67*S108)+(P68*S109)+(P69*S110)</f>
        <v>0</v>
      </c>
      <c r="Q70" s="25">
        <f>(Q65*T106)+(Q66*T107)+(Q67*T108)+(Q68*T109)+(Q69*T110)</f>
        <v>0</v>
      </c>
      <c r="R70" s="25">
        <f>(R65*R106)+(R66*R107)+(R67*R108)+(R68*R109)+(R69*R110)</f>
        <v>0</v>
      </c>
      <c r="S70" s="25">
        <f>(S65*S106)+(S66*S107)+(S67*S108)+(S68*S109)+(S69*S110)</f>
        <v>0</v>
      </c>
      <c r="T70" s="25">
        <f>(T65*T106)+(T66*T107)+(T67*T108)+(T68*T109)+(T69*T110)</f>
        <v>0</v>
      </c>
      <c r="U70" s="25">
        <f>(U65*U106)+(U66*U107)+(U67*U108)+(U68*U109)+(U69*U110)</f>
        <v>0</v>
      </c>
      <c r="V70" s="25">
        <f>(V65*V106)+(V66*V107)+(V67*V108)+(V68*V109)+(V69*V110)</f>
        <v>0</v>
      </c>
    </row>
    <row r="71" spans="2:22" x14ac:dyDescent="0.35">
      <c r="B71" s="25" t="s">
        <v>320</v>
      </c>
      <c r="C71" s="59">
        <f>C65+C66+C67+C68+C69</f>
        <v>0</v>
      </c>
      <c r="D71" s="59">
        <f t="shared" ref="D71:V71" si="5">D65+D66+D67+D68+D69</f>
        <v>0</v>
      </c>
      <c r="E71" s="59">
        <f t="shared" si="5"/>
        <v>0</v>
      </c>
      <c r="F71" s="59">
        <f t="shared" si="5"/>
        <v>0</v>
      </c>
      <c r="G71" s="59">
        <f t="shared" si="5"/>
        <v>0</v>
      </c>
      <c r="H71" s="59">
        <f t="shared" si="5"/>
        <v>0</v>
      </c>
      <c r="I71" s="59">
        <f t="shared" si="5"/>
        <v>0</v>
      </c>
      <c r="J71" s="59">
        <f t="shared" si="5"/>
        <v>0</v>
      </c>
      <c r="K71" s="59">
        <f t="shared" si="5"/>
        <v>0</v>
      </c>
      <c r="L71" s="59">
        <f t="shared" si="5"/>
        <v>0</v>
      </c>
      <c r="M71" s="59">
        <f t="shared" si="5"/>
        <v>0</v>
      </c>
      <c r="N71" s="59">
        <f t="shared" si="5"/>
        <v>0</v>
      </c>
      <c r="O71" s="59">
        <f t="shared" si="5"/>
        <v>0</v>
      </c>
      <c r="P71" s="59">
        <f t="shared" si="5"/>
        <v>0</v>
      </c>
      <c r="Q71" s="59">
        <f t="shared" si="5"/>
        <v>0</v>
      </c>
      <c r="R71" s="59">
        <f t="shared" si="5"/>
        <v>0</v>
      </c>
      <c r="S71" s="59">
        <f t="shared" si="5"/>
        <v>0</v>
      </c>
      <c r="T71" s="59">
        <f t="shared" si="5"/>
        <v>0</v>
      </c>
      <c r="U71" s="59">
        <f t="shared" si="5"/>
        <v>0</v>
      </c>
      <c r="V71" s="59">
        <f t="shared" si="5"/>
        <v>0</v>
      </c>
    </row>
    <row r="72" spans="2:22" x14ac:dyDescent="0.35">
      <c r="D72" s="29"/>
    </row>
    <row r="73" spans="2:22" x14ac:dyDescent="0.35">
      <c r="B73" s="1" t="str">
        <f>_xlfn.CONCAT("Tarif ",B38)</f>
        <v>Tarif Einrichtung 4</v>
      </c>
      <c r="D73" s="29"/>
    </row>
    <row r="74" spans="2:22" x14ac:dyDescent="0.35">
      <c r="B74" t="s">
        <v>314</v>
      </c>
      <c r="C74" s="9" t="s">
        <v>3</v>
      </c>
      <c r="D74" s="9" t="s">
        <v>4</v>
      </c>
      <c r="E74" s="9" t="s">
        <v>5</v>
      </c>
      <c r="F74" s="9" t="s">
        <v>6</v>
      </c>
      <c r="G74" s="9" t="s">
        <v>7</v>
      </c>
      <c r="H74" s="9" t="s">
        <v>8</v>
      </c>
      <c r="I74" s="9" t="s">
        <v>9</v>
      </c>
      <c r="J74" s="10" t="s">
        <v>10</v>
      </c>
      <c r="K74" s="10" t="s">
        <v>11</v>
      </c>
      <c r="L74" s="10" t="s">
        <v>12</v>
      </c>
      <c r="M74" s="10" t="s">
        <v>13</v>
      </c>
      <c r="N74" s="10" t="s">
        <v>14</v>
      </c>
      <c r="O74" s="10" t="s">
        <v>232</v>
      </c>
      <c r="P74" s="10" t="s">
        <v>233</v>
      </c>
      <c r="Q74" s="10" t="s">
        <v>234</v>
      </c>
      <c r="R74" s="10" t="s">
        <v>15</v>
      </c>
      <c r="S74" s="10" t="s">
        <v>16</v>
      </c>
      <c r="T74" s="10" t="s">
        <v>17</v>
      </c>
      <c r="U74" s="10" t="s">
        <v>18</v>
      </c>
      <c r="V74" s="10" t="s">
        <v>19</v>
      </c>
    </row>
    <row r="75" spans="2:22" x14ac:dyDescent="0.35">
      <c r="B75" t="s">
        <v>315</v>
      </c>
      <c r="C75" s="122">
        <v>0</v>
      </c>
      <c r="D75" s="122">
        <v>0</v>
      </c>
      <c r="E75" s="122">
        <v>0</v>
      </c>
      <c r="F75" s="122">
        <v>0</v>
      </c>
      <c r="G75" s="122">
        <v>0</v>
      </c>
      <c r="H75" s="122">
        <v>0</v>
      </c>
      <c r="I75" s="122">
        <v>0</v>
      </c>
      <c r="J75" s="122">
        <v>0</v>
      </c>
      <c r="K75" s="122">
        <v>0</v>
      </c>
      <c r="L75" s="122">
        <v>0</v>
      </c>
      <c r="M75" s="122">
        <v>0</v>
      </c>
      <c r="N75" s="122">
        <v>0</v>
      </c>
      <c r="O75" s="122">
        <v>0</v>
      </c>
      <c r="P75" s="122">
        <v>0</v>
      </c>
      <c r="Q75" s="122">
        <v>0</v>
      </c>
      <c r="R75" s="122">
        <v>0</v>
      </c>
      <c r="S75" s="122">
        <v>0</v>
      </c>
      <c r="T75" s="122">
        <v>0</v>
      </c>
      <c r="U75" s="122">
        <v>0</v>
      </c>
      <c r="V75" s="122">
        <v>0</v>
      </c>
    </row>
    <row r="76" spans="2:22" x14ac:dyDescent="0.35">
      <c r="B76" t="s">
        <v>316</v>
      </c>
      <c r="C76" s="122">
        <v>0</v>
      </c>
      <c r="D76" s="122">
        <v>0</v>
      </c>
      <c r="E76" s="122">
        <v>0</v>
      </c>
      <c r="F76" s="122">
        <v>0</v>
      </c>
      <c r="G76" s="122">
        <v>0</v>
      </c>
      <c r="H76" s="122">
        <v>0</v>
      </c>
      <c r="I76" s="122">
        <v>0</v>
      </c>
      <c r="J76" s="122">
        <v>0</v>
      </c>
      <c r="K76" s="122">
        <v>0</v>
      </c>
      <c r="L76" s="122">
        <v>0</v>
      </c>
      <c r="M76" s="122">
        <v>0</v>
      </c>
      <c r="N76" s="122">
        <v>0</v>
      </c>
      <c r="O76" s="122">
        <v>0</v>
      </c>
      <c r="P76" s="122">
        <v>0</v>
      </c>
      <c r="Q76" s="122">
        <v>0</v>
      </c>
      <c r="R76" s="122">
        <v>0</v>
      </c>
      <c r="S76" s="122">
        <v>0</v>
      </c>
      <c r="T76" s="122">
        <v>0</v>
      </c>
      <c r="U76" s="122">
        <v>0</v>
      </c>
      <c r="V76" s="122">
        <v>0</v>
      </c>
    </row>
    <row r="77" spans="2:22" x14ac:dyDescent="0.35">
      <c r="B77" t="s">
        <v>141</v>
      </c>
      <c r="C77" s="122">
        <v>0</v>
      </c>
      <c r="D77" s="122">
        <v>0</v>
      </c>
      <c r="E77" s="122">
        <v>0</v>
      </c>
      <c r="F77" s="122">
        <v>0</v>
      </c>
      <c r="G77" s="122">
        <v>0</v>
      </c>
      <c r="H77" s="122">
        <v>0</v>
      </c>
      <c r="I77" s="122">
        <v>0</v>
      </c>
      <c r="J77" s="122">
        <v>0</v>
      </c>
      <c r="K77" s="122">
        <v>0</v>
      </c>
      <c r="L77" s="122">
        <v>0</v>
      </c>
      <c r="M77" s="122">
        <v>0</v>
      </c>
      <c r="N77" s="122">
        <v>0</v>
      </c>
      <c r="O77" s="122">
        <v>0</v>
      </c>
      <c r="P77" s="122">
        <v>0</v>
      </c>
      <c r="Q77" s="122">
        <v>0</v>
      </c>
      <c r="R77" s="122">
        <v>0</v>
      </c>
      <c r="S77" s="122">
        <v>0</v>
      </c>
      <c r="T77" s="122">
        <v>0</v>
      </c>
      <c r="U77" s="122">
        <v>0</v>
      </c>
      <c r="V77" s="122">
        <v>0</v>
      </c>
    </row>
    <row r="78" spans="2:22" x14ac:dyDescent="0.35">
      <c r="B78" t="s">
        <v>317</v>
      </c>
      <c r="C78" s="122">
        <v>0</v>
      </c>
      <c r="D78" s="122">
        <v>0</v>
      </c>
      <c r="E78" s="122">
        <v>0</v>
      </c>
      <c r="F78" s="122">
        <v>0</v>
      </c>
      <c r="G78" s="122">
        <v>0</v>
      </c>
      <c r="H78" s="122">
        <v>0</v>
      </c>
      <c r="I78" s="122">
        <v>0</v>
      </c>
      <c r="J78" s="122">
        <v>0</v>
      </c>
      <c r="K78" s="122">
        <v>0</v>
      </c>
      <c r="L78" s="122">
        <v>0</v>
      </c>
      <c r="M78" s="122">
        <v>0</v>
      </c>
      <c r="N78" s="122">
        <v>0</v>
      </c>
      <c r="O78" s="122">
        <v>0</v>
      </c>
      <c r="P78" s="122">
        <v>0</v>
      </c>
      <c r="Q78" s="122">
        <v>0</v>
      </c>
      <c r="R78" s="122">
        <v>0</v>
      </c>
      <c r="S78" s="122">
        <v>0</v>
      </c>
      <c r="T78" s="122">
        <v>0</v>
      </c>
      <c r="U78" s="122">
        <v>0</v>
      </c>
      <c r="V78" s="122">
        <v>0</v>
      </c>
    </row>
    <row r="79" spans="2:22" x14ac:dyDescent="0.35">
      <c r="B79" t="s">
        <v>318</v>
      </c>
      <c r="C79" s="122">
        <v>0</v>
      </c>
      <c r="D79" s="122">
        <v>0</v>
      </c>
      <c r="E79" s="122">
        <v>0</v>
      </c>
      <c r="F79" s="122">
        <v>0</v>
      </c>
      <c r="G79" s="122">
        <v>0</v>
      </c>
      <c r="H79" s="122">
        <v>0</v>
      </c>
      <c r="I79" s="122">
        <v>0</v>
      </c>
      <c r="J79" s="122">
        <v>0</v>
      </c>
      <c r="K79" s="122">
        <v>0</v>
      </c>
      <c r="L79" s="122">
        <v>0</v>
      </c>
      <c r="M79" s="122">
        <v>0</v>
      </c>
      <c r="N79" s="122">
        <v>0</v>
      </c>
      <c r="O79" s="122">
        <v>0</v>
      </c>
      <c r="P79" s="122">
        <v>0</v>
      </c>
      <c r="Q79" s="122">
        <v>0</v>
      </c>
      <c r="R79" s="122">
        <v>0</v>
      </c>
      <c r="S79" s="122">
        <v>0</v>
      </c>
      <c r="T79" s="122">
        <v>0</v>
      </c>
      <c r="U79" s="122">
        <v>0</v>
      </c>
      <c r="V79" s="122">
        <v>0</v>
      </c>
    </row>
    <row r="80" spans="2:22" x14ac:dyDescent="0.35">
      <c r="B80" s="25" t="s">
        <v>319</v>
      </c>
      <c r="C80" s="25">
        <f>(C75*C106)+(C76*C107)+(C77*C108)+(C78*C109)+(C79*C110)</f>
        <v>0</v>
      </c>
      <c r="D80" s="25">
        <f t="shared" ref="D80:N80" si="6">(D75*D106)+(D76*D107)+(D77*D108)+(D78*D109)+(D79*D110)</f>
        <v>0</v>
      </c>
      <c r="E80" s="25">
        <f t="shared" si="6"/>
        <v>0</v>
      </c>
      <c r="F80" s="25">
        <f t="shared" si="6"/>
        <v>0</v>
      </c>
      <c r="G80" s="25">
        <f t="shared" si="6"/>
        <v>0</v>
      </c>
      <c r="H80" s="25">
        <f t="shared" si="6"/>
        <v>0</v>
      </c>
      <c r="I80" s="25">
        <f t="shared" si="6"/>
        <v>0</v>
      </c>
      <c r="J80" s="25">
        <f t="shared" si="6"/>
        <v>0</v>
      </c>
      <c r="K80" s="25">
        <f t="shared" si="6"/>
        <v>0</v>
      </c>
      <c r="L80" s="25">
        <f t="shared" si="6"/>
        <v>0</v>
      </c>
      <c r="M80" s="25">
        <f t="shared" si="6"/>
        <v>0</v>
      </c>
      <c r="N80" s="25">
        <f t="shared" si="6"/>
        <v>0</v>
      </c>
      <c r="O80" s="25">
        <f>(O75*R106)+(O76*R107)+(O77*R108)+(O78*R109)+(O79*R110)</f>
        <v>0</v>
      </c>
      <c r="P80" s="25">
        <f>(P75*S106)+(P76*S107)+(P77*S108)+(P78*S109)+(P79*S110)</f>
        <v>0</v>
      </c>
      <c r="Q80" s="25">
        <f>(Q75*T106)+(Q76*T107)+(Q77*T108)+(Q78*T109)+(Q79*T110)</f>
        <v>0</v>
      </c>
      <c r="R80" s="25">
        <f>(R75*U106)+(R76*U107)+(R77*U108)+(R78*U109)+(R79*U110)</f>
        <v>0</v>
      </c>
      <c r="S80" s="25">
        <f>(S75*S106)+(S76*S107)+(S77*S108)+(S78*S109)+(S79*S110)</f>
        <v>0</v>
      </c>
      <c r="T80" s="25">
        <f>(T75*T106)+(T76*T107)+(T77*T108)+(T78*T109)+(T79*T110)</f>
        <v>0</v>
      </c>
      <c r="U80" s="25">
        <f>(U75*U106)+(U76*U107)+(U77*U108)+(U78*U109)+(U79*U110)</f>
        <v>0</v>
      </c>
      <c r="V80" s="25">
        <f>(V75*V106)+(V76*V107)+(V77*V108)+(V78*V109)+(V79*V110)</f>
        <v>0</v>
      </c>
    </row>
    <row r="81" spans="2:22" x14ac:dyDescent="0.35">
      <c r="B81" s="25" t="s">
        <v>320</v>
      </c>
      <c r="C81" s="59">
        <f>C75+C76+C77+C78+C79</f>
        <v>0</v>
      </c>
      <c r="D81" s="59">
        <f t="shared" ref="D81:V81" si="7">D75+D76+D77+D78+D79</f>
        <v>0</v>
      </c>
      <c r="E81" s="59">
        <f t="shared" si="7"/>
        <v>0</v>
      </c>
      <c r="F81" s="59">
        <f t="shared" si="7"/>
        <v>0</v>
      </c>
      <c r="G81" s="59">
        <f t="shared" si="7"/>
        <v>0</v>
      </c>
      <c r="H81" s="59">
        <f t="shared" si="7"/>
        <v>0</v>
      </c>
      <c r="I81" s="59">
        <f t="shared" si="7"/>
        <v>0</v>
      </c>
      <c r="J81" s="59">
        <f t="shared" si="7"/>
        <v>0</v>
      </c>
      <c r="K81" s="59">
        <f t="shared" si="7"/>
        <v>0</v>
      </c>
      <c r="L81" s="59">
        <f t="shared" si="7"/>
        <v>0</v>
      </c>
      <c r="M81" s="59">
        <f t="shared" si="7"/>
        <v>0</v>
      </c>
      <c r="N81" s="59">
        <f t="shared" si="7"/>
        <v>0</v>
      </c>
      <c r="O81" s="59">
        <f t="shared" si="7"/>
        <v>0</v>
      </c>
      <c r="P81" s="59">
        <f t="shared" si="7"/>
        <v>0</v>
      </c>
      <c r="Q81" s="59">
        <f t="shared" si="7"/>
        <v>0</v>
      </c>
      <c r="R81" s="59">
        <f t="shared" si="7"/>
        <v>0</v>
      </c>
      <c r="S81" s="59">
        <f t="shared" si="7"/>
        <v>0</v>
      </c>
      <c r="T81" s="59">
        <f t="shared" si="7"/>
        <v>0</v>
      </c>
      <c r="U81" s="59">
        <f t="shared" si="7"/>
        <v>0</v>
      </c>
      <c r="V81" s="59">
        <f t="shared" si="7"/>
        <v>0</v>
      </c>
    </row>
    <row r="82" spans="2:22" x14ac:dyDescent="0.35">
      <c r="D82" s="29"/>
    </row>
    <row r="83" spans="2:22" x14ac:dyDescent="0.35">
      <c r="B83" s="1" t="str">
        <f>_xlfn.CONCAT("Tarif ",B39)</f>
        <v>Tarif Einrichtung 5</v>
      </c>
      <c r="D83" s="29"/>
    </row>
    <row r="84" spans="2:22" x14ac:dyDescent="0.35">
      <c r="B84" t="s">
        <v>314</v>
      </c>
      <c r="C84" s="9" t="s">
        <v>3</v>
      </c>
      <c r="D84" s="9" t="s">
        <v>4</v>
      </c>
      <c r="E84" s="9" t="s">
        <v>5</v>
      </c>
      <c r="F84" s="9" t="s">
        <v>6</v>
      </c>
      <c r="G84" s="9" t="s">
        <v>7</v>
      </c>
      <c r="H84" s="9" t="s">
        <v>8</v>
      </c>
      <c r="I84" s="9" t="s">
        <v>9</v>
      </c>
      <c r="J84" s="10" t="s">
        <v>10</v>
      </c>
      <c r="K84" s="10" t="s">
        <v>11</v>
      </c>
      <c r="L84" s="10" t="s">
        <v>12</v>
      </c>
      <c r="M84" s="10" t="s">
        <v>13</v>
      </c>
      <c r="N84" s="10" t="s">
        <v>14</v>
      </c>
      <c r="O84" s="10" t="s">
        <v>232</v>
      </c>
      <c r="P84" s="10" t="s">
        <v>233</v>
      </c>
      <c r="Q84" s="10" t="s">
        <v>234</v>
      </c>
      <c r="R84" s="10" t="s">
        <v>15</v>
      </c>
      <c r="S84" s="10" t="s">
        <v>16</v>
      </c>
      <c r="T84" s="10" t="s">
        <v>17</v>
      </c>
      <c r="U84" s="10" t="s">
        <v>18</v>
      </c>
      <c r="V84" s="10" t="s">
        <v>19</v>
      </c>
    </row>
    <row r="85" spans="2:22" x14ac:dyDescent="0.35">
      <c r="B85" t="s">
        <v>315</v>
      </c>
      <c r="C85" s="122">
        <v>0</v>
      </c>
      <c r="D85" s="122">
        <v>0</v>
      </c>
      <c r="E85" s="122">
        <v>0</v>
      </c>
      <c r="F85" s="122">
        <v>0</v>
      </c>
      <c r="G85" s="122">
        <v>0</v>
      </c>
      <c r="H85" s="122">
        <v>0</v>
      </c>
      <c r="I85" s="122">
        <v>0</v>
      </c>
      <c r="J85" s="122">
        <v>0</v>
      </c>
      <c r="K85" s="122">
        <v>0</v>
      </c>
      <c r="L85" s="122">
        <v>0</v>
      </c>
      <c r="M85" s="122">
        <v>0</v>
      </c>
      <c r="N85" s="122">
        <v>0</v>
      </c>
      <c r="O85" s="122">
        <v>0</v>
      </c>
      <c r="P85" s="122">
        <v>0</v>
      </c>
      <c r="Q85" s="122">
        <v>0</v>
      </c>
      <c r="R85" s="122">
        <v>0</v>
      </c>
      <c r="S85" s="122">
        <v>0</v>
      </c>
      <c r="T85" s="122">
        <v>0</v>
      </c>
      <c r="U85" s="122">
        <v>0</v>
      </c>
      <c r="V85" s="122">
        <v>0</v>
      </c>
    </row>
    <row r="86" spans="2:22" x14ac:dyDescent="0.35">
      <c r="B86" t="s">
        <v>316</v>
      </c>
      <c r="C86" s="122">
        <v>0</v>
      </c>
      <c r="D86" s="122">
        <v>0</v>
      </c>
      <c r="E86" s="122">
        <v>0</v>
      </c>
      <c r="F86" s="122">
        <v>0</v>
      </c>
      <c r="G86" s="122">
        <v>0</v>
      </c>
      <c r="H86" s="122">
        <v>0</v>
      </c>
      <c r="I86" s="122">
        <v>0</v>
      </c>
      <c r="J86" s="122">
        <v>0</v>
      </c>
      <c r="K86" s="122">
        <v>0</v>
      </c>
      <c r="L86" s="122">
        <v>0</v>
      </c>
      <c r="M86" s="122">
        <v>0</v>
      </c>
      <c r="N86" s="122">
        <v>0</v>
      </c>
      <c r="O86" s="122">
        <v>0</v>
      </c>
      <c r="P86" s="122">
        <v>0</v>
      </c>
      <c r="Q86" s="122">
        <v>0</v>
      </c>
      <c r="R86" s="122">
        <v>0</v>
      </c>
      <c r="S86" s="122">
        <v>0</v>
      </c>
      <c r="T86" s="122">
        <v>0</v>
      </c>
      <c r="U86" s="122">
        <v>0</v>
      </c>
      <c r="V86" s="122">
        <v>0</v>
      </c>
    </row>
    <row r="87" spans="2:22" x14ac:dyDescent="0.35">
      <c r="B87" t="s">
        <v>141</v>
      </c>
      <c r="C87" s="122">
        <v>0</v>
      </c>
      <c r="D87" s="122">
        <v>0</v>
      </c>
      <c r="E87" s="122">
        <v>0</v>
      </c>
      <c r="F87" s="122">
        <v>0</v>
      </c>
      <c r="G87" s="122">
        <v>0</v>
      </c>
      <c r="H87" s="122">
        <v>0</v>
      </c>
      <c r="I87" s="122">
        <v>0</v>
      </c>
      <c r="J87" s="122">
        <v>0</v>
      </c>
      <c r="K87" s="122">
        <v>0</v>
      </c>
      <c r="L87" s="122">
        <v>0</v>
      </c>
      <c r="M87" s="122">
        <v>0</v>
      </c>
      <c r="N87" s="122">
        <v>0</v>
      </c>
      <c r="O87" s="122">
        <v>0</v>
      </c>
      <c r="P87" s="122">
        <v>0</v>
      </c>
      <c r="Q87" s="122">
        <v>0</v>
      </c>
      <c r="R87" s="122">
        <v>0</v>
      </c>
      <c r="S87" s="122">
        <v>0</v>
      </c>
      <c r="T87" s="122">
        <v>0</v>
      </c>
      <c r="U87" s="122">
        <v>0</v>
      </c>
      <c r="V87" s="122">
        <v>0</v>
      </c>
    </row>
    <row r="88" spans="2:22" x14ac:dyDescent="0.35">
      <c r="B88" t="s">
        <v>317</v>
      </c>
      <c r="C88" s="122">
        <v>0</v>
      </c>
      <c r="D88" s="122">
        <v>0</v>
      </c>
      <c r="E88" s="122">
        <v>0</v>
      </c>
      <c r="F88" s="122">
        <v>0</v>
      </c>
      <c r="G88" s="122">
        <v>0</v>
      </c>
      <c r="H88" s="122">
        <v>0</v>
      </c>
      <c r="I88" s="122">
        <v>0</v>
      </c>
      <c r="J88" s="122">
        <v>0</v>
      </c>
      <c r="K88" s="122">
        <v>0</v>
      </c>
      <c r="L88" s="122">
        <v>0</v>
      </c>
      <c r="M88" s="122">
        <v>0</v>
      </c>
      <c r="N88" s="122">
        <v>0</v>
      </c>
      <c r="O88" s="122">
        <v>0</v>
      </c>
      <c r="P88" s="122">
        <v>0</v>
      </c>
      <c r="Q88" s="122">
        <v>0</v>
      </c>
      <c r="R88" s="122">
        <v>0</v>
      </c>
      <c r="S88" s="122">
        <v>0</v>
      </c>
      <c r="T88" s="122">
        <v>0</v>
      </c>
      <c r="U88" s="122">
        <v>0</v>
      </c>
      <c r="V88" s="122">
        <v>0</v>
      </c>
    </row>
    <row r="89" spans="2:22" x14ac:dyDescent="0.35">
      <c r="B89" t="s">
        <v>318</v>
      </c>
      <c r="C89" s="122">
        <v>0</v>
      </c>
      <c r="D89" s="122">
        <v>0</v>
      </c>
      <c r="E89" s="122">
        <v>0</v>
      </c>
      <c r="F89" s="122">
        <v>0</v>
      </c>
      <c r="G89" s="122">
        <v>0</v>
      </c>
      <c r="H89" s="122">
        <v>0</v>
      </c>
      <c r="I89" s="122">
        <v>0</v>
      </c>
      <c r="J89" s="122">
        <v>0</v>
      </c>
      <c r="K89" s="122">
        <v>0</v>
      </c>
      <c r="L89" s="122">
        <v>0</v>
      </c>
      <c r="M89" s="122">
        <v>0</v>
      </c>
      <c r="N89" s="122">
        <v>0</v>
      </c>
      <c r="O89" s="122">
        <v>0</v>
      </c>
      <c r="P89" s="122">
        <v>0</v>
      </c>
      <c r="Q89" s="122">
        <v>0</v>
      </c>
      <c r="R89" s="122">
        <v>0</v>
      </c>
      <c r="S89" s="122">
        <v>0</v>
      </c>
      <c r="T89" s="122">
        <v>0</v>
      </c>
      <c r="U89" s="122">
        <v>0</v>
      </c>
      <c r="V89" s="122">
        <v>0</v>
      </c>
    </row>
    <row r="90" spans="2:22" x14ac:dyDescent="0.35">
      <c r="B90" s="25" t="s">
        <v>319</v>
      </c>
      <c r="C90" s="59">
        <f>(C85*C106)+(C86*C107)+(C87*C108)+(C88*C109)+(C89*C110)</f>
        <v>0</v>
      </c>
      <c r="D90" s="59">
        <f t="shared" ref="D90:N90" si="8">(D85*D106)+(D86*D107)+(D87*D108)+(D88*D109)+(D89*D110)</f>
        <v>0</v>
      </c>
      <c r="E90" s="59">
        <f t="shared" si="8"/>
        <v>0</v>
      </c>
      <c r="F90" s="59">
        <f t="shared" si="8"/>
        <v>0</v>
      </c>
      <c r="G90" s="59">
        <f t="shared" si="8"/>
        <v>0</v>
      </c>
      <c r="H90" s="59">
        <f t="shared" si="8"/>
        <v>0</v>
      </c>
      <c r="I90" s="59">
        <f t="shared" si="8"/>
        <v>0</v>
      </c>
      <c r="J90" s="59">
        <f t="shared" si="8"/>
        <v>0</v>
      </c>
      <c r="K90" s="59">
        <f t="shared" si="8"/>
        <v>0</v>
      </c>
      <c r="L90" s="59">
        <f t="shared" si="8"/>
        <v>0</v>
      </c>
      <c r="M90" s="59">
        <f t="shared" si="8"/>
        <v>0</v>
      </c>
      <c r="N90" s="59">
        <f t="shared" si="8"/>
        <v>0</v>
      </c>
      <c r="O90" s="59">
        <f>(O85*R106)+(O86*R107)+(O87*R108)+(O88*R109)+(O89*R110)</f>
        <v>0</v>
      </c>
      <c r="P90" s="59">
        <f>(P85*S106)+(P86*S107)+(P87*S108)+(P88*S109)+(P89*S110)</f>
        <v>0</v>
      </c>
      <c r="Q90" s="59">
        <f>(Q85*T106)+(Q86*T107)+(Q87*T108)+(Q88*T109)+(Q89*T110)</f>
        <v>0</v>
      </c>
      <c r="R90" s="59">
        <f>(R85*U106)+(R86*U107)+(R87*U108)+(R88*U109)+(R89*U110)</f>
        <v>0</v>
      </c>
      <c r="S90" s="59">
        <f>(S85*S106)+(S86*S107)+(S87*S108)+(S88*S109)+(S89*S110)</f>
        <v>0</v>
      </c>
      <c r="T90" s="59">
        <f>(T85*T106)+(T86*T107)+(T87*T108)+(T88*T109)+(T89*T110)</f>
        <v>0</v>
      </c>
      <c r="U90" s="59">
        <f>(U85*U106)+(U86*U107)+(U87*U108)+(U88*U109)+(U89*U110)</f>
        <v>0</v>
      </c>
      <c r="V90" s="59">
        <f>(V85*V106)+(V86*V107)+(V87*V108)+(V88*V109)+(V89*V110)</f>
        <v>0</v>
      </c>
    </row>
    <row r="91" spans="2:22" x14ac:dyDescent="0.35">
      <c r="B91" s="25" t="s">
        <v>320</v>
      </c>
      <c r="C91" s="59">
        <f>C85+C86+C87+C88+C89</f>
        <v>0</v>
      </c>
      <c r="D91" s="59">
        <f t="shared" ref="D91:V91" si="9">D85+D86+D87+D88+D89</f>
        <v>0</v>
      </c>
      <c r="E91" s="59">
        <f t="shared" si="9"/>
        <v>0</v>
      </c>
      <c r="F91" s="59">
        <f t="shared" si="9"/>
        <v>0</v>
      </c>
      <c r="G91" s="59">
        <f t="shared" si="9"/>
        <v>0</v>
      </c>
      <c r="H91" s="59">
        <f t="shared" si="9"/>
        <v>0</v>
      </c>
      <c r="I91" s="59">
        <f t="shared" si="9"/>
        <v>0</v>
      </c>
      <c r="J91" s="59">
        <f t="shared" si="9"/>
        <v>0</v>
      </c>
      <c r="K91" s="59">
        <f t="shared" si="9"/>
        <v>0</v>
      </c>
      <c r="L91" s="59">
        <f t="shared" si="9"/>
        <v>0</v>
      </c>
      <c r="M91" s="59">
        <f t="shared" si="9"/>
        <v>0</v>
      </c>
      <c r="N91" s="59">
        <f t="shared" si="9"/>
        <v>0</v>
      </c>
      <c r="O91" s="59">
        <f t="shared" si="9"/>
        <v>0</v>
      </c>
      <c r="P91" s="59">
        <f t="shared" si="9"/>
        <v>0</v>
      </c>
      <c r="Q91" s="59">
        <f t="shared" si="9"/>
        <v>0</v>
      </c>
      <c r="R91" s="59">
        <f t="shared" si="9"/>
        <v>0</v>
      </c>
      <c r="S91" s="59">
        <f t="shared" si="9"/>
        <v>0</v>
      </c>
      <c r="T91" s="59">
        <f t="shared" si="9"/>
        <v>0</v>
      </c>
      <c r="U91" s="59">
        <f t="shared" si="9"/>
        <v>0</v>
      </c>
      <c r="V91" s="59">
        <f t="shared" si="9"/>
        <v>0</v>
      </c>
    </row>
    <row r="92" spans="2:22" x14ac:dyDescent="0.35">
      <c r="D92" s="29"/>
    </row>
    <row r="93" spans="2:22" x14ac:dyDescent="0.35">
      <c r="B93" s="1" t="str">
        <f>_xlfn.CONCAT("Tarif ",B40)</f>
        <v>Tarif Einrichtung 6</v>
      </c>
      <c r="D93" s="29"/>
    </row>
    <row r="94" spans="2:22" x14ac:dyDescent="0.35">
      <c r="B94" t="s">
        <v>314</v>
      </c>
      <c r="C94" s="9" t="s">
        <v>3</v>
      </c>
      <c r="D94" s="9" t="s">
        <v>4</v>
      </c>
      <c r="E94" s="9" t="s">
        <v>5</v>
      </c>
      <c r="F94" s="9" t="s">
        <v>6</v>
      </c>
      <c r="G94" s="9" t="s">
        <v>7</v>
      </c>
      <c r="H94" s="9" t="s">
        <v>8</v>
      </c>
      <c r="I94" s="9" t="s">
        <v>9</v>
      </c>
      <c r="J94" s="10" t="s">
        <v>10</v>
      </c>
      <c r="K94" s="10" t="s">
        <v>11</v>
      </c>
      <c r="L94" s="10" t="s">
        <v>12</v>
      </c>
      <c r="M94" s="10" t="s">
        <v>13</v>
      </c>
      <c r="N94" s="10" t="s">
        <v>14</v>
      </c>
      <c r="O94" s="10" t="s">
        <v>232</v>
      </c>
      <c r="P94" s="10" t="s">
        <v>233</v>
      </c>
      <c r="Q94" s="10" t="s">
        <v>234</v>
      </c>
      <c r="R94" s="10" t="s">
        <v>15</v>
      </c>
      <c r="S94" s="10" t="s">
        <v>16</v>
      </c>
      <c r="T94" s="10" t="s">
        <v>17</v>
      </c>
      <c r="U94" s="10" t="s">
        <v>18</v>
      </c>
      <c r="V94" s="10" t="s">
        <v>19</v>
      </c>
    </row>
    <row r="95" spans="2:22" x14ac:dyDescent="0.35">
      <c r="B95" t="s">
        <v>315</v>
      </c>
      <c r="C95" s="122">
        <v>0</v>
      </c>
      <c r="D95" s="122">
        <v>0</v>
      </c>
      <c r="E95" s="122">
        <v>0</v>
      </c>
      <c r="F95" s="122">
        <v>0</v>
      </c>
      <c r="G95" s="122">
        <v>0</v>
      </c>
      <c r="H95" s="122">
        <v>0</v>
      </c>
      <c r="I95" s="122">
        <v>0</v>
      </c>
      <c r="J95" s="122">
        <v>0</v>
      </c>
      <c r="K95" s="122">
        <v>0</v>
      </c>
      <c r="L95" s="122">
        <v>0</v>
      </c>
      <c r="M95" s="122">
        <v>0</v>
      </c>
      <c r="N95" s="122">
        <v>0</v>
      </c>
      <c r="O95" s="122">
        <v>0</v>
      </c>
      <c r="P95" s="122">
        <v>0</v>
      </c>
      <c r="Q95" s="122">
        <v>0</v>
      </c>
      <c r="R95" s="122">
        <v>0</v>
      </c>
      <c r="S95" s="122">
        <v>0</v>
      </c>
      <c r="T95" s="122">
        <v>0</v>
      </c>
      <c r="U95" s="122">
        <v>0</v>
      </c>
      <c r="V95" s="122">
        <v>0</v>
      </c>
    </row>
    <row r="96" spans="2:22" x14ac:dyDescent="0.35">
      <c r="B96" t="s">
        <v>316</v>
      </c>
      <c r="C96" s="122">
        <v>0</v>
      </c>
      <c r="D96" s="122">
        <v>0</v>
      </c>
      <c r="E96" s="122">
        <v>0</v>
      </c>
      <c r="F96" s="122">
        <v>0</v>
      </c>
      <c r="G96" s="122">
        <v>0</v>
      </c>
      <c r="H96" s="122">
        <v>0</v>
      </c>
      <c r="I96" s="122">
        <v>0</v>
      </c>
      <c r="J96" s="122">
        <v>0</v>
      </c>
      <c r="K96" s="122">
        <v>0</v>
      </c>
      <c r="L96" s="122">
        <v>0</v>
      </c>
      <c r="M96" s="122">
        <v>0</v>
      </c>
      <c r="N96" s="122">
        <v>0</v>
      </c>
      <c r="O96" s="122">
        <v>0</v>
      </c>
      <c r="P96" s="122">
        <v>0</v>
      </c>
      <c r="Q96" s="122">
        <v>0</v>
      </c>
      <c r="R96" s="122">
        <v>0</v>
      </c>
      <c r="S96" s="122">
        <v>0</v>
      </c>
      <c r="T96" s="122">
        <v>0</v>
      </c>
      <c r="U96" s="122">
        <v>0</v>
      </c>
      <c r="V96" s="122">
        <v>0</v>
      </c>
    </row>
    <row r="97" spans="2:24" x14ac:dyDescent="0.35">
      <c r="B97" t="s">
        <v>141</v>
      </c>
      <c r="C97" s="122">
        <v>0</v>
      </c>
      <c r="D97" s="122">
        <v>0</v>
      </c>
      <c r="E97" s="122">
        <v>0</v>
      </c>
      <c r="F97" s="122">
        <v>0</v>
      </c>
      <c r="G97" s="122">
        <v>0</v>
      </c>
      <c r="H97" s="122">
        <v>0</v>
      </c>
      <c r="I97" s="122">
        <v>0</v>
      </c>
      <c r="J97" s="122">
        <v>0</v>
      </c>
      <c r="K97" s="122">
        <v>0</v>
      </c>
      <c r="L97" s="122">
        <v>0</v>
      </c>
      <c r="M97" s="122">
        <v>0</v>
      </c>
      <c r="N97" s="122">
        <v>0</v>
      </c>
      <c r="O97" s="122">
        <v>0</v>
      </c>
      <c r="P97" s="122">
        <v>0</v>
      </c>
      <c r="Q97" s="122">
        <v>0</v>
      </c>
      <c r="R97" s="122">
        <v>0</v>
      </c>
      <c r="S97" s="122">
        <v>0</v>
      </c>
      <c r="T97" s="122">
        <v>0</v>
      </c>
      <c r="U97" s="122">
        <v>0</v>
      </c>
      <c r="V97" s="122">
        <v>0</v>
      </c>
    </row>
    <row r="98" spans="2:24" x14ac:dyDescent="0.35">
      <c r="B98" t="s">
        <v>317</v>
      </c>
      <c r="C98" s="122">
        <v>0</v>
      </c>
      <c r="D98" s="122">
        <v>0</v>
      </c>
      <c r="E98" s="122">
        <v>0</v>
      </c>
      <c r="F98" s="122">
        <v>0</v>
      </c>
      <c r="G98" s="122">
        <v>0</v>
      </c>
      <c r="H98" s="122">
        <v>0</v>
      </c>
      <c r="I98" s="122">
        <v>0</v>
      </c>
      <c r="J98" s="122">
        <v>0</v>
      </c>
      <c r="K98" s="122">
        <v>0</v>
      </c>
      <c r="L98" s="122">
        <v>0</v>
      </c>
      <c r="M98" s="122">
        <v>0</v>
      </c>
      <c r="N98" s="122">
        <v>0</v>
      </c>
      <c r="O98" s="122">
        <v>0</v>
      </c>
      <c r="P98" s="122">
        <v>0</v>
      </c>
      <c r="Q98" s="122">
        <v>0</v>
      </c>
      <c r="R98" s="122">
        <v>0</v>
      </c>
      <c r="S98" s="122">
        <v>0</v>
      </c>
      <c r="T98" s="122">
        <v>0</v>
      </c>
      <c r="U98" s="122">
        <v>0</v>
      </c>
      <c r="V98" s="122">
        <v>0</v>
      </c>
    </row>
    <row r="99" spans="2:24" x14ac:dyDescent="0.35">
      <c r="B99" t="s">
        <v>318</v>
      </c>
      <c r="C99" s="122">
        <v>0</v>
      </c>
      <c r="D99" s="122">
        <v>0</v>
      </c>
      <c r="E99" s="122">
        <v>0</v>
      </c>
      <c r="F99" s="122">
        <v>0</v>
      </c>
      <c r="G99" s="122">
        <v>0</v>
      </c>
      <c r="H99" s="122">
        <v>0</v>
      </c>
      <c r="I99" s="122">
        <v>0</v>
      </c>
      <c r="J99" s="122">
        <v>0</v>
      </c>
      <c r="K99" s="122">
        <v>0</v>
      </c>
      <c r="L99" s="122">
        <v>0</v>
      </c>
      <c r="M99" s="122">
        <v>0</v>
      </c>
      <c r="N99" s="122">
        <v>0</v>
      </c>
      <c r="O99" s="122">
        <v>0</v>
      </c>
      <c r="P99" s="122">
        <v>0</v>
      </c>
      <c r="Q99" s="122">
        <v>0</v>
      </c>
      <c r="R99" s="122">
        <v>0</v>
      </c>
      <c r="S99" s="122">
        <v>0</v>
      </c>
      <c r="T99" s="122">
        <v>0</v>
      </c>
      <c r="U99" s="122">
        <v>0</v>
      </c>
      <c r="V99" s="122">
        <v>0</v>
      </c>
    </row>
    <row r="100" spans="2:24" x14ac:dyDescent="0.35">
      <c r="B100" s="25" t="s">
        <v>319</v>
      </c>
      <c r="C100" s="25">
        <f t="shared" ref="C100:N100" si="10">(C95*C106)+(C96*C107)+(C97*C108)+(C98*C109)+(C99*C110)</f>
        <v>0</v>
      </c>
      <c r="D100" s="25">
        <f t="shared" si="10"/>
        <v>0</v>
      </c>
      <c r="E100" s="25">
        <f t="shared" si="10"/>
        <v>0</v>
      </c>
      <c r="F100" s="25">
        <f t="shared" si="10"/>
        <v>0</v>
      </c>
      <c r="G100" s="25">
        <f t="shared" si="10"/>
        <v>0</v>
      </c>
      <c r="H100" s="25">
        <f t="shared" si="10"/>
        <v>0</v>
      </c>
      <c r="I100" s="25">
        <f t="shared" si="10"/>
        <v>0</v>
      </c>
      <c r="J100" s="25">
        <f t="shared" si="10"/>
        <v>0</v>
      </c>
      <c r="K100" s="25">
        <f t="shared" si="10"/>
        <v>0</v>
      </c>
      <c r="L100" s="25">
        <f t="shared" si="10"/>
        <v>0</v>
      </c>
      <c r="M100" s="25">
        <f t="shared" si="10"/>
        <v>0</v>
      </c>
      <c r="N100" s="25">
        <f t="shared" si="10"/>
        <v>0</v>
      </c>
      <c r="O100" s="25">
        <f>(O95*R106)+(O96*R107)+(O97*R108)+(O98*R109)+(O99*R110)</f>
        <v>0</v>
      </c>
      <c r="P100" s="25">
        <f>(P95*S106)+(P96*S107)+(P97*S108)+(P98*S109)+(P99*S110)</f>
        <v>0</v>
      </c>
      <c r="Q100" s="25">
        <f>(Q95*T106)+(Q96*T107)+(Q97*T108)+(Q98*T109)+(Q99*T110)</f>
        <v>0</v>
      </c>
      <c r="R100" s="25">
        <f>(R95*R106)+(R96*R107)+(R97*R108)+(R98*R109)+(R99*R110)</f>
        <v>0</v>
      </c>
      <c r="S100" s="25">
        <f>(S95*S106)+(S96*S107)+(S97*S108)+(S98*S109)+(S99*S110)</f>
        <v>0</v>
      </c>
      <c r="T100" s="25">
        <f>(T95*T106)+(T96*T107)+(T97*T108)+(T98*T109)+(T99*T110)</f>
        <v>0</v>
      </c>
      <c r="U100" s="25">
        <f>(U95*U106)+(U96*U107)+(U97*U108)+(U98*U109)+(U99*U110)</f>
        <v>0</v>
      </c>
      <c r="V100" s="25">
        <f>(V95*V106)+(V96*V107)+(V97*V108)+(V98*V109)+(V99*V110)</f>
        <v>0</v>
      </c>
    </row>
    <row r="101" spans="2:24" x14ac:dyDescent="0.35">
      <c r="B101" s="25" t="s">
        <v>320</v>
      </c>
      <c r="C101" s="59">
        <f>C95+C96+C97+C98+C99</f>
        <v>0</v>
      </c>
      <c r="D101" s="59">
        <f t="shared" ref="D101:V101" si="11">D95+D96+D97+D98+D99</f>
        <v>0</v>
      </c>
      <c r="E101" s="59">
        <f t="shared" si="11"/>
        <v>0</v>
      </c>
      <c r="F101" s="59">
        <f t="shared" si="11"/>
        <v>0</v>
      </c>
      <c r="G101" s="59">
        <f t="shared" si="11"/>
        <v>0</v>
      </c>
      <c r="H101" s="59">
        <f t="shared" si="11"/>
        <v>0</v>
      </c>
      <c r="I101" s="59">
        <f t="shared" si="11"/>
        <v>0</v>
      </c>
      <c r="J101" s="59">
        <f t="shared" si="11"/>
        <v>0</v>
      </c>
      <c r="K101" s="59">
        <f t="shared" si="11"/>
        <v>0</v>
      </c>
      <c r="L101" s="59">
        <f t="shared" si="11"/>
        <v>0</v>
      </c>
      <c r="M101" s="59">
        <f t="shared" si="11"/>
        <v>0</v>
      </c>
      <c r="N101" s="59">
        <f t="shared" si="11"/>
        <v>0</v>
      </c>
      <c r="O101" s="59">
        <f t="shared" si="11"/>
        <v>0</v>
      </c>
      <c r="P101" s="59">
        <f t="shared" si="11"/>
        <v>0</v>
      </c>
      <c r="Q101" s="59">
        <f t="shared" si="11"/>
        <v>0</v>
      </c>
      <c r="R101" s="59">
        <f t="shared" si="11"/>
        <v>0</v>
      </c>
      <c r="S101" s="59">
        <f t="shared" si="11"/>
        <v>0</v>
      </c>
      <c r="T101" s="59">
        <f t="shared" si="11"/>
        <v>0</v>
      </c>
      <c r="U101" s="59">
        <f t="shared" si="11"/>
        <v>0</v>
      </c>
      <c r="V101" s="59">
        <f t="shared" si="11"/>
        <v>0</v>
      </c>
    </row>
    <row r="102" spans="2:24" hidden="1" x14ac:dyDescent="0.35">
      <c r="B102" s="25"/>
      <c r="C102" s="59"/>
      <c r="D102" s="59"/>
      <c r="E102" s="59"/>
      <c r="F102" s="59"/>
      <c r="G102" s="59"/>
      <c r="H102" s="59"/>
      <c r="I102" s="59"/>
      <c r="J102" s="59"/>
      <c r="K102" s="59"/>
      <c r="L102" s="59"/>
      <c r="M102" s="59"/>
      <c r="N102" s="59"/>
      <c r="O102" s="59"/>
      <c r="P102" s="59"/>
      <c r="Q102" s="59"/>
      <c r="R102" s="59"/>
      <c r="S102" s="59"/>
    </row>
    <row r="103" spans="2:24" hidden="1" x14ac:dyDescent="0.35">
      <c r="B103" s="1" t="s">
        <v>321</v>
      </c>
    </row>
    <row r="104" spans="2:24" hidden="1" x14ac:dyDescent="0.35">
      <c r="B104" s="1" t="s">
        <v>322</v>
      </c>
    </row>
    <row r="105" spans="2:24" hidden="1" x14ac:dyDescent="0.35">
      <c r="B105" s="60" t="s">
        <v>314</v>
      </c>
      <c r="C105" s="9" t="s">
        <v>3</v>
      </c>
      <c r="D105" s="9" t="s">
        <v>4</v>
      </c>
      <c r="E105" s="9" t="s">
        <v>5</v>
      </c>
      <c r="F105" s="9" t="s">
        <v>6</v>
      </c>
      <c r="G105" s="9" t="s">
        <v>7</v>
      </c>
      <c r="H105" s="9" t="s">
        <v>8</v>
      </c>
      <c r="I105" s="9" t="s">
        <v>9</v>
      </c>
      <c r="J105" s="10" t="s">
        <v>10</v>
      </c>
      <c r="K105" s="10" t="s">
        <v>11</v>
      </c>
      <c r="L105" s="10" t="s">
        <v>12</v>
      </c>
      <c r="M105" s="10" t="s">
        <v>13</v>
      </c>
      <c r="N105" s="10" t="s">
        <v>14</v>
      </c>
      <c r="O105" s="10" t="s">
        <v>232</v>
      </c>
      <c r="P105" s="10" t="s">
        <v>233</v>
      </c>
      <c r="Q105" s="10" t="s">
        <v>234</v>
      </c>
      <c r="R105" s="10" t="s">
        <v>15</v>
      </c>
      <c r="S105" s="10" t="s">
        <v>16</v>
      </c>
      <c r="T105" s="10" t="s">
        <v>17</v>
      </c>
      <c r="U105" s="10" t="s">
        <v>18</v>
      </c>
      <c r="V105" s="10" t="s">
        <v>19</v>
      </c>
      <c r="W105" s="61" t="s">
        <v>40</v>
      </c>
    </row>
    <row r="106" spans="2:24" hidden="1" x14ac:dyDescent="0.35">
      <c r="B106" s="62" t="s">
        <v>315</v>
      </c>
      <c r="C106" s="62">
        <v>12</v>
      </c>
      <c r="D106" s="62">
        <v>12</v>
      </c>
      <c r="E106" s="62">
        <v>12</v>
      </c>
      <c r="F106" s="62">
        <v>12</v>
      </c>
      <c r="G106" s="62">
        <v>12</v>
      </c>
      <c r="H106" s="62">
        <v>12</v>
      </c>
      <c r="I106" s="62">
        <v>12</v>
      </c>
      <c r="J106" s="62">
        <v>12</v>
      </c>
      <c r="K106" s="62">
        <v>12</v>
      </c>
      <c r="L106" s="62">
        <v>12</v>
      </c>
      <c r="M106" s="62">
        <v>12</v>
      </c>
      <c r="N106" s="62">
        <v>12</v>
      </c>
      <c r="O106" s="62">
        <v>12</v>
      </c>
      <c r="P106" s="62">
        <v>12</v>
      </c>
      <c r="Q106" s="62">
        <v>12</v>
      </c>
      <c r="R106" s="62">
        <v>12</v>
      </c>
      <c r="S106" s="62">
        <v>12</v>
      </c>
      <c r="T106" s="62">
        <v>12</v>
      </c>
      <c r="U106" s="62">
        <v>12</v>
      </c>
      <c r="V106" s="62">
        <v>12</v>
      </c>
      <c r="W106" s="63" t="s">
        <v>412</v>
      </c>
    </row>
    <row r="107" spans="2:24" hidden="1" x14ac:dyDescent="0.35">
      <c r="B107" s="64" t="s">
        <v>316</v>
      </c>
      <c r="C107" s="64">
        <f t="shared" ref="C107:H107" si="12">((C114*C134)+(C115*C135)+(C116*C136)+(C117*C137)+(C118*C138)+(C119*C139)+(C120*C140)+(C121*C141))/(C114+C115+C116+C117+C118+C119+C120+C121)/277.77777</f>
        <v>949.40415267540607</v>
      </c>
      <c r="D107" s="64">
        <f t="shared" si="12"/>
        <v>951.10533916166207</v>
      </c>
      <c r="E107" s="64">
        <f t="shared" si="12"/>
        <v>984.33581302309221</v>
      </c>
      <c r="F107" s="64">
        <f t="shared" si="12"/>
        <v>957.62742255824855</v>
      </c>
      <c r="G107" s="64">
        <f t="shared" si="12"/>
        <v>927.84492977263938</v>
      </c>
      <c r="H107" s="64">
        <f t="shared" si="12"/>
        <v>908.44487532819937</v>
      </c>
      <c r="I107" s="64">
        <f t="shared" ref="I107:V107" si="13">((I114*I134)+(I115*I135)+(I116*I136)+(I117*I137)+(I118*I138)+(I119*I139)+(I120*I140)+(I121*I141))/(I114+I115+I116+I117+I118+I119+I120+I121)/277.77777</f>
        <v>867.57113524501108</v>
      </c>
      <c r="J107" s="64">
        <f t="shared" si="13"/>
        <v>867.57113524501108</v>
      </c>
      <c r="K107" s="64">
        <f t="shared" si="13"/>
        <v>867.57113524501108</v>
      </c>
      <c r="L107" s="64">
        <f t="shared" si="13"/>
        <v>867.57113524501108</v>
      </c>
      <c r="M107" s="64">
        <f t="shared" si="13"/>
        <v>867.57113524501108</v>
      </c>
      <c r="N107" s="64">
        <f t="shared" si="13"/>
        <v>867.57113524501108</v>
      </c>
      <c r="O107" s="64">
        <f t="shared" si="13"/>
        <v>867.57113524501108</v>
      </c>
      <c r="P107" s="64">
        <f t="shared" si="13"/>
        <v>867.57113524501108</v>
      </c>
      <c r="Q107" s="64">
        <f t="shared" si="13"/>
        <v>867.57113524501108</v>
      </c>
      <c r="R107" s="64">
        <f t="shared" si="13"/>
        <v>862.48747965537268</v>
      </c>
      <c r="S107" s="64">
        <f t="shared" si="13"/>
        <v>874.45256102840335</v>
      </c>
      <c r="T107" s="64">
        <f t="shared" si="13"/>
        <v>875.2841753498235</v>
      </c>
      <c r="U107" s="64">
        <f t="shared" si="13"/>
        <v>875.58767830909426</v>
      </c>
      <c r="V107" s="64">
        <f t="shared" si="13"/>
        <v>875.7448932793975</v>
      </c>
      <c r="W107" s="65"/>
    </row>
    <row r="108" spans="2:24" hidden="1" x14ac:dyDescent="0.35">
      <c r="B108" s="62" t="s">
        <v>141</v>
      </c>
      <c r="C108" s="62">
        <f t="shared" ref="C108:H108" si="14">((C122*C142)+(C123*C143)+(C124*C144))/(C122+C123+C124)/277.77777</f>
        <v>358.55433427876591</v>
      </c>
      <c r="D108" s="62">
        <f t="shared" si="14"/>
        <v>356.01689232141422</v>
      </c>
      <c r="E108" s="62">
        <f t="shared" si="14"/>
        <v>353.97849562568359</v>
      </c>
      <c r="F108" s="62">
        <f t="shared" si="14"/>
        <v>352.92628680501298</v>
      </c>
      <c r="G108" s="62">
        <f t="shared" si="14"/>
        <v>359.77183360302308</v>
      </c>
      <c r="H108" s="62">
        <f t="shared" si="14"/>
        <v>344.64518727933535</v>
      </c>
      <c r="I108" s="62">
        <f t="shared" ref="I108:V108" si="15">((I122*I142)+(I123*I143)+(I124*I144))/(I122+I123+I124)/277.77777</f>
        <v>344.99821024316282</v>
      </c>
      <c r="J108" s="62">
        <f t="shared" si="15"/>
        <v>344.99821024316282</v>
      </c>
      <c r="K108" s="62">
        <f t="shared" si="15"/>
        <v>344.99821024316282</v>
      </c>
      <c r="L108" s="62">
        <f t="shared" si="15"/>
        <v>344.99821024316282</v>
      </c>
      <c r="M108" s="62">
        <f t="shared" si="15"/>
        <v>344.99821024316282</v>
      </c>
      <c r="N108" s="62">
        <f t="shared" si="15"/>
        <v>344.99821024316282</v>
      </c>
      <c r="O108" s="62">
        <f t="shared" si="15"/>
        <v>344.99821024316282</v>
      </c>
      <c r="P108" s="62">
        <f t="shared" si="15"/>
        <v>344.99821024316282</v>
      </c>
      <c r="Q108" s="62">
        <f t="shared" si="15"/>
        <v>344.99821024316282</v>
      </c>
      <c r="R108" s="62">
        <f t="shared" si="15"/>
        <v>343.90767038341227</v>
      </c>
      <c r="S108" s="62">
        <f t="shared" si="15"/>
        <v>343.90767038341227</v>
      </c>
      <c r="T108" s="62">
        <f t="shared" si="15"/>
        <v>343.90767038341227</v>
      </c>
      <c r="U108" s="62">
        <f t="shared" si="15"/>
        <v>343.90767038341227</v>
      </c>
      <c r="V108" s="62">
        <f t="shared" si="15"/>
        <v>343.90767038341227</v>
      </c>
      <c r="W108" s="63"/>
    </row>
    <row r="109" spans="2:24" hidden="1" x14ac:dyDescent="0.35">
      <c r="B109" s="64" t="s">
        <v>317</v>
      </c>
      <c r="C109" s="64">
        <f t="shared" ref="C109:H109" si="16">((C125*C145)+(C126*C146)+(C127*C147)+(C128*C148)+(C129*C149))/(C125+C126+C127+C128+C129)/277.77777</f>
        <v>1056.0339764883827</v>
      </c>
      <c r="D109" s="64">
        <f t="shared" si="16"/>
        <v>1074.2013586628163</v>
      </c>
      <c r="E109" s="64">
        <f t="shared" si="16"/>
        <v>995.48162185467663</v>
      </c>
      <c r="F109" s="64">
        <f t="shared" si="16"/>
        <v>1001.5498868669263</v>
      </c>
      <c r="G109" s="64">
        <f t="shared" si="16"/>
        <v>994.28330203348082</v>
      </c>
      <c r="H109" s="64">
        <f t="shared" si="16"/>
        <v>996.27481407611708</v>
      </c>
      <c r="I109" s="64">
        <f t="shared" ref="I109:V109" si="17">((I125*I145)+(I126*I146)+(I127*I147)+(I128*I148)+(I129*I149))/(I125+I126+I127+I128+I129)/277.77777</f>
        <v>992.90948731736501</v>
      </c>
      <c r="J109" s="64">
        <f t="shared" si="17"/>
        <v>992.90948731736501</v>
      </c>
      <c r="K109" s="64">
        <f t="shared" si="17"/>
        <v>992.90948731736501</v>
      </c>
      <c r="L109" s="64">
        <f t="shared" si="17"/>
        <v>992.90948731736501</v>
      </c>
      <c r="M109" s="64">
        <f t="shared" si="17"/>
        <v>992.90948731736501</v>
      </c>
      <c r="N109" s="64">
        <f t="shared" si="17"/>
        <v>992.90948731736501</v>
      </c>
      <c r="O109" s="64">
        <f t="shared" si="17"/>
        <v>992.90948731736501</v>
      </c>
      <c r="P109" s="64">
        <f t="shared" si="17"/>
        <v>992.90948731736501</v>
      </c>
      <c r="Q109" s="64">
        <f t="shared" si="17"/>
        <v>992.90948731736501</v>
      </c>
      <c r="R109" s="64">
        <f t="shared" si="17"/>
        <v>941.89906532571069</v>
      </c>
      <c r="S109" s="64">
        <f t="shared" si="17"/>
        <v>941.89906532571069</v>
      </c>
      <c r="T109" s="64">
        <f>((T125*T145)+(T126*T146)+(T127*T147)+(T128*T148)+(T129*T149))/(T125+T126+T127+T128+T129)/277.77777</f>
        <v>941.89906532571069</v>
      </c>
      <c r="U109" s="64">
        <f t="shared" si="17"/>
        <v>941.89906532571069</v>
      </c>
      <c r="V109" s="64">
        <f t="shared" si="17"/>
        <v>941.89906532571069</v>
      </c>
      <c r="W109" s="65"/>
    </row>
    <row r="110" spans="2:24" hidden="1" x14ac:dyDescent="0.35">
      <c r="B110" s="66" t="s">
        <v>318</v>
      </c>
      <c r="C110">
        <f>Emissionsfaktoren!E70</f>
        <v>50</v>
      </c>
      <c r="D110">
        <f>Emissionsfaktoren!F70</f>
        <v>50</v>
      </c>
      <c r="E110">
        <f>Emissionsfaktoren!G70</f>
        <v>50</v>
      </c>
      <c r="F110">
        <f>Emissionsfaktoren!H70</f>
        <v>50</v>
      </c>
      <c r="G110">
        <f>Emissionsfaktoren!I70</f>
        <v>50</v>
      </c>
      <c r="H110">
        <f>Emissionsfaktoren!J70</f>
        <v>50</v>
      </c>
      <c r="I110">
        <f>Emissionsfaktoren!K70</f>
        <v>50</v>
      </c>
      <c r="J110">
        <f>Emissionsfaktoren!L70</f>
        <v>50</v>
      </c>
      <c r="K110">
        <f>Emissionsfaktoren!M70</f>
        <v>50</v>
      </c>
      <c r="L110">
        <f>Emissionsfaktoren!N70</f>
        <v>50</v>
      </c>
      <c r="M110">
        <f>Emissionsfaktoren!O70</f>
        <v>50</v>
      </c>
      <c r="N110">
        <f>Emissionsfaktoren!P70</f>
        <v>50</v>
      </c>
      <c r="O110">
        <f>Emissionsfaktoren!Q70</f>
        <v>50</v>
      </c>
      <c r="P110">
        <f>Emissionsfaktoren!R70</f>
        <v>50</v>
      </c>
      <c r="Q110">
        <f>Emissionsfaktoren!S70</f>
        <v>50</v>
      </c>
      <c r="R110">
        <f>Emissionsfaktoren!T70</f>
        <v>50</v>
      </c>
      <c r="S110">
        <f>Emissionsfaktoren!U70</f>
        <v>50</v>
      </c>
      <c r="T110">
        <f>Emissionsfaktoren!V70</f>
        <v>50</v>
      </c>
      <c r="U110">
        <f>Emissionsfaktoren!W70</f>
        <v>50</v>
      </c>
      <c r="V110">
        <f>Emissionsfaktoren!X70</f>
        <v>50</v>
      </c>
      <c r="W110" t="str">
        <f>Emissionsfaktoren!Y70</f>
        <v>ifeu 2024: Kommunale Energie- und THG-Bilanzen, Tabellen zu den THG-Emissionsfaktoren</v>
      </c>
      <c r="X110">
        <f>Emissionsfaktoren!Z70</f>
        <v>0</v>
      </c>
    </row>
    <row r="111" spans="2:24" hidden="1" x14ac:dyDescent="0.35"/>
    <row r="112" spans="2:24" hidden="1" x14ac:dyDescent="0.35">
      <c r="B112" t="s">
        <v>323</v>
      </c>
    </row>
    <row r="113" spans="2:22" hidden="1" x14ac:dyDescent="0.35">
      <c r="B113" t="s">
        <v>324</v>
      </c>
      <c r="C113" s="9" t="s">
        <v>3</v>
      </c>
      <c r="D113" s="9" t="s">
        <v>4</v>
      </c>
      <c r="E113" s="9" t="s">
        <v>5</v>
      </c>
      <c r="F113" s="9" t="s">
        <v>6</v>
      </c>
      <c r="G113" s="9" t="s">
        <v>7</v>
      </c>
      <c r="H113" s="9" t="s">
        <v>8</v>
      </c>
      <c r="I113" s="9" t="s">
        <v>9</v>
      </c>
      <c r="J113" s="10" t="s">
        <v>10</v>
      </c>
      <c r="K113" s="10" t="s">
        <v>11</v>
      </c>
      <c r="L113" s="10" t="s">
        <v>12</v>
      </c>
      <c r="M113" s="10" t="s">
        <v>13</v>
      </c>
      <c r="N113" s="10" t="s">
        <v>14</v>
      </c>
      <c r="O113" s="10" t="s">
        <v>232</v>
      </c>
      <c r="P113" s="10" t="s">
        <v>233</v>
      </c>
      <c r="Q113" s="10" t="s">
        <v>234</v>
      </c>
      <c r="R113" s="10" t="s">
        <v>15</v>
      </c>
      <c r="S113" s="10" t="s">
        <v>16</v>
      </c>
      <c r="T113" s="10" t="s">
        <v>17</v>
      </c>
      <c r="U113" s="10" t="s">
        <v>18</v>
      </c>
      <c r="V113" s="10" t="s">
        <v>19</v>
      </c>
    </row>
    <row r="114" spans="2:22" hidden="1" x14ac:dyDescent="0.35">
      <c r="B114" t="s">
        <v>325</v>
      </c>
      <c r="C114" s="67">
        <v>0.01</v>
      </c>
      <c r="D114" s="68">
        <v>0.01</v>
      </c>
      <c r="E114" s="67">
        <v>5.0000000000000001E-3</v>
      </c>
      <c r="F114" s="67">
        <v>0</v>
      </c>
      <c r="G114" s="67">
        <v>0</v>
      </c>
      <c r="H114" s="67">
        <v>0</v>
      </c>
      <c r="I114" s="67">
        <v>0</v>
      </c>
      <c r="J114" s="67">
        <v>0</v>
      </c>
      <c r="K114" s="67">
        <v>0</v>
      </c>
      <c r="L114" s="67">
        <v>0</v>
      </c>
      <c r="M114" s="67">
        <v>0</v>
      </c>
      <c r="N114" s="67">
        <v>0</v>
      </c>
      <c r="O114" s="67">
        <v>0</v>
      </c>
      <c r="P114" s="67">
        <v>0</v>
      </c>
      <c r="Q114" s="67">
        <v>0</v>
      </c>
      <c r="R114" s="67">
        <v>0</v>
      </c>
      <c r="S114" s="67">
        <v>0</v>
      </c>
      <c r="T114" s="67">
        <v>0</v>
      </c>
      <c r="U114" s="67">
        <v>0</v>
      </c>
      <c r="V114" s="67">
        <v>0</v>
      </c>
    </row>
    <row r="115" spans="2:22" hidden="1" x14ac:dyDescent="0.35">
      <c r="B115" t="s">
        <v>326</v>
      </c>
      <c r="C115" s="69">
        <v>1.7500000000000002E-2</v>
      </c>
      <c r="D115" s="68">
        <v>5.4999999999999997E-3</v>
      </c>
      <c r="E115" s="69">
        <v>0.01</v>
      </c>
      <c r="F115" s="69">
        <v>1.2500000000000001E-2</v>
      </c>
      <c r="G115" s="69">
        <v>0</v>
      </c>
      <c r="H115" s="67">
        <v>0</v>
      </c>
      <c r="I115" s="67">
        <v>0</v>
      </c>
      <c r="J115" s="69">
        <f>Prozentuale_Aufteilung_Bundesstrommix[[#This Row],[2021]]</f>
        <v>0</v>
      </c>
      <c r="K115" s="69">
        <f>Prozentuale_Aufteilung_Bundesstrommix[[#This Row],[2022]]</f>
        <v>0</v>
      </c>
      <c r="L115" s="69">
        <f>Prozentuale_Aufteilung_Bundesstrommix[[#This Row],[2023]]</f>
        <v>0</v>
      </c>
      <c r="M115" s="69">
        <f>Prozentuale_Aufteilung_Bundesstrommix[[#This Row],[2024]]</f>
        <v>0</v>
      </c>
      <c r="N115" s="69">
        <f>Prozentuale_Aufteilung_Bundesstrommix[[#This Row],[2025]]</f>
        <v>0</v>
      </c>
      <c r="O115" s="69">
        <f>Prozentuale_Aufteilung_Bundesstrommix[[#This Row],[2025]]</f>
        <v>0</v>
      </c>
      <c r="P115" s="69">
        <f>Prozentuale_Aufteilung_Bundesstrommix[[#This Row],[2025]]</f>
        <v>0</v>
      </c>
      <c r="Q115" s="69">
        <f>Prozentuale_Aufteilung_Bundesstrommix[[#This Row],[2025]]</f>
        <v>0</v>
      </c>
      <c r="R115" s="69">
        <f>Prozentuale_Aufteilung_Bundesstrommix[[#This Row],[2026]]</f>
        <v>0</v>
      </c>
      <c r="S115" s="69">
        <f>Prozentuale_Aufteilung_Bundesstrommix[[#This Row],[2030]]</f>
        <v>0</v>
      </c>
      <c r="T115" s="69">
        <f>Prozentuale_Aufteilung_Bundesstrommix[[#This Row],[2035]]</f>
        <v>0</v>
      </c>
      <c r="U115" s="69">
        <f>Prozentuale_Aufteilung_Bundesstrommix[[#This Row],[2040]]</f>
        <v>0</v>
      </c>
      <c r="V115" s="69">
        <f>Prozentuale_Aufteilung_Bundesstrommix[[#This Row],[2045]]</f>
        <v>0</v>
      </c>
    </row>
    <row r="116" spans="2:22" hidden="1" x14ac:dyDescent="0.35">
      <c r="B116" t="s">
        <v>327</v>
      </c>
      <c r="C116" s="58">
        <v>7.4999999999999997E-2</v>
      </c>
      <c r="D116" s="68">
        <v>7.0000000000000007E-2</v>
      </c>
      <c r="E116" s="58">
        <v>0.05</v>
      </c>
      <c r="F116" s="58">
        <v>0.05</v>
      </c>
      <c r="G116" s="58">
        <v>0.01</v>
      </c>
      <c r="H116" s="58">
        <v>0</v>
      </c>
      <c r="I116" s="58">
        <v>0</v>
      </c>
      <c r="J116" s="58">
        <f>Prozentuale_Aufteilung_Bundesstrommix[[#This Row],[2021]]</f>
        <v>0</v>
      </c>
      <c r="K116" s="58">
        <f>Prozentuale_Aufteilung_Bundesstrommix[[#This Row],[2022]]</f>
        <v>0</v>
      </c>
      <c r="L116" s="58">
        <f>Prozentuale_Aufteilung_Bundesstrommix[[#This Row],[2023]]</f>
        <v>0</v>
      </c>
      <c r="M116" s="58">
        <f>Prozentuale_Aufteilung_Bundesstrommix[[#This Row],[2024]]</f>
        <v>0</v>
      </c>
      <c r="N116" s="58">
        <f>Prozentuale_Aufteilung_Bundesstrommix[[#This Row],[2025]]</f>
        <v>0</v>
      </c>
      <c r="O116" s="58">
        <f>Prozentuale_Aufteilung_Bundesstrommix[[#This Row],[2025]]</f>
        <v>0</v>
      </c>
      <c r="P116" s="58">
        <f>Prozentuale_Aufteilung_Bundesstrommix[[#This Row],[2025]]</f>
        <v>0</v>
      </c>
      <c r="Q116" s="58">
        <f>Prozentuale_Aufteilung_Bundesstrommix[[#This Row],[2025]]</f>
        <v>0</v>
      </c>
      <c r="R116" s="58">
        <f>Prozentuale_Aufteilung_Bundesstrommix[[#This Row],[2026]]</f>
        <v>0</v>
      </c>
      <c r="S116" s="58">
        <f>Prozentuale_Aufteilung_Bundesstrommix[[#This Row],[2030]]</f>
        <v>0</v>
      </c>
      <c r="T116" s="58">
        <f>Prozentuale_Aufteilung_Bundesstrommix[[#This Row],[2035]]</f>
        <v>0</v>
      </c>
      <c r="U116" s="58">
        <f>Prozentuale_Aufteilung_Bundesstrommix[[#This Row],[2040]]</f>
        <v>0</v>
      </c>
      <c r="V116" s="58">
        <f>Prozentuale_Aufteilung_Bundesstrommix[[#This Row],[2045]]</f>
        <v>0</v>
      </c>
    </row>
    <row r="117" spans="2:22" hidden="1" x14ac:dyDescent="0.35">
      <c r="B117" t="s">
        <v>328</v>
      </c>
      <c r="C117" s="58">
        <v>0.08</v>
      </c>
      <c r="D117" s="68">
        <v>8.8499999999999995E-2</v>
      </c>
      <c r="E117" s="58">
        <v>0.08</v>
      </c>
      <c r="F117" s="58">
        <v>6.5000000000000002E-2</v>
      </c>
      <c r="G117" s="58">
        <v>8.4500000000000006E-2</v>
      </c>
      <c r="H117" s="58">
        <v>7.5369999999999993E-2</v>
      </c>
      <c r="I117" s="58">
        <v>0.19283</v>
      </c>
      <c r="J117" s="58">
        <f>Prozentuale_Aufteilung_Bundesstrommix[[#This Row],[2021]]</f>
        <v>0.19283</v>
      </c>
      <c r="K117" s="58">
        <f>Prozentuale_Aufteilung_Bundesstrommix[[#This Row],[2022]]</f>
        <v>0.19283</v>
      </c>
      <c r="L117" s="58">
        <f>Prozentuale_Aufteilung_Bundesstrommix[[#This Row],[2023]]</f>
        <v>0.19283</v>
      </c>
      <c r="M117" s="58">
        <f>Prozentuale_Aufteilung_Bundesstrommix[[#This Row],[2024]]</f>
        <v>0.19283</v>
      </c>
      <c r="N117" s="58">
        <f>Prozentuale_Aufteilung_Bundesstrommix[[#This Row],[2025]]</f>
        <v>0.19283</v>
      </c>
      <c r="O117" s="58">
        <f>Prozentuale_Aufteilung_Bundesstrommix[[#This Row],[2025]]</f>
        <v>0.19283</v>
      </c>
      <c r="P117" s="58">
        <f>Prozentuale_Aufteilung_Bundesstrommix[[#This Row],[2025]]</f>
        <v>0.19283</v>
      </c>
      <c r="Q117" s="58">
        <f>Prozentuale_Aufteilung_Bundesstrommix[[#This Row],[2025]]</f>
        <v>0.19283</v>
      </c>
      <c r="R117" s="58">
        <v>0.16572000000000001</v>
      </c>
      <c r="S117" s="58">
        <v>1.1657200000000001</v>
      </c>
      <c r="T117" s="58">
        <v>2.1657199999999999</v>
      </c>
      <c r="U117" s="58">
        <v>3.1657199999999999</v>
      </c>
      <c r="V117" s="58">
        <v>4.1657200000000003</v>
      </c>
    </row>
    <row r="118" spans="2:22" hidden="1" x14ac:dyDescent="0.35">
      <c r="B118" t="s">
        <v>329</v>
      </c>
      <c r="C118" s="58">
        <v>0.1</v>
      </c>
      <c r="D118" s="68">
        <v>0.1</v>
      </c>
      <c r="E118" s="58">
        <v>0.09</v>
      </c>
      <c r="F118" s="58">
        <v>0.09</v>
      </c>
      <c r="G118" s="58">
        <v>0.04</v>
      </c>
      <c r="H118" s="58">
        <v>0</v>
      </c>
      <c r="I118" s="58">
        <v>0</v>
      </c>
      <c r="J118" s="58">
        <f>Prozentuale_Aufteilung_Bundesstrommix[[#This Row],[2021]]</f>
        <v>0</v>
      </c>
      <c r="K118" s="58">
        <f>Prozentuale_Aufteilung_Bundesstrommix[[#This Row],[2022]]</f>
        <v>0</v>
      </c>
      <c r="L118" s="58">
        <f>Prozentuale_Aufteilung_Bundesstrommix[[#This Row],[2023]]</f>
        <v>0</v>
      </c>
      <c r="M118" s="58">
        <f>Prozentuale_Aufteilung_Bundesstrommix[[#This Row],[2024]]</f>
        <v>0</v>
      </c>
      <c r="N118" s="58">
        <f>Prozentuale_Aufteilung_Bundesstrommix[[#This Row],[2025]]</f>
        <v>0</v>
      </c>
      <c r="O118" s="58">
        <f>Prozentuale_Aufteilung_Bundesstrommix[[#This Row],[2025]]</f>
        <v>0</v>
      </c>
      <c r="P118" s="58">
        <f>Prozentuale_Aufteilung_Bundesstrommix[[#This Row],[2025]]</f>
        <v>0</v>
      </c>
      <c r="Q118" s="58">
        <f>Prozentuale_Aufteilung_Bundesstrommix[[#This Row],[2025]]</f>
        <v>0</v>
      </c>
      <c r="R118" s="58">
        <f>Prozentuale_Aufteilung_Bundesstrommix[[#This Row],[2026]]</f>
        <v>0</v>
      </c>
      <c r="S118" s="58">
        <f>Prozentuale_Aufteilung_Bundesstrommix[[#This Row],[2030]]</f>
        <v>0</v>
      </c>
      <c r="T118" s="58">
        <f>Prozentuale_Aufteilung_Bundesstrommix[[#This Row],[2035]]</f>
        <v>0</v>
      </c>
      <c r="U118" s="58">
        <f>Prozentuale_Aufteilung_Bundesstrommix[[#This Row],[2040]]</f>
        <v>0</v>
      </c>
      <c r="V118" s="58">
        <f>Prozentuale_Aufteilung_Bundesstrommix[[#This Row],[2045]]</f>
        <v>0</v>
      </c>
    </row>
    <row r="119" spans="2:22" hidden="1" x14ac:dyDescent="0.35">
      <c r="B119" t="s">
        <v>330</v>
      </c>
      <c r="C119" s="58">
        <v>2.9000000000000001E-2</v>
      </c>
      <c r="D119" s="68">
        <v>2.3E-2</v>
      </c>
      <c r="E119" s="58">
        <v>3.2000000000000001E-2</v>
      </c>
      <c r="F119" s="58">
        <v>0.03</v>
      </c>
      <c r="G119" s="58">
        <v>0.06</v>
      </c>
      <c r="H119" s="58">
        <v>0.08</v>
      </c>
      <c r="I119" s="58">
        <v>0.08</v>
      </c>
      <c r="J119" s="58">
        <f>Prozentuale_Aufteilung_Bundesstrommix[[#This Row],[2021]]</f>
        <v>0.08</v>
      </c>
      <c r="K119" s="58">
        <f>Prozentuale_Aufteilung_Bundesstrommix[[#This Row],[2022]]</f>
        <v>0.08</v>
      </c>
      <c r="L119" s="58">
        <f>Prozentuale_Aufteilung_Bundesstrommix[[#This Row],[2023]]</f>
        <v>0.08</v>
      </c>
      <c r="M119" s="58">
        <f>Prozentuale_Aufteilung_Bundesstrommix[[#This Row],[2024]]</f>
        <v>0.08</v>
      </c>
      <c r="N119" s="58">
        <f>Prozentuale_Aufteilung_Bundesstrommix[[#This Row],[2025]]</f>
        <v>0.08</v>
      </c>
      <c r="O119" s="58">
        <f>Prozentuale_Aufteilung_Bundesstrommix[[#This Row],[2025]]</f>
        <v>0.08</v>
      </c>
      <c r="P119" s="58">
        <f>Prozentuale_Aufteilung_Bundesstrommix[[#This Row],[2025]]</f>
        <v>0.08</v>
      </c>
      <c r="Q119" s="58">
        <f>Prozentuale_Aufteilung_Bundesstrommix[[#This Row],[2025]]</f>
        <v>0.08</v>
      </c>
      <c r="R119" s="58">
        <v>6.6530000000000006E-2</v>
      </c>
      <c r="S119" s="58">
        <v>1.06653</v>
      </c>
      <c r="T119" s="58">
        <v>2.0665300000000002</v>
      </c>
      <c r="U119" s="58">
        <v>3.0665300000000002</v>
      </c>
      <c r="V119" s="58">
        <v>4.0665300000000002</v>
      </c>
    </row>
    <row r="120" spans="2:22" hidden="1" x14ac:dyDescent="0.35">
      <c r="B120" t="s">
        <v>331</v>
      </c>
      <c r="C120" s="58">
        <v>0.02</v>
      </c>
      <c r="D120" s="68">
        <v>0.02</v>
      </c>
      <c r="E120" s="58">
        <v>0.15</v>
      </c>
      <c r="F120" s="58">
        <v>1.4999999999999999E-2</v>
      </c>
      <c r="G120" s="58">
        <v>0</v>
      </c>
      <c r="H120" s="58">
        <v>0</v>
      </c>
      <c r="I120" s="58">
        <v>0</v>
      </c>
      <c r="J120" s="58">
        <f>Prozentuale_Aufteilung_Bundesstrommix[[#This Row],[2021]]</f>
        <v>0</v>
      </c>
      <c r="K120" s="58">
        <f>Prozentuale_Aufteilung_Bundesstrommix[[#This Row],[2022]]</f>
        <v>0</v>
      </c>
      <c r="L120" s="58">
        <f>Prozentuale_Aufteilung_Bundesstrommix[[#This Row],[2023]]</f>
        <v>0</v>
      </c>
      <c r="M120" s="58">
        <f>Prozentuale_Aufteilung_Bundesstrommix[[#This Row],[2024]]</f>
        <v>0</v>
      </c>
      <c r="N120" s="58">
        <f>Prozentuale_Aufteilung_Bundesstrommix[[#This Row],[2025]]</f>
        <v>0</v>
      </c>
      <c r="O120" s="58">
        <f>Prozentuale_Aufteilung_Bundesstrommix[[#This Row],[2025]]</f>
        <v>0</v>
      </c>
      <c r="P120" s="58">
        <f>Prozentuale_Aufteilung_Bundesstrommix[[#This Row],[2025]]</f>
        <v>0</v>
      </c>
      <c r="Q120" s="58">
        <f>Prozentuale_Aufteilung_Bundesstrommix[[#This Row],[2025]]</f>
        <v>0</v>
      </c>
      <c r="R120" s="58">
        <f>Prozentuale_Aufteilung_Bundesstrommix[[#This Row],[2026]]</f>
        <v>0</v>
      </c>
      <c r="S120" s="58">
        <f>Prozentuale_Aufteilung_Bundesstrommix[[#This Row],[2030]]</f>
        <v>0</v>
      </c>
      <c r="T120" s="58">
        <f>Prozentuale_Aufteilung_Bundesstrommix[[#This Row],[2035]]</f>
        <v>0</v>
      </c>
      <c r="U120" s="58">
        <f>Prozentuale_Aufteilung_Bundesstrommix[[#This Row],[2040]]</f>
        <v>0</v>
      </c>
      <c r="V120" s="58">
        <f>Prozentuale_Aufteilung_Bundesstrommix[[#This Row],[2045]]</f>
        <v>0</v>
      </c>
    </row>
    <row r="121" spans="2:22" hidden="1" x14ac:dyDescent="0.35">
      <c r="B121" t="s">
        <v>332</v>
      </c>
      <c r="C121" s="58">
        <v>9.1999999999999998E-2</v>
      </c>
      <c r="D121" s="68">
        <v>0.09</v>
      </c>
      <c r="E121" s="58">
        <v>9.1999999999999998E-2</v>
      </c>
      <c r="F121" s="58">
        <v>0.09</v>
      </c>
      <c r="G121" s="58">
        <v>8.7599999999999997E-2</v>
      </c>
      <c r="H121" s="58">
        <v>8.0180000000000001E-2</v>
      </c>
      <c r="I121" s="58">
        <v>9.264E-2</v>
      </c>
      <c r="J121" s="58">
        <f>Prozentuale_Aufteilung_Bundesstrommix[[#This Row],[2021]]</f>
        <v>9.264E-2</v>
      </c>
      <c r="K121" s="58">
        <f>Prozentuale_Aufteilung_Bundesstrommix[[#This Row],[2022]]</f>
        <v>9.264E-2</v>
      </c>
      <c r="L121" s="58">
        <f>Prozentuale_Aufteilung_Bundesstrommix[[#This Row],[2023]]</f>
        <v>9.264E-2</v>
      </c>
      <c r="M121" s="58">
        <f>Prozentuale_Aufteilung_Bundesstrommix[[#This Row],[2024]]</f>
        <v>9.264E-2</v>
      </c>
      <c r="N121" s="58">
        <f>Prozentuale_Aufteilung_Bundesstrommix[[#This Row],[2025]]</f>
        <v>9.264E-2</v>
      </c>
      <c r="O121" s="58">
        <f>Prozentuale_Aufteilung_Bundesstrommix[[#This Row],[2025]]</f>
        <v>9.264E-2</v>
      </c>
      <c r="P121" s="58">
        <f>Prozentuale_Aufteilung_Bundesstrommix[[#This Row],[2025]]</f>
        <v>9.264E-2</v>
      </c>
      <c r="Q121" s="58">
        <f>Prozentuale_Aufteilung_Bundesstrommix[[#This Row],[2025]]</f>
        <v>9.264E-2</v>
      </c>
      <c r="R121" s="58">
        <v>6.6530000000000006E-2</v>
      </c>
      <c r="S121" s="58">
        <f>Prozentuale_Aufteilung_Bundesstrommix[[#This Row],[2030]]</f>
        <v>6.6530000000000006E-2</v>
      </c>
      <c r="T121" s="58">
        <f>Prozentuale_Aufteilung_Bundesstrommix[[#This Row],[2035]]</f>
        <v>6.6530000000000006E-2</v>
      </c>
      <c r="U121" s="58">
        <f>Prozentuale_Aufteilung_Bundesstrommix[[#This Row],[2040]]</f>
        <v>6.6530000000000006E-2</v>
      </c>
      <c r="V121" s="58">
        <f>Prozentuale_Aufteilung_Bundesstrommix[[#This Row],[2045]]</f>
        <v>6.6530000000000006E-2</v>
      </c>
    </row>
    <row r="122" spans="2:22" hidden="1" x14ac:dyDescent="0.35">
      <c r="B122" t="s">
        <v>333</v>
      </c>
      <c r="C122" s="58">
        <v>0.05</v>
      </c>
      <c r="D122" s="68">
        <v>0.05</v>
      </c>
      <c r="E122" s="58">
        <v>0.04</v>
      </c>
      <c r="F122" s="58">
        <v>0.03</v>
      </c>
      <c r="G122" s="58">
        <v>0.03</v>
      </c>
      <c r="H122" s="58">
        <v>0</v>
      </c>
      <c r="I122" s="58">
        <v>0</v>
      </c>
      <c r="J122" s="58">
        <f>Prozentuale_Aufteilung_Bundesstrommix[[#This Row],[2021]]</f>
        <v>0</v>
      </c>
      <c r="K122" s="58">
        <f>Prozentuale_Aufteilung_Bundesstrommix[[#This Row],[2022]]</f>
        <v>0</v>
      </c>
      <c r="L122" s="58">
        <f>Prozentuale_Aufteilung_Bundesstrommix[[#This Row],[2023]]</f>
        <v>0</v>
      </c>
      <c r="M122" s="58">
        <f>Prozentuale_Aufteilung_Bundesstrommix[[#This Row],[2024]]</f>
        <v>0</v>
      </c>
      <c r="N122" s="58">
        <f>Prozentuale_Aufteilung_Bundesstrommix[[#This Row],[2025]]</f>
        <v>0</v>
      </c>
      <c r="O122" s="58">
        <f>Prozentuale_Aufteilung_Bundesstrommix[[#This Row],[2025]]</f>
        <v>0</v>
      </c>
      <c r="P122" s="58">
        <f>Prozentuale_Aufteilung_Bundesstrommix[[#This Row],[2025]]</f>
        <v>0</v>
      </c>
      <c r="Q122" s="58">
        <f>Prozentuale_Aufteilung_Bundesstrommix[[#This Row],[2025]]</f>
        <v>0</v>
      </c>
      <c r="R122" s="58">
        <f>Prozentuale_Aufteilung_Bundesstrommix[[#This Row],[2026]]</f>
        <v>0</v>
      </c>
      <c r="S122" s="58">
        <f>Prozentuale_Aufteilung_Bundesstrommix[[#This Row],[2030]]</f>
        <v>0</v>
      </c>
      <c r="T122" s="58">
        <f>Prozentuale_Aufteilung_Bundesstrommix[[#This Row],[2035]]</f>
        <v>0</v>
      </c>
      <c r="U122" s="58">
        <f>Prozentuale_Aufteilung_Bundesstrommix[[#This Row],[2040]]</f>
        <v>0</v>
      </c>
      <c r="V122" s="58">
        <f>Prozentuale_Aufteilung_Bundesstrommix[[#This Row],[2045]]</f>
        <v>0</v>
      </c>
    </row>
    <row r="123" spans="2:22" hidden="1" x14ac:dyDescent="0.35">
      <c r="B123" t="s">
        <v>334</v>
      </c>
      <c r="C123" s="58">
        <v>4.53E-2</v>
      </c>
      <c r="D123" s="68">
        <v>7.7499999999999999E-2</v>
      </c>
      <c r="E123" s="58">
        <v>0.1</v>
      </c>
      <c r="F123" s="58">
        <v>0.1</v>
      </c>
      <c r="G123" s="58">
        <v>2.1000000000000001E-2</v>
      </c>
      <c r="H123" s="58">
        <v>0.1</v>
      </c>
      <c r="I123" s="58">
        <v>0.1</v>
      </c>
      <c r="J123" s="58">
        <f>Prozentuale_Aufteilung_Bundesstrommix[[#This Row],[2021]]</f>
        <v>0.1</v>
      </c>
      <c r="K123" s="58">
        <f>Prozentuale_Aufteilung_Bundesstrommix[[#This Row],[2022]]</f>
        <v>0.1</v>
      </c>
      <c r="L123" s="58">
        <f>Prozentuale_Aufteilung_Bundesstrommix[[#This Row],[2023]]</f>
        <v>0.1</v>
      </c>
      <c r="M123" s="58">
        <f>Prozentuale_Aufteilung_Bundesstrommix[[#This Row],[2024]]</f>
        <v>0.1</v>
      </c>
      <c r="N123" s="58">
        <f>Prozentuale_Aufteilung_Bundesstrommix[[#This Row],[2025]]</f>
        <v>0.1</v>
      </c>
      <c r="O123" s="58">
        <f>Prozentuale_Aufteilung_Bundesstrommix[[#This Row],[2025]]</f>
        <v>0.1</v>
      </c>
      <c r="P123" s="58">
        <f>Prozentuale_Aufteilung_Bundesstrommix[[#This Row],[2025]]</f>
        <v>0.1</v>
      </c>
      <c r="Q123" s="58">
        <f>Prozentuale_Aufteilung_Bundesstrommix[[#This Row],[2025]]</f>
        <v>0.1</v>
      </c>
      <c r="R123" s="58">
        <v>7.4999999999999997E-2</v>
      </c>
      <c r="S123" s="58">
        <f>Prozentuale_Aufteilung_Bundesstrommix[[#This Row],[2030]]</f>
        <v>7.4999999999999997E-2</v>
      </c>
      <c r="T123" s="58">
        <f>Prozentuale_Aufteilung_Bundesstrommix[[#This Row],[2035]]</f>
        <v>7.4999999999999997E-2</v>
      </c>
      <c r="U123" s="58">
        <f>Prozentuale_Aufteilung_Bundesstrommix[[#This Row],[2040]]</f>
        <v>7.4999999999999997E-2</v>
      </c>
      <c r="V123" s="58">
        <f>Prozentuale_Aufteilung_Bundesstrommix[[#This Row],[2045]]</f>
        <v>7.4999999999999997E-2</v>
      </c>
    </row>
    <row r="124" spans="2:22" hidden="1" x14ac:dyDescent="0.35">
      <c r="B124" t="s">
        <v>335</v>
      </c>
      <c r="C124" s="58">
        <v>0</v>
      </c>
      <c r="D124" s="58">
        <v>0</v>
      </c>
      <c r="E124" s="58">
        <v>0</v>
      </c>
      <c r="F124" s="58">
        <v>0</v>
      </c>
      <c r="G124" s="58">
        <v>0</v>
      </c>
      <c r="H124" s="58">
        <v>6.071E-2</v>
      </c>
      <c r="I124" s="58">
        <v>5.2260000000000001E-2</v>
      </c>
      <c r="J124" s="58">
        <f>Prozentuale_Aufteilung_Bundesstrommix[[#This Row],[2021]]</f>
        <v>5.2260000000000001E-2</v>
      </c>
      <c r="K124" s="58">
        <f>Prozentuale_Aufteilung_Bundesstrommix[[#This Row],[2022]]</f>
        <v>5.2260000000000001E-2</v>
      </c>
      <c r="L124" s="58">
        <f>Prozentuale_Aufteilung_Bundesstrommix[[#This Row],[2023]]</f>
        <v>5.2260000000000001E-2</v>
      </c>
      <c r="M124" s="58">
        <f>Prozentuale_Aufteilung_Bundesstrommix[[#This Row],[2024]]</f>
        <v>5.2260000000000001E-2</v>
      </c>
      <c r="N124" s="58">
        <f>Prozentuale_Aufteilung_Bundesstrommix[[#This Row],[2025]]</f>
        <v>5.2260000000000001E-2</v>
      </c>
      <c r="O124" s="58">
        <f>Prozentuale_Aufteilung_Bundesstrommix[[#This Row],[2025]]</f>
        <v>5.2260000000000001E-2</v>
      </c>
      <c r="P124" s="58">
        <f>Prozentuale_Aufteilung_Bundesstrommix[[#This Row],[2025]]</f>
        <v>5.2260000000000001E-2</v>
      </c>
      <c r="Q124" s="58">
        <f>Prozentuale_Aufteilung_Bundesstrommix[[#This Row],[2025]]</f>
        <v>5.2260000000000001E-2</v>
      </c>
      <c r="R124" s="58">
        <v>6.1339999999999999E-2</v>
      </c>
      <c r="S124" s="58">
        <f>Prozentuale_Aufteilung_Bundesstrommix[[#This Row],[2030]]</f>
        <v>6.1339999999999999E-2</v>
      </c>
      <c r="T124" s="58">
        <f>Prozentuale_Aufteilung_Bundesstrommix[[#This Row],[2035]]</f>
        <v>6.1339999999999999E-2</v>
      </c>
      <c r="U124" s="58">
        <f>Prozentuale_Aufteilung_Bundesstrommix[[#This Row],[2040]]</f>
        <v>6.1339999999999999E-2</v>
      </c>
      <c r="V124" s="58">
        <f>Prozentuale_Aufteilung_Bundesstrommix[[#This Row],[2045]]</f>
        <v>6.1339999999999999E-2</v>
      </c>
    </row>
    <row r="125" spans="2:22" hidden="1" x14ac:dyDescent="0.35">
      <c r="B125" t="s">
        <v>336</v>
      </c>
      <c r="C125" s="58">
        <v>1.4999999999999999E-2</v>
      </c>
      <c r="D125" s="68">
        <v>2.5499999999999998E-2</v>
      </c>
      <c r="E125" s="58">
        <v>1.38E-2</v>
      </c>
      <c r="F125" s="58">
        <v>2.3E-2</v>
      </c>
      <c r="G125" s="58">
        <v>2.1000000000000001E-2</v>
      </c>
      <c r="H125" s="58">
        <v>0.02</v>
      </c>
      <c r="I125" s="58">
        <v>0.02</v>
      </c>
      <c r="J125" s="58">
        <f>Prozentuale_Aufteilung_Bundesstrommix[[#This Row],[2021]]</f>
        <v>0.02</v>
      </c>
      <c r="K125" s="58">
        <f>Prozentuale_Aufteilung_Bundesstrommix[[#This Row],[2022]]</f>
        <v>0.02</v>
      </c>
      <c r="L125" s="58">
        <f>Prozentuale_Aufteilung_Bundesstrommix[[#This Row],[2023]]</f>
        <v>0.02</v>
      </c>
      <c r="M125" s="58">
        <f>Prozentuale_Aufteilung_Bundesstrommix[[#This Row],[2024]]</f>
        <v>0.02</v>
      </c>
      <c r="N125" s="58">
        <f>Prozentuale_Aufteilung_Bundesstrommix[[#This Row],[2025]]</f>
        <v>0.02</v>
      </c>
      <c r="O125" s="58">
        <f>Prozentuale_Aufteilung_Bundesstrommix[[#This Row],[2025]]</f>
        <v>0.02</v>
      </c>
      <c r="P125" s="58">
        <f>Prozentuale_Aufteilung_Bundesstrommix[[#This Row],[2025]]</f>
        <v>0.02</v>
      </c>
      <c r="Q125" s="58">
        <f>Prozentuale_Aufteilung_Bundesstrommix[[#This Row],[2025]]</f>
        <v>0.02</v>
      </c>
      <c r="R125" s="58">
        <v>8.6700000000000006E-3</v>
      </c>
      <c r="S125" s="58">
        <f>Prozentuale_Aufteilung_Bundesstrommix[[#This Row],[2030]]</f>
        <v>8.6700000000000006E-3</v>
      </c>
      <c r="T125" s="58">
        <f>Prozentuale_Aufteilung_Bundesstrommix[[#This Row],[2035]]</f>
        <v>8.6700000000000006E-3</v>
      </c>
      <c r="U125" s="58">
        <f>Prozentuale_Aufteilung_Bundesstrommix[[#This Row],[2040]]</f>
        <v>8.6700000000000006E-3</v>
      </c>
      <c r="V125" s="58">
        <f>Prozentuale_Aufteilung_Bundesstrommix[[#This Row],[2045]]</f>
        <v>8.6700000000000006E-3</v>
      </c>
    </row>
    <row r="126" spans="2:22" hidden="1" x14ac:dyDescent="0.35">
      <c r="B126" t="s">
        <v>337</v>
      </c>
      <c r="C126" s="58">
        <v>0.01</v>
      </c>
      <c r="D126" s="68">
        <v>9.1999999999999998E-3</v>
      </c>
      <c r="E126" s="58">
        <v>8.9999999999999993E-3</v>
      </c>
      <c r="F126" s="58">
        <v>8.0000000000000002E-3</v>
      </c>
      <c r="G126" s="58">
        <v>8.3999999999999995E-3</v>
      </c>
      <c r="H126" s="58">
        <v>7.5199999999999998E-3</v>
      </c>
      <c r="I126" s="58">
        <v>8.2100000000000003E-3</v>
      </c>
      <c r="J126" s="58">
        <f>Prozentuale_Aufteilung_Bundesstrommix[[#This Row],[2021]]</f>
        <v>8.2100000000000003E-3</v>
      </c>
      <c r="K126" s="58">
        <f>Prozentuale_Aufteilung_Bundesstrommix[[#This Row],[2022]]</f>
        <v>8.2100000000000003E-3</v>
      </c>
      <c r="L126" s="58">
        <f>Prozentuale_Aufteilung_Bundesstrommix[[#This Row],[2023]]</f>
        <v>8.2100000000000003E-3</v>
      </c>
      <c r="M126" s="58">
        <f>Prozentuale_Aufteilung_Bundesstrommix[[#This Row],[2024]]</f>
        <v>8.2100000000000003E-3</v>
      </c>
      <c r="N126" s="58">
        <f>Prozentuale_Aufteilung_Bundesstrommix[[#This Row],[2025]]</f>
        <v>8.2100000000000003E-3</v>
      </c>
      <c r="O126" s="58">
        <f>Prozentuale_Aufteilung_Bundesstrommix[[#This Row],[2025]]</f>
        <v>8.2100000000000003E-3</v>
      </c>
      <c r="P126" s="58">
        <f>Prozentuale_Aufteilung_Bundesstrommix[[#This Row],[2025]]</f>
        <v>8.2100000000000003E-3</v>
      </c>
      <c r="Q126" s="58">
        <f>Prozentuale_Aufteilung_Bundesstrommix[[#This Row],[2025]]</f>
        <v>8.2100000000000003E-3</v>
      </c>
      <c r="R126" s="58">
        <v>8.6700000000000006E-3</v>
      </c>
      <c r="S126" s="58">
        <f>Prozentuale_Aufteilung_Bundesstrommix[[#This Row],[2030]]</f>
        <v>8.6700000000000006E-3</v>
      </c>
      <c r="T126" s="58">
        <f>Prozentuale_Aufteilung_Bundesstrommix[[#This Row],[2035]]</f>
        <v>8.6700000000000006E-3</v>
      </c>
      <c r="U126" s="58">
        <f>Prozentuale_Aufteilung_Bundesstrommix[[#This Row],[2040]]</f>
        <v>8.6700000000000006E-3</v>
      </c>
      <c r="V126" s="58">
        <f>Prozentuale_Aufteilung_Bundesstrommix[[#This Row],[2045]]</f>
        <v>8.6700000000000006E-3</v>
      </c>
    </row>
    <row r="127" spans="2:22" hidden="1" x14ac:dyDescent="0.35">
      <c r="B127" t="s">
        <v>338</v>
      </c>
      <c r="C127" s="58">
        <v>0.01</v>
      </c>
      <c r="D127" s="68">
        <v>0.01</v>
      </c>
      <c r="E127" s="58">
        <v>9.1999999999999998E-3</v>
      </c>
      <c r="F127" s="58">
        <v>0</v>
      </c>
      <c r="G127" s="58">
        <v>0</v>
      </c>
      <c r="H127" s="58">
        <v>0</v>
      </c>
      <c r="I127" s="58">
        <v>0</v>
      </c>
      <c r="J127" s="58">
        <v>0</v>
      </c>
      <c r="K127" s="58">
        <v>0</v>
      </c>
      <c r="L127" s="58">
        <v>0</v>
      </c>
      <c r="M127" s="58">
        <v>0</v>
      </c>
      <c r="N127" s="58">
        <v>0</v>
      </c>
      <c r="O127" s="58">
        <v>0</v>
      </c>
      <c r="P127" s="58">
        <v>0</v>
      </c>
      <c r="Q127" s="58">
        <v>0</v>
      </c>
      <c r="R127" s="58">
        <v>0</v>
      </c>
      <c r="S127" s="58">
        <v>0</v>
      </c>
      <c r="T127" s="58">
        <v>0</v>
      </c>
      <c r="U127" s="58">
        <v>0</v>
      </c>
      <c r="V127" s="58">
        <v>0</v>
      </c>
    </row>
    <row r="128" spans="2:22" hidden="1" x14ac:dyDescent="0.35">
      <c r="B128" t="s">
        <v>339</v>
      </c>
      <c r="C128" s="58">
        <v>7.1999999999999998E-3</v>
      </c>
      <c r="D128" s="68">
        <v>7.2500000000000004E-3</v>
      </c>
      <c r="E128" s="58">
        <v>0.92500000000000004</v>
      </c>
      <c r="F128" s="58">
        <v>0.02</v>
      </c>
      <c r="G128" s="58">
        <v>2.0199999999999999E-2</v>
      </c>
      <c r="H128" s="58">
        <v>0.02</v>
      </c>
      <c r="I128" s="58">
        <v>0.02</v>
      </c>
      <c r="J128" s="58">
        <f>Prozentuale_Aufteilung_Bundesstrommix[[#This Row],[2021]]</f>
        <v>0.02</v>
      </c>
      <c r="K128" s="58">
        <f>Prozentuale_Aufteilung_Bundesstrommix[[#This Row],[2022]]</f>
        <v>0.02</v>
      </c>
      <c r="L128" s="58">
        <f>Prozentuale_Aufteilung_Bundesstrommix[[#This Row],[2023]]</f>
        <v>0.02</v>
      </c>
      <c r="M128" s="58">
        <f>Prozentuale_Aufteilung_Bundesstrommix[[#This Row],[2024]]</f>
        <v>0.02</v>
      </c>
      <c r="N128" s="58">
        <f>Prozentuale_Aufteilung_Bundesstrommix[[#This Row],[2025]]</f>
        <v>0.02</v>
      </c>
      <c r="O128" s="58">
        <f>Prozentuale_Aufteilung_Bundesstrommix[[#This Row],[2025]]</f>
        <v>0.02</v>
      </c>
      <c r="P128" s="58">
        <f>Prozentuale_Aufteilung_Bundesstrommix[[#This Row],[2025]]</f>
        <v>0.02</v>
      </c>
      <c r="Q128" s="58">
        <f>Prozentuale_Aufteilung_Bundesstrommix[[#This Row],[2025]]</f>
        <v>0.02</v>
      </c>
      <c r="R128" s="58">
        <v>5.0000000000000001E-3</v>
      </c>
      <c r="S128" s="58">
        <f>Prozentuale_Aufteilung_Bundesstrommix[[#This Row],[2030]]</f>
        <v>5.0000000000000001E-3</v>
      </c>
      <c r="T128" s="58">
        <f>Prozentuale_Aufteilung_Bundesstrommix[[#This Row],[2035]]</f>
        <v>5.0000000000000001E-3</v>
      </c>
      <c r="U128" s="58">
        <f>Prozentuale_Aufteilung_Bundesstrommix[[#This Row],[2040]]</f>
        <v>5.0000000000000001E-3</v>
      </c>
      <c r="V128" s="58">
        <f>Prozentuale_Aufteilung_Bundesstrommix[[#This Row],[2045]]</f>
        <v>5.0000000000000001E-3</v>
      </c>
    </row>
    <row r="129" spans="2:23" hidden="1" x14ac:dyDescent="0.35">
      <c r="B129" t="s">
        <v>340</v>
      </c>
      <c r="C129" s="58">
        <v>0</v>
      </c>
      <c r="D129" s="58">
        <v>0</v>
      </c>
      <c r="E129" s="58">
        <v>0</v>
      </c>
      <c r="F129" s="58">
        <v>0</v>
      </c>
      <c r="G129" s="58">
        <v>0</v>
      </c>
      <c r="H129" s="58">
        <v>1.4999999999999999E-2</v>
      </c>
      <c r="I129" s="58">
        <v>1.4999999999999999E-2</v>
      </c>
      <c r="J129" s="58">
        <f>Prozentuale_Aufteilung_Bundesstrommix[[#This Row],[2021]]</f>
        <v>1.4999999999999999E-2</v>
      </c>
      <c r="K129" s="58">
        <f>Prozentuale_Aufteilung_Bundesstrommix[[#This Row],[2022]]</f>
        <v>1.4999999999999999E-2</v>
      </c>
      <c r="L129" s="58">
        <f>Prozentuale_Aufteilung_Bundesstrommix[[#This Row],[2023]]</f>
        <v>1.4999999999999999E-2</v>
      </c>
      <c r="M129" s="58">
        <f>Prozentuale_Aufteilung_Bundesstrommix[[#This Row],[2024]]</f>
        <v>1.4999999999999999E-2</v>
      </c>
      <c r="N129" s="58">
        <f>Prozentuale_Aufteilung_Bundesstrommix[[#This Row],[2025]]</f>
        <v>1.4999999999999999E-2</v>
      </c>
      <c r="O129" s="58">
        <f>Prozentuale_Aufteilung_Bundesstrommix[[#This Row],[2025]]</f>
        <v>1.4999999999999999E-2</v>
      </c>
      <c r="P129" s="58">
        <f>Prozentuale_Aufteilung_Bundesstrommix[[#This Row],[2025]]</f>
        <v>1.4999999999999999E-2</v>
      </c>
      <c r="Q129" s="58">
        <f>Prozentuale_Aufteilung_Bundesstrommix[[#This Row],[2025]]</f>
        <v>1.4999999999999999E-2</v>
      </c>
      <c r="R129" s="58">
        <v>8.2100000000000003E-3</v>
      </c>
      <c r="S129" s="58">
        <f>Prozentuale_Aufteilung_Bundesstrommix[[#This Row],[2030]]</f>
        <v>8.2100000000000003E-3</v>
      </c>
      <c r="T129" s="58">
        <f>Prozentuale_Aufteilung_Bundesstrommix[[#This Row],[2035]]</f>
        <v>8.2100000000000003E-3</v>
      </c>
      <c r="U129" s="58">
        <f>Prozentuale_Aufteilung_Bundesstrommix[[#This Row],[2040]]</f>
        <v>8.2100000000000003E-3</v>
      </c>
      <c r="V129" s="58">
        <f>Prozentuale_Aufteilung_Bundesstrommix[[#This Row],[2045]]</f>
        <v>8.2100000000000003E-3</v>
      </c>
    </row>
    <row r="130" spans="2:23" hidden="1" x14ac:dyDescent="0.35"/>
    <row r="131" spans="2:23" hidden="1" x14ac:dyDescent="0.35">
      <c r="B131" s="1" t="s">
        <v>341</v>
      </c>
    </row>
    <row r="132" spans="2:23" hidden="1" x14ac:dyDescent="0.35">
      <c r="B132" t="s">
        <v>342</v>
      </c>
    </row>
    <row r="133" spans="2:23" hidden="1" x14ac:dyDescent="0.35">
      <c r="B133" t="s">
        <v>343</v>
      </c>
      <c r="C133" s="9" t="s">
        <v>3</v>
      </c>
      <c r="D133" s="9" t="s">
        <v>4</v>
      </c>
      <c r="E133" s="9" t="s">
        <v>5</v>
      </c>
      <c r="F133" s="9" t="s">
        <v>6</v>
      </c>
      <c r="G133" s="9" t="s">
        <v>7</v>
      </c>
      <c r="H133" s="9" t="s">
        <v>8</v>
      </c>
      <c r="I133" s="9" t="s">
        <v>9</v>
      </c>
      <c r="J133" s="10" t="s">
        <v>10</v>
      </c>
      <c r="K133" s="10" t="s">
        <v>11</v>
      </c>
      <c r="L133" s="10" t="s">
        <v>12</v>
      </c>
      <c r="M133" s="10" t="s">
        <v>13</v>
      </c>
      <c r="N133" s="10" t="s">
        <v>14</v>
      </c>
      <c r="O133" s="10" t="s">
        <v>232</v>
      </c>
      <c r="P133" s="10" t="s">
        <v>233</v>
      </c>
      <c r="Q133" s="10" t="s">
        <v>234</v>
      </c>
      <c r="R133" s="10" t="s">
        <v>15</v>
      </c>
      <c r="S133" s="10" t="s">
        <v>16</v>
      </c>
      <c r="T133" s="10" t="s">
        <v>17</v>
      </c>
      <c r="U133" s="10" t="s">
        <v>18</v>
      </c>
      <c r="V133" s="10" t="s">
        <v>19</v>
      </c>
      <c r="W133" s="61" t="s">
        <v>344</v>
      </c>
    </row>
    <row r="134" spans="2:23" hidden="1" x14ac:dyDescent="0.35">
      <c r="B134" t="s">
        <v>325</v>
      </c>
      <c r="C134" s="9">
        <v>228583</v>
      </c>
      <c r="D134" s="9">
        <f>EF_Bundesstrommix_Gemis[[#This Row],[2015]]</f>
        <v>228583</v>
      </c>
      <c r="E134" s="9">
        <f>EF_Bundesstrommix_Gemis[[#This Row],[2016]]</f>
        <v>228583</v>
      </c>
      <c r="F134" s="9">
        <f>EF_Bundesstrommix_Gemis[[#This Row],[2017]]</f>
        <v>228583</v>
      </c>
      <c r="G134" s="9">
        <f>EF_Bundesstrommix_Gemis[[#This Row],[2018]]</f>
        <v>228583</v>
      </c>
      <c r="H134" s="9">
        <f>EF_Bundesstrommix_Gemis[[#This Row],[2019]]</f>
        <v>228583</v>
      </c>
      <c r="I134" s="9">
        <f>EF_Bundesstrommix_Gemis[[#This Row],[2020]]</f>
        <v>228583</v>
      </c>
      <c r="J134" s="9">
        <f>EF_Bundesstrommix_Gemis[[#This Row],[2021]]</f>
        <v>228583</v>
      </c>
      <c r="K134" s="9">
        <f>EF_Bundesstrommix_Gemis[[#This Row],[2022]]</f>
        <v>228583</v>
      </c>
      <c r="L134" s="9">
        <f>EF_Bundesstrommix_Gemis[[#This Row],[2023]]</f>
        <v>228583</v>
      </c>
      <c r="M134" s="9">
        <f>EF_Bundesstrommix_Gemis[[#This Row],[2024]]</f>
        <v>228583</v>
      </c>
      <c r="N134" s="9">
        <f>EF_Bundesstrommix_Gemis[[#This Row],[2025]]</f>
        <v>228583</v>
      </c>
      <c r="O134" s="9">
        <f>EF_Bundesstrommix_Gemis[[#This Row],[2025]]</f>
        <v>228583</v>
      </c>
      <c r="P134" s="9">
        <f>EF_Bundesstrommix_Gemis[[#This Row],[2025]]</f>
        <v>228583</v>
      </c>
      <c r="Q134" s="9">
        <f>EF_Bundesstrommix_Gemis[[#This Row],[2025]]</f>
        <v>228583</v>
      </c>
      <c r="R134" s="9">
        <f>EF_Bundesstrommix_Gemis[[#This Row],[2026]]</f>
        <v>228583</v>
      </c>
      <c r="S134" s="9">
        <f>EF_Bundesstrommix_Gemis[[#This Row],[2030]]</f>
        <v>228583</v>
      </c>
      <c r="T134" s="9">
        <f>EF_Bundesstrommix_Gemis[[#This Row],[2035]]</f>
        <v>228583</v>
      </c>
      <c r="U134" s="9">
        <f>EF_Bundesstrommix_Gemis[[#This Row],[2040]]</f>
        <v>228583</v>
      </c>
      <c r="V134" s="9">
        <f>EF_Bundesstrommix_Gemis[[#This Row],[2045]]</f>
        <v>228583</v>
      </c>
      <c r="W134" s="63"/>
    </row>
    <row r="135" spans="2:23" hidden="1" x14ac:dyDescent="0.35">
      <c r="B135" t="s">
        <v>326</v>
      </c>
      <c r="C135" s="9">
        <v>209337</v>
      </c>
      <c r="D135" s="9">
        <f>EF_Bundesstrommix_Gemis[[#This Row],[2015]]</f>
        <v>209337</v>
      </c>
      <c r="E135" s="9">
        <f>EF_Bundesstrommix_Gemis[[#This Row],[2016]]</f>
        <v>209337</v>
      </c>
      <c r="F135" s="9">
        <f>EF_Bundesstrommix_Gemis[[#This Row],[2017]]</f>
        <v>209337</v>
      </c>
      <c r="G135" s="9">
        <f>EF_Bundesstrommix_Gemis[[#This Row],[2018]]</f>
        <v>209337</v>
      </c>
      <c r="H135" s="9">
        <f>EF_Bundesstrommix_Gemis[[#This Row],[2019]]</f>
        <v>209337</v>
      </c>
      <c r="I135" s="9">
        <f>EF_Bundesstrommix_Gemis[[#This Row],[2020]]</f>
        <v>209337</v>
      </c>
      <c r="J135" s="9">
        <f>EF_Bundesstrommix_Gemis[[#This Row],[2021]]</f>
        <v>209337</v>
      </c>
      <c r="K135" s="9">
        <f>EF_Bundesstrommix_Gemis[[#This Row],[2022]]</f>
        <v>209337</v>
      </c>
      <c r="L135" s="9">
        <f>EF_Bundesstrommix_Gemis[[#This Row],[2023]]</f>
        <v>209337</v>
      </c>
      <c r="M135" s="9">
        <f>EF_Bundesstrommix_Gemis[[#This Row],[2024]]</f>
        <v>209337</v>
      </c>
      <c r="N135" s="9">
        <f>EF_Bundesstrommix_Gemis[[#This Row],[2025]]</f>
        <v>209337</v>
      </c>
      <c r="O135" s="9">
        <f>EF_Bundesstrommix_Gemis[[#This Row],[2025]]</f>
        <v>209337</v>
      </c>
      <c r="P135" s="9">
        <f>EF_Bundesstrommix_Gemis[[#This Row],[2025]]</f>
        <v>209337</v>
      </c>
      <c r="Q135" s="9">
        <f>EF_Bundesstrommix_Gemis[[#This Row],[2025]]</f>
        <v>209337</v>
      </c>
      <c r="R135" s="9">
        <f>EF_Bundesstrommix_Gemis[[#This Row],[2026]]</f>
        <v>209337</v>
      </c>
      <c r="S135" s="9">
        <f>EF_Bundesstrommix_Gemis[[#This Row],[2030]]</f>
        <v>209337</v>
      </c>
      <c r="T135" s="9">
        <f>EF_Bundesstrommix_Gemis[[#This Row],[2035]]</f>
        <v>209337</v>
      </c>
      <c r="U135" s="9">
        <f>EF_Bundesstrommix_Gemis[[#This Row],[2040]]</f>
        <v>209337</v>
      </c>
      <c r="V135" s="9">
        <f>EF_Bundesstrommix_Gemis[[#This Row],[2045]]</f>
        <v>209337</v>
      </c>
      <c r="W135" s="63"/>
    </row>
    <row r="136" spans="2:23" hidden="1" x14ac:dyDescent="0.35">
      <c r="B136" t="s">
        <v>327</v>
      </c>
      <c r="C136" s="9">
        <v>262549</v>
      </c>
      <c r="D136" s="9">
        <f>EF_Bundesstrommix_Gemis[[#This Row],[2015]]</f>
        <v>262549</v>
      </c>
      <c r="E136" s="9">
        <f>EF_Bundesstrommix_Gemis[[#This Row],[2016]]</f>
        <v>262549</v>
      </c>
      <c r="F136" s="9">
        <f>EF_Bundesstrommix_Gemis[[#This Row],[2017]]</f>
        <v>262549</v>
      </c>
      <c r="G136" s="9">
        <f>EF_Bundesstrommix_Gemis[[#This Row],[2018]]</f>
        <v>262549</v>
      </c>
      <c r="H136" s="9">
        <f>EF_Bundesstrommix_Gemis[[#This Row],[2019]]</f>
        <v>262549</v>
      </c>
      <c r="I136" s="9">
        <f>EF_Bundesstrommix_Gemis[[#This Row],[2020]]</f>
        <v>262549</v>
      </c>
      <c r="J136" s="9">
        <f>EF_Bundesstrommix_Gemis[[#This Row],[2021]]</f>
        <v>262549</v>
      </c>
      <c r="K136" s="9">
        <f>EF_Bundesstrommix_Gemis[[#This Row],[2022]]</f>
        <v>262549</v>
      </c>
      <c r="L136" s="9">
        <f>EF_Bundesstrommix_Gemis[[#This Row],[2023]]</f>
        <v>262549</v>
      </c>
      <c r="M136" s="9">
        <f>EF_Bundesstrommix_Gemis[[#This Row],[2024]]</f>
        <v>262549</v>
      </c>
      <c r="N136" s="9">
        <f>EF_Bundesstrommix_Gemis[[#This Row],[2025]]</f>
        <v>262549</v>
      </c>
      <c r="O136" s="9">
        <f>EF_Bundesstrommix_Gemis[[#This Row],[2025]]</f>
        <v>262549</v>
      </c>
      <c r="P136" s="9">
        <f>EF_Bundesstrommix_Gemis[[#This Row],[2025]]</f>
        <v>262549</v>
      </c>
      <c r="Q136" s="9">
        <f>EF_Bundesstrommix_Gemis[[#This Row],[2025]]</f>
        <v>262549</v>
      </c>
      <c r="R136" s="9">
        <f>EF_Bundesstrommix_Gemis[[#This Row],[2026]]</f>
        <v>262549</v>
      </c>
      <c r="S136" s="9">
        <f>EF_Bundesstrommix_Gemis[[#This Row],[2030]]</f>
        <v>262549</v>
      </c>
      <c r="T136" s="9">
        <f>EF_Bundesstrommix_Gemis[[#This Row],[2035]]</f>
        <v>262549</v>
      </c>
      <c r="U136" s="9">
        <f>EF_Bundesstrommix_Gemis[[#This Row],[2040]]</f>
        <v>262549</v>
      </c>
      <c r="V136" s="9">
        <f>EF_Bundesstrommix_Gemis[[#This Row],[2045]]</f>
        <v>262549</v>
      </c>
      <c r="W136" s="63"/>
    </row>
    <row r="137" spans="2:23" hidden="1" x14ac:dyDescent="0.35">
      <c r="B137" t="s">
        <v>328</v>
      </c>
      <c r="C137">
        <v>215352</v>
      </c>
      <c r="D137" s="9">
        <f>EF_Bundesstrommix_Gemis[[#This Row],[2015]]</f>
        <v>215352</v>
      </c>
      <c r="E137" s="9">
        <f>EF_Bundesstrommix_Gemis[[#This Row],[2016]]</f>
        <v>215352</v>
      </c>
      <c r="F137" s="9">
        <f>EF_Bundesstrommix_Gemis[[#This Row],[2017]]</f>
        <v>215352</v>
      </c>
      <c r="G137" s="9">
        <f>EF_Bundesstrommix_Gemis[[#This Row],[2018]]</f>
        <v>215352</v>
      </c>
      <c r="H137" s="9">
        <f>EF_Bundesstrommix_Gemis[[#This Row],[2019]]</f>
        <v>215352</v>
      </c>
      <c r="I137" s="9">
        <f>EF_Bundesstrommix_Gemis[[#This Row],[2020]]</f>
        <v>215352</v>
      </c>
      <c r="J137" s="9">
        <f>EF_Bundesstrommix_Gemis[[#This Row],[2021]]</f>
        <v>215352</v>
      </c>
      <c r="K137" s="9">
        <f>EF_Bundesstrommix_Gemis[[#This Row],[2022]]</f>
        <v>215352</v>
      </c>
      <c r="L137" s="9">
        <f>EF_Bundesstrommix_Gemis[[#This Row],[2023]]</f>
        <v>215352</v>
      </c>
      <c r="M137" s="9">
        <f>EF_Bundesstrommix_Gemis[[#This Row],[2024]]</f>
        <v>215352</v>
      </c>
      <c r="N137" s="9">
        <f>EF_Bundesstrommix_Gemis[[#This Row],[2025]]</f>
        <v>215352</v>
      </c>
      <c r="O137" s="9">
        <f>EF_Bundesstrommix_Gemis[[#This Row],[2025]]</f>
        <v>215352</v>
      </c>
      <c r="P137" s="9">
        <f>EF_Bundesstrommix_Gemis[[#This Row],[2025]]</f>
        <v>215352</v>
      </c>
      <c r="Q137" s="9">
        <f>EF_Bundesstrommix_Gemis[[#This Row],[2025]]</f>
        <v>215352</v>
      </c>
      <c r="R137" s="9">
        <f>EF_Bundesstrommix_Gemis[[#This Row],[2026]]</f>
        <v>215352</v>
      </c>
      <c r="S137" s="9">
        <f>EF_Bundesstrommix_Gemis[[#This Row],[2030]]</f>
        <v>215352</v>
      </c>
      <c r="T137" s="9">
        <f>EF_Bundesstrommix_Gemis[[#This Row],[2035]]</f>
        <v>215352</v>
      </c>
      <c r="U137" s="9">
        <f>EF_Bundesstrommix_Gemis[[#This Row],[2040]]</f>
        <v>215352</v>
      </c>
      <c r="V137" s="9">
        <f>EF_Bundesstrommix_Gemis[[#This Row],[2045]]</f>
        <v>215352</v>
      </c>
      <c r="W137" s="63" t="s">
        <v>316</v>
      </c>
    </row>
    <row r="138" spans="2:23" hidden="1" x14ac:dyDescent="0.35">
      <c r="B138" t="s">
        <v>329</v>
      </c>
      <c r="C138">
        <v>302880</v>
      </c>
      <c r="D138" s="9">
        <f>EF_Bundesstrommix_Gemis[[#This Row],[2015]]</f>
        <v>302880</v>
      </c>
      <c r="E138" s="9">
        <f>EF_Bundesstrommix_Gemis[[#This Row],[2016]]</f>
        <v>302880</v>
      </c>
      <c r="F138" s="9">
        <f>EF_Bundesstrommix_Gemis[[#This Row],[2017]]</f>
        <v>302880</v>
      </c>
      <c r="G138" s="9">
        <f>EF_Bundesstrommix_Gemis[[#This Row],[2018]]</f>
        <v>302880</v>
      </c>
      <c r="H138" s="9">
        <f>EF_Bundesstrommix_Gemis[[#This Row],[2019]]</f>
        <v>302880</v>
      </c>
      <c r="I138" s="9">
        <f>EF_Bundesstrommix_Gemis[[#This Row],[2020]]</f>
        <v>302880</v>
      </c>
      <c r="J138" s="9">
        <f>EF_Bundesstrommix_Gemis[[#This Row],[2021]]</f>
        <v>302880</v>
      </c>
      <c r="K138" s="9">
        <f>EF_Bundesstrommix_Gemis[[#This Row],[2022]]</f>
        <v>302880</v>
      </c>
      <c r="L138" s="9">
        <f>EF_Bundesstrommix_Gemis[[#This Row],[2023]]</f>
        <v>302880</v>
      </c>
      <c r="M138" s="9">
        <f>EF_Bundesstrommix_Gemis[[#This Row],[2024]]</f>
        <v>302880</v>
      </c>
      <c r="N138" s="9">
        <f>EF_Bundesstrommix_Gemis[[#This Row],[2025]]</f>
        <v>302880</v>
      </c>
      <c r="O138" s="9">
        <f>EF_Bundesstrommix_Gemis[[#This Row],[2025]]</f>
        <v>302880</v>
      </c>
      <c r="P138" s="9">
        <f>EF_Bundesstrommix_Gemis[[#This Row],[2025]]</f>
        <v>302880</v>
      </c>
      <c r="Q138" s="9">
        <f>EF_Bundesstrommix_Gemis[[#This Row],[2025]]</f>
        <v>302880</v>
      </c>
      <c r="R138" s="9">
        <f>EF_Bundesstrommix_Gemis[[#This Row],[2026]]</f>
        <v>302880</v>
      </c>
      <c r="S138" s="9">
        <f>EF_Bundesstrommix_Gemis[[#This Row],[2030]]</f>
        <v>302880</v>
      </c>
      <c r="T138" s="9">
        <f>EF_Bundesstrommix_Gemis[[#This Row],[2035]]</f>
        <v>302880</v>
      </c>
      <c r="U138" s="9">
        <f>EF_Bundesstrommix_Gemis[[#This Row],[2040]]</f>
        <v>302880</v>
      </c>
      <c r="V138" s="9">
        <f>EF_Bundesstrommix_Gemis[[#This Row],[2045]]</f>
        <v>302880</v>
      </c>
      <c r="W138" s="63"/>
    </row>
    <row r="139" spans="2:23" hidden="1" x14ac:dyDescent="0.35">
      <c r="B139" t="s">
        <v>330</v>
      </c>
      <c r="C139">
        <v>271448</v>
      </c>
      <c r="D139" s="9">
        <f>EF_Bundesstrommix_Gemis[[#This Row],[2015]]</f>
        <v>271448</v>
      </c>
      <c r="E139" s="9">
        <f>EF_Bundesstrommix_Gemis[[#This Row],[2016]]</f>
        <v>271448</v>
      </c>
      <c r="F139" s="9">
        <f>EF_Bundesstrommix_Gemis[[#This Row],[2017]]</f>
        <v>271448</v>
      </c>
      <c r="G139" s="9">
        <f>EF_Bundesstrommix_Gemis[[#This Row],[2018]]</f>
        <v>271448</v>
      </c>
      <c r="H139" s="9">
        <f>EF_Bundesstrommix_Gemis[[#This Row],[2019]]</f>
        <v>271448</v>
      </c>
      <c r="I139" s="9">
        <f>EF_Bundesstrommix_Gemis[[#This Row],[2020]]</f>
        <v>271448</v>
      </c>
      <c r="J139" s="9">
        <f>EF_Bundesstrommix_Gemis[[#This Row],[2021]]</f>
        <v>271448</v>
      </c>
      <c r="K139" s="9">
        <f>EF_Bundesstrommix_Gemis[[#This Row],[2022]]</f>
        <v>271448</v>
      </c>
      <c r="L139" s="9">
        <f>EF_Bundesstrommix_Gemis[[#This Row],[2023]]</f>
        <v>271448</v>
      </c>
      <c r="M139" s="9">
        <f>EF_Bundesstrommix_Gemis[[#This Row],[2024]]</f>
        <v>271448</v>
      </c>
      <c r="N139" s="9">
        <f>EF_Bundesstrommix_Gemis[[#This Row],[2025]]</f>
        <v>271448</v>
      </c>
      <c r="O139" s="9">
        <f>EF_Bundesstrommix_Gemis[[#This Row],[2025]]</f>
        <v>271448</v>
      </c>
      <c r="P139" s="9">
        <f>EF_Bundesstrommix_Gemis[[#This Row],[2025]]</f>
        <v>271448</v>
      </c>
      <c r="Q139" s="9">
        <f>EF_Bundesstrommix_Gemis[[#This Row],[2025]]</f>
        <v>271448</v>
      </c>
      <c r="R139" s="9">
        <f>EF_Bundesstrommix_Gemis[[#This Row],[2026]]</f>
        <v>271448</v>
      </c>
      <c r="S139" s="9">
        <f>EF_Bundesstrommix_Gemis[[#This Row],[2030]]</f>
        <v>271448</v>
      </c>
      <c r="T139" s="9">
        <f>EF_Bundesstrommix_Gemis[[#This Row],[2035]]</f>
        <v>271448</v>
      </c>
      <c r="U139" s="9">
        <f>EF_Bundesstrommix_Gemis[[#This Row],[2040]]</f>
        <v>271448</v>
      </c>
      <c r="V139" s="9">
        <f>EF_Bundesstrommix_Gemis[[#This Row],[2045]]</f>
        <v>271448</v>
      </c>
      <c r="W139" s="65" t="s">
        <v>316</v>
      </c>
    </row>
    <row r="140" spans="2:23" hidden="1" x14ac:dyDescent="0.35">
      <c r="B140" t="s">
        <v>331</v>
      </c>
      <c r="C140">
        <v>299834</v>
      </c>
      <c r="D140" s="9">
        <f>EF_Bundesstrommix_Gemis[[#This Row],[2015]]</f>
        <v>299834</v>
      </c>
      <c r="E140" s="9">
        <f>EF_Bundesstrommix_Gemis[[#This Row],[2016]]</f>
        <v>299834</v>
      </c>
      <c r="F140" s="9">
        <f>EF_Bundesstrommix_Gemis[[#This Row],[2017]]</f>
        <v>299834</v>
      </c>
      <c r="G140" s="9">
        <f>EF_Bundesstrommix_Gemis[[#This Row],[2018]]</f>
        <v>299834</v>
      </c>
      <c r="H140" s="9">
        <f>EF_Bundesstrommix_Gemis[[#This Row],[2019]]</f>
        <v>299834</v>
      </c>
      <c r="I140" s="9">
        <f>EF_Bundesstrommix_Gemis[[#This Row],[2020]]</f>
        <v>299834</v>
      </c>
      <c r="J140" s="9">
        <f>EF_Bundesstrommix_Gemis[[#This Row],[2021]]</f>
        <v>299834</v>
      </c>
      <c r="K140" s="9">
        <f>EF_Bundesstrommix_Gemis[[#This Row],[2022]]</f>
        <v>299834</v>
      </c>
      <c r="L140" s="9">
        <f>EF_Bundesstrommix_Gemis[[#This Row],[2023]]</f>
        <v>299834</v>
      </c>
      <c r="M140" s="9">
        <f>EF_Bundesstrommix_Gemis[[#This Row],[2024]]</f>
        <v>299834</v>
      </c>
      <c r="N140" s="9">
        <f>EF_Bundesstrommix_Gemis[[#This Row],[2025]]</f>
        <v>299834</v>
      </c>
      <c r="O140" s="9">
        <f>EF_Bundesstrommix_Gemis[[#This Row],[2025]]</f>
        <v>299834</v>
      </c>
      <c r="P140" s="9">
        <f>EF_Bundesstrommix_Gemis[[#This Row],[2025]]</f>
        <v>299834</v>
      </c>
      <c r="Q140" s="9">
        <f>EF_Bundesstrommix_Gemis[[#This Row],[2025]]</f>
        <v>299834</v>
      </c>
      <c r="R140" s="9">
        <f>EF_Bundesstrommix_Gemis[[#This Row],[2026]]</f>
        <v>299834</v>
      </c>
      <c r="S140" s="9">
        <f>EF_Bundesstrommix_Gemis[[#This Row],[2030]]</f>
        <v>299834</v>
      </c>
      <c r="T140" s="9">
        <f>EF_Bundesstrommix_Gemis[[#This Row],[2035]]</f>
        <v>299834</v>
      </c>
      <c r="U140" s="9">
        <f>EF_Bundesstrommix_Gemis[[#This Row],[2040]]</f>
        <v>299834</v>
      </c>
      <c r="V140" s="9">
        <f>EF_Bundesstrommix_Gemis[[#This Row],[2045]]</f>
        <v>299834</v>
      </c>
      <c r="W140" s="63"/>
    </row>
    <row r="141" spans="2:23" hidden="1" x14ac:dyDescent="0.35">
      <c r="B141" t="s">
        <v>332</v>
      </c>
      <c r="C141">
        <v>268061</v>
      </c>
      <c r="D141" s="9">
        <f>EF_Bundesstrommix_Gemis[[#This Row],[2015]]</f>
        <v>268061</v>
      </c>
      <c r="E141" s="9">
        <f>EF_Bundesstrommix_Gemis[[#This Row],[2016]]</f>
        <v>268061</v>
      </c>
      <c r="F141" s="9">
        <f>EF_Bundesstrommix_Gemis[[#This Row],[2017]]</f>
        <v>268061</v>
      </c>
      <c r="G141" s="9">
        <f>EF_Bundesstrommix_Gemis[[#This Row],[2018]]</f>
        <v>268061</v>
      </c>
      <c r="H141" s="9">
        <f>EF_Bundesstrommix_Gemis[[#This Row],[2019]]</f>
        <v>268061</v>
      </c>
      <c r="I141" s="9">
        <f>EF_Bundesstrommix_Gemis[[#This Row],[2020]]</f>
        <v>268061</v>
      </c>
      <c r="J141" s="9">
        <f>EF_Bundesstrommix_Gemis[[#This Row],[2021]]</f>
        <v>268061</v>
      </c>
      <c r="K141" s="9">
        <f>EF_Bundesstrommix_Gemis[[#This Row],[2022]]</f>
        <v>268061</v>
      </c>
      <c r="L141" s="9">
        <f>EF_Bundesstrommix_Gemis[[#This Row],[2023]]</f>
        <v>268061</v>
      </c>
      <c r="M141" s="9">
        <f>EF_Bundesstrommix_Gemis[[#This Row],[2024]]</f>
        <v>268061</v>
      </c>
      <c r="N141" s="9">
        <f>EF_Bundesstrommix_Gemis[[#This Row],[2025]]</f>
        <v>268061</v>
      </c>
      <c r="O141" s="9">
        <f>EF_Bundesstrommix_Gemis[[#This Row],[2025]]</f>
        <v>268061</v>
      </c>
      <c r="P141" s="9">
        <f>EF_Bundesstrommix_Gemis[[#This Row],[2025]]</f>
        <v>268061</v>
      </c>
      <c r="Q141" s="9">
        <f>EF_Bundesstrommix_Gemis[[#This Row],[2025]]</f>
        <v>268061</v>
      </c>
      <c r="R141" s="9">
        <f>EF_Bundesstrommix_Gemis[[#This Row],[2026]]</f>
        <v>268061</v>
      </c>
      <c r="S141" s="9">
        <f>EF_Bundesstrommix_Gemis[[#This Row],[2030]]</f>
        <v>268061</v>
      </c>
      <c r="T141" s="9">
        <f>EF_Bundesstrommix_Gemis[[#This Row],[2035]]</f>
        <v>268061</v>
      </c>
      <c r="U141" s="9">
        <f>EF_Bundesstrommix_Gemis[[#This Row],[2040]]</f>
        <v>268061</v>
      </c>
      <c r="V141" s="9">
        <f>EF_Bundesstrommix_Gemis[[#This Row],[2045]]</f>
        <v>268061</v>
      </c>
      <c r="W141" s="63" t="s">
        <v>316</v>
      </c>
    </row>
    <row r="142" spans="2:23" hidden="1" x14ac:dyDescent="0.35">
      <c r="B142" t="s">
        <v>333</v>
      </c>
      <c r="C142">
        <v>102127</v>
      </c>
      <c r="D142" s="9">
        <f>EF_Bundesstrommix_Gemis[[#This Row],[2015]]</f>
        <v>102127</v>
      </c>
      <c r="E142" s="9">
        <f>EF_Bundesstrommix_Gemis[[#This Row],[2016]]</f>
        <v>102127</v>
      </c>
      <c r="F142" s="9">
        <f>EF_Bundesstrommix_Gemis[[#This Row],[2017]]</f>
        <v>102127</v>
      </c>
      <c r="G142" s="9">
        <f>EF_Bundesstrommix_Gemis[[#This Row],[2018]]</f>
        <v>102127</v>
      </c>
      <c r="H142" s="9">
        <f>EF_Bundesstrommix_Gemis[[#This Row],[2019]]</f>
        <v>102127</v>
      </c>
      <c r="I142" s="9">
        <f>EF_Bundesstrommix_Gemis[[#This Row],[2020]]</f>
        <v>102127</v>
      </c>
      <c r="J142" s="9">
        <f>EF_Bundesstrommix_Gemis[[#This Row],[2021]]</f>
        <v>102127</v>
      </c>
      <c r="K142" s="9">
        <f>EF_Bundesstrommix_Gemis[[#This Row],[2022]]</f>
        <v>102127</v>
      </c>
      <c r="L142" s="9">
        <f>EF_Bundesstrommix_Gemis[[#This Row],[2023]]</f>
        <v>102127</v>
      </c>
      <c r="M142" s="9">
        <f>EF_Bundesstrommix_Gemis[[#This Row],[2024]]</f>
        <v>102127</v>
      </c>
      <c r="N142" s="9">
        <f>EF_Bundesstrommix_Gemis[[#This Row],[2025]]</f>
        <v>102127</v>
      </c>
      <c r="O142" s="9">
        <f>EF_Bundesstrommix_Gemis[[#This Row],[2025]]</f>
        <v>102127</v>
      </c>
      <c r="P142" s="9">
        <f>EF_Bundesstrommix_Gemis[[#This Row],[2025]]</f>
        <v>102127</v>
      </c>
      <c r="Q142" s="9">
        <f>EF_Bundesstrommix_Gemis[[#This Row],[2025]]</f>
        <v>102127</v>
      </c>
      <c r="R142" s="9">
        <f>EF_Bundesstrommix_Gemis[[#This Row],[2026]]</f>
        <v>102127</v>
      </c>
      <c r="S142" s="9">
        <f>EF_Bundesstrommix_Gemis[[#This Row],[2030]]</f>
        <v>102127</v>
      </c>
      <c r="T142" s="9">
        <f>EF_Bundesstrommix_Gemis[[#This Row],[2035]]</f>
        <v>102127</v>
      </c>
      <c r="U142" s="9">
        <f>EF_Bundesstrommix_Gemis[[#This Row],[2040]]</f>
        <v>102127</v>
      </c>
      <c r="V142" s="9">
        <f>EF_Bundesstrommix_Gemis[[#This Row],[2045]]</f>
        <v>102127</v>
      </c>
      <c r="W142" s="63"/>
    </row>
    <row r="143" spans="2:23" hidden="1" x14ac:dyDescent="0.35">
      <c r="B143" t="s">
        <v>334</v>
      </c>
      <c r="C143">
        <v>96807.5</v>
      </c>
      <c r="D143" s="9">
        <f>EF_Bundesstrommix_Gemis[[#This Row],[2015]]</f>
        <v>96807.5</v>
      </c>
      <c r="E143" s="9">
        <f>EF_Bundesstrommix_Gemis[[#This Row],[2016]]</f>
        <v>96807.5</v>
      </c>
      <c r="F143" s="9">
        <f>EF_Bundesstrommix_Gemis[[#This Row],[2017]]</f>
        <v>96807.5</v>
      </c>
      <c r="G143" s="9">
        <f>EF_Bundesstrommix_Gemis[[#This Row],[2018]]</f>
        <v>96807.5</v>
      </c>
      <c r="H143" s="9">
        <f>EF_Bundesstrommix_Gemis[[#This Row],[2019]]</f>
        <v>96807.5</v>
      </c>
      <c r="I143" s="9">
        <f>EF_Bundesstrommix_Gemis[[#This Row],[2020]]</f>
        <v>96807.5</v>
      </c>
      <c r="J143" s="9">
        <f>EF_Bundesstrommix_Gemis[[#This Row],[2021]]</f>
        <v>96807.5</v>
      </c>
      <c r="K143" s="9">
        <f>EF_Bundesstrommix_Gemis[[#This Row],[2022]]</f>
        <v>96807.5</v>
      </c>
      <c r="L143" s="9">
        <f>EF_Bundesstrommix_Gemis[[#This Row],[2023]]</f>
        <v>96807.5</v>
      </c>
      <c r="M143" s="9">
        <f>EF_Bundesstrommix_Gemis[[#This Row],[2024]]</f>
        <v>96807.5</v>
      </c>
      <c r="N143" s="9">
        <f>EF_Bundesstrommix_Gemis[[#This Row],[2025]]</f>
        <v>96807.5</v>
      </c>
      <c r="O143" s="9">
        <f>EF_Bundesstrommix_Gemis[[#This Row],[2025]]</f>
        <v>96807.5</v>
      </c>
      <c r="P143" s="9">
        <f>EF_Bundesstrommix_Gemis[[#This Row],[2025]]</f>
        <v>96807.5</v>
      </c>
      <c r="Q143" s="9">
        <f>EF_Bundesstrommix_Gemis[[#This Row],[2025]]</f>
        <v>96807.5</v>
      </c>
      <c r="R143" s="9">
        <f>EF_Bundesstrommix_Gemis[[#This Row],[2026]]</f>
        <v>96807.5</v>
      </c>
      <c r="S143" s="9">
        <f>EF_Bundesstrommix_Gemis[[#This Row],[2030]]</f>
        <v>96807.5</v>
      </c>
      <c r="T143" s="9">
        <f>EF_Bundesstrommix_Gemis[[#This Row],[2035]]</f>
        <v>96807.5</v>
      </c>
      <c r="U143" s="9">
        <f>EF_Bundesstrommix_Gemis[[#This Row],[2040]]</f>
        <v>96807.5</v>
      </c>
      <c r="V143" s="9">
        <f>EF_Bundesstrommix_Gemis[[#This Row],[2045]]</f>
        <v>96807.5</v>
      </c>
      <c r="W143" s="65" t="s">
        <v>141</v>
      </c>
    </row>
    <row r="144" spans="2:23" hidden="1" x14ac:dyDescent="0.35">
      <c r="B144" t="s">
        <v>335</v>
      </c>
      <c r="C144">
        <v>93967.8</v>
      </c>
      <c r="D144" s="9">
        <f>EF_Bundesstrommix_Gemis[[#This Row],[2015]]</f>
        <v>93967.8</v>
      </c>
      <c r="E144" s="9">
        <f>EF_Bundesstrommix_Gemis[[#This Row],[2016]]</f>
        <v>93967.8</v>
      </c>
      <c r="F144" s="9">
        <f>EF_Bundesstrommix_Gemis[[#This Row],[2017]]</f>
        <v>93967.8</v>
      </c>
      <c r="G144" s="9">
        <f>EF_Bundesstrommix_Gemis[[#This Row],[2018]]</f>
        <v>93967.8</v>
      </c>
      <c r="H144" s="9">
        <f>EF_Bundesstrommix_Gemis[[#This Row],[2019]]</f>
        <v>93967.8</v>
      </c>
      <c r="I144" s="9">
        <f>EF_Bundesstrommix_Gemis[[#This Row],[2020]]</f>
        <v>93967.8</v>
      </c>
      <c r="J144" s="9">
        <f>EF_Bundesstrommix_Gemis[[#This Row],[2021]]</f>
        <v>93967.8</v>
      </c>
      <c r="K144" s="9">
        <f>EF_Bundesstrommix_Gemis[[#This Row],[2022]]</f>
        <v>93967.8</v>
      </c>
      <c r="L144" s="9">
        <f>EF_Bundesstrommix_Gemis[[#This Row],[2023]]</f>
        <v>93967.8</v>
      </c>
      <c r="M144" s="9">
        <f>EF_Bundesstrommix_Gemis[[#This Row],[2024]]</f>
        <v>93967.8</v>
      </c>
      <c r="N144" s="9">
        <f>EF_Bundesstrommix_Gemis[[#This Row],[2025]]</f>
        <v>93967.8</v>
      </c>
      <c r="O144" s="9">
        <f>EF_Bundesstrommix_Gemis[[#This Row],[2025]]</f>
        <v>93967.8</v>
      </c>
      <c r="P144" s="9">
        <f>EF_Bundesstrommix_Gemis[[#This Row],[2025]]</f>
        <v>93967.8</v>
      </c>
      <c r="Q144" s="9">
        <f>EF_Bundesstrommix_Gemis[[#This Row],[2025]]</f>
        <v>93967.8</v>
      </c>
      <c r="R144" s="9">
        <f>EF_Bundesstrommix_Gemis[[#This Row],[2026]]</f>
        <v>93967.8</v>
      </c>
      <c r="S144" s="9">
        <f>EF_Bundesstrommix_Gemis[[#This Row],[2030]]</f>
        <v>93967.8</v>
      </c>
      <c r="T144" s="9">
        <f>EF_Bundesstrommix_Gemis[[#This Row],[2035]]</f>
        <v>93967.8</v>
      </c>
      <c r="U144" s="9">
        <f>EF_Bundesstrommix_Gemis[[#This Row],[2040]]</f>
        <v>93967.8</v>
      </c>
      <c r="V144" s="9">
        <f>EF_Bundesstrommix_Gemis[[#This Row],[2045]]</f>
        <v>93967.8</v>
      </c>
      <c r="W144" s="63" t="s">
        <v>141</v>
      </c>
    </row>
    <row r="145" spans="2:23" hidden="1" x14ac:dyDescent="0.35">
      <c r="B145" t="s">
        <v>336</v>
      </c>
      <c r="C145">
        <v>310605</v>
      </c>
      <c r="D145" s="9">
        <f>EF_Bundesstrommix_Gemis[[#This Row],[2015]]</f>
        <v>310605</v>
      </c>
      <c r="E145" s="9">
        <f>EF_Bundesstrommix_Gemis[[#This Row],[2016]]</f>
        <v>310605</v>
      </c>
      <c r="F145" s="9">
        <f>EF_Bundesstrommix_Gemis[[#This Row],[2017]]</f>
        <v>310605</v>
      </c>
      <c r="G145" s="9">
        <f>EF_Bundesstrommix_Gemis[[#This Row],[2018]]</f>
        <v>310605</v>
      </c>
      <c r="H145" s="9">
        <f>EF_Bundesstrommix_Gemis[[#This Row],[2019]]</f>
        <v>310605</v>
      </c>
      <c r="I145" s="9">
        <f>EF_Bundesstrommix_Gemis[[#This Row],[2020]]</f>
        <v>310605</v>
      </c>
      <c r="J145" s="9">
        <f>EF_Bundesstrommix_Gemis[[#This Row],[2021]]</f>
        <v>310605</v>
      </c>
      <c r="K145" s="9">
        <f>EF_Bundesstrommix_Gemis[[#This Row],[2022]]</f>
        <v>310605</v>
      </c>
      <c r="L145" s="9">
        <f>EF_Bundesstrommix_Gemis[[#This Row],[2023]]</f>
        <v>310605</v>
      </c>
      <c r="M145" s="9">
        <f>EF_Bundesstrommix_Gemis[[#This Row],[2024]]</f>
        <v>310605</v>
      </c>
      <c r="N145" s="9">
        <f>EF_Bundesstrommix_Gemis[[#This Row],[2025]]</f>
        <v>310605</v>
      </c>
      <c r="O145" s="9">
        <f>EF_Bundesstrommix_Gemis[[#This Row],[2025]]</f>
        <v>310605</v>
      </c>
      <c r="P145" s="9">
        <f>EF_Bundesstrommix_Gemis[[#This Row],[2025]]</f>
        <v>310605</v>
      </c>
      <c r="Q145" s="9">
        <f>EF_Bundesstrommix_Gemis[[#This Row],[2025]]</f>
        <v>310605</v>
      </c>
      <c r="R145" s="9">
        <f>EF_Bundesstrommix_Gemis[[#This Row],[2026]]</f>
        <v>310605</v>
      </c>
      <c r="S145" s="9">
        <f>EF_Bundesstrommix_Gemis[[#This Row],[2030]]</f>
        <v>310605</v>
      </c>
      <c r="T145" s="9">
        <f>EF_Bundesstrommix_Gemis[[#This Row],[2035]]</f>
        <v>310605</v>
      </c>
      <c r="U145" s="9">
        <f>EF_Bundesstrommix_Gemis[[#This Row],[2040]]</f>
        <v>310605</v>
      </c>
      <c r="V145" s="9">
        <f>EF_Bundesstrommix_Gemis[[#This Row],[2045]]</f>
        <v>310605</v>
      </c>
      <c r="W145" s="65" t="s">
        <v>317</v>
      </c>
    </row>
    <row r="146" spans="2:23" hidden="1" x14ac:dyDescent="0.35">
      <c r="B146" t="s">
        <v>337</v>
      </c>
      <c r="C146">
        <v>191106</v>
      </c>
      <c r="D146" s="9">
        <f>EF_Bundesstrommix_Gemis[[#This Row],[2015]]</f>
        <v>191106</v>
      </c>
      <c r="E146" s="9">
        <f>EF_Bundesstrommix_Gemis[[#This Row],[2016]]</f>
        <v>191106</v>
      </c>
      <c r="F146" s="9">
        <f>EF_Bundesstrommix_Gemis[[#This Row],[2017]]</f>
        <v>191106</v>
      </c>
      <c r="G146" s="9">
        <f>EF_Bundesstrommix_Gemis[[#This Row],[2018]]</f>
        <v>191106</v>
      </c>
      <c r="H146" s="9">
        <f>EF_Bundesstrommix_Gemis[[#This Row],[2019]]</f>
        <v>191106</v>
      </c>
      <c r="I146" s="9">
        <f>EF_Bundesstrommix_Gemis[[#This Row],[2020]]</f>
        <v>191106</v>
      </c>
      <c r="J146" s="9">
        <f>EF_Bundesstrommix_Gemis[[#This Row],[2021]]</f>
        <v>191106</v>
      </c>
      <c r="K146" s="9">
        <f>EF_Bundesstrommix_Gemis[[#This Row],[2022]]</f>
        <v>191106</v>
      </c>
      <c r="L146" s="9">
        <f>EF_Bundesstrommix_Gemis[[#This Row],[2023]]</f>
        <v>191106</v>
      </c>
      <c r="M146" s="9">
        <f>EF_Bundesstrommix_Gemis[[#This Row],[2024]]</f>
        <v>191106</v>
      </c>
      <c r="N146" s="9">
        <f>EF_Bundesstrommix_Gemis[[#This Row],[2025]]</f>
        <v>191106</v>
      </c>
      <c r="O146" s="9">
        <f>EF_Bundesstrommix_Gemis[[#This Row],[2025]]</f>
        <v>191106</v>
      </c>
      <c r="P146" s="9">
        <f>EF_Bundesstrommix_Gemis[[#This Row],[2025]]</f>
        <v>191106</v>
      </c>
      <c r="Q146" s="9">
        <f>EF_Bundesstrommix_Gemis[[#This Row],[2025]]</f>
        <v>191106</v>
      </c>
      <c r="R146" s="9">
        <f>EF_Bundesstrommix_Gemis[[#This Row],[2026]]</f>
        <v>191106</v>
      </c>
      <c r="S146" s="9">
        <f>EF_Bundesstrommix_Gemis[[#This Row],[2030]]</f>
        <v>191106</v>
      </c>
      <c r="T146" s="9">
        <f>EF_Bundesstrommix_Gemis[[#This Row],[2035]]</f>
        <v>191106</v>
      </c>
      <c r="U146" s="9">
        <f>EF_Bundesstrommix_Gemis[[#This Row],[2040]]</f>
        <v>191106</v>
      </c>
      <c r="V146" s="9">
        <f>EF_Bundesstrommix_Gemis[[#This Row],[2045]]</f>
        <v>191106</v>
      </c>
      <c r="W146" s="63" t="s">
        <v>317</v>
      </c>
    </row>
    <row r="147" spans="2:23" hidden="1" x14ac:dyDescent="0.35">
      <c r="B147" t="s">
        <v>338</v>
      </c>
      <c r="C147">
        <v>382322</v>
      </c>
      <c r="D147" s="9">
        <f>EF_Bundesstrommix_Gemis[[#This Row],[2015]]</f>
        <v>382322</v>
      </c>
      <c r="E147" s="9">
        <f>EF_Bundesstrommix_Gemis[[#This Row],[2016]]</f>
        <v>382322</v>
      </c>
      <c r="F147" s="9">
        <f>EF_Bundesstrommix_Gemis[[#This Row],[2017]]</f>
        <v>382322</v>
      </c>
      <c r="G147" s="9">
        <f>EF_Bundesstrommix_Gemis[[#This Row],[2018]]</f>
        <v>382322</v>
      </c>
      <c r="H147" s="9">
        <f>EF_Bundesstrommix_Gemis[[#This Row],[2019]]</f>
        <v>382322</v>
      </c>
      <c r="I147" s="9">
        <f>EF_Bundesstrommix_Gemis[[#This Row],[2020]]</f>
        <v>382322</v>
      </c>
      <c r="J147" s="9">
        <f>EF_Bundesstrommix_Gemis[[#This Row],[2021]]</f>
        <v>382322</v>
      </c>
      <c r="K147" s="9">
        <f>EF_Bundesstrommix_Gemis[[#This Row],[2022]]</f>
        <v>382322</v>
      </c>
      <c r="L147" s="9">
        <f>EF_Bundesstrommix_Gemis[[#This Row],[2023]]</f>
        <v>382322</v>
      </c>
      <c r="M147" s="9">
        <f>EF_Bundesstrommix_Gemis[[#This Row],[2024]]</f>
        <v>382322</v>
      </c>
      <c r="N147" s="9">
        <f>EF_Bundesstrommix_Gemis[[#This Row],[2025]]</f>
        <v>382322</v>
      </c>
      <c r="O147" s="9">
        <f>EF_Bundesstrommix_Gemis[[#This Row],[2025]]</f>
        <v>382322</v>
      </c>
      <c r="P147" s="9">
        <f>EF_Bundesstrommix_Gemis[[#This Row],[2025]]</f>
        <v>382322</v>
      </c>
      <c r="Q147" s="9">
        <f>EF_Bundesstrommix_Gemis[[#This Row],[2025]]</f>
        <v>382322</v>
      </c>
      <c r="R147" s="9">
        <f>EF_Bundesstrommix_Gemis[[#This Row],[2026]]</f>
        <v>382322</v>
      </c>
      <c r="S147" s="9">
        <f>EF_Bundesstrommix_Gemis[[#This Row],[2030]]</f>
        <v>382322</v>
      </c>
      <c r="T147" s="9">
        <f>EF_Bundesstrommix_Gemis[[#This Row],[2035]]</f>
        <v>382322</v>
      </c>
      <c r="U147" s="9">
        <f>EF_Bundesstrommix_Gemis[[#This Row],[2040]]</f>
        <v>382322</v>
      </c>
      <c r="V147" s="9">
        <f>EF_Bundesstrommix_Gemis[[#This Row],[2045]]</f>
        <v>382322</v>
      </c>
      <c r="W147" s="63"/>
    </row>
    <row r="148" spans="2:23" hidden="1" x14ac:dyDescent="0.35">
      <c r="B148" t="s">
        <v>339</v>
      </c>
      <c r="C148">
        <v>275793</v>
      </c>
      <c r="D148" s="9">
        <f>EF_Bundesstrommix_Gemis[[#This Row],[2015]]</f>
        <v>275793</v>
      </c>
      <c r="E148" s="9">
        <f>EF_Bundesstrommix_Gemis[[#This Row],[2016]]</f>
        <v>275793</v>
      </c>
      <c r="F148" s="9">
        <f>EF_Bundesstrommix_Gemis[[#This Row],[2017]]</f>
        <v>275793</v>
      </c>
      <c r="G148" s="9">
        <f>EF_Bundesstrommix_Gemis[[#This Row],[2018]]</f>
        <v>275793</v>
      </c>
      <c r="H148" s="9">
        <f>EF_Bundesstrommix_Gemis[[#This Row],[2019]]</f>
        <v>275793</v>
      </c>
      <c r="I148" s="9">
        <f>EF_Bundesstrommix_Gemis[[#This Row],[2020]]</f>
        <v>275793</v>
      </c>
      <c r="J148" s="9">
        <f>EF_Bundesstrommix_Gemis[[#This Row],[2021]]</f>
        <v>275793</v>
      </c>
      <c r="K148" s="9">
        <f>EF_Bundesstrommix_Gemis[[#This Row],[2022]]</f>
        <v>275793</v>
      </c>
      <c r="L148" s="9">
        <f>EF_Bundesstrommix_Gemis[[#This Row],[2023]]</f>
        <v>275793</v>
      </c>
      <c r="M148" s="9">
        <f>EF_Bundesstrommix_Gemis[[#This Row],[2024]]</f>
        <v>275793</v>
      </c>
      <c r="N148" s="9">
        <f>EF_Bundesstrommix_Gemis[[#This Row],[2025]]</f>
        <v>275793</v>
      </c>
      <c r="O148" s="9">
        <f>EF_Bundesstrommix_Gemis[[#This Row],[2025]]</f>
        <v>275793</v>
      </c>
      <c r="P148" s="9">
        <f>EF_Bundesstrommix_Gemis[[#This Row],[2025]]</f>
        <v>275793</v>
      </c>
      <c r="Q148" s="9">
        <f>EF_Bundesstrommix_Gemis[[#This Row],[2025]]</f>
        <v>275793</v>
      </c>
      <c r="R148" s="9">
        <f>EF_Bundesstrommix_Gemis[[#This Row],[2026]]</f>
        <v>275793</v>
      </c>
      <c r="S148" s="9">
        <f>EF_Bundesstrommix_Gemis[[#This Row],[2030]]</f>
        <v>275793</v>
      </c>
      <c r="T148" s="9">
        <f>EF_Bundesstrommix_Gemis[[#This Row],[2035]]</f>
        <v>275793</v>
      </c>
      <c r="U148" s="9">
        <f>EF_Bundesstrommix_Gemis[[#This Row],[2040]]</f>
        <v>275793</v>
      </c>
      <c r="V148" s="9">
        <f>EF_Bundesstrommix_Gemis[[#This Row],[2045]]</f>
        <v>275793</v>
      </c>
      <c r="W148" s="65" t="s">
        <v>317</v>
      </c>
    </row>
    <row r="149" spans="2:23" hidden="1" x14ac:dyDescent="0.35">
      <c r="B149" t="s">
        <v>340</v>
      </c>
      <c r="C149">
        <v>275793</v>
      </c>
      <c r="D149" s="9">
        <f>EF_Bundesstrommix_Gemis[[#This Row],[2015]]</f>
        <v>275793</v>
      </c>
      <c r="E149" s="9">
        <f>EF_Bundesstrommix_Gemis[[#This Row],[2016]]</f>
        <v>275793</v>
      </c>
      <c r="F149" s="9">
        <f>EF_Bundesstrommix_Gemis[[#This Row],[2017]]</f>
        <v>275793</v>
      </c>
      <c r="G149" s="9">
        <f>EF_Bundesstrommix_Gemis[[#This Row],[2018]]</f>
        <v>275793</v>
      </c>
      <c r="H149" s="9">
        <f>EF_Bundesstrommix_Gemis[[#This Row],[2019]]</f>
        <v>275793</v>
      </c>
      <c r="I149" s="9">
        <f>EF_Bundesstrommix_Gemis[[#This Row],[2020]]</f>
        <v>275793</v>
      </c>
      <c r="J149" s="9">
        <f>EF_Bundesstrommix_Gemis[[#This Row],[2021]]</f>
        <v>275793</v>
      </c>
      <c r="K149" s="9">
        <f>EF_Bundesstrommix_Gemis[[#This Row],[2022]]</f>
        <v>275793</v>
      </c>
      <c r="L149" s="9">
        <f>EF_Bundesstrommix_Gemis[[#This Row],[2023]]</f>
        <v>275793</v>
      </c>
      <c r="M149" s="9">
        <f>EF_Bundesstrommix_Gemis[[#This Row],[2024]]</f>
        <v>275793</v>
      </c>
      <c r="N149" s="9">
        <f>EF_Bundesstrommix_Gemis[[#This Row],[2025]]</f>
        <v>275793</v>
      </c>
      <c r="O149" s="9">
        <f>EF_Bundesstrommix_Gemis[[#This Row],[2025]]</f>
        <v>275793</v>
      </c>
      <c r="P149" s="9">
        <f>EF_Bundesstrommix_Gemis[[#This Row],[2025]]</f>
        <v>275793</v>
      </c>
      <c r="Q149" s="9">
        <f>EF_Bundesstrommix_Gemis[[#This Row],[2025]]</f>
        <v>275793</v>
      </c>
      <c r="R149" s="9">
        <f>EF_Bundesstrommix_Gemis[[#This Row],[2026]]</f>
        <v>275793</v>
      </c>
      <c r="S149" s="9">
        <f>EF_Bundesstrommix_Gemis[[#This Row],[2030]]</f>
        <v>275793</v>
      </c>
      <c r="T149" s="9">
        <f>EF_Bundesstrommix_Gemis[[#This Row],[2035]]</f>
        <v>275793</v>
      </c>
      <c r="U149" s="9">
        <f>EF_Bundesstrommix_Gemis[[#This Row],[2040]]</f>
        <v>275793</v>
      </c>
      <c r="V149" s="9">
        <f>EF_Bundesstrommix_Gemis[[#This Row],[2045]]</f>
        <v>275793</v>
      </c>
      <c r="W149" s="63" t="s">
        <v>317</v>
      </c>
    </row>
    <row r="150" spans="2:23" hidden="1" x14ac:dyDescent="0.35"/>
    <row r="152" spans="2:23" ht="18.5" x14ac:dyDescent="0.45">
      <c r="B152" s="70" t="s">
        <v>345</v>
      </c>
      <c r="C152" s="7"/>
      <c r="L152" s="5"/>
      <c r="M152" s="5"/>
      <c r="N152" s="5"/>
    </row>
    <row r="153" spans="2:23" ht="18.5" x14ac:dyDescent="0.45">
      <c r="B153" s="26" t="s">
        <v>303</v>
      </c>
    </row>
    <row r="163" spans="2:24" ht="15.5" x14ac:dyDescent="0.35">
      <c r="C163" s="71"/>
      <c r="D163" s="72"/>
      <c r="E163" s="73"/>
      <c r="F163" s="72"/>
      <c r="G163" s="71"/>
      <c r="H163" s="71"/>
      <c r="I163" s="74"/>
      <c r="J163" s="74"/>
      <c r="K163" s="74"/>
      <c r="L163" s="74"/>
      <c r="M163" s="75"/>
    </row>
    <row r="164" spans="2:24" ht="15.5" x14ac:dyDescent="0.35">
      <c r="B164" s="76" t="s">
        <v>347</v>
      </c>
      <c r="C164" s="77"/>
      <c r="E164" s="78"/>
      <c r="F164" s="79"/>
      <c r="G164" s="77"/>
      <c r="H164" s="71"/>
      <c r="I164" s="74"/>
      <c r="J164" s="80"/>
      <c r="K164" s="74"/>
      <c r="L164" s="74"/>
      <c r="M164" s="75"/>
    </row>
    <row r="165" spans="2:24" x14ac:dyDescent="0.35">
      <c r="B165" s="85" t="s">
        <v>348</v>
      </c>
      <c r="C165" s="85" t="s">
        <v>2</v>
      </c>
      <c r="D165" s="85" t="s">
        <v>3</v>
      </c>
      <c r="E165" s="86" t="s">
        <v>4</v>
      </c>
      <c r="F165" s="86" t="s">
        <v>5</v>
      </c>
      <c r="G165" s="86" t="s">
        <v>6</v>
      </c>
      <c r="H165" s="86" t="s">
        <v>7</v>
      </c>
      <c r="I165" s="86" t="s">
        <v>8</v>
      </c>
      <c r="J165" s="86" t="s">
        <v>9</v>
      </c>
      <c r="K165" s="86" t="s">
        <v>10</v>
      </c>
      <c r="L165" s="86" t="s">
        <v>11</v>
      </c>
      <c r="M165" s="86" t="s">
        <v>12</v>
      </c>
      <c r="N165" s="86" t="s">
        <v>13</v>
      </c>
      <c r="O165" s="86" t="s">
        <v>14</v>
      </c>
      <c r="P165" s="86" t="s">
        <v>232</v>
      </c>
      <c r="Q165" s="86" t="s">
        <v>233</v>
      </c>
      <c r="R165" s="86" t="s">
        <v>234</v>
      </c>
      <c r="S165" s="86" t="s">
        <v>15</v>
      </c>
      <c r="T165" s="86" t="s">
        <v>16</v>
      </c>
      <c r="U165" s="86" t="s">
        <v>17</v>
      </c>
      <c r="V165" s="86" t="s">
        <v>18</v>
      </c>
      <c r="W165" s="86" t="s">
        <v>19</v>
      </c>
      <c r="X165" s="87" t="s">
        <v>41</v>
      </c>
    </row>
    <row r="166" spans="2:24" ht="15.5" x14ac:dyDescent="0.35">
      <c r="B166" s="120"/>
      <c r="C166" s="89" t="s">
        <v>349</v>
      </c>
      <c r="D166" s="117"/>
      <c r="E166" s="117"/>
      <c r="F166" s="117"/>
      <c r="G166" s="117"/>
      <c r="H166" s="117"/>
      <c r="I166" s="117"/>
      <c r="J166" s="117"/>
      <c r="K166" s="117" t="str">
        <f>IF(Carnot_Grunddaten[[#Headers],[2022]]='Refsz-Verbräuche'!$B$43,IF(OR(SUMIF($D166:Carnot_Grunddaten[[#This Row],[2021]],"&gt;0")&gt;0,), AVERAGEIF($D166:Carnot_Grunddaten[[#This Row],[2021]],"&lt;&gt;"""), "0"),IF('Refsz-Verbräuche'!$B$43=(Carnot_Grunddaten[[#Headers],[2022]]-1),Carnot_Grunddaten[[#This Row],[2021]],IF('Refsz-Verbräuche'!$B$43&lt;Carnot_Grunddaten[[#Headers],[2022]],Carnot_Grunddaten[[#This Row],[2021]],"0")))</f>
        <v>0</v>
      </c>
      <c r="L166" s="117" t="str">
        <f>IF(Carnot_Grunddaten[[#Headers],[2023]]='Refsz-Verbräuche'!$B$43,IF(OR(SUMIF($D166:Carnot_Grunddaten[[#This Row],[2022]],"&gt;0")&gt;0,), AVERAGEIF($D166:Carnot_Grunddaten[[#This Row],[2022]],"&lt;&gt;"""), "0"),IF('Refsz-Verbräuche'!$B$43=(Carnot_Grunddaten[[#Headers],[2023]]-1),Carnot_Grunddaten[[#This Row],[2022]],IF('Refsz-Verbräuche'!$B$43&lt;Carnot_Grunddaten[[#Headers],[2023]],Carnot_Grunddaten[[#This Row],[2022]],"0")))</f>
        <v>0</v>
      </c>
      <c r="M166" s="117" t="str">
        <f>IF(Carnot_Grunddaten[[#Headers],[2024]]='Refsz-Verbräuche'!$B$43,IF(OR(SUMIF($D166:Carnot_Grunddaten[[#This Row],[2023]],"&gt;0")&gt;0,), AVERAGEIF($D166:Carnot_Grunddaten[[#This Row],[2023]],"&lt;&gt;"""), "0"),IF('Refsz-Verbräuche'!$B$43=(Carnot_Grunddaten[[#Headers],[2024]]-1),Carnot_Grunddaten[[#This Row],[2023]],IF('Refsz-Verbräuche'!$B$43&lt;Carnot_Grunddaten[[#Headers],[2024]],Carnot_Grunddaten[[#This Row],[2023]],"0")))</f>
        <v>0</v>
      </c>
      <c r="N166" s="117" t="str">
        <f>IF(Carnot_Grunddaten[[#Headers],[2025]]='Refsz-Verbräuche'!$B$43,IF(OR(SUMIF($D166:Carnot_Grunddaten[[#This Row],[2024]],"&gt;0")&gt;0,), AVERAGEIF($D166:Carnot_Grunddaten[[#This Row],[2024]],"&lt;&gt;"""), "0"),IF('Refsz-Verbräuche'!$B$43=(Carnot_Grunddaten[[#Headers],[2025]]-1),Carnot_Grunddaten[[#This Row],[2024]],IF('Refsz-Verbräuche'!$B$43&lt;Carnot_Grunddaten[[#Headers],[2025]],Carnot_Grunddaten[[#This Row],[2024]],"0")))</f>
        <v>0</v>
      </c>
      <c r="O166" s="117" t="str">
        <f>IF(Carnot_Grunddaten[[#Headers],[2026]]='Refsz-Verbräuche'!$B$43,IF(OR(SUMIF($D166:Carnot_Grunddaten[[#This Row],[2025]],"&gt;0")&gt;0,), AVERAGEIF($D166:Carnot_Grunddaten[[#This Row],[2025]],"&lt;&gt;"""), "0"),IF('Refsz-Verbräuche'!$B$43=(Carnot_Grunddaten[[#Headers],[2026]]-1),Carnot_Grunddaten[[#This Row],[2025]],IF('Refsz-Verbräuche'!$B$43&lt;Carnot_Grunddaten[[#Headers],[2026]],Carnot_Grunddaten[[#This Row],[2025]],"0")))</f>
        <v>0</v>
      </c>
      <c r="P166" s="117" t="str">
        <f>IF(Carnot_Grunddaten[[#Headers],[2027]]='Refsz-Verbräuche'!$B$43,IF(OR(SUMIF($D166:Carnot_Grunddaten[[#This Row],[2026]],"&gt;0")&gt;0,), AVERAGEIF($D166:Carnot_Grunddaten[[#This Row],[2026]],"&lt;&gt;"""), "0"),IF('Refsz-Verbräuche'!$B$43=(Carnot_Grunddaten[[#Headers],[2027]]-1),Carnot_Grunddaten[[#This Row],[2026]],IF('Refsz-Verbräuche'!$B$43&lt;Carnot_Grunddaten[[#Headers],[2027]],Carnot_Grunddaten[[#This Row],[2026]],"0")))</f>
        <v>0</v>
      </c>
      <c r="Q166" s="117" t="str">
        <f>IF(Carnot_Grunddaten[[#Headers],[2028]]='Refsz-Verbräuche'!$B$43,IF(OR(SUMIF($D166:Carnot_Grunddaten[[#This Row],[2027]],"&gt;0")&gt;0,), AVERAGEIF($D166:Carnot_Grunddaten[[#This Row],[2027]],"&lt;&gt;"""), "0"),IF('Refsz-Verbräuche'!$B$43=(Carnot_Grunddaten[[#Headers],[2028]]-1),Carnot_Grunddaten[[#This Row],[2027]],IF('Refsz-Verbräuche'!$B$43&lt;Carnot_Grunddaten[[#Headers],[2028]],Carnot_Grunddaten[[#This Row],[2027]],"0")))</f>
        <v>0</v>
      </c>
      <c r="R166" s="117" t="str">
        <f>IF(Carnot_Grunddaten[[#Headers],[2029]]='Refsz-Verbräuche'!$B$43,IF(OR(SUMIF($D166:Carnot_Grunddaten[[#This Row],[2028]],"&gt;0")&gt;0,), AVERAGEIF($D166:Carnot_Grunddaten[[#This Row],[2028]],"&lt;&gt;"""), "0"),IF('Refsz-Verbräuche'!$B$43=(Carnot_Grunddaten[[#Headers],[2029]]-1),Carnot_Grunddaten[[#This Row],[2028]],IF('Refsz-Verbräuche'!$B$43&lt;Carnot_Grunddaten[[#Headers],[2029]],Carnot_Grunddaten[[#This Row],[2028]],"0")))</f>
        <v>0</v>
      </c>
      <c r="S166" s="117" t="str">
        <f>IF(Carnot_Grunddaten[[#Headers],[2030]]='Refsz-Verbräuche'!$B$43,IF(OR(SUMIF($D166:Carnot_Grunddaten[[#This Row],[2029]],"&gt;0")&gt;0,), AVERAGEIF($D166:Carnot_Grunddaten[[#This Row],[2029]],"&lt;&gt;"""), "0"),IF('Refsz-Verbräuche'!$B$43=(Carnot_Grunddaten[[#Headers],[2030]]-1),Carnot_Grunddaten[[#This Row],[2029]],IF('Refsz-Verbräuche'!$B$43&lt;Carnot_Grunddaten[[#Headers],[2030]],Carnot_Grunddaten[[#This Row],[2029]],"0")))</f>
        <v>0</v>
      </c>
      <c r="T166" s="117" t="str">
        <f>IF(Carnot_Grunddaten[[#Headers],[2035]]='Refsz-Verbräuche'!$B$43,IF(OR(SUMIF($D166:Carnot_Grunddaten[[#This Row],[2030]],"&gt;0")&gt;0,), AVERAGEIF($D166:Carnot_Grunddaten[[#This Row],[2030]],"&lt;&gt;"""), "0"),IF('Refsz-Verbräuche'!$B$43=(Carnot_Grunddaten[[#Headers],[2035]]-1),Carnot_Grunddaten[[#This Row],[2030]],IF('Refsz-Verbräuche'!$B$43&lt;Carnot_Grunddaten[[#Headers],[2035]],Carnot_Grunddaten[[#This Row],[2030]],"0")))</f>
        <v>0</v>
      </c>
      <c r="U166" s="117" t="str">
        <f>IF(Carnot_Grunddaten[[#Headers],[2040]]='Refsz-Verbräuche'!$B$43,IF(OR(SUMIF($D166:Carnot_Grunddaten[[#This Row],[2035]],"&gt;0")&gt;0,), AVERAGEIF($D166:Carnot_Grunddaten[[#This Row],[2035]],"&lt;&gt;"""), "0"),IF('Refsz-Verbräuche'!$B$43=(Carnot_Grunddaten[[#Headers],[2040]]-1),Carnot_Grunddaten[[#This Row],[2035]],IF('Refsz-Verbräuche'!$B$43&lt;Carnot_Grunddaten[[#Headers],[2040]],Carnot_Grunddaten[[#This Row],[2035]],"0")))</f>
        <v>0</v>
      </c>
      <c r="V166" s="117" t="str">
        <f>IF(Carnot_Grunddaten[[#Headers],[2045]]='Refsz-Verbräuche'!$B$43,IF(OR(SUMIF($D166:Carnot_Grunddaten[[#This Row],[2040]],"&gt;0")&gt;0,), AVERAGEIF($D166:Carnot_Grunddaten[[#This Row],[2040]],"&lt;&gt;"""), "0"),IF('Refsz-Verbräuche'!$B$43=(Carnot_Grunddaten[[#Headers],[2045]]-1),Carnot_Grunddaten[[#This Row],[2040]],IF('Refsz-Verbräuche'!$B$43&lt;Carnot_Grunddaten[[#Headers],[2045]],Carnot_Grunddaten[[#This Row],[2040]],"0")))</f>
        <v>0</v>
      </c>
      <c r="W166" s="117" t="str">
        <f>IF(Carnot_Grunddaten[[#Headers],[2050]]='Refsz-Verbräuche'!$B$43,IF(OR(SUMIF($D166:Carnot_Grunddaten[[#This Row],[2045]],"&gt;0")&gt;0,), AVERAGEIF($D166:Carnot_Grunddaten[[#This Row],[2045]],"&lt;&gt;"""), "0"),IF('Refsz-Verbräuche'!$B$43=(Carnot_Grunddaten[[#Headers],[2050]]-1),Carnot_Grunddaten[[#This Row],[2045]],IF('Refsz-Verbräuche'!$B$43&lt;Carnot_Grunddaten[[#Headers],[2050]],Carnot_Grunddaten[[#This Row],[2045]],"0")))</f>
        <v>0</v>
      </c>
    </row>
    <row r="167" spans="2:24" ht="15.5" x14ac:dyDescent="0.35">
      <c r="B167" s="120"/>
      <c r="C167" s="89" t="s">
        <v>349</v>
      </c>
      <c r="D167" s="117"/>
      <c r="E167" s="117"/>
      <c r="F167" s="117"/>
      <c r="G167" s="117"/>
      <c r="H167" s="117"/>
      <c r="I167" s="117"/>
      <c r="J167" s="117"/>
      <c r="K167" s="117" t="str">
        <f>IF(Carnot_Grunddaten[[#Headers],[2022]]='Refsz-Verbräuche'!$B$43,IF(OR(SUMIF($D167:Carnot_Grunddaten[[#This Row],[2021]],"&gt;0")&gt;0,), AVERAGEIF($D167:Carnot_Grunddaten[[#This Row],[2021]],"&lt;&gt;"""), "0"),IF('Refsz-Verbräuche'!$B$43=(Carnot_Grunddaten[[#Headers],[2022]]-1),Carnot_Grunddaten[[#This Row],[2021]],IF('Refsz-Verbräuche'!$B$43&lt;Carnot_Grunddaten[[#Headers],[2022]],Carnot_Grunddaten[[#This Row],[2021]],"0")))</f>
        <v>0</v>
      </c>
      <c r="L167" s="117" t="str">
        <f>IF(Carnot_Grunddaten[[#Headers],[2023]]='Refsz-Verbräuche'!$B$43,IF(OR(SUMIF($D167:Carnot_Grunddaten[[#This Row],[2022]],"&gt;0")&gt;0,), AVERAGEIF($D167:Carnot_Grunddaten[[#This Row],[2022]],"&lt;&gt;"""), "0"),IF('Refsz-Verbräuche'!$B$43=(Carnot_Grunddaten[[#Headers],[2023]]-1),Carnot_Grunddaten[[#This Row],[2022]],IF('Refsz-Verbräuche'!$B$43&lt;Carnot_Grunddaten[[#Headers],[2023]],Carnot_Grunddaten[[#This Row],[2022]],"0")))</f>
        <v>0</v>
      </c>
      <c r="M167" s="117" t="str">
        <f>IF(Carnot_Grunddaten[[#Headers],[2024]]='Refsz-Verbräuche'!$B$43,IF(OR(SUMIF($D167:Carnot_Grunddaten[[#This Row],[2023]],"&gt;0")&gt;0,), AVERAGEIF($D167:Carnot_Grunddaten[[#This Row],[2023]],"&lt;&gt;"""), "0"),IF('Refsz-Verbräuche'!$B$43=(Carnot_Grunddaten[[#Headers],[2024]]-1),Carnot_Grunddaten[[#This Row],[2023]],IF('Refsz-Verbräuche'!$B$43&lt;Carnot_Grunddaten[[#Headers],[2024]],Carnot_Grunddaten[[#This Row],[2023]],"0")))</f>
        <v>0</v>
      </c>
      <c r="N167" s="117" t="str">
        <f>IF(Carnot_Grunddaten[[#Headers],[2025]]='Refsz-Verbräuche'!$B$43,IF(OR(SUMIF($D167:Carnot_Grunddaten[[#This Row],[2024]],"&gt;0")&gt;0,), AVERAGEIF($D167:Carnot_Grunddaten[[#This Row],[2024]],"&lt;&gt;"""), "0"),IF('Refsz-Verbräuche'!$B$43=(Carnot_Grunddaten[[#Headers],[2025]]-1),Carnot_Grunddaten[[#This Row],[2024]],IF('Refsz-Verbräuche'!$B$43&lt;Carnot_Grunddaten[[#Headers],[2025]],Carnot_Grunddaten[[#This Row],[2024]],"0")))</f>
        <v>0</v>
      </c>
      <c r="O167" s="117" t="str">
        <f>IF(Carnot_Grunddaten[[#Headers],[2026]]='Refsz-Verbräuche'!$B$43,IF(OR(SUMIF($D167:Carnot_Grunddaten[[#This Row],[2025]],"&gt;0")&gt;0,), AVERAGEIF($D167:Carnot_Grunddaten[[#This Row],[2025]],"&lt;&gt;"""), "0"),IF('Refsz-Verbräuche'!$B$43=(Carnot_Grunddaten[[#Headers],[2026]]-1),Carnot_Grunddaten[[#This Row],[2025]],IF('Refsz-Verbräuche'!$B$43&lt;Carnot_Grunddaten[[#Headers],[2026]],Carnot_Grunddaten[[#This Row],[2025]],"0")))</f>
        <v>0</v>
      </c>
      <c r="P167" s="117" t="str">
        <f>IF(Carnot_Grunddaten[[#Headers],[2027]]='Refsz-Verbräuche'!$B$43,IF(OR(SUMIF($D167:Carnot_Grunddaten[[#This Row],[2026]],"&gt;0")&gt;0,), AVERAGEIF($D167:Carnot_Grunddaten[[#This Row],[2026]],"&lt;&gt;"""), "0"),IF('Refsz-Verbräuche'!$B$43=(Carnot_Grunddaten[[#Headers],[2027]]-1),Carnot_Grunddaten[[#This Row],[2026]],IF('Refsz-Verbräuche'!$B$43&lt;Carnot_Grunddaten[[#Headers],[2027]],Carnot_Grunddaten[[#This Row],[2026]],"0")))</f>
        <v>0</v>
      </c>
      <c r="Q167" s="117" t="str">
        <f>IF(Carnot_Grunddaten[[#Headers],[2028]]='Refsz-Verbräuche'!$B$43,IF(OR(SUMIF($D167:Carnot_Grunddaten[[#This Row],[2027]],"&gt;0")&gt;0,), AVERAGEIF($D167:Carnot_Grunddaten[[#This Row],[2027]],"&lt;&gt;"""), "0"),IF('Refsz-Verbräuche'!$B$43=(Carnot_Grunddaten[[#Headers],[2028]]-1),Carnot_Grunddaten[[#This Row],[2027]],IF('Refsz-Verbräuche'!$B$43&lt;Carnot_Grunddaten[[#Headers],[2028]],Carnot_Grunddaten[[#This Row],[2027]],"0")))</f>
        <v>0</v>
      </c>
      <c r="R167" s="117" t="str">
        <f>IF(Carnot_Grunddaten[[#Headers],[2029]]='Refsz-Verbräuche'!$B$43,IF(OR(SUMIF($D167:Carnot_Grunddaten[[#This Row],[2028]],"&gt;0")&gt;0,), AVERAGEIF($D167:Carnot_Grunddaten[[#This Row],[2028]],"&lt;&gt;"""), "0"),IF('Refsz-Verbräuche'!$B$43=(Carnot_Grunddaten[[#Headers],[2029]]-1),Carnot_Grunddaten[[#This Row],[2028]],IF('Refsz-Verbräuche'!$B$43&lt;Carnot_Grunddaten[[#Headers],[2029]],Carnot_Grunddaten[[#This Row],[2028]],"0")))</f>
        <v>0</v>
      </c>
      <c r="S167" s="117" t="str">
        <f>IF(Carnot_Grunddaten[[#Headers],[2030]]='Refsz-Verbräuche'!$B$43,IF(OR(SUMIF($D167:Carnot_Grunddaten[[#This Row],[2029]],"&gt;0")&gt;0,), AVERAGEIF($D167:Carnot_Grunddaten[[#This Row],[2029]],"&lt;&gt;"""), "0"),IF('Refsz-Verbräuche'!$B$43=(Carnot_Grunddaten[[#Headers],[2030]]-1),Carnot_Grunddaten[[#This Row],[2029]],IF('Refsz-Verbräuche'!$B$43&lt;Carnot_Grunddaten[[#Headers],[2030]],Carnot_Grunddaten[[#This Row],[2029]],"0")))</f>
        <v>0</v>
      </c>
      <c r="T167" s="117" t="str">
        <f>IF(Carnot_Grunddaten[[#Headers],[2035]]='Refsz-Verbräuche'!$B$43,IF(OR(SUMIF($D167:Carnot_Grunddaten[[#This Row],[2030]],"&gt;0")&gt;0,), AVERAGEIF($D167:Carnot_Grunddaten[[#This Row],[2030]],"&lt;&gt;"""), "0"),IF('Refsz-Verbräuche'!$B$43=(Carnot_Grunddaten[[#Headers],[2035]]-1),Carnot_Grunddaten[[#This Row],[2030]],IF('Refsz-Verbräuche'!$B$43&lt;Carnot_Grunddaten[[#Headers],[2035]],Carnot_Grunddaten[[#This Row],[2030]],"0")))</f>
        <v>0</v>
      </c>
      <c r="U167" s="117" t="str">
        <f>IF(Carnot_Grunddaten[[#Headers],[2040]]='Refsz-Verbräuche'!$B$43,IF(OR(SUMIF($D167:Carnot_Grunddaten[[#This Row],[2035]],"&gt;0")&gt;0,), AVERAGEIF($D167:Carnot_Grunddaten[[#This Row],[2035]],"&lt;&gt;"""), "0"),IF('Refsz-Verbräuche'!$B$43=(Carnot_Grunddaten[[#Headers],[2040]]-1),Carnot_Grunddaten[[#This Row],[2035]],IF('Refsz-Verbräuche'!$B$43&lt;Carnot_Grunddaten[[#Headers],[2040]],Carnot_Grunddaten[[#This Row],[2035]],"0")))</f>
        <v>0</v>
      </c>
      <c r="V167" s="117" t="str">
        <f>IF(Carnot_Grunddaten[[#Headers],[2045]]='Refsz-Verbräuche'!$B$43,IF(OR(SUMIF($D167:Carnot_Grunddaten[[#This Row],[2040]],"&gt;0")&gt;0,), AVERAGEIF($D167:Carnot_Grunddaten[[#This Row],[2040]],"&lt;&gt;"""), "0"),IF('Refsz-Verbräuche'!$B$43=(Carnot_Grunddaten[[#Headers],[2045]]-1),Carnot_Grunddaten[[#This Row],[2040]],IF('Refsz-Verbräuche'!$B$43&lt;Carnot_Grunddaten[[#Headers],[2045]],Carnot_Grunddaten[[#This Row],[2040]],"0")))</f>
        <v>0</v>
      </c>
      <c r="W167" s="117" t="str">
        <f>IF(Carnot_Grunddaten[[#Headers],[2050]]='Refsz-Verbräuche'!$B$43,IF(OR(SUMIF($D167:Carnot_Grunddaten[[#This Row],[2045]],"&gt;0")&gt;0,), AVERAGEIF($D167:Carnot_Grunddaten[[#This Row],[2045]],"&lt;&gt;"""), "0"),IF('Refsz-Verbräuche'!$B$43=(Carnot_Grunddaten[[#Headers],[2050]]-1),Carnot_Grunddaten[[#This Row],[2045]],IF('Refsz-Verbräuche'!$B$43&lt;Carnot_Grunddaten[[#Headers],[2050]],Carnot_Grunddaten[[#This Row],[2045]],"0")))</f>
        <v>0</v>
      </c>
    </row>
    <row r="168" spans="2:24" ht="15.5" x14ac:dyDescent="0.35">
      <c r="B168" s="120"/>
      <c r="C168" s="89" t="s">
        <v>349</v>
      </c>
      <c r="D168" s="117"/>
      <c r="E168" s="117"/>
      <c r="F168" s="117"/>
      <c r="G168" s="117"/>
      <c r="H168" s="117"/>
      <c r="I168" s="117"/>
      <c r="J168" s="117"/>
      <c r="K168" s="117" t="str">
        <f>IF(Carnot_Grunddaten[[#Headers],[2022]]='Refsz-Verbräuche'!$B$43,IF(OR(SUMIF($D168:Carnot_Grunddaten[[#This Row],[2021]],"&gt;0")&gt;0,), AVERAGEIF($D168:Carnot_Grunddaten[[#This Row],[2021]],"&lt;&gt;"""), "0"),IF('Refsz-Verbräuche'!$B$43=(Carnot_Grunddaten[[#Headers],[2022]]-1),Carnot_Grunddaten[[#This Row],[2021]],IF('Refsz-Verbräuche'!$B$43&lt;Carnot_Grunddaten[[#Headers],[2022]],Carnot_Grunddaten[[#This Row],[2021]],"0")))</f>
        <v>0</v>
      </c>
      <c r="L168" s="117" t="str">
        <f>IF(Carnot_Grunddaten[[#Headers],[2023]]='Refsz-Verbräuche'!$B$43,IF(OR(SUMIF($D168:Carnot_Grunddaten[[#This Row],[2022]],"&gt;0")&gt;0,), AVERAGEIF($D168:Carnot_Grunddaten[[#This Row],[2022]],"&lt;&gt;"""), "0"),IF('Refsz-Verbräuche'!$B$43=(Carnot_Grunddaten[[#Headers],[2023]]-1),Carnot_Grunddaten[[#This Row],[2022]],IF('Refsz-Verbräuche'!$B$43&lt;Carnot_Grunddaten[[#Headers],[2023]],Carnot_Grunddaten[[#This Row],[2022]],"0")))</f>
        <v>0</v>
      </c>
      <c r="M168" s="117" t="str">
        <f>IF(Carnot_Grunddaten[[#Headers],[2024]]='Refsz-Verbräuche'!$B$43,IF(OR(SUMIF($D168:Carnot_Grunddaten[[#This Row],[2023]],"&gt;0")&gt;0,), AVERAGEIF($D168:Carnot_Grunddaten[[#This Row],[2023]],"&lt;&gt;"""), "0"),IF('Refsz-Verbräuche'!$B$43=(Carnot_Grunddaten[[#Headers],[2024]]-1),Carnot_Grunddaten[[#This Row],[2023]],IF('Refsz-Verbräuche'!$B$43&lt;Carnot_Grunddaten[[#Headers],[2024]],Carnot_Grunddaten[[#This Row],[2023]],"0")))</f>
        <v>0</v>
      </c>
      <c r="N168" s="117" t="str">
        <f>IF(Carnot_Grunddaten[[#Headers],[2025]]='Refsz-Verbräuche'!$B$43,IF(OR(SUMIF($D168:Carnot_Grunddaten[[#This Row],[2024]],"&gt;0")&gt;0,), AVERAGEIF($D168:Carnot_Grunddaten[[#This Row],[2024]],"&lt;&gt;"""), "0"),IF('Refsz-Verbräuche'!$B$43=(Carnot_Grunddaten[[#Headers],[2025]]-1),Carnot_Grunddaten[[#This Row],[2024]],IF('Refsz-Verbräuche'!$B$43&lt;Carnot_Grunddaten[[#Headers],[2025]],Carnot_Grunddaten[[#This Row],[2024]],"0")))</f>
        <v>0</v>
      </c>
      <c r="O168" s="117" t="str">
        <f>IF(Carnot_Grunddaten[[#Headers],[2026]]='Refsz-Verbräuche'!$B$43,IF(OR(SUMIF($D168:Carnot_Grunddaten[[#This Row],[2025]],"&gt;0")&gt;0,), AVERAGEIF($D168:Carnot_Grunddaten[[#This Row],[2025]],"&lt;&gt;"""), "0"),IF('Refsz-Verbräuche'!$B$43=(Carnot_Grunddaten[[#Headers],[2026]]-1),Carnot_Grunddaten[[#This Row],[2025]],IF('Refsz-Verbräuche'!$B$43&lt;Carnot_Grunddaten[[#Headers],[2026]],Carnot_Grunddaten[[#This Row],[2025]],"0")))</f>
        <v>0</v>
      </c>
      <c r="P168" s="117" t="str">
        <f>IF(Carnot_Grunddaten[[#Headers],[2027]]='Refsz-Verbräuche'!$B$43,IF(OR(SUMIF($D168:Carnot_Grunddaten[[#This Row],[2026]],"&gt;0")&gt;0,), AVERAGEIF($D168:Carnot_Grunddaten[[#This Row],[2026]],"&lt;&gt;"""), "0"),IF('Refsz-Verbräuche'!$B$43=(Carnot_Grunddaten[[#Headers],[2027]]-1),Carnot_Grunddaten[[#This Row],[2026]],IF('Refsz-Verbräuche'!$B$43&lt;Carnot_Grunddaten[[#Headers],[2027]],Carnot_Grunddaten[[#This Row],[2026]],"0")))</f>
        <v>0</v>
      </c>
      <c r="Q168" s="117" t="str">
        <f>IF(Carnot_Grunddaten[[#Headers],[2028]]='Refsz-Verbräuche'!$B$43,IF(OR(SUMIF($D168:Carnot_Grunddaten[[#This Row],[2027]],"&gt;0")&gt;0,), AVERAGEIF($D168:Carnot_Grunddaten[[#This Row],[2027]],"&lt;&gt;"""), "0"),IF('Refsz-Verbräuche'!$B$43=(Carnot_Grunddaten[[#Headers],[2028]]-1),Carnot_Grunddaten[[#This Row],[2027]],IF('Refsz-Verbräuche'!$B$43&lt;Carnot_Grunddaten[[#Headers],[2028]],Carnot_Grunddaten[[#This Row],[2027]],"0")))</f>
        <v>0</v>
      </c>
      <c r="R168" s="117" t="str">
        <f>IF(Carnot_Grunddaten[[#Headers],[2029]]='Refsz-Verbräuche'!$B$43,IF(OR(SUMIF($D168:Carnot_Grunddaten[[#This Row],[2028]],"&gt;0")&gt;0,), AVERAGEIF($D168:Carnot_Grunddaten[[#This Row],[2028]],"&lt;&gt;"""), "0"),IF('Refsz-Verbräuche'!$B$43=(Carnot_Grunddaten[[#Headers],[2029]]-1),Carnot_Grunddaten[[#This Row],[2028]],IF('Refsz-Verbräuche'!$B$43&lt;Carnot_Grunddaten[[#Headers],[2029]],Carnot_Grunddaten[[#This Row],[2028]],"0")))</f>
        <v>0</v>
      </c>
      <c r="S168" s="117" t="str">
        <f>IF(Carnot_Grunddaten[[#Headers],[2030]]='Refsz-Verbräuche'!$B$43,IF(OR(SUMIF($D168:Carnot_Grunddaten[[#This Row],[2029]],"&gt;0")&gt;0,), AVERAGEIF($D168:Carnot_Grunddaten[[#This Row],[2029]],"&lt;&gt;"""), "0"),IF('Refsz-Verbräuche'!$B$43=(Carnot_Grunddaten[[#Headers],[2030]]-1),Carnot_Grunddaten[[#This Row],[2029]],IF('Refsz-Verbräuche'!$B$43&lt;Carnot_Grunddaten[[#Headers],[2030]],Carnot_Grunddaten[[#This Row],[2029]],"0")))</f>
        <v>0</v>
      </c>
      <c r="T168" s="117" t="str">
        <f>IF(Carnot_Grunddaten[[#Headers],[2035]]='Refsz-Verbräuche'!$B$43,IF(OR(SUMIF($D168:Carnot_Grunddaten[[#This Row],[2030]],"&gt;0")&gt;0,), AVERAGEIF($D168:Carnot_Grunddaten[[#This Row],[2030]],"&lt;&gt;"""), "0"),IF('Refsz-Verbräuche'!$B$43=(Carnot_Grunddaten[[#Headers],[2035]]-1),Carnot_Grunddaten[[#This Row],[2030]],IF('Refsz-Verbräuche'!$B$43&lt;Carnot_Grunddaten[[#Headers],[2035]],Carnot_Grunddaten[[#This Row],[2030]],"0")))</f>
        <v>0</v>
      </c>
      <c r="U168" s="117" t="str">
        <f>IF(Carnot_Grunddaten[[#Headers],[2040]]='Refsz-Verbräuche'!$B$43,IF(OR(SUMIF($D168:Carnot_Grunddaten[[#This Row],[2035]],"&gt;0")&gt;0,), AVERAGEIF($D168:Carnot_Grunddaten[[#This Row],[2035]],"&lt;&gt;"""), "0"),IF('Refsz-Verbräuche'!$B$43=(Carnot_Grunddaten[[#Headers],[2040]]-1),Carnot_Grunddaten[[#This Row],[2035]],IF('Refsz-Verbräuche'!$B$43&lt;Carnot_Grunddaten[[#Headers],[2040]],Carnot_Grunddaten[[#This Row],[2035]],"0")))</f>
        <v>0</v>
      </c>
      <c r="V168" s="117" t="str">
        <f>IF(Carnot_Grunddaten[[#Headers],[2045]]='Refsz-Verbräuche'!$B$43,IF(OR(SUMIF($D168:Carnot_Grunddaten[[#This Row],[2040]],"&gt;0")&gt;0,), AVERAGEIF($D168:Carnot_Grunddaten[[#This Row],[2040]],"&lt;&gt;"""), "0"),IF('Refsz-Verbräuche'!$B$43=(Carnot_Grunddaten[[#Headers],[2045]]-1),Carnot_Grunddaten[[#This Row],[2040]],IF('Refsz-Verbräuche'!$B$43&lt;Carnot_Grunddaten[[#Headers],[2045]],Carnot_Grunddaten[[#This Row],[2040]],"0")))</f>
        <v>0</v>
      </c>
      <c r="W168" s="117" t="str">
        <f>IF(Carnot_Grunddaten[[#Headers],[2050]]='Refsz-Verbräuche'!$B$43,IF(OR(SUMIF($D168:Carnot_Grunddaten[[#This Row],[2045]],"&gt;0")&gt;0,), AVERAGEIF($D168:Carnot_Grunddaten[[#This Row],[2045]],"&lt;&gt;"""), "0"),IF('Refsz-Verbräuche'!$B$43=(Carnot_Grunddaten[[#Headers],[2050]]-1),Carnot_Grunddaten[[#This Row],[2045]],IF('Refsz-Verbräuche'!$B$43&lt;Carnot_Grunddaten[[#Headers],[2050]],Carnot_Grunddaten[[#This Row],[2045]],"0")))</f>
        <v>0</v>
      </c>
    </row>
    <row r="169" spans="2:24" ht="5.25" customHeight="1" x14ac:dyDescent="0.35">
      <c r="B169" s="83"/>
      <c r="C169" s="82"/>
      <c r="D169" s="151"/>
      <c r="E169" s="151"/>
      <c r="F169" s="151"/>
      <c r="G169" s="151"/>
      <c r="H169" s="151"/>
      <c r="I169" s="151"/>
      <c r="J169" s="151"/>
      <c r="K169" s="151"/>
      <c r="L169" s="151"/>
      <c r="M169" s="151"/>
      <c r="N169" s="151"/>
      <c r="O169" s="151"/>
      <c r="P169" s="151"/>
      <c r="Q169" s="151"/>
      <c r="R169" s="151"/>
      <c r="S169" s="151"/>
      <c r="T169" s="151"/>
      <c r="U169" s="151"/>
      <c r="V169" s="151"/>
      <c r="W169" s="151"/>
    </row>
    <row r="170" spans="2:24" ht="15.5" x14ac:dyDescent="0.35">
      <c r="B170" s="88" t="s">
        <v>350</v>
      </c>
      <c r="C170" s="89" t="str">
        <f>+$C166</f>
        <v>[MWh/a]</v>
      </c>
      <c r="D170" s="117"/>
      <c r="E170" s="117"/>
      <c r="F170" s="117"/>
      <c r="G170" s="117"/>
      <c r="H170" s="117"/>
      <c r="I170" s="117"/>
      <c r="J170" s="117"/>
      <c r="K170" s="117" t="str">
        <f>IF(Carnot_Grunddaten[[#Headers],[2022]]='Refsz-Verbräuche'!$B$43,IF(OR(SUMIF($D170:Carnot_Grunddaten[[#This Row],[2021]],"&gt;0")&gt;0,), AVERAGEIF($D170:Carnot_Grunddaten[[#This Row],[2021]],"&lt;&gt;"""), "0"),IF('Refsz-Verbräuche'!$B$43=(Carnot_Grunddaten[[#Headers],[2022]]-1),Carnot_Grunddaten[[#This Row],[2021]],IF('Refsz-Verbräuche'!$B$43&lt;Carnot_Grunddaten[[#Headers],[2022]],Carnot_Grunddaten[[#This Row],[2021]],"0")))</f>
        <v>0</v>
      </c>
      <c r="L170" s="117" t="str">
        <f>IF(Carnot_Grunddaten[[#Headers],[2023]]='Refsz-Verbräuche'!$B$43,IF(OR(SUMIF($D170:Carnot_Grunddaten[[#This Row],[2022]],"&gt;0")&gt;0,), AVERAGEIF($D170:Carnot_Grunddaten[[#This Row],[2022]],"&lt;&gt;"""), "0"),IF('Refsz-Verbräuche'!$B$43=(Carnot_Grunddaten[[#Headers],[2023]]-1),Carnot_Grunddaten[[#This Row],[2022]],IF('Refsz-Verbräuche'!$B$43&lt;Carnot_Grunddaten[[#Headers],[2023]],Carnot_Grunddaten[[#This Row],[2022]],"0")))</f>
        <v>0</v>
      </c>
      <c r="M170" s="117" t="str">
        <f>IF(Carnot_Grunddaten[[#Headers],[2024]]='Refsz-Verbräuche'!$B$43,IF(OR(SUMIF($D170:Carnot_Grunddaten[[#This Row],[2023]],"&gt;0")&gt;0,), AVERAGEIF($D170:Carnot_Grunddaten[[#This Row],[2023]],"&lt;&gt;"""), "0"),IF('Refsz-Verbräuche'!$B$43=(Carnot_Grunddaten[[#Headers],[2024]]-1),Carnot_Grunddaten[[#This Row],[2023]],IF('Refsz-Verbräuche'!$B$43&lt;Carnot_Grunddaten[[#Headers],[2024]],Carnot_Grunddaten[[#This Row],[2023]],"0")))</f>
        <v>0</v>
      </c>
      <c r="N170" s="117" t="str">
        <f>IF(Carnot_Grunddaten[[#Headers],[2025]]='Refsz-Verbräuche'!$B$43,IF(OR(SUMIF($D170:Carnot_Grunddaten[[#This Row],[2024]],"&gt;0")&gt;0,), AVERAGEIF($D170:Carnot_Grunddaten[[#This Row],[2024]],"&lt;&gt;"""), "0"),IF('Refsz-Verbräuche'!$B$43=(Carnot_Grunddaten[[#Headers],[2025]]-1),Carnot_Grunddaten[[#This Row],[2024]],IF('Refsz-Verbräuche'!$B$43&lt;Carnot_Grunddaten[[#Headers],[2025]],Carnot_Grunddaten[[#This Row],[2024]],"0")))</f>
        <v>0</v>
      </c>
      <c r="O170" s="117" t="str">
        <f>IF(Carnot_Grunddaten[[#Headers],[2026]]='Refsz-Verbräuche'!$B$43,IF(OR(SUMIF($D170:Carnot_Grunddaten[[#This Row],[2025]],"&gt;0")&gt;0,), AVERAGEIF($D170:Carnot_Grunddaten[[#This Row],[2025]],"&lt;&gt;"""), "0"),IF('Refsz-Verbräuche'!$B$43=(Carnot_Grunddaten[[#Headers],[2026]]-1),Carnot_Grunddaten[[#This Row],[2025]],IF('Refsz-Verbräuche'!$B$43&lt;Carnot_Grunddaten[[#Headers],[2026]],Carnot_Grunddaten[[#This Row],[2025]],"0")))</f>
        <v>0</v>
      </c>
      <c r="P170" s="117" t="str">
        <f>IF(Carnot_Grunddaten[[#Headers],[2027]]='Refsz-Verbräuche'!$B$43,IF(OR(SUMIF($D170:Carnot_Grunddaten[[#This Row],[2026]],"&gt;0")&gt;0,), AVERAGEIF($D170:Carnot_Grunddaten[[#This Row],[2026]],"&lt;&gt;"""), "0"),IF('Refsz-Verbräuche'!$B$43=(Carnot_Grunddaten[[#Headers],[2027]]-1),Carnot_Grunddaten[[#This Row],[2026]],IF('Refsz-Verbräuche'!$B$43&lt;Carnot_Grunddaten[[#Headers],[2027]],Carnot_Grunddaten[[#This Row],[2026]],"0")))</f>
        <v>0</v>
      </c>
      <c r="Q170" s="117" t="str">
        <f>IF(Carnot_Grunddaten[[#Headers],[2028]]='Refsz-Verbräuche'!$B$43,IF(OR(SUMIF($D170:Carnot_Grunddaten[[#This Row],[2027]],"&gt;0")&gt;0,), AVERAGEIF($D170:Carnot_Grunddaten[[#This Row],[2027]],"&lt;&gt;"""), "0"),IF('Refsz-Verbräuche'!$B$43=(Carnot_Grunddaten[[#Headers],[2028]]-1),Carnot_Grunddaten[[#This Row],[2027]],IF('Refsz-Verbräuche'!$B$43&lt;Carnot_Grunddaten[[#Headers],[2028]],Carnot_Grunddaten[[#This Row],[2027]],"0")))</f>
        <v>0</v>
      </c>
      <c r="R170" s="117" t="str">
        <f>IF(Carnot_Grunddaten[[#Headers],[2029]]='Refsz-Verbräuche'!$B$43,IF(OR(SUMIF($D170:Carnot_Grunddaten[[#This Row],[2028]],"&gt;0")&gt;0,), AVERAGEIF($D170:Carnot_Grunddaten[[#This Row],[2028]],"&lt;&gt;"""), "0"),IF('Refsz-Verbräuche'!$B$43=(Carnot_Grunddaten[[#Headers],[2029]]-1),Carnot_Grunddaten[[#This Row],[2028]],IF('Refsz-Verbräuche'!$B$43&lt;Carnot_Grunddaten[[#Headers],[2029]],Carnot_Grunddaten[[#This Row],[2028]],"0")))</f>
        <v>0</v>
      </c>
      <c r="S170" s="117" t="str">
        <f>IF(Carnot_Grunddaten[[#Headers],[2030]]='Refsz-Verbräuche'!$B$43,IF(OR(SUMIF($D170:Carnot_Grunddaten[[#This Row],[2029]],"&gt;0")&gt;0,), AVERAGEIF($D170:Carnot_Grunddaten[[#This Row],[2029]],"&lt;&gt;"""), "0"),IF('Refsz-Verbräuche'!$B$43=(Carnot_Grunddaten[[#Headers],[2030]]-1),Carnot_Grunddaten[[#This Row],[2029]],IF('Refsz-Verbräuche'!$B$43&lt;Carnot_Grunddaten[[#Headers],[2030]],Carnot_Grunddaten[[#This Row],[2029]],"0")))</f>
        <v>0</v>
      </c>
      <c r="T170" s="117" t="str">
        <f>IF(Carnot_Grunddaten[[#Headers],[2035]]='Refsz-Verbräuche'!$B$43,IF(OR(SUMIF($D170:Carnot_Grunddaten[[#This Row],[2030]],"&gt;0")&gt;0,), AVERAGEIF($D170:Carnot_Grunddaten[[#This Row],[2030]],"&lt;&gt;"""), "0"),IF('Refsz-Verbräuche'!$B$43=(Carnot_Grunddaten[[#Headers],[2035]]-1),Carnot_Grunddaten[[#This Row],[2030]],IF('Refsz-Verbräuche'!$B$43&lt;Carnot_Grunddaten[[#Headers],[2035]],Carnot_Grunddaten[[#This Row],[2030]],"0")))</f>
        <v>0</v>
      </c>
      <c r="U170" s="117" t="str">
        <f>IF(Carnot_Grunddaten[[#Headers],[2040]]='Refsz-Verbräuche'!$B$43,IF(OR(SUMIF($D170:Carnot_Grunddaten[[#This Row],[2035]],"&gt;0")&gt;0,), AVERAGEIF($D170:Carnot_Grunddaten[[#This Row],[2035]],"&lt;&gt;"""), "0"),IF('Refsz-Verbräuche'!$B$43=(Carnot_Grunddaten[[#Headers],[2040]]-1),Carnot_Grunddaten[[#This Row],[2035]],IF('Refsz-Verbräuche'!$B$43&lt;Carnot_Grunddaten[[#Headers],[2040]],Carnot_Grunddaten[[#This Row],[2035]],"0")))</f>
        <v>0</v>
      </c>
      <c r="V170" s="117" t="str">
        <f>IF(Carnot_Grunddaten[[#Headers],[2045]]='Refsz-Verbräuche'!$B$43,IF(OR(SUMIF($D170:Carnot_Grunddaten[[#This Row],[2040]],"&gt;0")&gt;0,), AVERAGEIF($D170:Carnot_Grunddaten[[#This Row],[2040]],"&lt;&gt;"""), "0"),IF('Refsz-Verbräuche'!$B$43=(Carnot_Grunddaten[[#Headers],[2045]]-1),Carnot_Grunddaten[[#This Row],[2040]],IF('Refsz-Verbräuche'!$B$43&lt;Carnot_Grunddaten[[#Headers],[2045]],Carnot_Grunddaten[[#This Row],[2040]],"0")))</f>
        <v>0</v>
      </c>
      <c r="W170" s="117" t="str">
        <f>IF(Carnot_Grunddaten[[#Headers],[2050]]='Refsz-Verbräuche'!$B$43,IF(OR(SUMIF($D170:Carnot_Grunddaten[[#This Row],[2045]],"&gt;0")&gt;0,), AVERAGEIF($D170:Carnot_Grunddaten[[#This Row],[2045]],"&lt;&gt;"""), "0"),IF('Refsz-Verbräuche'!$B$43=(Carnot_Grunddaten[[#Headers],[2050]]-1),Carnot_Grunddaten[[#This Row],[2045]],IF('Refsz-Verbräuche'!$B$43&lt;Carnot_Grunddaten[[#Headers],[2050]],Carnot_Grunddaten[[#This Row],[2045]],"0")))</f>
        <v>0</v>
      </c>
    </row>
    <row r="171" spans="2:24" ht="15.5" x14ac:dyDescent="0.35">
      <c r="B171" s="88" t="s">
        <v>351</v>
      </c>
      <c r="C171" s="89" t="str">
        <f t="shared" ref="C171:C176" si="18">+$C170</f>
        <v>[MWh/a]</v>
      </c>
      <c r="D171" s="117"/>
      <c r="E171" s="117"/>
      <c r="F171" s="117"/>
      <c r="G171" s="117"/>
      <c r="H171" s="117"/>
      <c r="I171" s="117"/>
      <c r="J171" s="117"/>
      <c r="K171" s="117" t="str">
        <f>IF(Carnot_Grunddaten[[#Headers],[2022]]='Refsz-Verbräuche'!$B$43,IF(OR(SUMIF($D171:Carnot_Grunddaten[[#This Row],[2021]],"&gt;0")&gt;0,), AVERAGEIF($D171:Carnot_Grunddaten[[#This Row],[2021]],"&lt;&gt;"""), "0"),IF('Refsz-Verbräuche'!$B$43=(Carnot_Grunddaten[[#Headers],[2022]]-1),Carnot_Grunddaten[[#This Row],[2021]],IF('Refsz-Verbräuche'!$B$43&lt;Carnot_Grunddaten[[#Headers],[2022]],Carnot_Grunddaten[[#This Row],[2021]],"0")))</f>
        <v>0</v>
      </c>
      <c r="L171" s="117" t="str">
        <f>IF(Carnot_Grunddaten[[#Headers],[2023]]='Refsz-Verbräuche'!$B$43,IF(OR(SUMIF($D171:Carnot_Grunddaten[[#This Row],[2022]],"&gt;0")&gt;0,), AVERAGEIF($D171:Carnot_Grunddaten[[#This Row],[2022]],"&lt;&gt;"""), "0"),IF('Refsz-Verbräuche'!$B$43=(Carnot_Grunddaten[[#Headers],[2023]]-1),Carnot_Grunddaten[[#This Row],[2022]],IF('Refsz-Verbräuche'!$B$43&lt;Carnot_Grunddaten[[#Headers],[2023]],Carnot_Grunddaten[[#This Row],[2022]],"0")))</f>
        <v>0</v>
      </c>
      <c r="M171" s="117" t="str">
        <f>IF(Carnot_Grunddaten[[#Headers],[2024]]='Refsz-Verbräuche'!$B$43,IF(OR(SUMIF($D171:Carnot_Grunddaten[[#This Row],[2023]],"&gt;0")&gt;0,), AVERAGEIF($D171:Carnot_Grunddaten[[#This Row],[2023]],"&lt;&gt;"""), "0"),IF('Refsz-Verbräuche'!$B$43=(Carnot_Grunddaten[[#Headers],[2024]]-1),Carnot_Grunddaten[[#This Row],[2023]],IF('Refsz-Verbräuche'!$B$43&lt;Carnot_Grunddaten[[#Headers],[2024]],Carnot_Grunddaten[[#This Row],[2023]],"0")))</f>
        <v>0</v>
      </c>
      <c r="N171" s="117" t="str">
        <f>IF(Carnot_Grunddaten[[#Headers],[2025]]='Refsz-Verbräuche'!$B$43,IF(OR(SUMIF($D171:Carnot_Grunddaten[[#This Row],[2024]],"&gt;0")&gt;0,), AVERAGEIF($D171:Carnot_Grunddaten[[#This Row],[2024]],"&lt;&gt;"""), "0"),IF('Refsz-Verbräuche'!$B$43=(Carnot_Grunddaten[[#Headers],[2025]]-1),Carnot_Grunddaten[[#This Row],[2024]],IF('Refsz-Verbräuche'!$B$43&lt;Carnot_Grunddaten[[#Headers],[2025]],Carnot_Grunddaten[[#This Row],[2024]],"0")))</f>
        <v>0</v>
      </c>
      <c r="O171" s="117" t="str">
        <f>IF(Carnot_Grunddaten[[#Headers],[2026]]='Refsz-Verbräuche'!$B$43,IF(OR(SUMIF($D171:Carnot_Grunddaten[[#This Row],[2025]],"&gt;0")&gt;0,), AVERAGEIF($D171:Carnot_Grunddaten[[#This Row],[2025]],"&lt;&gt;"""), "0"),IF('Refsz-Verbräuche'!$B$43=(Carnot_Grunddaten[[#Headers],[2026]]-1),Carnot_Grunddaten[[#This Row],[2025]],IF('Refsz-Verbräuche'!$B$43&lt;Carnot_Grunddaten[[#Headers],[2026]],Carnot_Grunddaten[[#This Row],[2025]],"0")))</f>
        <v>0</v>
      </c>
      <c r="P171" s="117" t="str">
        <f>IF(Carnot_Grunddaten[[#Headers],[2027]]='Refsz-Verbräuche'!$B$43,IF(OR(SUMIF($D171:Carnot_Grunddaten[[#This Row],[2026]],"&gt;0")&gt;0,), AVERAGEIF($D171:Carnot_Grunddaten[[#This Row],[2026]],"&lt;&gt;"""), "0"),IF('Refsz-Verbräuche'!$B$43=(Carnot_Grunddaten[[#Headers],[2027]]-1),Carnot_Grunddaten[[#This Row],[2026]],IF('Refsz-Verbräuche'!$B$43&lt;Carnot_Grunddaten[[#Headers],[2027]],Carnot_Grunddaten[[#This Row],[2026]],"0")))</f>
        <v>0</v>
      </c>
      <c r="Q171" s="117" t="str">
        <f>IF(Carnot_Grunddaten[[#Headers],[2028]]='Refsz-Verbräuche'!$B$43,IF(OR(SUMIF($D171:Carnot_Grunddaten[[#This Row],[2027]],"&gt;0")&gt;0,), AVERAGEIF($D171:Carnot_Grunddaten[[#This Row],[2027]],"&lt;&gt;"""), "0"),IF('Refsz-Verbräuche'!$B$43=(Carnot_Grunddaten[[#Headers],[2028]]-1),Carnot_Grunddaten[[#This Row],[2027]],IF('Refsz-Verbräuche'!$B$43&lt;Carnot_Grunddaten[[#Headers],[2028]],Carnot_Grunddaten[[#This Row],[2027]],"0")))</f>
        <v>0</v>
      </c>
      <c r="R171" s="117" t="str">
        <f>IF(Carnot_Grunddaten[[#Headers],[2029]]='Refsz-Verbräuche'!$B$43,IF(OR(SUMIF($D171:Carnot_Grunddaten[[#This Row],[2028]],"&gt;0")&gt;0,), AVERAGEIF($D171:Carnot_Grunddaten[[#This Row],[2028]],"&lt;&gt;"""), "0"),IF('Refsz-Verbräuche'!$B$43=(Carnot_Grunddaten[[#Headers],[2029]]-1),Carnot_Grunddaten[[#This Row],[2028]],IF('Refsz-Verbräuche'!$B$43&lt;Carnot_Grunddaten[[#Headers],[2029]],Carnot_Grunddaten[[#This Row],[2028]],"0")))</f>
        <v>0</v>
      </c>
      <c r="S171" s="117" t="str">
        <f>IF(Carnot_Grunddaten[[#Headers],[2030]]='Refsz-Verbräuche'!$B$43,IF(OR(SUMIF($D171:Carnot_Grunddaten[[#This Row],[2029]],"&gt;0")&gt;0,), AVERAGEIF($D171:Carnot_Grunddaten[[#This Row],[2029]],"&lt;&gt;"""), "0"),IF('Refsz-Verbräuche'!$B$43=(Carnot_Grunddaten[[#Headers],[2030]]-1),Carnot_Grunddaten[[#This Row],[2029]],IF('Refsz-Verbräuche'!$B$43&lt;Carnot_Grunddaten[[#Headers],[2030]],Carnot_Grunddaten[[#This Row],[2029]],"0")))</f>
        <v>0</v>
      </c>
      <c r="T171" s="117" t="str">
        <f>IF(Carnot_Grunddaten[[#Headers],[2035]]='Refsz-Verbräuche'!$B$43,IF(OR(SUMIF($D171:Carnot_Grunddaten[[#This Row],[2030]],"&gt;0")&gt;0,), AVERAGEIF($D171:Carnot_Grunddaten[[#This Row],[2030]],"&lt;&gt;"""), "0"),IF('Refsz-Verbräuche'!$B$43=(Carnot_Grunddaten[[#Headers],[2035]]-1),Carnot_Grunddaten[[#This Row],[2030]],IF('Refsz-Verbräuche'!$B$43&lt;Carnot_Grunddaten[[#Headers],[2035]],Carnot_Grunddaten[[#This Row],[2030]],"0")))</f>
        <v>0</v>
      </c>
      <c r="U171" s="117" t="str">
        <f>IF(Carnot_Grunddaten[[#Headers],[2040]]='Refsz-Verbräuche'!$B$43,IF(OR(SUMIF($D171:Carnot_Grunddaten[[#This Row],[2035]],"&gt;0")&gt;0,), AVERAGEIF($D171:Carnot_Grunddaten[[#This Row],[2035]],"&lt;&gt;"""), "0"),IF('Refsz-Verbräuche'!$B$43=(Carnot_Grunddaten[[#Headers],[2040]]-1),Carnot_Grunddaten[[#This Row],[2035]],IF('Refsz-Verbräuche'!$B$43&lt;Carnot_Grunddaten[[#Headers],[2040]],Carnot_Grunddaten[[#This Row],[2035]],"0")))</f>
        <v>0</v>
      </c>
      <c r="V171" s="117" t="str">
        <f>IF(Carnot_Grunddaten[[#Headers],[2045]]='Refsz-Verbräuche'!$B$43,IF(OR(SUMIF($D171:Carnot_Grunddaten[[#This Row],[2040]],"&gt;0")&gt;0,), AVERAGEIF($D171:Carnot_Grunddaten[[#This Row],[2040]],"&lt;&gt;"""), "0"),IF('Refsz-Verbräuche'!$B$43=(Carnot_Grunddaten[[#Headers],[2045]]-1),Carnot_Grunddaten[[#This Row],[2040]],IF('Refsz-Verbräuche'!$B$43&lt;Carnot_Grunddaten[[#Headers],[2045]],Carnot_Grunddaten[[#This Row],[2040]],"0")))</f>
        <v>0</v>
      </c>
      <c r="W171" s="117" t="str">
        <f>IF(Carnot_Grunddaten[[#Headers],[2050]]='Refsz-Verbräuche'!$B$43,IF(OR(SUMIF($D171:Carnot_Grunddaten[[#This Row],[2045]],"&gt;0")&gt;0,), AVERAGEIF($D171:Carnot_Grunddaten[[#This Row],[2045]],"&lt;&gt;"""), "0"),IF('Refsz-Verbräuche'!$B$43=(Carnot_Grunddaten[[#Headers],[2050]]-1),Carnot_Grunddaten[[#This Row],[2045]],IF('Refsz-Verbräuche'!$B$43&lt;Carnot_Grunddaten[[#Headers],[2050]],Carnot_Grunddaten[[#This Row],[2045]],"0")))</f>
        <v>0</v>
      </c>
    </row>
    <row r="172" spans="2:24" ht="15.5" x14ac:dyDescent="0.35">
      <c r="B172" s="88" t="s">
        <v>352</v>
      </c>
      <c r="C172" s="89" t="str">
        <f t="shared" si="18"/>
        <v>[MWh/a]</v>
      </c>
      <c r="D172" s="84">
        <f t="shared" ref="D172:W172" si="19">+SUM(D166:D168)-D170-D171</f>
        <v>0</v>
      </c>
      <c r="E172" s="84">
        <f t="shared" si="19"/>
        <v>0</v>
      </c>
      <c r="F172" s="84">
        <f t="shared" si="19"/>
        <v>0</v>
      </c>
      <c r="G172" s="84">
        <f t="shared" si="19"/>
        <v>0</v>
      </c>
      <c r="H172" s="84">
        <f t="shared" si="19"/>
        <v>0</v>
      </c>
      <c r="I172" s="84">
        <f t="shared" si="19"/>
        <v>0</v>
      </c>
      <c r="J172" s="84">
        <f t="shared" si="19"/>
        <v>0</v>
      </c>
      <c r="K172" s="84">
        <f t="shared" si="19"/>
        <v>0</v>
      </c>
      <c r="L172" s="84">
        <f t="shared" si="19"/>
        <v>0</v>
      </c>
      <c r="M172" s="84">
        <f t="shared" si="19"/>
        <v>0</v>
      </c>
      <c r="N172" s="84">
        <f t="shared" si="19"/>
        <v>0</v>
      </c>
      <c r="O172" s="84">
        <f t="shared" si="19"/>
        <v>0</v>
      </c>
      <c r="P172" s="84">
        <f t="shared" si="19"/>
        <v>0</v>
      </c>
      <c r="Q172" s="84">
        <f t="shared" si="19"/>
        <v>0</v>
      </c>
      <c r="R172" s="84">
        <f t="shared" si="19"/>
        <v>0</v>
      </c>
      <c r="S172" s="84">
        <f t="shared" si="19"/>
        <v>0</v>
      </c>
      <c r="T172" s="84">
        <f t="shared" si="19"/>
        <v>0</v>
      </c>
      <c r="U172" s="84">
        <f t="shared" si="19"/>
        <v>0</v>
      </c>
      <c r="V172" s="84">
        <f t="shared" si="19"/>
        <v>0</v>
      </c>
      <c r="W172" s="84">
        <f t="shared" si="19"/>
        <v>0</v>
      </c>
    </row>
    <row r="173" spans="2:24" ht="15.5" x14ac:dyDescent="0.35">
      <c r="B173" s="88" t="s">
        <v>353</v>
      </c>
      <c r="C173" s="89" t="str">
        <f t="shared" si="18"/>
        <v>[MWh/a]</v>
      </c>
      <c r="D173" s="117"/>
      <c r="E173" s="117"/>
      <c r="F173" s="117"/>
      <c r="G173" s="117"/>
      <c r="H173" s="117"/>
      <c r="I173" s="117"/>
      <c r="J173" s="117"/>
      <c r="K173" s="117" t="str">
        <f>IF(Carnot_Grunddaten[[#Headers],[2022]]='Refsz-Verbräuche'!$B$43,IF(OR(SUMIF($D170:Carnot_Grunddaten[[#This Row],[2021]],"&gt;0")&gt;0,), AVERAGEIF($D170:Carnot_Grunddaten[[#This Row],[2021]],"&lt;&gt;"""), "0"),IF('Refsz-Verbräuche'!$B$43=(Carnot_Grunddaten[[#Headers],[2022]]-1),Carnot_Grunddaten[[#This Row],[2021]],IF('Refsz-Verbräuche'!$B$43&lt;Carnot_Grunddaten[[#Headers],[2022]],Carnot_Grunddaten[[#This Row],[2021]],"0")))</f>
        <v>0</v>
      </c>
      <c r="L173" s="117" t="str">
        <f>IF(Carnot_Grunddaten[[#Headers],[2023]]='Refsz-Verbräuche'!$B$43,IF(OR(SUMIF($D170:Carnot_Grunddaten[[#This Row],[2022]],"&gt;0")&gt;0,), AVERAGEIF($D170:Carnot_Grunddaten[[#This Row],[2022]],"&lt;&gt;"""), "0"),IF('Refsz-Verbräuche'!$B$43=(Carnot_Grunddaten[[#Headers],[2023]]-1),Carnot_Grunddaten[[#This Row],[2022]],IF('Refsz-Verbräuche'!$B$43&lt;Carnot_Grunddaten[[#Headers],[2023]],Carnot_Grunddaten[[#This Row],[2022]],"0")))</f>
        <v>0</v>
      </c>
      <c r="M173" s="117" t="str">
        <f>IF(Carnot_Grunddaten[[#Headers],[2024]]='Refsz-Verbräuche'!$B$43,IF(OR(SUMIF($D170:Carnot_Grunddaten[[#This Row],[2023]],"&gt;0")&gt;0,), AVERAGEIF($D170:Carnot_Grunddaten[[#This Row],[2023]],"&lt;&gt;"""), "0"),IF('Refsz-Verbräuche'!$B$43=(Carnot_Grunddaten[[#Headers],[2024]]-1),Carnot_Grunddaten[[#This Row],[2023]],IF('Refsz-Verbräuche'!$B$43&lt;Carnot_Grunddaten[[#Headers],[2024]],Carnot_Grunddaten[[#This Row],[2023]],"0")))</f>
        <v>0</v>
      </c>
      <c r="N173" s="117" t="str">
        <f>IF(Carnot_Grunddaten[[#Headers],[2025]]='Refsz-Verbräuche'!$B$43,IF(OR(SUMIF($D170:Carnot_Grunddaten[[#This Row],[2024]],"&gt;0")&gt;0,), AVERAGEIF($D170:Carnot_Grunddaten[[#This Row],[2024]],"&lt;&gt;"""), "0"),IF('Refsz-Verbräuche'!$B$43=(Carnot_Grunddaten[[#Headers],[2025]]-1),Carnot_Grunddaten[[#This Row],[2024]],IF('Refsz-Verbräuche'!$B$43&lt;Carnot_Grunddaten[[#Headers],[2025]],Carnot_Grunddaten[[#This Row],[2024]],"0")))</f>
        <v>0</v>
      </c>
      <c r="O173" s="117" t="str">
        <f>IF(Carnot_Grunddaten[[#Headers],[2026]]='Refsz-Verbräuche'!$B$43,IF(OR(SUMIF($D170:Carnot_Grunddaten[[#This Row],[2025]],"&gt;0")&gt;0,), AVERAGEIF($D170:Carnot_Grunddaten[[#This Row],[2025]],"&lt;&gt;"""), "0"),IF('Refsz-Verbräuche'!$B$43=(Carnot_Grunddaten[[#Headers],[2026]]-1),Carnot_Grunddaten[[#This Row],[2025]],IF('Refsz-Verbräuche'!$B$43&lt;Carnot_Grunddaten[[#Headers],[2026]],Carnot_Grunddaten[[#This Row],[2025]],"0")))</f>
        <v>0</v>
      </c>
      <c r="P173" s="117" t="str">
        <f>IF(Carnot_Grunddaten[[#Headers],[2027]]='Refsz-Verbräuche'!$B$43,IF(OR(SUMIF($D170:Carnot_Grunddaten[[#This Row],[2026]],"&gt;0")&gt;0,), AVERAGEIF($D170:Carnot_Grunddaten[[#This Row],[2026]],"&lt;&gt;"""), "0"),IF('Refsz-Verbräuche'!$B$43=(Carnot_Grunddaten[[#Headers],[2027]]-1),Carnot_Grunddaten[[#This Row],[2026]],IF('Refsz-Verbräuche'!$B$43&lt;Carnot_Grunddaten[[#Headers],[2027]],Carnot_Grunddaten[[#This Row],[2026]],"0")))</f>
        <v>0</v>
      </c>
      <c r="Q173" s="117" t="str">
        <f>IF(Carnot_Grunddaten[[#Headers],[2028]]='Refsz-Verbräuche'!$B$43,IF(OR(SUMIF($D170:Carnot_Grunddaten[[#This Row],[2027]],"&gt;0")&gt;0,), AVERAGEIF($D170:Carnot_Grunddaten[[#This Row],[2027]],"&lt;&gt;"""), "0"),IF('Refsz-Verbräuche'!$B$43=(Carnot_Grunddaten[[#Headers],[2028]]-1),Carnot_Grunddaten[[#This Row],[2027]],IF('Refsz-Verbräuche'!$B$43&lt;Carnot_Grunddaten[[#Headers],[2028]],Carnot_Grunddaten[[#This Row],[2027]],"0")))</f>
        <v>0</v>
      </c>
      <c r="R173" s="117" t="str">
        <f>IF(Carnot_Grunddaten[[#Headers],[2029]]='Refsz-Verbräuche'!$B$43,IF(OR(SUMIF($D170:Carnot_Grunddaten[[#This Row],[2028]],"&gt;0")&gt;0,), AVERAGEIF($D170:Carnot_Grunddaten[[#This Row],[2028]],"&lt;&gt;"""), "0"),IF('Refsz-Verbräuche'!$B$43=(Carnot_Grunddaten[[#Headers],[2029]]-1),Carnot_Grunddaten[[#This Row],[2028]],IF('Refsz-Verbräuche'!$B$43&lt;Carnot_Grunddaten[[#Headers],[2029]],Carnot_Grunddaten[[#This Row],[2028]],"0")))</f>
        <v>0</v>
      </c>
      <c r="S173" s="117" t="str">
        <f>IF(Carnot_Grunddaten[[#Headers],[2030]]='Refsz-Verbräuche'!$B$43,IF(OR(SUMIF($D170:Carnot_Grunddaten[[#This Row],[2029]],"&gt;0")&gt;0,), AVERAGEIF($D170:Carnot_Grunddaten[[#This Row],[2029]],"&lt;&gt;"""), "0"),IF('Refsz-Verbräuche'!$B$43=(Carnot_Grunddaten[[#Headers],[2030]]-1),Carnot_Grunddaten[[#This Row],[2029]],IF('Refsz-Verbräuche'!$B$43&lt;Carnot_Grunddaten[[#Headers],[2030]],Carnot_Grunddaten[[#This Row],[2029]],"0")))</f>
        <v>0</v>
      </c>
      <c r="T173" s="117" t="str">
        <f>IF(Carnot_Grunddaten[[#Headers],[2035]]='Refsz-Verbräuche'!$B$43,IF(OR(SUMIF($D170:Carnot_Grunddaten[[#This Row],[2030]],"&gt;0")&gt;0,), AVERAGEIF($D170:Carnot_Grunddaten[[#This Row],[2030]],"&lt;&gt;"""), "0"),IF('Refsz-Verbräuche'!$B$43=(Carnot_Grunddaten[[#Headers],[2035]]-1),Carnot_Grunddaten[[#This Row],[2030]],IF('Refsz-Verbräuche'!$B$43&lt;Carnot_Grunddaten[[#Headers],[2035]],Carnot_Grunddaten[[#This Row],[2030]],"0")))</f>
        <v>0</v>
      </c>
      <c r="U173" s="117" t="str">
        <f>IF(Carnot_Grunddaten[[#Headers],[2040]]='Refsz-Verbräuche'!$B$43,IF(OR(SUMIF($D170:Carnot_Grunddaten[[#This Row],[2035]],"&gt;0")&gt;0,), AVERAGEIF($D170:Carnot_Grunddaten[[#This Row],[2035]],"&lt;&gt;"""), "0"),IF('Refsz-Verbräuche'!$B$43=(Carnot_Grunddaten[[#Headers],[2040]]-1),Carnot_Grunddaten[[#This Row],[2035]],IF('Refsz-Verbräuche'!$B$43&lt;Carnot_Grunddaten[[#Headers],[2040]],Carnot_Grunddaten[[#This Row],[2035]],"0")))</f>
        <v>0</v>
      </c>
      <c r="V173" s="117" t="str">
        <f>IF(Carnot_Grunddaten[[#Headers],[2045]]='Refsz-Verbräuche'!$B$43,IF(OR(SUMIF($D170:Carnot_Grunddaten[[#This Row],[2040]],"&gt;0")&gt;0,), AVERAGEIF($D170:Carnot_Grunddaten[[#This Row],[2040]],"&lt;&gt;"""), "0"),IF('Refsz-Verbräuche'!$B$43=(Carnot_Grunddaten[[#Headers],[2045]]-1),Carnot_Grunddaten[[#This Row],[2040]],IF('Refsz-Verbräuche'!$B$43&lt;Carnot_Grunddaten[[#Headers],[2045]],Carnot_Grunddaten[[#This Row],[2040]],"0")))</f>
        <v>0</v>
      </c>
      <c r="W173" s="117" t="str">
        <f>IF(Carnot_Grunddaten[[#Headers],[2050]]='Refsz-Verbräuche'!$B$43,IF(OR(SUMIF($D170:Carnot_Grunddaten[[#This Row],[2045]],"&gt;0")&gt;0,), AVERAGEIF($D170:Carnot_Grunddaten[[#This Row],[2045]],"&lt;&gt;"""), "0"),IF('Refsz-Verbräuche'!$B$43=(Carnot_Grunddaten[[#Headers],[2050]]-1),Carnot_Grunddaten[[#This Row],[2045]],IF('Refsz-Verbräuche'!$B$43&lt;Carnot_Grunddaten[[#Headers],[2050]],Carnot_Grunddaten[[#This Row],[2045]],"0")))</f>
        <v>0</v>
      </c>
    </row>
    <row r="174" spans="2:24" ht="15.5" x14ac:dyDescent="0.35">
      <c r="B174" s="88" t="s">
        <v>354</v>
      </c>
      <c r="C174" s="89" t="str">
        <f t="shared" si="18"/>
        <v>[MWh/a]</v>
      </c>
      <c r="D174" s="117"/>
      <c r="E174" s="117"/>
      <c r="F174" s="117"/>
      <c r="G174" s="117"/>
      <c r="H174" s="117"/>
      <c r="I174" s="117"/>
      <c r="J174" s="117"/>
      <c r="K174" s="117" t="str">
        <f>IF(Carnot_Grunddaten[[#Headers],[2022]]='Refsz-Verbräuche'!$B$43,IF(OR(SUMIF($D173:Carnot_Grunddaten[[#This Row],[2021]],"&gt;0")&gt;0,), AVERAGEIF($D173:Carnot_Grunddaten[[#This Row],[2021]],"&lt;&gt;"""), "0"),IF('Refsz-Verbräuche'!$B$43=(Carnot_Grunddaten[[#Headers],[2022]]-1),Carnot_Grunddaten[[#This Row],[2021]],IF('Refsz-Verbräuche'!$B$43&lt;Carnot_Grunddaten[[#Headers],[2022]],Carnot_Grunddaten[[#This Row],[2021]],"0")))</f>
        <v>0</v>
      </c>
      <c r="L174" s="117" t="str">
        <f>IF(Carnot_Grunddaten[[#Headers],[2023]]='Refsz-Verbräuche'!$B$43,IF(OR(SUMIF($D173:Carnot_Grunddaten[[#This Row],[2022]],"&gt;0")&gt;0,), AVERAGEIF($D173:Carnot_Grunddaten[[#This Row],[2022]],"&lt;&gt;"""), "0"),IF('Refsz-Verbräuche'!$B$43=(Carnot_Grunddaten[[#Headers],[2023]]-1),Carnot_Grunddaten[[#This Row],[2022]],IF('Refsz-Verbräuche'!$B$43&lt;Carnot_Grunddaten[[#Headers],[2023]],Carnot_Grunddaten[[#This Row],[2022]],"0")))</f>
        <v>0</v>
      </c>
      <c r="M174" s="117" t="str">
        <f>IF(Carnot_Grunddaten[[#Headers],[2024]]='Refsz-Verbräuche'!$B$43,IF(OR(SUMIF($D173:Carnot_Grunddaten[[#This Row],[2023]],"&gt;0")&gt;0,), AVERAGEIF($D173:Carnot_Grunddaten[[#This Row],[2023]],"&lt;&gt;"""), "0"),IF('Refsz-Verbräuche'!$B$43=(Carnot_Grunddaten[[#Headers],[2024]]-1),Carnot_Grunddaten[[#This Row],[2023]],IF('Refsz-Verbräuche'!$B$43&lt;Carnot_Grunddaten[[#Headers],[2024]],Carnot_Grunddaten[[#This Row],[2023]],"0")))</f>
        <v>0</v>
      </c>
      <c r="N174" s="117" t="str">
        <f>IF(Carnot_Grunddaten[[#Headers],[2025]]='Refsz-Verbräuche'!$B$43,IF(OR(SUMIF($D173:Carnot_Grunddaten[[#This Row],[2024]],"&gt;0")&gt;0,), AVERAGEIF($D173:Carnot_Grunddaten[[#This Row],[2024]],"&lt;&gt;"""), "0"),IF('Refsz-Verbräuche'!$B$43=(Carnot_Grunddaten[[#Headers],[2025]]-1),Carnot_Grunddaten[[#This Row],[2024]],IF('Refsz-Verbräuche'!$B$43&lt;Carnot_Grunddaten[[#Headers],[2025]],Carnot_Grunddaten[[#This Row],[2024]],"0")))</f>
        <v>0</v>
      </c>
      <c r="O174" s="117" t="str">
        <f>IF(Carnot_Grunddaten[[#Headers],[2026]]='Refsz-Verbräuche'!$B$43,IF(OR(SUMIF($D173:Carnot_Grunddaten[[#This Row],[2025]],"&gt;0")&gt;0,), AVERAGEIF($D173:Carnot_Grunddaten[[#This Row],[2025]],"&lt;&gt;"""), "0"),IF('Refsz-Verbräuche'!$B$43=(Carnot_Grunddaten[[#Headers],[2026]]-1),Carnot_Grunddaten[[#This Row],[2025]],IF('Refsz-Verbräuche'!$B$43&lt;Carnot_Grunddaten[[#Headers],[2026]],Carnot_Grunddaten[[#This Row],[2025]],"0")))</f>
        <v>0</v>
      </c>
      <c r="P174" s="117" t="str">
        <f>IF(Carnot_Grunddaten[[#Headers],[2027]]='Refsz-Verbräuche'!$B$43,IF(OR(SUMIF($D173:Carnot_Grunddaten[[#This Row],[2026]],"&gt;0")&gt;0,), AVERAGEIF($D173:Carnot_Grunddaten[[#This Row],[2026]],"&lt;&gt;"""), "0"),IF('Refsz-Verbräuche'!$B$43=(Carnot_Grunddaten[[#Headers],[2027]]-1),Carnot_Grunddaten[[#This Row],[2026]],IF('Refsz-Verbräuche'!$B$43&lt;Carnot_Grunddaten[[#Headers],[2027]],Carnot_Grunddaten[[#This Row],[2026]],"0")))</f>
        <v>0</v>
      </c>
      <c r="Q174" s="117" t="str">
        <f>IF(Carnot_Grunddaten[[#Headers],[2028]]='Refsz-Verbräuche'!$B$43,IF(OR(SUMIF($D173:Carnot_Grunddaten[[#This Row],[2027]],"&gt;0")&gt;0,), AVERAGEIF($D173:Carnot_Grunddaten[[#This Row],[2027]],"&lt;&gt;"""), "0"),IF('Refsz-Verbräuche'!$B$43=(Carnot_Grunddaten[[#Headers],[2028]]-1),Carnot_Grunddaten[[#This Row],[2027]],IF('Refsz-Verbräuche'!$B$43&lt;Carnot_Grunddaten[[#Headers],[2028]],Carnot_Grunddaten[[#This Row],[2027]],"0")))</f>
        <v>0</v>
      </c>
      <c r="R174" s="117" t="str">
        <f>IF(Carnot_Grunddaten[[#Headers],[2029]]='Refsz-Verbräuche'!$B$43,IF(OR(SUMIF($D173:Carnot_Grunddaten[[#This Row],[2028]],"&gt;0")&gt;0,), AVERAGEIF($D173:Carnot_Grunddaten[[#This Row],[2028]],"&lt;&gt;"""), "0"),IF('Refsz-Verbräuche'!$B$43=(Carnot_Grunddaten[[#Headers],[2029]]-1),Carnot_Grunddaten[[#This Row],[2028]],IF('Refsz-Verbräuche'!$B$43&lt;Carnot_Grunddaten[[#Headers],[2029]],Carnot_Grunddaten[[#This Row],[2028]],"0")))</f>
        <v>0</v>
      </c>
      <c r="S174" s="117" t="str">
        <f>IF(Carnot_Grunddaten[[#Headers],[2030]]='Refsz-Verbräuche'!$B$43,IF(OR(SUMIF($D173:Carnot_Grunddaten[[#This Row],[2029]],"&gt;0")&gt;0,), AVERAGEIF($D173:Carnot_Grunddaten[[#This Row],[2029]],"&lt;&gt;"""), "0"),IF('Refsz-Verbräuche'!$B$43=(Carnot_Grunddaten[[#Headers],[2030]]-1),Carnot_Grunddaten[[#This Row],[2029]],IF('Refsz-Verbräuche'!$B$43&lt;Carnot_Grunddaten[[#Headers],[2030]],Carnot_Grunddaten[[#This Row],[2029]],"0")))</f>
        <v>0</v>
      </c>
      <c r="T174" s="117" t="str">
        <f>IF(Carnot_Grunddaten[[#Headers],[2035]]='Refsz-Verbräuche'!$B$43,IF(OR(SUMIF($D173:Carnot_Grunddaten[[#This Row],[2030]],"&gt;0")&gt;0,), AVERAGEIF($D173:Carnot_Grunddaten[[#This Row],[2030]],"&lt;&gt;"""), "0"),IF('Refsz-Verbräuche'!$B$43=(Carnot_Grunddaten[[#Headers],[2035]]-1),Carnot_Grunddaten[[#This Row],[2030]],IF('Refsz-Verbräuche'!$B$43&lt;Carnot_Grunddaten[[#Headers],[2035]],Carnot_Grunddaten[[#This Row],[2030]],"0")))</f>
        <v>0</v>
      </c>
      <c r="U174" s="117" t="str">
        <f>IF(Carnot_Grunddaten[[#Headers],[2040]]='Refsz-Verbräuche'!$B$43,IF(OR(SUMIF($D173:Carnot_Grunddaten[[#This Row],[2035]],"&gt;0")&gt;0,), AVERAGEIF($D173:Carnot_Grunddaten[[#This Row],[2035]],"&lt;&gt;"""), "0"),IF('Refsz-Verbräuche'!$B$43=(Carnot_Grunddaten[[#Headers],[2040]]-1),Carnot_Grunddaten[[#This Row],[2035]],IF('Refsz-Verbräuche'!$B$43&lt;Carnot_Grunddaten[[#Headers],[2040]],Carnot_Grunddaten[[#This Row],[2035]],"0")))</f>
        <v>0</v>
      </c>
      <c r="V174" s="117" t="str">
        <f>IF(Carnot_Grunddaten[[#Headers],[2045]]='Refsz-Verbräuche'!$B$43,IF(OR(SUMIF($D173:Carnot_Grunddaten[[#This Row],[2040]],"&gt;0")&gt;0,), AVERAGEIF($D173:Carnot_Grunddaten[[#This Row],[2040]],"&lt;&gt;"""), "0"),IF('Refsz-Verbräuche'!$B$43=(Carnot_Grunddaten[[#Headers],[2045]]-1),Carnot_Grunddaten[[#This Row],[2040]],IF('Refsz-Verbräuche'!$B$43&lt;Carnot_Grunddaten[[#Headers],[2045]],Carnot_Grunddaten[[#This Row],[2040]],"0")))</f>
        <v>0</v>
      </c>
      <c r="W174" s="117" t="str">
        <f>IF(Carnot_Grunddaten[[#Headers],[2050]]='Refsz-Verbräuche'!$B$43,IF(OR(SUMIF($D173:Carnot_Grunddaten[[#This Row],[2045]],"&gt;0")&gt;0,), AVERAGEIF($D173:Carnot_Grunddaten[[#This Row],[2045]],"&lt;&gt;"""), "0"),IF('Refsz-Verbräuche'!$B$43=(Carnot_Grunddaten[[#Headers],[2050]]-1),Carnot_Grunddaten[[#This Row],[2045]],IF('Refsz-Verbräuche'!$B$43&lt;Carnot_Grunddaten[[#Headers],[2050]],Carnot_Grunddaten[[#This Row],[2045]],"0")))</f>
        <v>0</v>
      </c>
    </row>
    <row r="175" spans="2:24" ht="15.5" hidden="1" x14ac:dyDescent="0.35">
      <c r="B175" s="88" t="s">
        <v>355</v>
      </c>
      <c r="C175" s="89" t="str">
        <f t="shared" si="18"/>
        <v>[MWh/a]</v>
      </c>
      <c r="D175" s="84">
        <f t="shared" ref="D175:W176" si="20">D170-D173</f>
        <v>0</v>
      </c>
      <c r="E175" s="84">
        <f t="shared" si="20"/>
        <v>0</v>
      </c>
      <c r="F175" s="84">
        <f t="shared" si="20"/>
        <v>0</v>
      </c>
      <c r="G175" s="84">
        <f t="shared" si="20"/>
        <v>0</v>
      </c>
      <c r="H175" s="84">
        <f t="shared" si="20"/>
        <v>0</v>
      </c>
      <c r="I175" s="84">
        <f t="shared" si="20"/>
        <v>0</v>
      </c>
      <c r="J175" s="84">
        <f t="shared" si="20"/>
        <v>0</v>
      </c>
      <c r="K175" s="84">
        <f t="shared" si="20"/>
        <v>0</v>
      </c>
      <c r="L175" s="84">
        <f t="shared" si="20"/>
        <v>0</v>
      </c>
      <c r="M175" s="84">
        <f t="shared" si="20"/>
        <v>0</v>
      </c>
      <c r="N175" s="84">
        <f t="shared" si="20"/>
        <v>0</v>
      </c>
      <c r="O175" s="84">
        <f t="shared" si="20"/>
        <v>0</v>
      </c>
      <c r="P175" s="84">
        <f t="shared" si="20"/>
        <v>0</v>
      </c>
      <c r="Q175" s="84">
        <f t="shared" si="20"/>
        <v>0</v>
      </c>
      <c r="R175" s="84">
        <f t="shared" si="20"/>
        <v>0</v>
      </c>
      <c r="S175" s="84">
        <f t="shared" si="20"/>
        <v>0</v>
      </c>
      <c r="T175" s="84">
        <f t="shared" si="20"/>
        <v>0</v>
      </c>
      <c r="U175" s="84">
        <f t="shared" si="20"/>
        <v>0</v>
      </c>
      <c r="V175" s="84">
        <f t="shared" si="20"/>
        <v>0</v>
      </c>
      <c r="W175" s="84">
        <f t="shared" si="20"/>
        <v>0</v>
      </c>
    </row>
    <row r="176" spans="2:24" ht="15.5" hidden="1" x14ac:dyDescent="0.35">
      <c r="B176" s="88" t="s">
        <v>356</v>
      </c>
      <c r="C176" s="89" t="str">
        <f t="shared" si="18"/>
        <v>[MWh/a]</v>
      </c>
      <c r="D176" s="84">
        <f t="shared" si="20"/>
        <v>0</v>
      </c>
      <c r="E176" s="84">
        <f t="shared" si="20"/>
        <v>0</v>
      </c>
      <c r="F176" s="84">
        <f t="shared" si="20"/>
        <v>0</v>
      </c>
      <c r="G176" s="84">
        <f t="shared" si="20"/>
        <v>0</v>
      </c>
      <c r="H176" s="84">
        <f t="shared" si="20"/>
        <v>0</v>
      </c>
      <c r="I176" s="84">
        <f t="shared" si="20"/>
        <v>0</v>
      </c>
      <c r="J176" s="84">
        <f t="shared" si="20"/>
        <v>0</v>
      </c>
      <c r="K176" s="84">
        <f t="shared" si="20"/>
        <v>0</v>
      </c>
      <c r="L176" s="84">
        <f t="shared" si="20"/>
        <v>0</v>
      </c>
      <c r="M176" s="84">
        <f t="shared" si="20"/>
        <v>0</v>
      </c>
      <c r="N176" s="84">
        <f t="shared" si="20"/>
        <v>0</v>
      </c>
      <c r="O176" s="84">
        <f t="shared" si="20"/>
        <v>0</v>
      </c>
      <c r="P176" s="84">
        <f t="shared" si="20"/>
        <v>0</v>
      </c>
      <c r="Q176" s="84">
        <f t="shared" si="20"/>
        <v>0</v>
      </c>
      <c r="R176" s="84">
        <f t="shared" si="20"/>
        <v>0</v>
      </c>
      <c r="S176" s="84">
        <f t="shared" si="20"/>
        <v>0</v>
      </c>
      <c r="T176" s="84">
        <f t="shared" si="20"/>
        <v>0</v>
      </c>
      <c r="U176" s="84">
        <f t="shared" si="20"/>
        <v>0</v>
      </c>
      <c r="V176" s="84">
        <f t="shared" si="20"/>
        <v>0</v>
      </c>
      <c r="W176" s="84">
        <f t="shared" si="20"/>
        <v>0</v>
      </c>
    </row>
    <row r="177" spans="2:24" ht="15.5" x14ac:dyDescent="0.35">
      <c r="B177" s="88" t="s">
        <v>357</v>
      </c>
      <c r="D177" s="118" t="s">
        <v>363</v>
      </c>
      <c r="E177" s="118" t="s">
        <v>363</v>
      </c>
      <c r="F177" s="118" t="s">
        <v>363</v>
      </c>
      <c r="G177" s="118" t="s">
        <v>363</v>
      </c>
      <c r="H177" s="118" t="s">
        <v>363</v>
      </c>
      <c r="I177" s="118" t="s">
        <v>363</v>
      </c>
      <c r="J177" s="118" t="s">
        <v>363</v>
      </c>
      <c r="K177" s="118" t="s">
        <v>363</v>
      </c>
      <c r="L177" s="118" t="s">
        <v>363</v>
      </c>
      <c r="M177" s="118" t="s">
        <v>363</v>
      </c>
      <c r="N177" s="118" t="s">
        <v>363</v>
      </c>
      <c r="O177" s="118" t="s">
        <v>363</v>
      </c>
      <c r="P177" s="118" t="s">
        <v>363</v>
      </c>
      <c r="Q177" s="118" t="s">
        <v>363</v>
      </c>
      <c r="R177" s="118" t="s">
        <v>363</v>
      </c>
      <c r="S177" s="118" t="s">
        <v>363</v>
      </c>
      <c r="T177" s="118" t="s">
        <v>363</v>
      </c>
      <c r="U177" s="118" t="s">
        <v>363</v>
      </c>
      <c r="V177" s="118" t="s">
        <v>363</v>
      </c>
      <c r="W177" s="118" t="s">
        <v>363</v>
      </c>
    </row>
    <row r="178" spans="2:24" ht="15.5" hidden="1" x14ac:dyDescent="0.35">
      <c r="B178" s="88" t="s">
        <v>358</v>
      </c>
      <c r="C178" s="89" t="s">
        <v>359</v>
      </c>
      <c r="D178" s="90">
        <f>IF(ISERROR(VLOOKUP($B$166,Emissionsfaktoren!$C$225:$X$234,'Strommix &amp; BHKW'!D$165-2012,FALSE)),0,VLOOKUP('Strommix &amp; BHKW'!$B$166,Emissionsfaktoren!$C$225:$W$234,'Strommix &amp; BHKW'!D$165-2012,FALSE))</f>
        <v>0</v>
      </c>
      <c r="E178" s="90">
        <f>IF(ISERROR(VLOOKUP($B$166,Emissionsfaktoren!$C$225:$X$234,'Strommix &amp; BHKW'!E$165-2012,FALSE)),0,VLOOKUP('Strommix &amp; BHKW'!$B$166,Emissionsfaktoren!$C$225:$W$234,'Strommix &amp; BHKW'!E$165-2012,FALSE))</f>
        <v>0</v>
      </c>
      <c r="F178" s="90">
        <f>IF(ISERROR(VLOOKUP($B$166,Emissionsfaktoren!$C$225:$X$234,'Strommix &amp; BHKW'!F$165-2012,FALSE)),0,VLOOKUP('Strommix &amp; BHKW'!$B$166,Emissionsfaktoren!$C$225:$W$234,'Strommix &amp; BHKW'!F$165-2012,FALSE))</f>
        <v>0</v>
      </c>
      <c r="G178" s="90">
        <f>IF(ISERROR(VLOOKUP($B$166,Emissionsfaktoren!$C$225:$X$234,'Strommix &amp; BHKW'!G$165-2012,FALSE)),0,VLOOKUP('Strommix &amp; BHKW'!$B$166,Emissionsfaktoren!$C$225:$W$234,'Strommix &amp; BHKW'!G$165-2012,FALSE))</f>
        <v>0</v>
      </c>
      <c r="H178" s="90">
        <f>IF(ISERROR(VLOOKUP($B$166,Emissionsfaktoren!$C$225:$X$234,'Strommix &amp; BHKW'!H$165-2012,FALSE)),0,VLOOKUP('Strommix &amp; BHKW'!$B$166,Emissionsfaktoren!$C$225:$W$234,'Strommix &amp; BHKW'!H$165-2012,FALSE))</f>
        <v>0</v>
      </c>
      <c r="I178" s="90">
        <f>IF(ISERROR(VLOOKUP($B$166,Emissionsfaktoren!$C$225:$X$234,'Strommix &amp; BHKW'!I$165-2012,FALSE)),0,VLOOKUP('Strommix &amp; BHKW'!$B$166,Emissionsfaktoren!$C$225:$W$234,'Strommix &amp; BHKW'!I$165-2012,FALSE))</f>
        <v>0</v>
      </c>
      <c r="J178" s="90">
        <f>IF(ISERROR(VLOOKUP($B$166,Emissionsfaktoren!$C$225:$X$234,'Strommix &amp; BHKW'!J$165-2012,FALSE)),0,VLOOKUP('Strommix &amp; BHKW'!$B$166,Emissionsfaktoren!$C$225:$W$234,'Strommix &amp; BHKW'!J$165-2012,FALSE))</f>
        <v>0</v>
      </c>
      <c r="K178" s="90">
        <f>IF(ISERROR(VLOOKUP($B$166,Emissionsfaktoren!$C$225:$X$234,'Strommix &amp; BHKW'!K$165-2012,FALSE)),0,VLOOKUP('Strommix &amp; BHKW'!$B$166,Emissionsfaktoren!$C$225:$W$234,'Strommix &amp; BHKW'!K$165-2012,FALSE))</f>
        <v>0</v>
      </c>
      <c r="L178" s="90">
        <f>IF(ISERROR(VLOOKUP($B$166,Emissionsfaktoren!$C$225:$X$234,'Strommix &amp; BHKW'!L$165-2012,FALSE)),0,VLOOKUP('Strommix &amp; BHKW'!$B$166,Emissionsfaktoren!$C$225:$W$234,'Strommix &amp; BHKW'!L$165-2012,FALSE))</f>
        <v>0</v>
      </c>
      <c r="M178" s="90">
        <f>IF(ISERROR(VLOOKUP($B$166,Emissionsfaktoren!$C$225:$X$234,'Strommix &amp; BHKW'!M$165-2012,FALSE)),0,VLOOKUP('Strommix &amp; BHKW'!$B$166,Emissionsfaktoren!$C$225:$W$234,'Strommix &amp; BHKW'!M$165-2012,FALSE))</f>
        <v>0</v>
      </c>
      <c r="N178" s="90">
        <f>IF(ISERROR(VLOOKUP($B$166,Emissionsfaktoren!$C$225:$X$234,'Strommix &amp; BHKW'!N$165-2012,FALSE)),0,VLOOKUP('Strommix &amp; BHKW'!$B$166,Emissionsfaktoren!$C$225:$W$234,'Strommix &amp; BHKW'!N$165-2012,FALSE))</f>
        <v>0</v>
      </c>
      <c r="O178" s="90">
        <f>IF(ISERROR(VLOOKUP($B$166,Emissionsfaktoren!$C$225:$X$234,'Strommix &amp; BHKW'!O$165-2012,FALSE)),0,VLOOKUP('Strommix &amp; BHKW'!$B$166,Emissionsfaktoren!$C$225:$W$234,'Strommix &amp; BHKW'!O$165-2012,FALSE))</f>
        <v>0</v>
      </c>
      <c r="P178" s="90">
        <f>IF(ISERROR(VLOOKUP($B$166,Emissionsfaktoren!$C$225:$X$234,'Strommix &amp; BHKW'!P$165-2012,FALSE)),0,VLOOKUP('Strommix &amp; BHKW'!$B$166,Emissionsfaktoren!$C$225:$W$234,'Strommix &amp; BHKW'!P$165-2012,FALSE))</f>
        <v>0</v>
      </c>
      <c r="Q178" s="90">
        <f>IF(ISERROR(VLOOKUP($B$166,Emissionsfaktoren!$C$225:$X$234,'Strommix &amp; BHKW'!Q$165-2012,FALSE)),0,VLOOKUP('Strommix &amp; BHKW'!$B$166,Emissionsfaktoren!$C$225:$W$234,'Strommix &amp; BHKW'!Q$165-2012,FALSE))</f>
        <v>0</v>
      </c>
      <c r="R178" s="90">
        <f>IF(ISERROR(VLOOKUP($B$166,Emissionsfaktoren!$C$225:$X$234,'Strommix &amp; BHKW'!R$165-2012,FALSE)),0,VLOOKUP('Strommix &amp; BHKW'!$B$166,Emissionsfaktoren!$C$225:$W$234,'Strommix &amp; BHKW'!R$165-2012,FALSE))</f>
        <v>0</v>
      </c>
      <c r="S178" s="90">
        <f>IF(ISERROR(VLOOKUP($B$166,Emissionsfaktoren!$C$225:$X$234,'Strommix &amp; BHKW'!S$165-2012,FALSE)),0,VLOOKUP('Strommix &amp; BHKW'!$B$166,Emissionsfaktoren!$C$225:$W$234,'Strommix &amp; BHKW'!S$165-2012,FALSE))</f>
        <v>0</v>
      </c>
      <c r="T178" s="90">
        <f>IF(ISERROR(VLOOKUP($B$166,Emissionsfaktoren!$C$225:$X$234,'Strommix &amp; BHKW'!T$165-2012,FALSE)),0,VLOOKUP('Strommix &amp; BHKW'!$B$166,Emissionsfaktoren!$C$225:$W$234,'Strommix &amp; BHKW'!T$165-2012,FALSE))</f>
        <v>0</v>
      </c>
      <c r="U178" s="90">
        <f>IF(ISERROR(VLOOKUP($B$166,Emissionsfaktoren!$C$225:$X$234,'Strommix &amp; BHKW'!U$165-2012,FALSE)),0,VLOOKUP('Strommix &amp; BHKW'!$B$166,Emissionsfaktoren!$C$225:$W$234,'Strommix &amp; BHKW'!U$165-2012,FALSE))</f>
        <v>0</v>
      </c>
      <c r="V178" s="90">
        <f>IF(ISERROR(VLOOKUP($B$166,Emissionsfaktoren!$C$225:$X$234,'Strommix &amp; BHKW'!V$165-2012,FALSE)),0,VLOOKUP('Strommix &amp; BHKW'!$B$166,Emissionsfaktoren!$C$225:$W$234,'Strommix &amp; BHKW'!V$165-2012,FALSE))</f>
        <v>0</v>
      </c>
      <c r="W178" s="90">
        <f>IF(ISERROR(VLOOKUP($B$166,Emissionsfaktoren!$C$225:$X$234,'Strommix &amp; BHKW'!W$165-2012,FALSE)),0,VLOOKUP('Strommix &amp; BHKW'!$B$166,Emissionsfaktoren!$C$225:$W$234,'Strommix &amp; BHKW'!W$165-2012,FALSE))</f>
        <v>0</v>
      </c>
    </row>
    <row r="179" spans="2:24" ht="15.5" hidden="1" x14ac:dyDescent="0.35">
      <c r="B179" s="88" t="s">
        <v>358</v>
      </c>
      <c r="C179" s="89" t="s">
        <v>359</v>
      </c>
      <c r="D179" s="90">
        <f>IF(ISERROR(VLOOKUP($B167,Emissionsfaktoren!$C$225:$X$234,'Strommix &amp; BHKW'!D$165-2012,FALSE)),0,VLOOKUP('Strommix &amp; BHKW'!$B167,Emissionsfaktoren!$C$225:$W$234,'Strommix &amp; BHKW'!D$165-2012,FALSE))</f>
        <v>0</v>
      </c>
      <c r="E179" s="90">
        <f>IF(ISERROR(VLOOKUP($B167,Emissionsfaktoren!$C$225:$X$234,'Strommix &amp; BHKW'!E$165-2012,FALSE)),0,VLOOKUP('Strommix &amp; BHKW'!$B167,Emissionsfaktoren!$C$225:$W$234,'Strommix &amp; BHKW'!E$165-2012,FALSE))</f>
        <v>0</v>
      </c>
      <c r="F179" s="90">
        <f>IF(ISERROR(VLOOKUP($B167,Emissionsfaktoren!$C$225:$X$234,'Strommix &amp; BHKW'!F$165-2012,FALSE)),0,VLOOKUP('Strommix &amp; BHKW'!$B167,Emissionsfaktoren!$C$225:$W$234,'Strommix &amp; BHKW'!F$165-2012,FALSE))</f>
        <v>0</v>
      </c>
      <c r="G179" s="90">
        <f>IF(ISERROR(VLOOKUP($B167,Emissionsfaktoren!$C$225:$X$234,'Strommix &amp; BHKW'!G$165-2012,FALSE)),0,VLOOKUP('Strommix &amp; BHKW'!$B167,Emissionsfaktoren!$C$225:$W$234,'Strommix &amp; BHKW'!G$165-2012,FALSE))</f>
        <v>0</v>
      </c>
      <c r="H179" s="90">
        <f>IF(ISERROR(VLOOKUP($B167,Emissionsfaktoren!$C$225:$X$234,'Strommix &amp; BHKW'!H$165-2012,FALSE)),0,VLOOKUP('Strommix &amp; BHKW'!$B167,Emissionsfaktoren!$C$225:$W$234,'Strommix &amp; BHKW'!H$165-2012,FALSE))</f>
        <v>0</v>
      </c>
      <c r="I179" s="90">
        <f>IF(ISERROR(VLOOKUP($B167,Emissionsfaktoren!$C$225:$X$234,'Strommix &amp; BHKW'!I$165-2012,FALSE)),0,VLOOKUP('Strommix &amp; BHKW'!$B167,Emissionsfaktoren!$C$225:$W$234,'Strommix &amp; BHKW'!I$165-2012,FALSE))</f>
        <v>0</v>
      </c>
      <c r="J179" s="90">
        <f>IF(ISERROR(VLOOKUP($B167,Emissionsfaktoren!$C$225:$X$234,'Strommix &amp; BHKW'!J$165-2012,FALSE)),0,VLOOKUP('Strommix &amp; BHKW'!$B167,Emissionsfaktoren!$C$225:$W$234,'Strommix &amp; BHKW'!J$165-2012,FALSE))</f>
        <v>0</v>
      </c>
      <c r="K179" s="90">
        <f>IF(ISERROR(VLOOKUP($B167,Emissionsfaktoren!$C$225:$X$234,'Strommix &amp; BHKW'!K$165-2012,FALSE)),0,VLOOKUP('Strommix &amp; BHKW'!$B167,Emissionsfaktoren!$C$225:$W$234,'Strommix &amp; BHKW'!K$165-2012,FALSE))</f>
        <v>0</v>
      </c>
      <c r="L179" s="90">
        <f>IF(ISERROR(VLOOKUP($B167,Emissionsfaktoren!$C$225:$X$234,'Strommix &amp; BHKW'!L$165-2012,FALSE)),0,VLOOKUP('Strommix &amp; BHKW'!$B167,Emissionsfaktoren!$C$225:$W$234,'Strommix &amp; BHKW'!L$165-2012,FALSE))</f>
        <v>0</v>
      </c>
      <c r="M179" s="90">
        <f>IF(ISERROR(VLOOKUP($B167,Emissionsfaktoren!$C$225:$X$234,'Strommix &amp; BHKW'!M$165-2012,FALSE)),0,VLOOKUP('Strommix &amp; BHKW'!$B167,Emissionsfaktoren!$C$225:$W$234,'Strommix &amp; BHKW'!M$165-2012,FALSE))</f>
        <v>0</v>
      </c>
      <c r="N179" s="90">
        <f>IF(ISERROR(VLOOKUP($B167,Emissionsfaktoren!$C$225:$X$234,'Strommix &amp; BHKW'!N$165-2012,FALSE)),0,VLOOKUP('Strommix &amp; BHKW'!$B167,Emissionsfaktoren!$C$225:$W$234,'Strommix &amp; BHKW'!N$165-2012,FALSE))</f>
        <v>0</v>
      </c>
      <c r="O179" s="90">
        <f>IF(ISERROR(VLOOKUP($B167,Emissionsfaktoren!$C$225:$X$234,'Strommix &amp; BHKW'!O$165-2012,FALSE)),0,VLOOKUP('Strommix &amp; BHKW'!$B167,Emissionsfaktoren!$C$225:$W$234,'Strommix &amp; BHKW'!O$165-2012,FALSE))</f>
        <v>0</v>
      </c>
      <c r="P179" s="90">
        <f>IF(ISERROR(VLOOKUP($B167,Emissionsfaktoren!$C$225:$X$234,'Strommix &amp; BHKW'!P$165-2012,FALSE)),0,VLOOKUP('Strommix &amp; BHKW'!$B167,Emissionsfaktoren!$C$225:$W$234,'Strommix &amp; BHKW'!P$165-2012,FALSE))</f>
        <v>0</v>
      </c>
      <c r="Q179" s="90">
        <f>IF(ISERROR(VLOOKUP($B167,Emissionsfaktoren!$C$225:$X$234,'Strommix &amp; BHKW'!Q$165-2012,FALSE)),0,VLOOKUP('Strommix &amp; BHKW'!$B167,Emissionsfaktoren!$C$225:$W$234,'Strommix &amp; BHKW'!Q$165-2012,FALSE))</f>
        <v>0</v>
      </c>
      <c r="R179" s="90">
        <f>IF(ISERROR(VLOOKUP($B167,Emissionsfaktoren!$C$225:$X$234,'Strommix &amp; BHKW'!R$165-2012,FALSE)),0,VLOOKUP('Strommix &amp; BHKW'!$B167,Emissionsfaktoren!$C$225:$W$234,'Strommix &amp; BHKW'!R$165-2012,FALSE))</f>
        <v>0</v>
      </c>
      <c r="S179" s="90">
        <f>IF(ISERROR(VLOOKUP($B167,Emissionsfaktoren!$C$225:$X$234,'Strommix &amp; BHKW'!S$165-2012,FALSE)),0,VLOOKUP('Strommix &amp; BHKW'!$B167,Emissionsfaktoren!$C$225:$W$234,'Strommix &amp; BHKW'!S$165-2012,FALSE))</f>
        <v>0</v>
      </c>
      <c r="T179" s="90">
        <f>IF(ISERROR(VLOOKUP($B167,Emissionsfaktoren!$C$225:$X$234,'Strommix &amp; BHKW'!T$165-2012,FALSE)),0,VLOOKUP('Strommix &amp; BHKW'!$B167,Emissionsfaktoren!$C$225:$W$234,'Strommix &amp; BHKW'!T$165-2012,FALSE))</f>
        <v>0</v>
      </c>
      <c r="U179" s="90">
        <f>IF(ISERROR(VLOOKUP($B167,Emissionsfaktoren!$C$225:$X$234,'Strommix &amp; BHKW'!U$165-2012,FALSE)),0,VLOOKUP('Strommix &amp; BHKW'!$B167,Emissionsfaktoren!$C$225:$W$234,'Strommix &amp; BHKW'!U$165-2012,FALSE))</f>
        <v>0</v>
      </c>
      <c r="V179" s="90">
        <f>IF(ISERROR(VLOOKUP($B167,Emissionsfaktoren!$C$225:$X$234,'Strommix &amp; BHKW'!V$165-2012,FALSE)),0,VLOOKUP('Strommix &amp; BHKW'!$B167,Emissionsfaktoren!$C$225:$W$234,'Strommix &amp; BHKW'!V$165-2012,FALSE))</f>
        <v>0</v>
      </c>
      <c r="W179" s="90">
        <f>IF(ISERROR(VLOOKUP($B167,Emissionsfaktoren!$C$225:$X$234,'Strommix &amp; BHKW'!W$165-2012,FALSE)),0,VLOOKUP('Strommix &amp; BHKW'!$B167,Emissionsfaktoren!$C$225:$W$234,'Strommix &amp; BHKW'!W$165-2012,FALSE))</f>
        <v>0</v>
      </c>
    </row>
    <row r="180" spans="2:24" ht="15.5" hidden="1" x14ac:dyDescent="0.35">
      <c r="B180" s="88" t="s">
        <v>358</v>
      </c>
      <c r="C180" s="89" t="s">
        <v>359</v>
      </c>
      <c r="D180" s="90">
        <f>IF(ISERROR(VLOOKUP($B168,Emissionsfaktoren!$C$225:$X$234,'Strommix &amp; BHKW'!D$165-2012,FALSE)),0,VLOOKUP('Strommix &amp; BHKW'!$B168,Emissionsfaktoren!$C$225:$W$234,'Strommix &amp; BHKW'!D$165-2012,FALSE))</f>
        <v>0</v>
      </c>
      <c r="E180" s="90">
        <f>IF(ISERROR(VLOOKUP($B168,Emissionsfaktoren!$C$225:$X$234,'Strommix &amp; BHKW'!E$165-2012,FALSE)),0,VLOOKUP('Strommix &amp; BHKW'!$B168,Emissionsfaktoren!$C$225:$W$234,'Strommix &amp; BHKW'!E$165-2012,FALSE))</f>
        <v>0</v>
      </c>
      <c r="F180" s="90">
        <f>IF(ISERROR(VLOOKUP($B168,Emissionsfaktoren!$C$225:$X$234,'Strommix &amp; BHKW'!F$165-2012,FALSE)),0,VLOOKUP('Strommix &amp; BHKW'!$B168,Emissionsfaktoren!$C$225:$W$234,'Strommix &amp; BHKW'!F$165-2012,FALSE))</f>
        <v>0</v>
      </c>
      <c r="G180" s="90">
        <f>IF(ISERROR(VLOOKUP($B168,Emissionsfaktoren!$C$225:$X$234,'Strommix &amp; BHKW'!G$165-2012,FALSE)),0,VLOOKUP('Strommix &amp; BHKW'!$B168,Emissionsfaktoren!$C$225:$W$234,'Strommix &amp; BHKW'!G$165-2012,FALSE))</f>
        <v>0</v>
      </c>
      <c r="H180" s="90">
        <f>IF(ISERROR(VLOOKUP($B168,Emissionsfaktoren!$C$225:$X$234,'Strommix &amp; BHKW'!H$165-2012,FALSE)),0,VLOOKUP('Strommix &amp; BHKW'!$B168,Emissionsfaktoren!$C$225:$W$234,'Strommix &amp; BHKW'!H$165-2012,FALSE))</f>
        <v>0</v>
      </c>
      <c r="I180" s="90">
        <f>IF(ISERROR(VLOOKUP($B168,Emissionsfaktoren!$C$225:$X$234,'Strommix &amp; BHKW'!I$165-2012,FALSE)),0,VLOOKUP('Strommix &amp; BHKW'!$B168,Emissionsfaktoren!$C$225:$W$234,'Strommix &amp; BHKW'!I$165-2012,FALSE))</f>
        <v>0</v>
      </c>
      <c r="J180" s="90">
        <f>IF(ISERROR(VLOOKUP($B168,Emissionsfaktoren!$C$225:$X$234,'Strommix &amp; BHKW'!J$165-2012,FALSE)),0,VLOOKUP('Strommix &amp; BHKW'!$B168,Emissionsfaktoren!$C$225:$W$234,'Strommix &amp; BHKW'!J$165-2012,FALSE))</f>
        <v>0</v>
      </c>
      <c r="K180" s="90">
        <f>IF(ISERROR(VLOOKUP($B168,Emissionsfaktoren!$C$225:$X$234,'Strommix &amp; BHKW'!K$165-2012,FALSE)),0,VLOOKUP('Strommix &amp; BHKW'!$B168,Emissionsfaktoren!$C$225:$W$234,'Strommix &amp; BHKW'!K$165-2012,FALSE))</f>
        <v>0</v>
      </c>
      <c r="L180" s="90">
        <f>IF(ISERROR(VLOOKUP($B168,Emissionsfaktoren!$C$225:$X$234,'Strommix &amp; BHKW'!L$165-2012,FALSE)),0,VLOOKUP('Strommix &amp; BHKW'!$B168,Emissionsfaktoren!$C$225:$W$234,'Strommix &amp; BHKW'!L$165-2012,FALSE))</f>
        <v>0</v>
      </c>
      <c r="M180" s="90">
        <f>IF(ISERROR(VLOOKUP($B168,Emissionsfaktoren!$C$225:$X$234,'Strommix &amp; BHKW'!M$165-2012,FALSE)),0,VLOOKUP('Strommix &amp; BHKW'!$B168,Emissionsfaktoren!$C$225:$W$234,'Strommix &amp; BHKW'!M$165-2012,FALSE))</f>
        <v>0</v>
      </c>
      <c r="N180" s="90">
        <f>IF(ISERROR(VLOOKUP($B168,Emissionsfaktoren!$C$225:$X$234,'Strommix &amp; BHKW'!N$165-2012,FALSE)),0,VLOOKUP('Strommix &amp; BHKW'!$B168,Emissionsfaktoren!$C$225:$W$234,'Strommix &amp; BHKW'!N$165-2012,FALSE))</f>
        <v>0</v>
      </c>
      <c r="O180" s="90">
        <f>IF(ISERROR(VLOOKUP($B168,Emissionsfaktoren!$C$225:$X$234,'Strommix &amp; BHKW'!O$165-2012,FALSE)),0,VLOOKUP('Strommix &amp; BHKW'!$B168,Emissionsfaktoren!$C$225:$W$234,'Strommix &amp; BHKW'!O$165-2012,FALSE))</f>
        <v>0</v>
      </c>
      <c r="P180" s="90">
        <f>IF(ISERROR(VLOOKUP($B168,Emissionsfaktoren!$C$225:$X$234,'Strommix &amp; BHKW'!P$165-2012,FALSE)),0,VLOOKUP('Strommix &amp; BHKW'!$B168,Emissionsfaktoren!$C$225:$W$234,'Strommix &amp; BHKW'!P$165-2012,FALSE))</f>
        <v>0</v>
      </c>
      <c r="Q180" s="90">
        <f>IF(ISERROR(VLOOKUP($B168,Emissionsfaktoren!$C$225:$X$234,'Strommix &amp; BHKW'!Q$165-2012,FALSE)),0,VLOOKUP('Strommix &amp; BHKW'!$B168,Emissionsfaktoren!$C$225:$W$234,'Strommix &amp; BHKW'!Q$165-2012,FALSE))</f>
        <v>0</v>
      </c>
      <c r="R180" s="90">
        <f>IF(ISERROR(VLOOKUP($B168,Emissionsfaktoren!$C$225:$X$234,'Strommix &amp; BHKW'!R$165-2012,FALSE)),0,VLOOKUP('Strommix &amp; BHKW'!$B168,Emissionsfaktoren!$C$225:$W$234,'Strommix &amp; BHKW'!R$165-2012,FALSE))</f>
        <v>0</v>
      </c>
      <c r="S180" s="90">
        <f>IF(ISERROR(VLOOKUP($B168,Emissionsfaktoren!$C$225:$X$234,'Strommix &amp; BHKW'!S$165-2012,FALSE)),0,VLOOKUP('Strommix &amp; BHKW'!$B168,Emissionsfaktoren!$C$225:$W$234,'Strommix &amp; BHKW'!S$165-2012,FALSE))</f>
        <v>0</v>
      </c>
      <c r="T180" s="90">
        <f>IF(ISERROR(VLOOKUP($B168,Emissionsfaktoren!$C$225:$X$234,'Strommix &amp; BHKW'!T$165-2012,FALSE)),0,VLOOKUP('Strommix &amp; BHKW'!$B168,Emissionsfaktoren!$C$225:$W$234,'Strommix &amp; BHKW'!T$165-2012,FALSE))</f>
        <v>0</v>
      </c>
      <c r="U180" s="90">
        <f>IF(ISERROR(VLOOKUP($B168,Emissionsfaktoren!$C$225:$X$234,'Strommix &amp; BHKW'!U$165-2012,FALSE)),0,VLOOKUP('Strommix &amp; BHKW'!$B168,Emissionsfaktoren!$C$225:$W$234,'Strommix &amp; BHKW'!U$165-2012,FALSE))</f>
        <v>0</v>
      </c>
      <c r="V180" s="90">
        <f>IF(ISERROR(VLOOKUP($B168,Emissionsfaktoren!$C$225:$X$234,'Strommix &amp; BHKW'!V$165-2012,FALSE)),0,VLOOKUP('Strommix &amp; BHKW'!$B168,Emissionsfaktoren!$C$225:$W$234,'Strommix &amp; BHKW'!V$165-2012,FALSE))</f>
        <v>0</v>
      </c>
      <c r="W180" s="90">
        <f>IF(ISERROR(VLOOKUP($B168,Emissionsfaktoren!$C$225:$X$234,'Strommix &amp; BHKW'!W$165-2012,FALSE)),0,VLOOKUP('Strommix &amp; BHKW'!$B168,Emissionsfaktoren!$C$225:$W$234,'Strommix &amp; BHKW'!W$165-2012,FALSE))</f>
        <v>0</v>
      </c>
    </row>
    <row r="181" spans="2:24" ht="15.5" x14ac:dyDescent="0.35">
      <c r="B181" s="72"/>
      <c r="C181" s="71"/>
      <c r="D181" s="72"/>
      <c r="E181" s="73"/>
      <c r="F181" s="91"/>
      <c r="G181" s="72"/>
      <c r="H181" s="71"/>
      <c r="I181" s="74"/>
      <c r="J181" s="74"/>
      <c r="K181" s="74"/>
      <c r="L181" s="74"/>
      <c r="M181" s="74"/>
    </row>
    <row r="182" spans="2:24" ht="15.5" hidden="1" x14ac:dyDescent="0.35">
      <c r="B182" s="83" t="s">
        <v>360</v>
      </c>
      <c r="C182" s="88"/>
      <c r="D182" s="88"/>
      <c r="E182" s="92"/>
      <c r="F182" s="91"/>
      <c r="G182" s="72"/>
      <c r="H182" s="71"/>
      <c r="I182" s="74"/>
      <c r="J182" s="74"/>
      <c r="K182" s="74"/>
      <c r="L182" s="74"/>
      <c r="M182" s="74"/>
    </row>
    <row r="183" spans="2:24" ht="15.5" hidden="1" x14ac:dyDescent="0.35">
      <c r="B183" s="88" t="s">
        <v>361</v>
      </c>
      <c r="C183" s="93">
        <v>0.3</v>
      </c>
      <c r="D183" s="88" t="s">
        <v>362</v>
      </c>
      <c r="E183" s="92"/>
      <c r="F183" s="91"/>
      <c r="G183" s="72"/>
      <c r="H183" s="71"/>
      <c r="I183" s="74"/>
      <c r="J183" s="74"/>
      <c r="K183" s="74"/>
      <c r="L183" s="74"/>
      <c r="M183" s="74"/>
    </row>
    <row r="184" spans="2:24" ht="15.5" hidden="1" x14ac:dyDescent="0.35">
      <c r="B184" s="88" t="s">
        <v>363</v>
      </c>
      <c r="C184" s="88">
        <v>0.22</v>
      </c>
      <c r="D184" s="88" t="s">
        <v>364</v>
      </c>
      <c r="E184" s="92"/>
      <c r="F184" s="91"/>
      <c r="G184" s="72"/>
      <c r="H184" s="71"/>
      <c r="I184" s="74"/>
      <c r="J184" s="74"/>
      <c r="K184" s="74"/>
      <c r="L184" s="74"/>
      <c r="M184" s="74"/>
    </row>
    <row r="185" spans="2:24" ht="15.5" hidden="1" x14ac:dyDescent="0.35">
      <c r="B185" s="88" t="s">
        <v>365</v>
      </c>
      <c r="C185" s="88">
        <v>0.19</v>
      </c>
      <c r="D185" s="88" t="s">
        <v>366</v>
      </c>
      <c r="E185" s="92"/>
      <c r="F185" s="91"/>
      <c r="G185" s="72"/>
      <c r="H185" s="71"/>
      <c r="I185" s="74"/>
      <c r="J185" s="74"/>
      <c r="K185" s="74"/>
      <c r="L185" s="74"/>
      <c r="M185" s="74"/>
    </row>
    <row r="186" spans="2:24" ht="15.5" hidden="1" x14ac:dyDescent="0.35">
      <c r="B186" s="88" t="s">
        <v>367</v>
      </c>
      <c r="C186" s="88">
        <v>0.15</v>
      </c>
      <c r="D186" s="88" t="s">
        <v>368</v>
      </c>
      <c r="E186" s="92"/>
      <c r="F186" s="91"/>
      <c r="G186" s="72"/>
      <c r="H186" s="71"/>
      <c r="I186" s="74"/>
      <c r="J186" s="74"/>
      <c r="K186" s="74"/>
      <c r="L186" s="74"/>
      <c r="M186" s="74"/>
    </row>
    <row r="187" spans="2:24" ht="15.5" hidden="1" x14ac:dyDescent="0.35">
      <c r="B187" s="88"/>
      <c r="C187" s="88"/>
      <c r="D187" s="88"/>
      <c r="E187" s="92"/>
      <c r="F187" s="91"/>
      <c r="G187" s="72"/>
      <c r="H187" s="71"/>
      <c r="I187" s="74"/>
      <c r="J187" s="74"/>
      <c r="K187" s="74"/>
      <c r="L187" s="74"/>
      <c r="M187" s="74"/>
    </row>
    <row r="188" spans="2:24" ht="15.5" hidden="1" x14ac:dyDescent="0.35">
      <c r="B188" s="79" t="s">
        <v>369</v>
      </c>
      <c r="C188" s="71"/>
      <c r="D188" s="88"/>
      <c r="E188" s="89"/>
      <c r="F188" s="84"/>
      <c r="G188" s="72"/>
      <c r="H188" s="71"/>
      <c r="I188" s="74"/>
      <c r="J188" s="74"/>
      <c r="K188" s="74"/>
      <c r="L188" s="74"/>
      <c r="M188" s="74"/>
    </row>
    <row r="189" spans="2:24" hidden="1" x14ac:dyDescent="0.35">
      <c r="B189" s="81" t="s">
        <v>276</v>
      </c>
      <c r="C189" s="81" t="s">
        <v>2</v>
      </c>
      <c r="D189" s="81" t="s">
        <v>3</v>
      </c>
      <c r="E189" s="81" t="s">
        <v>4</v>
      </c>
      <c r="F189" s="81" t="s">
        <v>5</v>
      </c>
      <c r="G189" s="81" t="s">
        <v>6</v>
      </c>
      <c r="H189" s="81" t="s">
        <v>7</v>
      </c>
      <c r="I189" s="81" t="s">
        <v>8</v>
      </c>
      <c r="J189" s="81" t="s">
        <v>9</v>
      </c>
      <c r="K189" s="81" t="s">
        <v>10</v>
      </c>
      <c r="L189" s="81" t="s">
        <v>11</v>
      </c>
      <c r="M189" s="81" t="s">
        <v>12</v>
      </c>
      <c r="N189" s="81" t="s">
        <v>13</v>
      </c>
      <c r="O189" s="81" t="s">
        <v>14</v>
      </c>
      <c r="P189" s="81" t="s">
        <v>232</v>
      </c>
      <c r="Q189" s="81" t="s">
        <v>233</v>
      </c>
      <c r="R189" s="81" t="s">
        <v>234</v>
      </c>
      <c r="S189" s="81" t="s">
        <v>15</v>
      </c>
      <c r="T189" s="81" t="s">
        <v>16</v>
      </c>
      <c r="U189" s="81" t="s">
        <v>17</v>
      </c>
      <c r="V189" s="81" t="s">
        <v>18</v>
      </c>
      <c r="W189" s="81" t="s">
        <v>19</v>
      </c>
      <c r="X189" s="81" t="s">
        <v>41</v>
      </c>
    </row>
    <row r="190" spans="2:24" ht="15.5" hidden="1" x14ac:dyDescent="0.35">
      <c r="B190" s="88" t="s">
        <v>174</v>
      </c>
      <c r="C190" s="95"/>
      <c r="D190" s="94">
        <f t="shared" ref="D190:W190" si="21">IF((D177=$B$183),1,IF(D177=$B$184,2,IF(D177=$B$185,3,IF(D177=$B$186,4,"Fehler"))))</f>
        <v>2</v>
      </c>
      <c r="E190" s="94">
        <f t="shared" si="21"/>
        <v>2</v>
      </c>
      <c r="F190" s="94">
        <f t="shared" si="21"/>
        <v>2</v>
      </c>
      <c r="G190" s="94">
        <f t="shared" si="21"/>
        <v>2</v>
      </c>
      <c r="H190" s="94">
        <f t="shared" si="21"/>
        <v>2</v>
      </c>
      <c r="I190" s="94">
        <f t="shared" si="21"/>
        <v>2</v>
      </c>
      <c r="J190" s="94">
        <f t="shared" si="21"/>
        <v>2</v>
      </c>
      <c r="K190" s="94">
        <f t="shared" si="21"/>
        <v>2</v>
      </c>
      <c r="L190" s="94">
        <f t="shared" si="21"/>
        <v>2</v>
      </c>
      <c r="M190" s="94">
        <f t="shared" si="21"/>
        <v>2</v>
      </c>
      <c r="N190" s="94">
        <f t="shared" si="21"/>
        <v>2</v>
      </c>
      <c r="O190" s="94">
        <f t="shared" si="21"/>
        <v>2</v>
      </c>
      <c r="P190" s="94">
        <f t="shared" si="21"/>
        <v>2</v>
      </c>
      <c r="Q190" s="94">
        <f t="shared" si="21"/>
        <v>2</v>
      </c>
      <c r="R190" s="94">
        <f t="shared" si="21"/>
        <v>2</v>
      </c>
      <c r="S190" s="94">
        <f t="shared" si="21"/>
        <v>2</v>
      </c>
      <c r="T190" s="94">
        <f t="shared" si="21"/>
        <v>2</v>
      </c>
      <c r="U190" s="94">
        <f t="shared" si="21"/>
        <v>2</v>
      </c>
      <c r="V190" s="94">
        <f t="shared" si="21"/>
        <v>2</v>
      </c>
      <c r="W190" s="94">
        <f t="shared" si="21"/>
        <v>2</v>
      </c>
    </row>
    <row r="191" spans="2:24" ht="15.5" hidden="1" x14ac:dyDescent="0.35">
      <c r="B191" s="88" t="s">
        <v>370</v>
      </c>
      <c r="C191" s="95" t="s">
        <v>371</v>
      </c>
      <c r="D191" s="97">
        <f t="shared" ref="D191:W191" si="22">(+D166*D178+D167*D179+D168*D180)/1000</f>
        <v>0</v>
      </c>
      <c r="E191" s="97">
        <f t="shared" si="22"/>
        <v>0</v>
      </c>
      <c r="F191" s="97">
        <f t="shared" si="22"/>
        <v>0</v>
      </c>
      <c r="G191" s="97">
        <f t="shared" si="22"/>
        <v>0</v>
      </c>
      <c r="H191" s="97">
        <f t="shared" si="22"/>
        <v>0</v>
      </c>
      <c r="I191" s="97">
        <f t="shared" si="22"/>
        <v>0</v>
      </c>
      <c r="J191" s="97">
        <f t="shared" si="22"/>
        <v>0</v>
      </c>
      <c r="K191" s="97">
        <f t="shared" si="22"/>
        <v>0</v>
      </c>
      <c r="L191" s="97">
        <f t="shared" si="22"/>
        <v>0</v>
      </c>
      <c r="M191" s="97">
        <f t="shared" si="22"/>
        <v>0</v>
      </c>
      <c r="N191" s="97">
        <f t="shared" si="22"/>
        <v>0</v>
      </c>
      <c r="O191" s="97">
        <f t="shared" si="22"/>
        <v>0</v>
      </c>
      <c r="P191" s="97">
        <f t="shared" si="22"/>
        <v>0</v>
      </c>
      <c r="Q191" s="97">
        <f t="shared" si="22"/>
        <v>0</v>
      </c>
      <c r="R191" s="97">
        <f t="shared" si="22"/>
        <v>0</v>
      </c>
      <c r="S191" s="97">
        <f t="shared" si="22"/>
        <v>0</v>
      </c>
      <c r="T191" s="97">
        <f t="shared" si="22"/>
        <v>0</v>
      </c>
      <c r="U191" s="97">
        <f t="shared" si="22"/>
        <v>0</v>
      </c>
      <c r="V191" s="97">
        <f t="shared" si="22"/>
        <v>0</v>
      </c>
      <c r="W191" s="97">
        <f t="shared" si="22"/>
        <v>0</v>
      </c>
    </row>
    <row r="192" spans="2:24" ht="15.5" hidden="1" x14ac:dyDescent="0.35">
      <c r="B192" s="88" t="s">
        <v>372</v>
      </c>
      <c r="C192" s="95" t="s">
        <v>373</v>
      </c>
      <c r="D192" s="97">
        <v>1</v>
      </c>
      <c r="E192" s="98">
        <v>1</v>
      </c>
      <c r="F192" s="98">
        <v>1</v>
      </c>
      <c r="G192" s="98">
        <v>1</v>
      </c>
      <c r="H192" s="98">
        <v>1</v>
      </c>
      <c r="I192" s="98">
        <v>1</v>
      </c>
      <c r="J192" s="98">
        <v>1</v>
      </c>
      <c r="K192" s="98">
        <v>1</v>
      </c>
      <c r="L192" s="98">
        <v>1</v>
      </c>
      <c r="M192" s="98">
        <v>1</v>
      </c>
      <c r="N192" s="98">
        <v>1</v>
      </c>
      <c r="O192" s="98">
        <v>1</v>
      </c>
      <c r="P192" s="98">
        <v>1</v>
      </c>
      <c r="Q192" s="98">
        <v>1</v>
      </c>
      <c r="R192" s="98">
        <v>1</v>
      </c>
      <c r="S192" s="98">
        <v>1</v>
      </c>
      <c r="T192" s="98">
        <v>1</v>
      </c>
      <c r="U192" s="98">
        <v>1</v>
      </c>
      <c r="V192" s="98">
        <v>1</v>
      </c>
      <c r="W192" s="98">
        <v>1</v>
      </c>
    </row>
    <row r="193" spans="2:24" ht="15.5" hidden="1" x14ac:dyDescent="0.35">
      <c r="B193" s="88" t="s">
        <v>374</v>
      </c>
      <c r="C193" s="95" t="s">
        <v>373</v>
      </c>
      <c r="D193" s="98">
        <f t="shared" ref="D193:W193" si="23">IF($D$190=1,$C$183,IF($D$190=2,$C$184,IF($D$190=3,$C$185,$C$186)))</f>
        <v>0.22</v>
      </c>
      <c r="E193" s="98">
        <f t="shared" si="23"/>
        <v>0.22</v>
      </c>
      <c r="F193" s="98">
        <f t="shared" si="23"/>
        <v>0.22</v>
      </c>
      <c r="G193" s="98">
        <f t="shared" si="23"/>
        <v>0.22</v>
      </c>
      <c r="H193" s="98">
        <f t="shared" si="23"/>
        <v>0.22</v>
      </c>
      <c r="I193" s="98">
        <f t="shared" si="23"/>
        <v>0.22</v>
      </c>
      <c r="J193" s="98">
        <f t="shared" si="23"/>
        <v>0.22</v>
      </c>
      <c r="K193" s="98">
        <f t="shared" si="23"/>
        <v>0.22</v>
      </c>
      <c r="L193" s="98">
        <f t="shared" si="23"/>
        <v>0.22</v>
      </c>
      <c r="M193" s="98">
        <f t="shared" si="23"/>
        <v>0.22</v>
      </c>
      <c r="N193" s="98">
        <f t="shared" si="23"/>
        <v>0.22</v>
      </c>
      <c r="O193" s="98">
        <f t="shared" si="23"/>
        <v>0.22</v>
      </c>
      <c r="P193" s="98">
        <f t="shared" si="23"/>
        <v>0.22</v>
      </c>
      <c r="Q193" s="98">
        <f t="shared" si="23"/>
        <v>0.22</v>
      </c>
      <c r="R193" s="98">
        <f t="shared" si="23"/>
        <v>0.22</v>
      </c>
      <c r="S193" s="98">
        <f t="shared" si="23"/>
        <v>0.22</v>
      </c>
      <c r="T193" s="98">
        <f t="shared" si="23"/>
        <v>0.22</v>
      </c>
      <c r="U193" s="98">
        <f t="shared" si="23"/>
        <v>0.22</v>
      </c>
      <c r="V193" s="98">
        <f t="shared" si="23"/>
        <v>0.22</v>
      </c>
      <c r="W193" s="98">
        <f t="shared" si="23"/>
        <v>0.22</v>
      </c>
    </row>
    <row r="194" spans="2:24" ht="15.5" hidden="1" x14ac:dyDescent="0.35">
      <c r="B194" s="88" t="s">
        <v>375</v>
      </c>
      <c r="C194" s="95" t="s">
        <v>376</v>
      </c>
      <c r="D194" s="96" t="str">
        <f t="shared" ref="D194:W194" si="24">IF(AND(ISNUMBER(D171),ISNUMBER(D192)),(+D192*D171)/((D192*D171)+(D193*D170)),"")</f>
        <v/>
      </c>
      <c r="E194" s="96" t="str">
        <f t="shared" si="24"/>
        <v/>
      </c>
      <c r="F194" s="96" t="str">
        <f t="shared" si="24"/>
        <v/>
      </c>
      <c r="G194" s="96" t="str">
        <f t="shared" si="24"/>
        <v/>
      </c>
      <c r="H194" s="96" t="str">
        <f t="shared" si="24"/>
        <v/>
      </c>
      <c r="I194" s="96" t="str">
        <f t="shared" si="24"/>
        <v/>
      </c>
      <c r="J194" s="96" t="str">
        <f t="shared" si="24"/>
        <v/>
      </c>
      <c r="K194" s="96" t="str">
        <f t="shared" si="24"/>
        <v/>
      </c>
      <c r="L194" s="96" t="str">
        <f t="shared" si="24"/>
        <v/>
      </c>
      <c r="M194" s="96" t="str">
        <f t="shared" si="24"/>
        <v/>
      </c>
      <c r="N194" s="96" t="str">
        <f t="shared" si="24"/>
        <v/>
      </c>
      <c r="O194" s="96" t="str">
        <f t="shared" si="24"/>
        <v/>
      </c>
      <c r="P194" s="96" t="str">
        <f t="shared" si="24"/>
        <v/>
      </c>
      <c r="Q194" s="96" t="str">
        <f t="shared" si="24"/>
        <v/>
      </c>
      <c r="R194" s="96" t="str">
        <f t="shared" si="24"/>
        <v/>
      </c>
      <c r="S194" s="96" t="str">
        <f t="shared" si="24"/>
        <v/>
      </c>
      <c r="T194" s="96" t="str">
        <f t="shared" si="24"/>
        <v/>
      </c>
      <c r="U194" s="96" t="str">
        <f t="shared" si="24"/>
        <v/>
      </c>
      <c r="V194" s="96" t="str">
        <f t="shared" si="24"/>
        <v/>
      </c>
      <c r="W194" s="96" t="str">
        <f t="shared" si="24"/>
        <v/>
      </c>
    </row>
    <row r="195" spans="2:24" ht="15.5" hidden="1" x14ac:dyDescent="0.35">
      <c r="B195" s="88" t="s">
        <v>377</v>
      </c>
      <c r="C195" s="95" t="s">
        <v>376</v>
      </c>
      <c r="D195" s="96" t="str">
        <f t="shared" ref="D195:W195" si="25">IF(AND(ISNUMBER(D170),ISNUMBER(D171)),+(D193*D170)/((D192*D171)+(D193*D170)),"")</f>
        <v/>
      </c>
      <c r="E195" s="96" t="str">
        <f t="shared" si="25"/>
        <v/>
      </c>
      <c r="F195" s="96" t="str">
        <f t="shared" si="25"/>
        <v/>
      </c>
      <c r="G195" s="96" t="str">
        <f t="shared" si="25"/>
        <v/>
      </c>
      <c r="H195" s="96" t="str">
        <f t="shared" si="25"/>
        <v/>
      </c>
      <c r="I195" s="96" t="str">
        <f t="shared" si="25"/>
        <v/>
      </c>
      <c r="J195" s="96" t="str">
        <f t="shared" si="25"/>
        <v/>
      </c>
      <c r="K195" s="96" t="str">
        <f t="shared" si="25"/>
        <v/>
      </c>
      <c r="L195" s="96" t="str">
        <f t="shared" si="25"/>
        <v/>
      </c>
      <c r="M195" s="96" t="str">
        <f t="shared" si="25"/>
        <v/>
      </c>
      <c r="N195" s="96" t="str">
        <f t="shared" si="25"/>
        <v/>
      </c>
      <c r="O195" s="96" t="str">
        <f t="shared" si="25"/>
        <v/>
      </c>
      <c r="P195" s="96" t="str">
        <f t="shared" si="25"/>
        <v/>
      </c>
      <c r="Q195" s="96" t="str">
        <f t="shared" si="25"/>
        <v/>
      </c>
      <c r="R195" s="96" t="str">
        <f t="shared" si="25"/>
        <v/>
      </c>
      <c r="S195" s="96" t="str">
        <f t="shared" si="25"/>
        <v/>
      </c>
      <c r="T195" s="96" t="str">
        <f t="shared" si="25"/>
        <v/>
      </c>
      <c r="U195" s="96" t="str">
        <f t="shared" si="25"/>
        <v/>
      </c>
      <c r="V195" s="96" t="str">
        <f t="shared" si="25"/>
        <v/>
      </c>
      <c r="W195" s="96" t="str">
        <f t="shared" si="25"/>
        <v/>
      </c>
    </row>
    <row r="196" spans="2:24" ht="15.5" hidden="1" x14ac:dyDescent="0.35">
      <c r="B196" s="72"/>
      <c r="C196" s="71"/>
      <c r="D196" s="72"/>
      <c r="E196" s="73"/>
      <c r="F196" s="91"/>
      <c r="G196" s="72"/>
      <c r="H196" s="71"/>
      <c r="I196" s="74"/>
      <c r="J196" s="74"/>
      <c r="K196" s="74"/>
      <c r="L196" s="74"/>
      <c r="M196" s="74"/>
    </row>
    <row r="197" spans="2:24" ht="15.5" hidden="1" x14ac:dyDescent="0.35">
      <c r="B197" s="79" t="s">
        <v>378</v>
      </c>
      <c r="C197" s="71"/>
      <c r="D197" s="72"/>
      <c r="E197" s="73"/>
      <c r="F197" s="91"/>
      <c r="G197" s="72"/>
      <c r="H197" s="71"/>
      <c r="I197" s="74"/>
      <c r="J197" s="74"/>
      <c r="K197" s="74"/>
      <c r="L197" s="74"/>
      <c r="M197" s="74"/>
    </row>
    <row r="198" spans="2:24" hidden="1" x14ac:dyDescent="0.35">
      <c r="B198" s="99" t="s">
        <v>37</v>
      </c>
      <c r="C198" s="99" t="s">
        <v>2</v>
      </c>
      <c r="D198" s="99" t="s">
        <v>3</v>
      </c>
      <c r="E198" s="99" t="s">
        <v>4</v>
      </c>
      <c r="F198" s="99" t="s">
        <v>5</v>
      </c>
      <c r="G198" s="99" t="s">
        <v>6</v>
      </c>
      <c r="H198" s="99" t="s">
        <v>7</v>
      </c>
      <c r="I198" s="99" t="s">
        <v>8</v>
      </c>
      <c r="J198" s="99" t="s">
        <v>9</v>
      </c>
      <c r="K198" s="99" t="s">
        <v>10</v>
      </c>
      <c r="L198" s="99" t="s">
        <v>11</v>
      </c>
      <c r="M198" s="99" t="s">
        <v>12</v>
      </c>
      <c r="N198" s="99" t="s">
        <v>13</v>
      </c>
      <c r="O198" s="99" t="s">
        <v>14</v>
      </c>
      <c r="P198" s="99" t="s">
        <v>232</v>
      </c>
      <c r="Q198" s="99" t="s">
        <v>233</v>
      </c>
      <c r="R198" s="99" t="s">
        <v>234</v>
      </c>
      <c r="S198" s="99" t="s">
        <v>15</v>
      </c>
      <c r="T198" s="99" t="s">
        <v>16</v>
      </c>
      <c r="U198" s="99" t="s">
        <v>17</v>
      </c>
      <c r="V198" s="99" t="s">
        <v>18</v>
      </c>
      <c r="W198" s="99" t="s">
        <v>19</v>
      </c>
      <c r="X198" s="100" t="s">
        <v>41</v>
      </c>
    </row>
    <row r="199" spans="2:24" ht="15.5" hidden="1" x14ac:dyDescent="0.35">
      <c r="B199" s="88" t="s">
        <v>379</v>
      </c>
      <c r="C199" s="89" t="s">
        <v>371</v>
      </c>
      <c r="D199" s="84" t="str">
        <f t="shared" ref="D199:W199" si="26">IF(AND(ISNUMBER(D194)),+D191*D194,"")</f>
        <v/>
      </c>
      <c r="E199" s="84" t="str">
        <f t="shared" si="26"/>
        <v/>
      </c>
      <c r="F199" s="84" t="str">
        <f t="shared" si="26"/>
        <v/>
      </c>
      <c r="G199" s="84" t="str">
        <f t="shared" si="26"/>
        <v/>
      </c>
      <c r="H199" s="84" t="str">
        <f t="shared" si="26"/>
        <v/>
      </c>
      <c r="I199" s="84" t="str">
        <f t="shared" si="26"/>
        <v/>
      </c>
      <c r="J199" s="84" t="str">
        <f t="shared" si="26"/>
        <v/>
      </c>
      <c r="K199" s="84" t="str">
        <f t="shared" si="26"/>
        <v/>
      </c>
      <c r="L199" s="84" t="str">
        <f t="shared" si="26"/>
        <v/>
      </c>
      <c r="M199" s="84" t="str">
        <f t="shared" si="26"/>
        <v/>
      </c>
      <c r="N199" s="84" t="str">
        <f t="shared" si="26"/>
        <v/>
      </c>
      <c r="O199" s="84" t="str">
        <f t="shared" si="26"/>
        <v/>
      </c>
      <c r="P199" s="84" t="str">
        <f t="shared" si="26"/>
        <v/>
      </c>
      <c r="Q199" s="84" t="str">
        <f t="shared" si="26"/>
        <v/>
      </c>
      <c r="R199" s="84" t="str">
        <f t="shared" si="26"/>
        <v/>
      </c>
      <c r="S199" s="84" t="str">
        <f t="shared" si="26"/>
        <v/>
      </c>
      <c r="T199" s="84" t="str">
        <f t="shared" si="26"/>
        <v/>
      </c>
      <c r="U199" s="84" t="str">
        <f t="shared" si="26"/>
        <v/>
      </c>
      <c r="V199" s="84" t="str">
        <f t="shared" si="26"/>
        <v/>
      </c>
      <c r="W199" s="84" t="str">
        <f t="shared" si="26"/>
        <v/>
      </c>
    </row>
    <row r="200" spans="2:24" ht="15.5" hidden="1" x14ac:dyDescent="0.35">
      <c r="B200" s="88" t="s">
        <v>380</v>
      </c>
      <c r="C200" s="89" t="s">
        <v>371</v>
      </c>
      <c r="D200" s="84" t="str">
        <f t="shared" ref="D200:W200" si="27">IF(ISNUMBER(D195),+D191*D195,"")</f>
        <v/>
      </c>
      <c r="E200" s="84" t="str">
        <f t="shared" si="27"/>
        <v/>
      </c>
      <c r="F200" s="84" t="str">
        <f t="shared" si="27"/>
        <v/>
      </c>
      <c r="G200" s="84" t="str">
        <f t="shared" si="27"/>
        <v/>
      </c>
      <c r="H200" s="84" t="str">
        <f t="shared" si="27"/>
        <v/>
      </c>
      <c r="I200" s="84" t="str">
        <f t="shared" si="27"/>
        <v/>
      </c>
      <c r="J200" s="84" t="str">
        <f t="shared" si="27"/>
        <v/>
      </c>
      <c r="K200" s="84" t="str">
        <f t="shared" si="27"/>
        <v/>
      </c>
      <c r="L200" s="84" t="str">
        <f t="shared" si="27"/>
        <v/>
      </c>
      <c r="M200" s="84" t="str">
        <f t="shared" si="27"/>
        <v/>
      </c>
      <c r="N200" s="84" t="str">
        <f t="shared" si="27"/>
        <v/>
      </c>
      <c r="O200" s="84" t="str">
        <f t="shared" si="27"/>
        <v/>
      </c>
      <c r="P200" s="84" t="str">
        <f t="shared" si="27"/>
        <v/>
      </c>
      <c r="Q200" s="84" t="str">
        <f t="shared" si="27"/>
        <v/>
      </c>
      <c r="R200" s="84" t="str">
        <f t="shared" si="27"/>
        <v/>
      </c>
      <c r="S200" s="84" t="str">
        <f t="shared" si="27"/>
        <v/>
      </c>
      <c r="T200" s="84" t="str">
        <f t="shared" si="27"/>
        <v/>
      </c>
      <c r="U200" s="84" t="str">
        <f t="shared" si="27"/>
        <v/>
      </c>
      <c r="V200" s="84" t="str">
        <f t="shared" si="27"/>
        <v/>
      </c>
      <c r="W200" s="84" t="str">
        <f t="shared" si="27"/>
        <v/>
      </c>
    </row>
    <row r="201" spans="2:24" ht="15.5" hidden="1" x14ac:dyDescent="0.35">
      <c r="B201" s="88"/>
      <c r="C201" s="95"/>
      <c r="D201" s="88"/>
      <c r="E201" s="89"/>
      <c r="F201" s="91"/>
      <c r="G201" s="74"/>
      <c r="H201" s="74"/>
      <c r="I201" s="74"/>
      <c r="J201" s="74"/>
      <c r="K201" s="74"/>
      <c r="L201" s="74"/>
      <c r="M201" s="74"/>
    </row>
    <row r="202" spans="2:24" ht="15.5" hidden="1" x14ac:dyDescent="0.35">
      <c r="B202" s="83" t="s">
        <v>381</v>
      </c>
      <c r="C202" s="95"/>
      <c r="D202" s="88"/>
      <c r="E202" s="89"/>
      <c r="F202" s="91"/>
      <c r="G202" s="74"/>
      <c r="H202" s="74"/>
      <c r="I202" s="74"/>
      <c r="J202" s="74"/>
      <c r="K202" s="74"/>
      <c r="L202" s="74"/>
      <c r="M202" s="74"/>
    </row>
    <row r="203" spans="2:24" x14ac:dyDescent="0.35">
      <c r="B203" s="101" t="s">
        <v>382</v>
      </c>
      <c r="C203" s="102" t="s">
        <v>2</v>
      </c>
      <c r="D203" s="102" t="s">
        <v>3</v>
      </c>
      <c r="E203" s="102" t="s">
        <v>4</v>
      </c>
      <c r="F203" s="102" t="s">
        <v>5</v>
      </c>
      <c r="G203" s="102" t="s">
        <v>6</v>
      </c>
      <c r="H203" s="102" t="s">
        <v>7</v>
      </c>
      <c r="I203" s="102" t="s">
        <v>8</v>
      </c>
      <c r="J203" s="102" t="s">
        <v>9</v>
      </c>
      <c r="K203" s="102" t="s">
        <v>10</v>
      </c>
      <c r="L203" s="102" t="s">
        <v>11</v>
      </c>
      <c r="M203" s="102" t="s">
        <v>12</v>
      </c>
      <c r="N203" s="102" t="s">
        <v>13</v>
      </c>
      <c r="O203" s="102" t="s">
        <v>14</v>
      </c>
      <c r="P203" s="102" t="s">
        <v>232</v>
      </c>
      <c r="Q203" s="102" t="s">
        <v>233</v>
      </c>
      <c r="R203" s="102" t="s">
        <v>234</v>
      </c>
      <c r="S203" s="102" t="s">
        <v>15</v>
      </c>
      <c r="T203" s="102" t="s">
        <v>16</v>
      </c>
      <c r="U203" s="102" t="s">
        <v>17</v>
      </c>
      <c r="V203" s="102" t="s">
        <v>18</v>
      </c>
      <c r="W203" s="102" t="s">
        <v>19</v>
      </c>
      <c r="X203" s="103" t="s">
        <v>41</v>
      </c>
    </row>
    <row r="204" spans="2:24" ht="17.5" hidden="1" x14ac:dyDescent="0.35">
      <c r="B204" s="88" t="s">
        <v>383</v>
      </c>
      <c r="C204" s="89" t="s">
        <v>384</v>
      </c>
      <c r="D204" s="104" t="str">
        <f t="shared" ref="D204:W204" si="28">IF(ISNUMBER(D200),+D200/D170,"0")</f>
        <v>0</v>
      </c>
      <c r="E204" s="104" t="str">
        <f t="shared" si="28"/>
        <v>0</v>
      </c>
      <c r="F204" s="104" t="str">
        <f t="shared" si="28"/>
        <v>0</v>
      </c>
      <c r="G204" s="104" t="str">
        <f t="shared" si="28"/>
        <v>0</v>
      </c>
      <c r="H204" s="104" t="str">
        <f t="shared" si="28"/>
        <v>0</v>
      </c>
      <c r="I204" s="104" t="str">
        <f t="shared" si="28"/>
        <v>0</v>
      </c>
      <c r="J204" s="104" t="str">
        <f t="shared" si="28"/>
        <v>0</v>
      </c>
      <c r="K204" s="104" t="str">
        <f t="shared" si="28"/>
        <v>0</v>
      </c>
      <c r="L204" s="104" t="str">
        <f t="shared" si="28"/>
        <v>0</v>
      </c>
      <c r="M204" s="104" t="str">
        <f t="shared" si="28"/>
        <v>0</v>
      </c>
      <c r="N204" s="104" t="str">
        <f t="shared" si="28"/>
        <v>0</v>
      </c>
      <c r="O204" s="104" t="str">
        <f t="shared" si="28"/>
        <v>0</v>
      </c>
      <c r="P204" s="104" t="str">
        <f t="shared" si="28"/>
        <v>0</v>
      </c>
      <c r="Q204" s="104" t="str">
        <f t="shared" si="28"/>
        <v>0</v>
      </c>
      <c r="R204" s="104" t="str">
        <f t="shared" si="28"/>
        <v>0</v>
      </c>
      <c r="S204" s="104" t="str">
        <f t="shared" si="28"/>
        <v>0</v>
      </c>
      <c r="T204" s="104" t="str">
        <f t="shared" si="28"/>
        <v>0</v>
      </c>
      <c r="U204" s="104" t="str">
        <f t="shared" si="28"/>
        <v>0</v>
      </c>
      <c r="V204" s="104" t="str">
        <f t="shared" si="28"/>
        <v>0</v>
      </c>
      <c r="W204" s="104" t="str">
        <f t="shared" si="28"/>
        <v>0</v>
      </c>
    </row>
    <row r="205" spans="2:24" ht="15.5" hidden="1" x14ac:dyDescent="0.35">
      <c r="B205" s="88" t="s">
        <v>385</v>
      </c>
      <c r="C205" s="89"/>
      <c r="D205" s="105">
        <v>0.15</v>
      </c>
      <c r="E205" s="105">
        <v>0.15</v>
      </c>
      <c r="F205" s="105">
        <v>0.15</v>
      </c>
      <c r="G205" s="105">
        <v>0.15</v>
      </c>
      <c r="H205" s="105">
        <v>0.15</v>
      </c>
      <c r="I205" s="105">
        <v>0.15</v>
      </c>
      <c r="J205" s="105">
        <v>0.15</v>
      </c>
      <c r="K205" s="105">
        <v>0.15</v>
      </c>
      <c r="L205" s="105">
        <v>0.15</v>
      </c>
      <c r="M205" s="105">
        <v>0.15</v>
      </c>
      <c r="N205" s="105">
        <v>0.15</v>
      </c>
      <c r="O205" s="105">
        <v>0.15</v>
      </c>
      <c r="P205" s="105">
        <v>0.15</v>
      </c>
      <c r="Q205" s="105">
        <v>0.15</v>
      </c>
      <c r="R205" s="105">
        <v>0.15</v>
      </c>
      <c r="S205" s="105">
        <v>0.15</v>
      </c>
      <c r="T205" s="105">
        <v>0.15</v>
      </c>
      <c r="U205" s="105">
        <v>0.15</v>
      </c>
      <c r="V205" s="105">
        <v>0.15</v>
      </c>
      <c r="W205" s="105">
        <v>0.15</v>
      </c>
    </row>
    <row r="206" spans="2:24" ht="15.5" x14ac:dyDescent="0.35">
      <c r="B206" s="83" t="s">
        <v>386</v>
      </c>
      <c r="C206" s="82" t="s">
        <v>384</v>
      </c>
      <c r="D206" s="104" t="str">
        <f>IF(ISNUMBER(D204),+D204*(1+D205),"0")</f>
        <v>0</v>
      </c>
      <c r="E206" s="104" t="str">
        <f t="shared" ref="E206:W206" si="29">IF(ISNUMBER(E204),+E204*(1+E205),"0")</f>
        <v>0</v>
      </c>
      <c r="F206" s="104" t="str">
        <f t="shared" si="29"/>
        <v>0</v>
      </c>
      <c r="G206" s="104" t="str">
        <f t="shared" si="29"/>
        <v>0</v>
      </c>
      <c r="H206" s="104" t="str">
        <f t="shared" si="29"/>
        <v>0</v>
      </c>
      <c r="I206" s="104" t="str">
        <f t="shared" si="29"/>
        <v>0</v>
      </c>
      <c r="J206" s="104" t="str">
        <f t="shared" si="29"/>
        <v>0</v>
      </c>
      <c r="K206" s="104" t="str">
        <f t="shared" si="29"/>
        <v>0</v>
      </c>
      <c r="L206" s="104" t="str">
        <f t="shared" si="29"/>
        <v>0</v>
      </c>
      <c r="M206" s="104" t="str">
        <f t="shared" si="29"/>
        <v>0</v>
      </c>
      <c r="N206" s="104" t="str">
        <f t="shared" si="29"/>
        <v>0</v>
      </c>
      <c r="O206" s="104" t="str">
        <f t="shared" si="29"/>
        <v>0</v>
      </c>
      <c r="P206" s="104" t="str">
        <f t="shared" si="29"/>
        <v>0</v>
      </c>
      <c r="Q206" s="104" t="str">
        <f t="shared" si="29"/>
        <v>0</v>
      </c>
      <c r="R206" s="104" t="str">
        <f t="shared" si="29"/>
        <v>0</v>
      </c>
      <c r="S206" s="104" t="str">
        <f t="shared" si="29"/>
        <v>0</v>
      </c>
      <c r="T206" s="104" t="str">
        <f t="shared" si="29"/>
        <v>0</v>
      </c>
      <c r="U206" s="104" t="str">
        <f t="shared" si="29"/>
        <v>0</v>
      </c>
      <c r="V206" s="104" t="str">
        <f t="shared" si="29"/>
        <v>0</v>
      </c>
      <c r="W206" s="104" t="str">
        <f t="shared" si="29"/>
        <v>0</v>
      </c>
    </row>
    <row r="207" spans="2:24" ht="15.5" x14ac:dyDescent="0.35">
      <c r="B207" s="83" t="s">
        <v>387</v>
      </c>
      <c r="C207" s="82" t="s">
        <v>384</v>
      </c>
      <c r="D207" s="104" t="str">
        <f t="shared" ref="D207:W207" si="30">IF(ISNUMBER(D199),+D199/D171,"0")</f>
        <v>0</v>
      </c>
      <c r="E207" s="104" t="str">
        <f t="shared" si="30"/>
        <v>0</v>
      </c>
      <c r="F207" s="104" t="str">
        <f t="shared" si="30"/>
        <v>0</v>
      </c>
      <c r="G207" s="104" t="str">
        <f t="shared" si="30"/>
        <v>0</v>
      </c>
      <c r="H207" s="104" t="str">
        <f t="shared" si="30"/>
        <v>0</v>
      </c>
      <c r="I207" s="104" t="str">
        <f t="shared" si="30"/>
        <v>0</v>
      </c>
      <c r="J207" s="104" t="str">
        <f t="shared" si="30"/>
        <v>0</v>
      </c>
      <c r="K207" s="104" t="str">
        <f t="shared" si="30"/>
        <v>0</v>
      </c>
      <c r="L207" s="104" t="str">
        <f t="shared" si="30"/>
        <v>0</v>
      </c>
      <c r="M207" s="104" t="str">
        <f t="shared" si="30"/>
        <v>0</v>
      </c>
      <c r="N207" s="104" t="str">
        <f t="shared" si="30"/>
        <v>0</v>
      </c>
      <c r="O207" s="104" t="str">
        <f t="shared" si="30"/>
        <v>0</v>
      </c>
      <c r="P207" s="104" t="str">
        <f t="shared" si="30"/>
        <v>0</v>
      </c>
      <c r="Q207" s="104" t="str">
        <f t="shared" si="30"/>
        <v>0</v>
      </c>
      <c r="R207" s="104" t="str">
        <f t="shared" si="30"/>
        <v>0</v>
      </c>
      <c r="S207" s="104" t="str">
        <f t="shared" si="30"/>
        <v>0</v>
      </c>
      <c r="T207" s="104" t="str">
        <f t="shared" si="30"/>
        <v>0</v>
      </c>
      <c r="U207" s="104" t="str">
        <f t="shared" si="30"/>
        <v>0</v>
      </c>
      <c r="V207" s="104" t="str">
        <f t="shared" si="30"/>
        <v>0</v>
      </c>
      <c r="W207" s="104" t="str">
        <f t="shared" si="30"/>
        <v>0</v>
      </c>
    </row>
    <row r="208" spans="2:24" ht="15.5" x14ac:dyDescent="0.35">
      <c r="B208" s="88"/>
      <c r="C208" s="95"/>
      <c r="D208" s="88"/>
      <c r="E208" s="89"/>
      <c r="F208" s="74"/>
      <c r="G208" s="74"/>
      <c r="H208" s="74"/>
      <c r="I208" s="74"/>
      <c r="J208" s="74"/>
      <c r="K208" s="74"/>
      <c r="L208" s="74"/>
      <c r="M208" s="74"/>
    </row>
    <row r="209" spans="2:24" ht="18.5" x14ac:dyDescent="0.45">
      <c r="B209" s="26" t="s">
        <v>304</v>
      </c>
      <c r="L209" s="5"/>
      <c r="M209" s="5"/>
      <c r="N209" s="5"/>
    </row>
    <row r="210" spans="2:24" ht="18.5" x14ac:dyDescent="0.45">
      <c r="B210" s="26"/>
      <c r="L210" s="5"/>
      <c r="M210" s="5"/>
      <c r="N210" s="5"/>
    </row>
    <row r="211" spans="2:24" ht="18.5" x14ac:dyDescent="0.45">
      <c r="B211" s="26"/>
      <c r="L211" s="5"/>
      <c r="M211" s="5"/>
      <c r="N211" s="5"/>
    </row>
    <row r="212" spans="2:24" x14ac:dyDescent="0.35">
      <c r="L212" s="5"/>
      <c r="M212" s="5"/>
      <c r="N212" s="5"/>
    </row>
    <row r="213" spans="2:24" x14ac:dyDescent="0.35">
      <c r="L213" s="5"/>
      <c r="M213" s="5"/>
      <c r="N213" s="5"/>
    </row>
    <row r="214" spans="2:24" x14ac:dyDescent="0.35">
      <c r="L214" s="5"/>
      <c r="M214" s="5"/>
      <c r="N214" s="5"/>
    </row>
    <row r="215" spans="2:24" x14ac:dyDescent="0.35">
      <c r="L215" s="5"/>
      <c r="M215" s="5"/>
      <c r="N215" s="5"/>
    </row>
    <row r="216" spans="2:24" hidden="1" x14ac:dyDescent="0.35">
      <c r="L216" s="5"/>
      <c r="M216" s="5"/>
      <c r="N216" s="5"/>
    </row>
    <row r="217" spans="2:24" hidden="1" x14ac:dyDescent="0.35">
      <c r="L217" s="5"/>
      <c r="M217" s="5"/>
      <c r="N217" s="5"/>
    </row>
    <row r="218" spans="2:24" hidden="1" x14ac:dyDescent="0.35">
      <c r="B218" s="1" t="s">
        <v>388</v>
      </c>
      <c r="L218" s="5"/>
      <c r="M218" s="5"/>
      <c r="N218" s="5"/>
    </row>
    <row r="219" spans="2:24" hidden="1" x14ac:dyDescent="0.35">
      <c r="B219" t="s">
        <v>389</v>
      </c>
      <c r="C219" s="58">
        <v>0.9</v>
      </c>
      <c r="D219" t="s">
        <v>390</v>
      </c>
      <c r="L219" s="5"/>
      <c r="M219" s="5"/>
      <c r="N219" s="5"/>
    </row>
    <row r="220" spans="2:24" hidden="1" x14ac:dyDescent="0.35">
      <c r="B220" t="s">
        <v>391</v>
      </c>
      <c r="C220" s="58">
        <v>0.375</v>
      </c>
      <c r="D220" t="s">
        <v>392</v>
      </c>
      <c r="L220" s="5"/>
      <c r="M220" s="5"/>
      <c r="N220" s="5"/>
    </row>
    <row r="221" spans="2:24" hidden="1" x14ac:dyDescent="0.35">
      <c r="B221" t="s">
        <v>393</v>
      </c>
      <c r="C221" s="58">
        <v>0.39</v>
      </c>
      <c r="D221" t="s">
        <v>394</v>
      </c>
      <c r="L221" s="5"/>
      <c r="M221" s="5"/>
      <c r="N221" s="5"/>
    </row>
    <row r="222" spans="2:24" hidden="1" x14ac:dyDescent="0.35">
      <c r="B222" t="s">
        <v>395</v>
      </c>
      <c r="C222" s="58">
        <v>0.42</v>
      </c>
      <c r="D222" t="s">
        <v>396</v>
      </c>
      <c r="L222" s="5"/>
      <c r="M222" s="5"/>
      <c r="N222" s="5"/>
    </row>
    <row r="223" spans="2:24" x14ac:dyDescent="0.35">
      <c r="B223" s="1"/>
    </row>
    <row r="224" spans="2:24" x14ac:dyDescent="0.35">
      <c r="B224" t="s">
        <v>397</v>
      </c>
      <c r="C224" t="s">
        <v>2</v>
      </c>
      <c r="D224" t="s">
        <v>3</v>
      </c>
      <c r="E224" t="s">
        <v>4</v>
      </c>
      <c r="F224" t="s">
        <v>5</v>
      </c>
      <c r="G224" t="s">
        <v>6</v>
      </c>
      <c r="H224" t="s">
        <v>7</v>
      </c>
      <c r="I224" t="s">
        <v>8</v>
      </c>
      <c r="J224" t="s">
        <v>9</v>
      </c>
      <c r="K224" t="s">
        <v>10</v>
      </c>
      <c r="L224" t="s">
        <v>11</v>
      </c>
      <c r="M224" t="s">
        <v>12</v>
      </c>
      <c r="N224" t="s">
        <v>13</v>
      </c>
      <c r="O224" t="s">
        <v>14</v>
      </c>
      <c r="P224" t="s">
        <v>232</v>
      </c>
      <c r="Q224" t="s">
        <v>233</v>
      </c>
      <c r="R224" t="s">
        <v>234</v>
      </c>
      <c r="S224" t="s">
        <v>15</v>
      </c>
      <c r="T224" t="s">
        <v>16</v>
      </c>
      <c r="U224" t="s">
        <v>17</v>
      </c>
      <c r="V224" t="s">
        <v>18</v>
      </c>
      <c r="W224" t="s">
        <v>19</v>
      </c>
      <c r="X224" t="s">
        <v>41</v>
      </c>
    </row>
    <row r="225" spans="2:24" x14ac:dyDescent="0.35">
      <c r="B225" t="s">
        <v>398</v>
      </c>
      <c r="C225" s="14" t="s">
        <v>46</v>
      </c>
      <c r="D225" s="118"/>
      <c r="E225" s="118"/>
      <c r="F225" s="118"/>
      <c r="G225" s="118"/>
      <c r="H225" s="118"/>
      <c r="I225" s="118"/>
      <c r="J225" s="118"/>
      <c r="K225" s="118" t="str">
        <f>IF(Eigenes_BHKWklein[[#Headers],[2022]]='Refsz-Verbräuche'!$B$43,IF(OR(SUMIF($D225:Eigenes_BHKWklein[[#This Row],[2021]],"&gt;0")&gt;0,), AVERAGEIF($D225:Eigenes_BHKWklein[[#This Row],[2021]],"&lt;&gt;"""), "0"),IF('Refsz-Verbräuche'!$B$43=(Eigenes_BHKWklein[[#Headers],[2022]]-1),Eigenes_BHKWklein[[#This Row],[2021]],IF('Refsz-Verbräuche'!$B$43&lt;Eigenes_BHKWklein[[#Headers],[2022]],Eigenes_BHKWklein[[#This Row],[2021]],"0")))</f>
        <v>0</v>
      </c>
      <c r="L225" s="118" t="str">
        <f>IF(Eigenes_BHKWklein[[#Headers],[2023]]='Refsz-Verbräuche'!$B$43,IF(OR(SUMIF($D225:Eigenes_BHKWklein[[#This Row],[2022]],"&gt;0")&gt;0,), AVERAGEIF($D225:Eigenes_BHKWklein[[#This Row],[2022]],"&lt;&gt;"""), "0"),IF('Refsz-Verbräuche'!$B$43=(Eigenes_BHKWklein[[#Headers],[2023]]-1),Eigenes_BHKWklein[[#This Row],[2022]],IF('Refsz-Verbräuche'!$B$43&lt;Eigenes_BHKWklein[[#Headers],[2023]],Eigenes_BHKWklein[[#This Row],[2022]],"0")))</f>
        <v>0</v>
      </c>
      <c r="M225" s="118" t="str">
        <f>IF(Eigenes_BHKWklein[[#Headers],[2024]]='Refsz-Verbräuche'!$B$43,IF(OR(SUMIF($D225:Eigenes_BHKWklein[[#This Row],[2023]],"&gt;0")&gt;0,), AVERAGEIF($D225:Eigenes_BHKWklein[[#This Row],[2023]],"&lt;&gt;"""), "0"),IF('Refsz-Verbräuche'!$B$43=(Eigenes_BHKWklein[[#Headers],[2024]]-1),Eigenes_BHKWklein[[#This Row],[2023]],IF('Refsz-Verbräuche'!$B$43&lt;Eigenes_BHKWklein[[#Headers],[2024]],Eigenes_BHKWklein[[#This Row],[2023]],"0")))</f>
        <v>0</v>
      </c>
      <c r="N225" s="118" t="str">
        <f>IF(Eigenes_BHKWklein[[#Headers],[2025]]='Refsz-Verbräuche'!$B$43,IF(OR(SUMIF($D225:Eigenes_BHKWklein[[#This Row],[2024]],"&gt;0")&gt;0,), AVERAGEIF($D225:Eigenes_BHKWklein[[#This Row],[2024]],"&lt;&gt;"""), "0"),IF('Refsz-Verbräuche'!$B$43=(Eigenes_BHKWklein[[#Headers],[2025]]-1),Eigenes_BHKWklein[[#This Row],[2024]],IF('Refsz-Verbräuche'!$B$43&lt;Eigenes_BHKWklein[[#Headers],[2025]],Eigenes_BHKWklein[[#This Row],[2024]],"0")))</f>
        <v>0</v>
      </c>
      <c r="O225" s="118" t="str">
        <f>IF(Eigenes_BHKWklein[[#Headers],[2026]]='Refsz-Verbräuche'!$B$43,IF(OR(SUMIF($D225:Eigenes_BHKWklein[[#This Row],[2025]],"&gt;0")&gt;0,), AVERAGEIF($D225:Eigenes_BHKWklein[[#This Row],[2025]],"&lt;&gt;"""), "0"),IF('Refsz-Verbräuche'!$B$43=(Eigenes_BHKWklein[[#Headers],[2026]]-1),Eigenes_BHKWklein[[#This Row],[2025]],IF('Refsz-Verbräuche'!$B$43&lt;Eigenes_BHKWklein[[#Headers],[2026]],Eigenes_BHKWklein[[#This Row],[2025]],"0")))</f>
        <v>0</v>
      </c>
      <c r="P225" s="118" t="str">
        <f>IF(Eigenes_BHKWklein[[#Headers],[2027]]='Refsz-Verbräuche'!$B$43,IF(OR(SUMIF($D225:Eigenes_BHKWklein[[#This Row],[2026]],"&gt;0")&gt;0,), AVERAGEIF($D225:Eigenes_BHKWklein[[#This Row],[2026]],"&lt;&gt;"""), "0"),IF('Refsz-Verbräuche'!$B$43=(Eigenes_BHKWklein[[#Headers],[2027]]-1),Eigenes_BHKWklein[[#This Row],[2026]],IF('Refsz-Verbräuche'!$B$43&lt;Eigenes_BHKWklein[[#Headers],[2027]],Eigenes_BHKWklein[[#This Row],[2026]],"0")))</f>
        <v>0</v>
      </c>
      <c r="Q225" s="118" t="str">
        <f>IF(Eigenes_BHKWklein[[#Headers],[2028]]='Refsz-Verbräuche'!$B$43,IF(OR(SUMIF($D225:Eigenes_BHKWklein[[#This Row],[2027]],"&gt;0")&gt;0,), AVERAGEIF($D225:Eigenes_BHKWklein[[#This Row],[2027]],"&lt;&gt;"""), "0"),IF('Refsz-Verbräuche'!$B$43=(Eigenes_BHKWklein[[#Headers],[2028]]-1),Eigenes_BHKWklein[[#This Row],[2027]],IF('Refsz-Verbräuche'!$B$43&lt;Eigenes_BHKWklein[[#Headers],[2028]],Eigenes_BHKWklein[[#This Row],[2027]],"0")))</f>
        <v>0</v>
      </c>
      <c r="R225" s="118" t="str">
        <f>IF(Eigenes_BHKWklein[[#Headers],[2029]]='Refsz-Verbräuche'!$B$43,IF(OR(SUMIF($D225:Eigenes_BHKWklein[[#This Row],[2028]],"&gt;0")&gt;0,), AVERAGEIF($D225:Eigenes_BHKWklein[[#This Row],[2028]],"&lt;&gt;"""), "0"),IF('Refsz-Verbräuche'!$B$43=(Eigenes_BHKWklein[[#Headers],[2029]]-1),Eigenes_BHKWklein[[#This Row],[2028]],IF('Refsz-Verbräuche'!$B$43&lt;Eigenes_BHKWklein[[#Headers],[2029]],Eigenes_BHKWklein[[#This Row],[2028]],"0")))</f>
        <v>0</v>
      </c>
      <c r="S225" s="118" t="str">
        <f>IF(Eigenes_BHKWklein[[#Headers],[2030]]='Refsz-Verbräuche'!$B$43,IF(OR(SUMIF($D225:Eigenes_BHKWklein[[#This Row],[2029]],"&gt;0")&gt;0,), AVERAGEIF($D225:Eigenes_BHKWklein[[#This Row],[2029]],"&lt;&gt;"""), "0"),IF('Refsz-Verbräuche'!$B$43=(Eigenes_BHKWklein[[#Headers],[2030]]-1),Eigenes_BHKWklein[[#This Row],[2029]],IF('Refsz-Verbräuche'!$B$43&lt;Eigenes_BHKWklein[[#Headers],[2030]],Eigenes_BHKWklein[[#This Row],[2029]],"0")))</f>
        <v>0</v>
      </c>
      <c r="T225" s="118" t="str">
        <f>IF(Eigenes_BHKWklein[[#Headers],[2035]]='Refsz-Verbräuche'!$B$43,IF(OR(SUMIF($D225:Eigenes_BHKWklein[[#This Row],[2030]],"&gt;0")&gt;0,), AVERAGEIF($D225:Eigenes_BHKWklein[[#This Row],[2030]],"&lt;&gt;"""), "0"),IF('Refsz-Verbräuche'!$B$43=(Eigenes_BHKWklein[[#Headers],[2035]]-1),Eigenes_BHKWklein[[#This Row],[2030]],IF('Refsz-Verbräuche'!$B$43&lt;Eigenes_BHKWklein[[#Headers],[2035]],Eigenes_BHKWklein[[#This Row],[2030]],"0")))</f>
        <v>0</v>
      </c>
      <c r="U225" s="118" t="str">
        <f>IF(Eigenes_BHKWklein[[#Headers],[2040]]='Refsz-Verbräuche'!$B$43,IF(OR(SUMIF($D225:Eigenes_BHKWklein[[#This Row],[2035]],"&gt;0")&gt;0,), AVERAGEIF($D225:Eigenes_BHKWklein[[#This Row],[2035]],"&lt;&gt;"""), "0"),IF('Refsz-Verbräuche'!$B$43=(Eigenes_BHKWklein[[#Headers],[2040]]-1),Eigenes_BHKWklein[[#This Row],[2035]],IF('Refsz-Verbräuche'!$B$43&lt;Eigenes_BHKWklein[[#Headers],[2040]],Eigenes_BHKWklein[[#This Row],[2035]],"0")))</f>
        <v>0</v>
      </c>
      <c r="V225" s="118" t="str">
        <f>IF(Eigenes_BHKWklein[[#Headers],[2045]]='Refsz-Verbräuche'!$B$43,IF(OR(SUMIF($D225:Eigenes_BHKWklein[[#This Row],[2040]],"&gt;0")&gt;0,), AVERAGEIF($D225:Eigenes_BHKWklein[[#This Row],[2040]],"&lt;&gt;"""), "0"),IF('Refsz-Verbräuche'!$B$43=(Eigenes_BHKWklein[[#Headers],[2045]]-1),Eigenes_BHKWklein[[#This Row],[2040]],IF('Refsz-Verbräuche'!$B$43&lt;Eigenes_BHKWklein[[#Headers],[2045]],Eigenes_BHKWklein[[#This Row],[2040]],"0")))</f>
        <v>0</v>
      </c>
      <c r="W225" s="118" t="str">
        <f>IF(Eigenes_BHKWklein[[#Headers],[2050]]='Refsz-Verbräuche'!$B$43,IF(OR(SUMIF($D225:Eigenes_BHKWklein[[#This Row],[2045]],"&gt;0")&gt;0,), AVERAGEIF($D225:Eigenes_BHKWklein[[#This Row],[2045]],"&lt;&gt;"""), "0"),IF('Refsz-Verbräuche'!$B$43=(Eigenes_BHKWklein[[#Headers],[2050]]-1),Eigenes_BHKWklein[[#This Row],[2045]],IF('Refsz-Verbräuche'!$B$43&lt;Eigenes_BHKWklein[[#Headers],[2050]],Eigenes_BHKWklein[[#This Row],[2045]],"0")))</f>
        <v>0</v>
      </c>
    </row>
    <row r="226" spans="2:24" ht="16.5" hidden="1" x14ac:dyDescent="0.45">
      <c r="B226" s="14" t="s">
        <v>399</v>
      </c>
      <c r="C226" t="s">
        <v>208</v>
      </c>
      <c r="D226" s="14">
        <f>D225*Emissionsfaktoren!E72</f>
        <v>0</v>
      </c>
      <c r="E226" s="14">
        <f>E225*Emissionsfaktoren!F72</f>
        <v>0</v>
      </c>
      <c r="F226" s="14">
        <f>F225*Emissionsfaktoren!G72</f>
        <v>0</v>
      </c>
      <c r="G226" s="14">
        <f>G225*Emissionsfaktoren!H72</f>
        <v>0</v>
      </c>
      <c r="H226" s="14">
        <f>H225*Emissionsfaktoren!I72</f>
        <v>0</v>
      </c>
      <c r="I226" s="14">
        <f>I225*Emissionsfaktoren!J72</f>
        <v>0</v>
      </c>
      <c r="J226" s="14">
        <f>J225*Emissionsfaktoren!K72</f>
        <v>0</v>
      </c>
      <c r="K226" s="14">
        <f>K225*Emissionsfaktoren!L72</f>
        <v>0</v>
      </c>
      <c r="L226" s="14">
        <f>L225*Emissionsfaktoren!M72</f>
        <v>0</v>
      </c>
      <c r="M226" s="14">
        <f>M225*Emissionsfaktoren!N72</f>
        <v>0</v>
      </c>
      <c r="N226" s="14">
        <f>N225*Emissionsfaktoren!O72</f>
        <v>0</v>
      </c>
      <c r="O226" s="14">
        <f>O225*Emissionsfaktoren!P72</f>
        <v>0</v>
      </c>
      <c r="P226" s="14">
        <f>P225*Emissionsfaktoren!Q72</f>
        <v>0</v>
      </c>
      <c r="Q226" s="14">
        <f>Q225*Emissionsfaktoren!R72</f>
        <v>0</v>
      </c>
      <c r="R226" s="14">
        <f>R225*Emissionsfaktoren!S72</f>
        <v>0</v>
      </c>
      <c r="S226" s="14">
        <f>S225*Emissionsfaktoren!T72</f>
        <v>0</v>
      </c>
      <c r="T226" s="14">
        <f>T225*Emissionsfaktoren!U72</f>
        <v>0</v>
      </c>
      <c r="U226" s="14">
        <f>U225*Emissionsfaktoren!V72</f>
        <v>0</v>
      </c>
      <c r="V226" s="14">
        <f>V225*Emissionsfaktoren!W72</f>
        <v>0</v>
      </c>
      <c r="W226" s="14">
        <f>W225*Emissionsfaktoren!X72</f>
        <v>0</v>
      </c>
    </row>
    <row r="227" spans="2:24" ht="16.5" x14ac:dyDescent="0.45">
      <c r="B227" t="s">
        <v>400</v>
      </c>
      <c r="C227" t="s">
        <v>208</v>
      </c>
      <c r="D227">
        <f t="shared" ref="D227:W227" si="31">(D226*(($C$220/($C$219-$C$220))/(1+($C$220/($C$219-$C$220)))))</f>
        <v>0</v>
      </c>
      <c r="E227">
        <f t="shared" si="31"/>
        <v>0</v>
      </c>
      <c r="F227">
        <f t="shared" si="31"/>
        <v>0</v>
      </c>
      <c r="G227">
        <f t="shared" si="31"/>
        <v>0</v>
      </c>
      <c r="H227">
        <f t="shared" si="31"/>
        <v>0</v>
      </c>
      <c r="I227">
        <f t="shared" si="31"/>
        <v>0</v>
      </c>
      <c r="J227">
        <f t="shared" si="31"/>
        <v>0</v>
      </c>
      <c r="K227">
        <f t="shared" si="31"/>
        <v>0</v>
      </c>
      <c r="L227">
        <f t="shared" si="31"/>
        <v>0</v>
      </c>
      <c r="M227">
        <f t="shared" si="31"/>
        <v>0</v>
      </c>
      <c r="N227">
        <f t="shared" si="31"/>
        <v>0</v>
      </c>
      <c r="O227">
        <f t="shared" si="31"/>
        <v>0</v>
      </c>
      <c r="P227">
        <f t="shared" si="31"/>
        <v>0</v>
      </c>
      <c r="Q227">
        <f t="shared" si="31"/>
        <v>0</v>
      </c>
      <c r="R227">
        <f t="shared" si="31"/>
        <v>0</v>
      </c>
      <c r="S227">
        <f t="shared" si="31"/>
        <v>0</v>
      </c>
      <c r="T227">
        <f t="shared" si="31"/>
        <v>0</v>
      </c>
      <c r="U227">
        <f t="shared" si="31"/>
        <v>0</v>
      </c>
      <c r="V227">
        <f t="shared" si="31"/>
        <v>0</v>
      </c>
      <c r="W227">
        <f t="shared" si="31"/>
        <v>0</v>
      </c>
    </row>
    <row r="228" spans="2:24" ht="16.5" x14ac:dyDescent="0.45">
      <c r="B228" t="s">
        <v>401</v>
      </c>
      <c r="C228" t="s">
        <v>208</v>
      </c>
      <c r="D228">
        <f t="shared" ref="D228:W228" si="32">D226*1/(1+($C$220/($C$219-$C$220)))</f>
        <v>0</v>
      </c>
      <c r="E228">
        <f t="shared" si="32"/>
        <v>0</v>
      </c>
      <c r="F228">
        <f t="shared" si="32"/>
        <v>0</v>
      </c>
      <c r="G228">
        <f t="shared" si="32"/>
        <v>0</v>
      </c>
      <c r="H228">
        <f t="shared" si="32"/>
        <v>0</v>
      </c>
      <c r="I228">
        <f t="shared" si="32"/>
        <v>0</v>
      </c>
      <c r="J228">
        <f t="shared" si="32"/>
        <v>0</v>
      </c>
      <c r="K228">
        <f t="shared" si="32"/>
        <v>0</v>
      </c>
      <c r="L228">
        <f t="shared" si="32"/>
        <v>0</v>
      </c>
      <c r="M228">
        <f t="shared" si="32"/>
        <v>0</v>
      </c>
      <c r="N228">
        <f t="shared" si="32"/>
        <v>0</v>
      </c>
      <c r="O228">
        <f t="shared" si="32"/>
        <v>0</v>
      </c>
      <c r="P228">
        <f t="shared" si="32"/>
        <v>0</v>
      </c>
      <c r="Q228">
        <f t="shared" si="32"/>
        <v>0</v>
      </c>
      <c r="R228">
        <f t="shared" si="32"/>
        <v>0</v>
      </c>
      <c r="S228">
        <f t="shared" si="32"/>
        <v>0</v>
      </c>
      <c r="T228">
        <f t="shared" si="32"/>
        <v>0</v>
      </c>
      <c r="U228">
        <f t="shared" si="32"/>
        <v>0</v>
      </c>
      <c r="V228">
        <f t="shared" si="32"/>
        <v>0</v>
      </c>
      <c r="W228">
        <f t="shared" si="32"/>
        <v>0</v>
      </c>
    </row>
    <row r="230" spans="2:24" x14ac:dyDescent="0.35">
      <c r="B230" t="s">
        <v>402</v>
      </c>
      <c r="C230" t="s">
        <v>2</v>
      </c>
      <c r="D230" t="s">
        <v>3</v>
      </c>
      <c r="E230" t="s">
        <v>4</v>
      </c>
      <c r="F230" t="s">
        <v>5</v>
      </c>
      <c r="G230" t="s">
        <v>6</v>
      </c>
      <c r="H230" t="s">
        <v>7</v>
      </c>
      <c r="I230" t="s">
        <v>8</v>
      </c>
      <c r="J230" t="s">
        <v>9</v>
      </c>
      <c r="K230" t="s">
        <v>10</v>
      </c>
      <c r="L230" t="s">
        <v>11</v>
      </c>
      <c r="M230" t="s">
        <v>12</v>
      </c>
      <c r="N230" t="s">
        <v>13</v>
      </c>
      <c r="O230" t="s">
        <v>14</v>
      </c>
      <c r="P230" t="s">
        <v>232</v>
      </c>
      <c r="Q230" t="s">
        <v>233</v>
      </c>
      <c r="R230" t="s">
        <v>234</v>
      </c>
      <c r="S230" t="s">
        <v>15</v>
      </c>
      <c r="T230" t="s">
        <v>16</v>
      </c>
      <c r="U230" t="s">
        <v>17</v>
      </c>
      <c r="V230" t="s">
        <v>18</v>
      </c>
      <c r="W230" t="s">
        <v>19</v>
      </c>
      <c r="X230" t="s">
        <v>41</v>
      </c>
    </row>
    <row r="231" spans="2:24" x14ac:dyDescent="0.35">
      <c r="B231" t="s">
        <v>398</v>
      </c>
      <c r="C231" s="14" t="s">
        <v>46</v>
      </c>
      <c r="D231" s="118"/>
      <c r="E231" s="118"/>
      <c r="F231" s="118"/>
      <c r="G231" s="118"/>
      <c r="H231" s="118"/>
      <c r="I231" s="118"/>
      <c r="J231" s="118"/>
      <c r="K231" s="118" t="str">
        <f>IF(Eigenes_BHKWmittel[[#Headers],[2022]]='Refsz-Verbräuche'!$B$43,IF(OR(SUMIF($D231:Eigenes_BHKWmittel[[#This Row],[2021]],"&gt;0")&gt;0,), AVERAGEIF($D231:Eigenes_BHKWmittel[[#This Row],[2021]],"&lt;&gt;"""), "0"),IF('Refsz-Verbräuche'!$B$43=(Eigenes_BHKWmittel[[#Headers],[2022]]-1),Eigenes_BHKWmittel[[#This Row],[2021]],IF('Refsz-Verbräuche'!$B$43&lt;Eigenes_BHKWmittel[[#Headers],[2022]],Eigenes_BHKWmittel[[#This Row],[2021]],"0")))</f>
        <v>0</v>
      </c>
      <c r="L231" s="118" t="str">
        <f>IF(Eigenes_BHKWmittel[[#Headers],[2023]]='Refsz-Verbräuche'!$B$43,IF(OR(SUMIF($D231:Eigenes_BHKWmittel[[#This Row],[2022]],"&gt;0")&gt;0,), AVERAGEIF($D231:Eigenes_BHKWmittel[[#This Row],[2022]],"&lt;&gt;"""), "0"),IF('Refsz-Verbräuche'!$B$43=(Eigenes_BHKWmittel[[#Headers],[2023]]-1),Eigenes_BHKWmittel[[#This Row],[2022]],IF('Refsz-Verbräuche'!$B$43&lt;Eigenes_BHKWmittel[[#Headers],[2023]],Eigenes_BHKWmittel[[#This Row],[2022]],"0")))</f>
        <v>0</v>
      </c>
      <c r="M231" s="118" t="str">
        <f>IF(Eigenes_BHKWmittel[[#Headers],[2024]]='Refsz-Verbräuche'!$B$43,IF(OR(SUMIF($D231:Eigenes_BHKWmittel[[#This Row],[2023]],"&gt;0")&gt;0,), AVERAGEIF($D231:Eigenes_BHKWmittel[[#This Row],[2023]],"&lt;&gt;"""), "0"),IF('Refsz-Verbräuche'!$B$43=(Eigenes_BHKWmittel[[#Headers],[2024]]-1),Eigenes_BHKWmittel[[#This Row],[2023]],IF('Refsz-Verbräuche'!$B$43&lt;Eigenes_BHKWmittel[[#Headers],[2024]],Eigenes_BHKWmittel[[#This Row],[2023]],"0")))</f>
        <v>0</v>
      </c>
      <c r="N231" s="118" t="str">
        <f>IF(Eigenes_BHKWmittel[[#Headers],[2025]]='Refsz-Verbräuche'!$B$43,IF(OR(SUMIF($D231:Eigenes_BHKWmittel[[#This Row],[2024]],"&gt;0")&gt;0,), AVERAGEIF($D231:Eigenes_BHKWmittel[[#This Row],[2024]],"&lt;&gt;"""), "0"),IF('Refsz-Verbräuche'!$B$43=(Eigenes_BHKWmittel[[#Headers],[2025]]-1),Eigenes_BHKWmittel[[#This Row],[2024]],IF('Refsz-Verbräuche'!$B$43&lt;Eigenes_BHKWmittel[[#Headers],[2025]],Eigenes_BHKWmittel[[#This Row],[2024]],"0")))</f>
        <v>0</v>
      </c>
      <c r="O231" s="118" t="str">
        <f>IF(Eigenes_BHKWmittel[[#Headers],[2026]]='Refsz-Verbräuche'!$B$43,IF(OR(SUMIF($D231:Eigenes_BHKWmittel[[#This Row],[2025]],"&gt;0")&gt;0,), AVERAGEIF($D231:Eigenes_BHKWmittel[[#This Row],[2025]],"&lt;&gt;"""), "0"),IF('Refsz-Verbräuche'!$B$43=(Eigenes_BHKWmittel[[#Headers],[2026]]-1),Eigenes_BHKWmittel[[#This Row],[2025]],IF('Refsz-Verbräuche'!$B$43&lt;Eigenes_BHKWmittel[[#Headers],[2026]],Eigenes_BHKWmittel[[#This Row],[2025]],"0")))</f>
        <v>0</v>
      </c>
      <c r="P231" s="118" t="str">
        <f>IF(Eigenes_BHKWmittel[[#Headers],[2027]]='Refsz-Verbräuche'!$B$43,IF(OR(SUMIF($D231:Eigenes_BHKWmittel[[#This Row],[2026]],"&gt;0")&gt;0,), AVERAGEIF($D231:Eigenes_BHKWmittel[[#This Row],[2026]],"&lt;&gt;"""), "0"),IF('Refsz-Verbräuche'!$B$43=(Eigenes_BHKWmittel[[#Headers],[2027]]-1),Eigenes_BHKWmittel[[#This Row],[2026]],IF('Refsz-Verbräuche'!$B$43&lt;Eigenes_BHKWmittel[[#Headers],[2027]],Eigenes_BHKWmittel[[#This Row],[2026]],"0")))</f>
        <v>0</v>
      </c>
      <c r="Q231" s="118" t="str">
        <f>IF(Eigenes_BHKWmittel[[#Headers],[2028]]='Refsz-Verbräuche'!$B$43,IF(OR(SUMIF($D231:Eigenes_BHKWmittel[[#This Row],[2027]],"&gt;0")&gt;0,), AVERAGEIF($D231:Eigenes_BHKWmittel[[#This Row],[2027]],"&lt;&gt;"""), "0"),IF('Refsz-Verbräuche'!$B$43=(Eigenes_BHKWmittel[[#Headers],[2028]]-1),Eigenes_BHKWmittel[[#This Row],[2027]],IF('Refsz-Verbräuche'!$B$43&lt;Eigenes_BHKWmittel[[#Headers],[2028]],Eigenes_BHKWmittel[[#This Row],[2027]],"0")))</f>
        <v>0</v>
      </c>
      <c r="R231" s="118" t="str">
        <f>IF(Eigenes_BHKWmittel[[#Headers],[2029]]='Refsz-Verbräuche'!$B$43,IF(OR(SUMIF($D231:Eigenes_BHKWmittel[[#This Row],[2028]],"&gt;0")&gt;0,), AVERAGEIF($D231:Eigenes_BHKWmittel[[#This Row],[2028]],"&lt;&gt;"""), "0"),IF('Refsz-Verbräuche'!$B$43=(Eigenes_BHKWmittel[[#Headers],[2029]]-1),Eigenes_BHKWmittel[[#This Row],[2028]],IF('Refsz-Verbräuche'!$B$43&lt;Eigenes_BHKWmittel[[#Headers],[2029]],Eigenes_BHKWmittel[[#This Row],[2028]],"0")))</f>
        <v>0</v>
      </c>
      <c r="S231" s="118" t="str">
        <f>IF(Eigenes_BHKWmittel[[#Headers],[2030]]='Refsz-Verbräuche'!$B$43,IF(OR(SUMIF($D231:Eigenes_BHKWmittel[[#This Row],[2029]],"&gt;0")&gt;0,), AVERAGEIF($D231:Eigenes_BHKWmittel[[#This Row],[2029]],"&lt;&gt;"""), "0"),IF('Refsz-Verbräuche'!$B$43=(Eigenes_BHKWmittel[[#Headers],[2030]]-1),Eigenes_BHKWmittel[[#This Row],[2029]],IF('Refsz-Verbräuche'!$B$43&lt;Eigenes_BHKWmittel[[#Headers],[2030]],Eigenes_BHKWmittel[[#This Row],[2029]],"0")))</f>
        <v>0</v>
      </c>
      <c r="T231" s="118" t="str">
        <f>IF(Eigenes_BHKWmittel[[#Headers],[2035]]='Refsz-Verbräuche'!$B$43,IF(OR(SUMIF($D231:Eigenes_BHKWmittel[[#This Row],[2030]],"&gt;0")&gt;0,), AVERAGEIF($D231:Eigenes_BHKWmittel[[#This Row],[2030]],"&lt;&gt;"""), "0"),IF('Refsz-Verbräuche'!$B$43=(Eigenes_BHKWmittel[[#Headers],[2035]]-1),Eigenes_BHKWmittel[[#This Row],[2030]],IF('Refsz-Verbräuche'!$B$43&lt;Eigenes_BHKWmittel[[#Headers],[2035]],Eigenes_BHKWmittel[[#This Row],[2030]],"0")))</f>
        <v>0</v>
      </c>
      <c r="U231" s="118" t="str">
        <f>IF(Eigenes_BHKWmittel[[#Headers],[2040]]='Refsz-Verbräuche'!$B$43,IF(OR(SUMIF($D231:Eigenes_BHKWmittel[[#This Row],[2035]],"&gt;0")&gt;0,), AVERAGEIF($D231:Eigenes_BHKWmittel[[#This Row],[2035]],"&lt;&gt;"""), "0"),IF('Refsz-Verbräuche'!$B$43=(Eigenes_BHKWmittel[[#Headers],[2040]]-1),Eigenes_BHKWmittel[[#This Row],[2035]],IF('Refsz-Verbräuche'!$B$43&lt;Eigenes_BHKWmittel[[#Headers],[2040]],Eigenes_BHKWmittel[[#This Row],[2035]],"0")))</f>
        <v>0</v>
      </c>
      <c r="V231" s="118" t="str">
        <f>IF(Eigenes_BHKWmittel[[#Headers],[2045]]='Refsz-Verbräuche'!$B$43,IF(OR(SUMIF($D231:Eigenes_BHKWmittel[[#This Row],[2040]],"&gt;0")&gt;0,), AVERAGEIF($D231:Eigenes_BHKWmittel[[#This Row],[2040]],"&lt;&gt;"""), "0"),IF('Refsz-Verbräuche'!$B$43=(Eigenes_BHKWmittel[[#Headers],[2045]]-1),Eigenes_BHKWmittel[[#This Row],[2040]],IF('Refsz-Verbräuche'!$B$43&lt;Eigenes_BHKWmittel[[#Headers],[2045]],Eigenes_BHKWmittel[[#This Row],[2040]],"0")))</f>
        <v>0</v>
      </c>
      <c r="W231" s="118" t="str">
        <f>IF(Eigenes_BHKWmittel[[#Headers],[2050]]='Refsz-Verbräuche'!$B$43,IF(OR(SUMIF($D231:Eigenes_BHKWmittel[[#This Row],[2045]],"&gt;0")&gt;0,), AVERAGEIF($D231:Eigenes_BHKWmittel[[#This Row],[2045]],"&lt;&gt;"""), "0"),IF('Refsz-Verbräuche'!$B$43=(Eigenes_BHKWmittel[[#Headers],[2050]]-1),Eigenes_BHKWmittel[[#This Row],[2045]],IF('Refsz-Verbräuche'!$B$43&lt;Eigenes_BHKWmittel[[#Headers],[2050]],Eigenes_BHKWmittel[[#This Row],[2045]],"0")))</f>
        <v>0</v>
      </c>
    </row>
    <row r="232" spans="2:24" ht="16.5" hidden="1" x14ac:dyDescent="0.45">
      <c r="B232" s="14" t="s">
        <v>403</v>
      </c>
      <c r="C232" t="s">
        <v>208</v>
      </c>
      <c r="D232" s="14">
        <f>D231*Emissionsfaktoren!E72</f>
        <v>0</v>
      </c>
      <c r="E232" s="14">
        <f>E231*Emissionsfaktoren!F72</f>
        <v>0</v>
      </c>
      <c r="F232" s="14">
        <f>F231*Emissionsfaktoren!G72</f>
        <v>0</v>
      </c>
      <c r="G232" s="14">
        <f>G231*Emissionsfaktoren!H72</f>
        <v>0</v>
      </c>
      <c r="H232" s="14">
        <f>H231*Emissionsfaktoren!I72</f>
        <v>0</v>
      </c>
      <c r="I232" s="14">
        <f>I231*Emissionsfaktoren!J72</f>
        <v>0</v>
      </c>
      <c r="J232" s="14">
        <f>J231*Emissionsfaktoren!K72</f>
        <v>0</v>
      </c>
      <c r="K232" s="14">
        <f>K231*Emissionsfaktoren!L72</f>
        <v>0</v>
      </c>
      <c r="L232" s="14">
        <f>L231*Emissionsfaktoren!M72</f>
        <v>0</v>
      </c>
      <c r="M232" s="14">
        <f>M231*Emissionsfaktoren!N72</f>
        <v>0</v>
      </c>
      <c r="N232" s="14">
        <f>N231*Emissionsfaktoren!O72</f>
        <v>0</v>
      </c>
      <c r="O232" s="14">
        <f>O231*Emissionsfaktoren!P72</f>
        <v>0</v>
      </c>
      <c r="P232" s="14">
        <f>P231*Emissionsfaktoren!Q72</f>
        <v>0</v>
      </c>
      <c r="Q232" s="14">
        <f>Q231*Emissionsfaktoren!R72</f>
        <v>0</v>
      </c>
      <c r="R232" s="14">
        <f>R231*Emissionsfaktoren!S72</f>
        <v>0</v>
      </c>
      <c r="S232" s="14">
        <f>S231*Emissionsfaktoren!T72</f>
        <v>0</v>
      </c>
      <c r="T232" s="14">
        <f>T231*Emissionsfaktoren!U72</f>
        <v>0</v>
      </c>
      <c r="U232" s="14">
        <f>U231*Emissionsfaktoren!V72</f>
        <v>0</v>
      </c>
      <c r="V232" s="14">
        <f>V231*Emissionsfaktoren!W72</f>
        <v>0</v>
      </c>
      <c r="W232" s="14">
        <f>W231*Emissionsfaktoren!X72</f>
        <v>0</v>
      </c>
    </row>
    <row r="233" spans="2:24" ht="16.5" x14ac:dyDescent="0.45">
      <c r="B233" t="s">
        <v>400</v>
      </c>
      <c r="C233" t="s">
        <v>208</v>
      </c>
      <c r="D233">
        <f t="shared" ref="D233:W233" si="33">(D232*(($C$221/($C$219-$C$221)/(1+($C$221/($C$219-$C$221))))))</f>
        <v>0</v>
      </c>
      <c r="E233">
        <f t="shared" si="33"/>
        <v>0</v>
      </c>
      <c r="F233">
        <f t="shared" si="33"/>
        <v>0</v>
      </c>
      <c r="G233">
        <f t="shared" si="33"/>
        <v>0</v>
      </c>
      <c r="H233">
        <f t="shared" si="33"/>
        <v>0</v>
      </c>
      <c r="I233">
        <f t="shared" si="33"/>
        <v>0</v>
      </c>
      <c r="J233">
        <f t="shared" si="33"/>
        <v>0</v>
      </c>
      <c r="K233">
        <f t="shared" si="33"/>
        <v>0</v>
      </c>
      <c r="L233">
        <f t="shared" si="33"/>
        <v>0</v>
      </c>
      <c r="M233">
        <f t="shared" si="33"/>
        <v>0</v>
      </c>
      <c r="N233">
        <f t="shared" si="33"/>
        <v>0</v>
      </c>
      <c r="O233">
        <f t="shared" si="33"/>
        <v>0</v>
      </c>
      <c r="P233">
        <f t="shared" si="33"/>
        <v>0</v>
      </c>
      <c r="Q233">
        <f t="shared" si="33"/>
        <v>0</v>
      </c>
      <c r="R233">
        <f t="shared" si="33"/>
        <v>0</v>
      </c>
      <c r="S233">
        <f t="shared" si="33"/>
        <v>0</v>
      </c>
      <c r="T233">
        <f t="shared" si="33"/>
        <v>0</v>
      </c>
      <c r="U233">
        <f t="shared" si="33"/>
        <v>0</v>
      </c>
      <c r="V233">
        <f t="shared" si="33"/>
        <v>0</v>
      </c>
      <c r="W233">
        <f t="shared" si="33"/>
        <v>0</v>
      </c>
    </row>
    <row r="234" spans="2:24" ht="16.5" x14ac:dyDescent="0.45">
      <c r="B234" t="s">
        <v>401</v>
      </c>
      <c r="C234" t="s">
        <v>208</v>
      </c>
      <c r="D234">
        <f t="shared" ref="D234:W234" si="34">D232*1/(1+($C$221/($C$219-$C$221)))</f>
        <v>0</v>
      </c>
      <c r="E234">
        <f t="shared" si="34"/>
        <v>0</v>
      </c>
      <c r="F234">
        <f t="shared" si="34"/>
        <v>0</v>
      </c>
      <c r="G234">
        <f t="shared" si="34"/>
        <v>0</v>
      </c>
      <c r="H234">
        <f t="shared" si="34"/>
        <v>0</v>
      </c>
      <c r="I234">
        <f t="shared" si="34"/>
        <v>0</v>
      </c>
      <c r="J234">
        <f t="shared" si="34"/>
        <v>0</v>
      </c>
      <c r="K234">
        <f t="shared" si="34"/>
        <v>0</v>
      </c>
      <c r="L234">
        <f t="shared" si="34"/>
        <v>0</v>
      </c>
      <c r="M234">
        <f t="shared" si="34"/>
        <v>0</v>
      </c>
      <c r="N234">
        <f t="shared" si="34"/>
        <v>0</v>
      </c>
      <c r="O234">
        <f t="shared" si="34"/>
        <v>0</v>
      </c>
      <c r="P234">
        <f t="shared" si="34"/>
        <v>0</v>
      </c>
      <c r="Q234">
        <f t="shared" si="34"/>
        <v>0</v>
      </c>
      <c r="R234">
        <f t="shared" si="34"/>
        <v>0</v>
      </c>
      <c r="S234">
        <f t="shared" si="34"/>
        <v>0</v>
      </c>
      <c r="T234">
        <f t="shared" si="34"/>
        <v>0</v>
      </c>
      <c r="U234">
        <f t="shared" si="34"/>
        <v>0</v>
      </c>
      <c r="V234">
        <f t="shared" si="34"/>
        <v>0</v>
      </c>
      <c r="W234">
        <f t="shared" si="34"/>
        <v>0</v>
      </c>
    </row>
    <row r="236" spans="2:24" x14ac:dyDescent="0.35">
      <c r="B236" t="s">
        <v>404</v>
      </c>
      <c r="C236" t="s">
        <v>2</v>
      </c>
      <c r="D236" t="s">
        <v>3</v>
      </c>
      <c r="E236" t="s">
        <v>4</v>
      </c>
      <c r="F236" t="s">
        <v>5</v>
      </c>
      <c r="G236" t="s">
        <v>6</v>
      </c>
      <c r="H236" t="s">
        <v>7</v>
      </c>
      <c r="I236" t="s">
        <v>8</v>
      </c>
      <c r="J236" t="s">
        <v>9</v>
      </c>
      <c r="K236" t="s">
        <v>10</v>
      </c>
      <c r="L236" t="s">
        <v>11</v>
      </c>
      <c r="M236" t="s">
        <v>12</v>
      </c>
      <c r="N236" t="s">
        <v>13</v>
      </c>
      <c r="O236" t="s">
        <v>14</v>
      </c>
      <c r="P236" t="s">
        <v>232</v>
      </c>
      <c r="Q236" t="s">
        <v>233</v>
      </c>
      <c r="R236" t="s">
        <v>234</v>
      </c>
      <c r="S236" t="s">
        <v>15</v>
      </c>
      <c r="T236" t="s">
        <v>16</v>
      </c>
      <c r="U236" t="s">
        <v>17</v>
      </c>
      <c r="V236" t="s">
        <v>18</v>
      </c>
      <c r="W236" t="s">
        <v>19</v>
      </c>
      <c r="X236" t="s">
        <v>41</v>
      </c>
    </row>
    <row r="237" spans="2:24" x14ac:dyDescent="0.35">
      <c r="B237" t="s">
        <v>398</v>
      </c>
      <c r="C237" s="14" t="s">
        <v>46</v>
      </c>
      <c r="D237" s="118"/>
      <c r="E237" s="118"/>
      <c r="F237" s="118"/>
      <c r="G237" s="118"/>
      <c r="H237" s="118"/>
      <c r="I237" s="118"/>
      <c r="J237" s="118"/>
      <c r="K237" s="118" t="str">
        <f>IF(Eigenes_BHKWgroß[[#Headers],[2022]]='Refsz-Verbräuche'!$B$43,IF(OR(SUMIF($D237:Eigenes_BHKWgroß[[#This Row],[2021]],"&gt;0")&gt;0,), AVERAGEIF($D237:Eigenes_BHKWgroß[[#This Row],[2021]],"&lt;&gt;"""), "0"),IF('Refsz-Verbräuche'!$B$43=(Eigenes_BHKWgroß[[#Headers],[2022]]-1),Eigenes_BHKWgroß[[#This Row],[2021]],IF('Refsz-Verbräuche'!$B$43&lt;Eigenes_BHKWgroß[[#Headers],[2022]],Eigenes_BHKWgroß[[#This Row],[2021]],"0")))</f>
        <v>0</v>
      </c>
      <c r="L237" s="118" t="str">
        <f>IF(Eigenes_BHKWgroß[[#Headers],[2023]]='Refsz-Verbräuche'!$B$43,IF(OR(SUMIF($D237:Eigenes_BHKWgroß[[#This Row],[2022]],"&gt;0")&gt;0,), AVERAGEIF($D237:Eigenes_BHKWgroß[[#This Row],[2022]],"&lt;&gt;"""), "0"),IF('Refsz-Verbräuche'!$B$43=(Eigenes_BHKWgroß[[#Headers],[2023]]-1),Eigenes_BHKWgroß[[#This Row],[2022]],IF('Refsz-Verbräuche'!$B$43&lt;Eigenes_BHKWgroß[[#Headers],[2023]],Eigenes_BHKWgroß[[#This Row],[2022]],"0")))</f>
        <v>0</v>
      </c>
      <c r="M237" s="118" t="str">
        <f>IF(Eigenes_BHKWgroß[[#Headers],[2024]]='Refsz-Verbräuche'!$B$43,IF(OR(SUMIF($D237:Eigenes_BHKWgroß[[#This Row],[2023]],"&gt;0")&gt;0,), AVERAGEIF($D237:Eigenes_BHKWgroß[[#This Row],[2023]],"&lt;&gt;"""), "0"),IF('Refsz-Verbräuche'!$B$43=(Eigenes_BHKWgroß[[#Headers],[2024]]-1),Eigenes_BHKWgroß[[#This Row],[2023]],IF('Refsz-Verbräuche'!$B$43&lt;Eigenes_BHKWgroß[[#Headers],[2024]],Eigenes_BHKWgroß[[#This Row],[2023]],"0")))</f>
        <v>0</v>
      </c>
      <c r="N237" s="118" t="str">
        <f>IF(Eigenes_BHKWgroß[[#Headers],[2025]]='Refsz-Verbräuche'!$B$43,IF(OR(SUMIF($D237:Eigenes_BHKWgroß[[#This Row],[2024]],"&gt;0")&gt;0,), AVERAGEIF($D237:Eigenes_BHKWgroß[[#This Row],[2024]],"&lt;&gt;"""), "0"),IF('Refsz-Verbräuche'!$B$43=(Eigenes_BHKWgroß[[#Headers],[2025]]-1),Eigenes_BHKWgroß[[#This Row],[2024]],IF('Refsz-Verbräuche'!$B$43&lt;Eigenes_BHKWgroß[[#Headers],[2025]],Eigenes_BHKWgroß[[#This Row],[2024]],"0")))</f>
        <v>0</v>
      </c>
      <c r="O237" s="118" t="str">
        <f>IF(Eigenes_BHKWgroß[[#Headers],[2026]]='Refsz-Verbräuche'!$B$43,IF(OR(SUMIF($D237:Eigenes_BHKWgroß[[#This Row],[2025]],"&gt;0")&gt;0,), AVERAGEIF($D237:Eigenes_BHKWgroß[[#This Row],[2025]],"&lt;&gt;"""), "0"),IF('Refsz-Verbräuche'!$B$43=(Eigenes_BHKWgroß[[#Headers],[2026]]-1),Eigenes_BHKWgroß[[#This Row],[2025]],IF('Refsz-Verbräuche'!$B$43&lt;Eigenes_BHKWgroß[[#Headers],[2026]],Eigenes_BHKWgroß[[#This Row],[2025]],"0")))</f>
        <v>0</v>
      </c>
      <c r="P237" s="118" t="str">
        <f>IF(Eigenes_BHKWgroß[[#Headers],[2027]]='Refsz-Verbräuche'!$B$43,IF(OR(SUMIF($D237:Eigenes_BHKWgroß[[#This Row],[2026]],"&gt;0")&gt;0,), AVERAGEIF($D237:Eigenes_BHKWgroß[[#This Row],[2026]],"&lt;&gt;"""), "0"),IF('Refsz-Verbräuche'!$B$43=(Eigenes_BHKWgroß[[#Headers],[2027]]-1),Eigenes_BHKWgroß[[#This Row],[2026]],IF('Refsz-Verbräuche'!$B$43&lt;Eigenes_BHKWgroß[[#Headers],[2027]],Eigenes_BHKWgroß[[#This Row],[2026]],"0")))</f>
        <v>0</v>
      </c>
      <c r="Q237" s="118" t="str">
        <f>IF(Eigenes_BHKWgroß[[#Headers],[2028]]='Refsz-Verbräuche'!$B$43,IF(OR(SUMIF($D237:Eigenes_BHKWgroß[[#This Row],[2027]],"&gt;0")&gt;0,), AVERAGEIF($D237:Eigenes_BHKWgroß[[#This Row],[2027]],"&lt;&gt;"""), "0"),IF('Refsz-Verbräuche'!$B$43=(Eigenes_BHKWgroß[[#Headers],[2028]]-1),Eigenes_BHKWgroß[[#This Row],[2027]],IF('Refsz-Verbräuche'!$B$43&lt;Eigenes_BHKWgroß[[#Headers],[2028]],Eigenes_BHKWgroß[[#This Row],[2027]],"0")))</f>
        <v>0</v>
      </c>
      <c r="R237" s="118" t="str">
        <f>IF(Eigenes_BHKWgroß[[#Headers],[2029]]='Refsz-Verbräuche'!$B$43,IF(OR(SUMIF($D237:Eigenes_BHKWgroß[[#This Row],[2028]],"&gt;0")&gt;0,), AVERAGEIF($D237:Eigenes_BHKWgroß[[#This Row],[2028]],"&lt;&gt;"""), "0"),IF('Refsz-Verbräuche'!$B$43=(Eigenes_BHKWgroß[[#Headers],[2029]]-1),Eigenes_BHKWgroß[[#This Row],[2028]],IF('Refsz-Verbräuche'!$B$43&lt;Eigenes_BHKWgroß[[#Headers],[2029]],Eigenes_BHKWgroß[[#This Row],[2028]],"0")))</f>
        <v>0</v>
      </c>
      <c r="S237" s="118" t="str">
        <f>IF(Eigenes_BHKWgroß[[#Headers],[2030]]='Refsz-Verbräuche'!$B$43,IF(OR(SUMIF($D237:Eigenes_BHKWgroß[[#This Row],[2029]],"&gt;0")&gt;0,), AVERAGEIF($D237:Eigenes_BHKWgroß[[#This Row],[2029]],"&lt;&gt;"""), "0"),IF('Refsz-Verbräuche'!$B$43=(Eigenes_BHKWgroß[[#Headers],[2030]]-1),Eigenes_BHKWgroß[[#This Row],[2029]],IF('Refsz-Verbräuche'!$B$43&lt;Eigenes_BHKWgroß[[#Headers],[2030]],Eigenes_BHKWgroß[[#This Row],[2029]],"0")))</f>
        <v>0</v>
      </c>
      <c r="T237" s="118" t="str">
        <f>IF(Eigenes_BHKWgroß[[#Headers],[2035]]='Refsz-Verbräuche'!$B$43,IF(OR(SUMIF($D237:Eigenes_BHKWgroß[[#This Row],[2030]],"&gt;0")&gt;0,), AVERAGEIF($D237:Eigenes_BHKWgroß[[#This Row],[2030]],"&lt;&gt;"""), "0"),IF('Refsz-Verbräuche'!$B$43=(Eigenes_BHKWgroß[[#Headers],[2035]]-1),Eigenes_BHKWgroß[[#This Row],[2030]],IF('Refsz-Verbräuche'!$B$43&lt;Eigenes_BHKWgroß[[#Headers],[2035]],Eigenes_BHKWgroß[[#This Row],[2030]],"0")))</f>
        <v>0</v>
      </c>
      <c r="U237" s="118" t="str">
        <f>IF(Eigenes_BHKWgroß[[#Headers],[2040]]='Refsz-Verbräuche'!$B$43,IF(OR(SUMIF($D237:Eigenes_BHKWgroß[[#This Row],[2035]],"&gt;0")&gt;0,), AVERAGEIF($D237:Eigenes_BHKWgroß[[#This Row],[2035]],"&lt;&gt;"""), "0"),IF('Refsz-Verbräuche'!$B$43=(Eigenes_BHKWgroß[[#Headers],[2040]]-1),Eigenes_BHKWgroß[[#This Row],[2035]],IF('Refsz-Verbräuche'!$B$43&lt;Eigenes_BHKWgroß[[#Headers],[2040]],Eigenes_BHKWgroß[[#This Row],[2035]],"0")))</f>
        <v>0</v>
      </c>
      <c r="V237" s="118" t="str">
        <f>IF(Eigenes_BHKWgroß[[#Headers],[2045]]='Refsz-Verbräuche'!$B$43,IF(OR(SUMIF($D237:Eigenes_BHKWgroß[[#This Row],[2040]],"&gt;0")&gt;0,), AVERAGEIF($D237:Eigenes_BHKWgroß[[#This Row],[2040]],"&lt;&gt;"""), "0"),IF('Refsz-Verbräuche'!$B$43=(Eigenes_BHKWgroß[[#Headers],[2045]]-1),Eigenes_BHKWgroß[[#This Row],[2040]],IF('Refsz-Verbräuche'!$B$43&lt;Eigenes_BHKWgroß[[#Headers],[2045]],Eigenes_BHKWgroß[[#This Row],[2040]],"0")))</f>
        <v>0</v>
      </c>
      <c r="W237" s="118" t="str">
        <f>IF(Eigenes_BHKWgroß[[#Headers],[2050]]='Refsz-Verbräuche'!$B$43,IF(OR(SUMIF($D237:Eigenes_BHKWgroß[[#This Row],[2045]],"&gt;0")&gt;0,), AVERAGEIF($D237:Eigenes_BHKWgroß[[#This Row],[2045]],"&lt;&gt;"""), "0"),IF('Refsz-Verbräuche'!$B$43=(Eigenes_BHKWgroß[[#Headers],[2050]]-1),Eigenes_BHKWgroß[[#This Row],[2045]],IF('Refsz-Verbräuche'!$B$43&lt;Eigenes_BHKWgroß[[#Headers],[2050]],Eigenes_BHKWgroß[[#This Row],[2045]],"0")))</f>
        <v>0</v>
      </c>
    </row>
    <row r="238" spans="2:24" ht="16.5" hidden="1" x14ac:dyDescent="0.45">
      <c r="B238" s="14" t="s">
        <v>403</v>
      </c>
      <c r="C238" t="s">
        <v>208</v>
      </c>
      <c r="D238" s="14">
        <f>D237*Emissionsfaktoren!E72</f>
        <v>0</v>
      </c>
      <c r="E238" s="14">
        <f>E237*Emissionsfaktoren!F72</f>
        <v>0</v>
      </c>
      <c r="F238" s="14">
        <f>F237*Emissionsfaktoren!G72</f>
        <v>0</v>
      </c>
      <c r="G238" s="14">
        <f>G237*Emissionsfaktoren!H72</f>
        <v>0</v>
      </c>
      <c r="H238" s="14">
        <f>H237*Emissionsfaktoren!I72</f>
        <v>0</v>
      </c>
      <c r="I238" s="14">
        <f>I237*Emissionsfaktoren!J72</f>
        <v>0</v>
      </c>
      <c r="J238" s="14">
        <f>J237*Emissionsfaktoren!K72</f>
        <v>0</v>
      </c>
      <c r="K238" s="14">
        <f>K237*Emissionsfaktoren!L72</f>
        <v>0</v>
      </c>
      <c r="L238" s="14">
        <f>L237*Emissionsfaktoren!M72</f>
        <v>0</v>
      </c>
      <c r="M238" s="14">
        <f>M237*Emissionsfaktoren!N72</f>
        <v>0</v>
      </c>
      <c r="N238" s="14">
        <f>N237*Emissionsfaktoren!O72</f>
        <v>0</v>
      </c>
      <c r="O238" s="14">
        <f>O237*Emissionsfaktoren!P72</f>
        <v>0</v>
      </c>
      <c r="P238" s="14">
        <f>P237*Emissionsfaktoren!Q72</f>
        <v>0</v>
      </c>
      <c r="Q238" s="14">
        <f>Q237*Emissionsfaktoren!R72</f>
        <v>0</v>
      </c>
      <c r="R238" s="14">
        <f>R237*Emissionsfaktoren!S72</f>
        <v>0</v>
      </c>
      <c r="S238" s="14">
        <f>S237*Emissionsfaktoren!T72</f>
        <v>0</v>
      </c>
      <c r="T238" s="14">
        <f>T237*Emissionsfaktoren!U72</f>
        <v>0</v>
      </c>
      <c r="U238" s="14">
        <f>U237*Emissionsfaktoren!V72</f>
        <v>0</v>
      </c>
      <c r="V238" s="14">
        <f>V237*Emissionsfaktoren!W72</f>
        <v>0</v>
      </c>
      <c r="W238" s="14">
        <f>W237*Emissionsfaktoren!X72</f>
        <v>0</v>
      </c>
    </row>
    <row r="239" spans="2:24" ht="16.5" x14ac:dyDescent="0.45">
      <c r="B239" t="s">
        <v>400</v>
      </c>
      <c r="C239" t="s">
        <v>208</v>
      </c>
      <c r="D239">
        <f t="shared" ref="D239:W239" si="35">(D238*(($C$222/($C$219-$C$222))/(1+($C$222/($C$219-$C$222)))))</f>
        <v>0</v>
      </c>
      <c r="E239">
        <f t="shared" si="35"/>
        <v>0</v>
      </c>
      <c r="F239">
        <f t="shared" si="35"/>
        <v>0</v>
      </c>
      <c r="G239">
        <f t="shared" si="35"/>
        <v>0</v>
      </c>
      <c r="H239">
        <f t="shared" si="35"/>
        <v>0</v>
      </c>
      <c r="I239">
        <f t="shared" si="35"/>
        <v>0</v>
      </c>
      <c r="J239">
        <f t="shared" si="35"/>
        <v>0</v>
      </c>
      <c r="K239">
        <f t="shared" si="35"/>
        <v>0</v>
      </c>
      <c r="L239">
        <f t="shared" si="35"/>
        <v>0</v>
      </c>
      <c r="M239">
        <f t="shared" si="35"/>
        <v>0</v>
      </c>
      <c r="N239">
        <f t="shared" si="35"/>
        <v>0</v>
      </c>
      <c r="O239">
        <f t="shared" si="35"/>
        <v>0</v>
      </c>
      <c r="P239">
        <f t="shared" si="35"/>
        <v>0</v>
      </c>
      <c r="Q239">
        <f t="shared" si="35"/>
        <v>0</v>
      </c>
      <c r="R239">
        <f t="shared" si="35"/>
        <v>0</v>
      </c>
      <c r="S239">
        <f t="shared" si="35"/>
        <v>0</v>
      </c>
      <c r="T239">
        <f t="shared" si="35"/>
        <v>0</v>
      </c>
      <c r="U239">
        <f t="shared" si="35"/>
        <v>0</v>
      </c>
      <c r="V239">
        <f t="shared" si="35"/>
        <v>0</v>
      </c>
      <c r="W239">
        <f t="shared" si="35"/>
        <v>0</v>
      </c>
    </row>
    <row r="240" spans="2:24" ht="16.5" x14ac:dyDescent="0.45">
      <c r="B240" t="s">
        <v>401</v>
      </c>
      <c r="C240" t="s">
        <v>208</v>
      </c>
      <c r="D240">
        <f t="shared" ref="D240:W240" si="36">D238*1/(1+($C$222/($C$219-$C$222)))</f>
        <v>0</v>
      </c>
      <c r="E240">
        <f t="shared" si="36"/>
        <v>0</v>
      </c>
      <c r="F240">
        <f t="shared" si="36"/>
        <v>0</v>
      </c>
      <c r="G240">
        <f t="shared" si="36"/>
        <v>0</v>
      </c>
      <c r="H240">
        <f t="shared" si="36"/>
        <v>0</v>
      </c>
      <c r="I240">
        <f t="shared" si="36"/>
        <v>0</v>
      </c>
      <c r="J240">
        <f t="shared" si="36"/>
        <v>0</v>
      </c>
      <c r="K240">
        <f t="shared" si="36"/>
        <v>0</v>
      </c>
      <c r="L240">
        <f t="shared" si="36"/>
        <v>0</v>
      </c>
      <c r="M240">
        <f t="shared" si="36"/>
        <v>0</v>
      </c>
      <c r="N240">
        <f t="shared" si="36"/>
        <v>0</v>
      </c>
      <c r="O240">
        <f t="shared" si="36"/>
        <v>0</v>
      </c>
      <c r="P240">
        <f t="shared" si="36"/>
        <v>0</v>
      </c>
      <c r="Q240">
        <f t="shared" si="36"/>
        <v>0</v>
      </c>
      <c r="R240">
        <f t="shared" si="36"/>
        <v>0</v>
      </c>
      <c r="S240">
        <f t="shared" si="36"/>
        <v>0</v>
      </c>
      <c r="T240">
        <f t="shared" si="36"/>
        <v>0</v>
      </c>
      <c r="U240">
        <f t="shared" si="36"/>
        <v>0</v>
      </c>
      <c r="V240">
        <f t="shared" si="36"/>
        <v>0</v>
      </c>
      <c r="W240">
        <f t="shared" si="36"/>
        <v>0</v>
      </c>
    </row>
  </sheetData>
  <dataValidations count="1">
    <dataValidation type="list" allowBlank="1" showInputMessage="1" showErrorMessage="1" sqref="D177:W177" xr:uid="{7F3D056B-01EA-4F7A-BBB5-38DC90FDEED6}">
      <formula1>$B$183:$B$186</formula1>
    </dataValidation>
  </dataValidations>
  <hyperlinks>
    <hyperlink ref="B6" location="'Strommix &amp; BHKW'!B12" display="1. Individueller Strommix" xr:uid="{A794A409-FB78-46D9-8858-6984C7FB3355}"/>
    <hyperlink ref="B9" location="'Strommix &amp; BHKW'!B153" display="2.1 Carnot-Methode" xr:uid="{7F007DF3-CEB7-423E-9181-DCD989F0D853}"/>
    <hyperlink ref="B10" location="'Strommix &amp; BHKW'!B209" display="2.2 Finnische Methode" xr:uid="{C229629C-5A8A-4243-97D1-C11327D241E8}"/>
    <hyperlink ref="B1" location="'Refsz-Verbräuche'!B1" tooltip="Zurück zur Einleitung" display="Zur Dateneingabe der Verbräuche (Ist-Bilanz und Referenzszenario)" xr:uid="{FF0C6DD9-3B2B-497A-8CB7-AFE0943515E8}"/>
    <hyperlink ref="E1" r:id="rId1" tooltip="Kontakt zur Autorin" display="Kontakt zur Autorin" xr:uid="{A00665EC-8A05-4BC8-B56D-C242800475FD}"/>
  </hyperlinks>
  <pageMargins left="0.7" right="0.7" top="0.78740157499999996" bottom="0.78740157499999996" header="0.3" footer="0.3"/>
  <drawing r:id="rId2"/>
  <legacyDrawing r:id="rId3"/>
  <tableParts count="17">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extLst>
    <ext xmlns:x14="http://schemas.microsoft.com/office/spreadsheetml/2009/9/main" uri="{78C0D931-6437-407d-A8EE-F0AAD7539E65}">
      <x14:conditionalFormattings>
        <x14:conditionalFormatting xmlns:xm="http://schemas.microsoft.com/office/excel/2006/main">
          <x14:cfRule type="expression" priority="55" id="{159761CD-F92F-42E2-83B6-6CB7EE662B60}">
            <xm:f>J$165&gt;='Refsz-Verbräuche'!$B$43</xm:f>
            <x14:dxf>
              <fill>
                <patternFill>
                  <bgColor rgb="FFFFC000"/>
                </patternFill>
              </fill>
            </x14:dxf>
          </x14:cfRule>
          <xm:sqref>J45:V49 J55:V59 J65:V69 J75:V79 J85:V89 J95:V99 K166:W168 K170:W171 K173:W174 K225:W225 K231:W231 K237:W237</xm:sqref>
        </x14:conditionalFormatting>
        <x14:conditionalFormatting xmlns:xm="http://schemas.microsoft.com/office/excel/2006/main">
          <x14:cfRule type="expression" priority="1" id="{1F00B144-C48F-49C1-9BE1-F04A932D55D8}">
            <xm:f>J$44&gt;='Refsz-Verbräuche'!$B$43</xm:f>
            <x14:dxf>
              <fill>
                <patternFill>
                  <bgColor rgb="FFFFC000"/>
                </patternFill>
              </fill>
            </x14:dxf>
          </x14:cfRule>
          <xm:sqref>J45:V49 J55:V59 J65:V69 J75:V79 J85:V89 J95:V99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8778BAEC-6D26-46BF-8481-4F36616F7532}">
          <x14:formula1>
            <xm:f>Emissionsfaktoren!$C$225:$C$234</xm:f>
          </x14:formula1>
          <xm:sqref>B166:B169</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11</vt:i4>
      </vt:variant>
    </vt:vector>
  </HeadingPairs>
  <TitlesOfParts>
    <vt:vector size="11" baseType="lpstr">
      <vt:lpstr>Startseite</vt:lpstr>
      <vt:lpstr>Refsz-Verbräuche</vt:lpstr>
      <vt:lpstr>Klisz-Verbräuche</vt:lpstr>
      <vt:lpstr>Datengüte</vt:lpstr>
      <vt:lpstr>KliMax-Auswertung</vt:lpstr>
      <vt:lpstr>Refsz-Emissionen</vt:lpstr>
      <vt:lpstr>Klisz-Emissionen</vt:lpstr>
      <vt:lpstr>Umrechnen</vt:lpstr>
      <vt:lpstr>Strommix &amp; BHKW</vt:lpstr>
      <vt:lpstr>Verbundene Einheiten</vt:lpstr>
      <vt:lpstr>Emissionsfaktoren</vt:lpstr>
    </vt:vector>
  </TitlesOfParts>
  <Manager>Julia Zigann</Manager>
  <Company>Hochschule Magdeburg-Stendal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Kli Max</dc:title>
  <dc:subject>Treibhausgasbilanzierung</dc:subject>
  <dc:creator>Julia Zigann</dc:creator>
  <cp:keywords>Modellierung</cp:keywords>
  <dc:description>Erfassung der Ist-Bilanz und Szenarienanalyse</dc:description>
  <cp:lastModifiedBy>Julia Zigann</cp:lastModifiedBy>
  <dcterms:created xsi:type="dcterms:W3CDTF">2023-11-19T14:58:57Z</dcterms:created>
  <dcterms:modified xsi:type="dcterms:W3CDTF">2024-04-16T13:13:39Z</dcterms:modified>
  <cp:category>Klimaschutz</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Autor">
    <vt:lpwstr>Tino Fauk (M.Sc. Ing.)</vt:lpwstr>
  </property>
  <property fmtid="{D5CDD505-2E9C-101B-9397-08002B2CF9AE}" pid="3" name="Redaktionelle Beratung">
    <vt:lpwstr>Ingo Elstner</vt:lpwstr>
  </property>
  <property fmtid="{D5CDD505-2E9C-101B-9397-08002B2CF9AE}" pid="4" name="Erstellungsdatum">
    <vt:filetime>2021-11-01T10:00:00Z</vt:filetime>
  </property>
</Properties>
</file>